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enned6\Documents\Melichrus\Morphology (morphometrics, PATN, DELTA)\Helen\Morph2022\"/>
    </mc:Choice>
  </mc:AlternateContent>
  <bookViews>
    <workbookView xWindow="0" yWindow="0" windowWidth="5750" windowHeight="1730"/>
  </bookViews>
  <sheets>
    <sheet name="data" sheetId="2" r:id="rId1"/>
  </sheets>
  <definedNames>
    <definedName name="_xlnm._FilterDatabase" localSheetId="0" hidden="1">data!$A$1:$GR$108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6" i="2" l="1"/>
  <c r="DH86" i="2"/>
  <c r="CK86" i="2"/>
  <c r="CL86" i="2"/>
  <c r="CJ86" i="2"/>
  <c r="U85" i="2" l="1"/>
  <c r="DM85" i="2"/>
  <c r="CO85" i="2"/>
  <c r="U83" i="2" l="1"/>
  <c r="U84" i="2"/>
  <c r="DM84" i="2"/>
  <c r="CO84" i="2"/>
  <c r="U82" i="2"/>
  <c r="CO82" i="2"/>
  <c r="U81" i="2"/>
  <c r="DH81" i="2"/>
  <c r="CK81" i="2"/>
  <c r="U80" i="2" l="1"/>
  <c r="DH80" i="2"/>
  <c r="DM80" i="2"/>
  <c r="CK80" i="2"/>
  <c r="CO80" i="2"/>
  <c r="U79" i="2"/>
  <c r="DH79" i="2"/>
  <c r="CK79" i="2"/>
  <c r="CQ79" i="2"/>
  <c r="CO79" i="2"/>
  <c r="DH78" i="2" l="1"/>
  <c r="DM78" i="2"/>
  <c r="CK78" i="2"/>
  <c r="CO78" i="2"/>
  <c r="CQ78" i="2"/>
  <c r="U78" i="2"/>
  <c r="DH77" i="2" l="1"/>
  <c r="CK77" i="2"/>
  <c r="U77" i="2"/>
  <c r="DH76" i="2"/>
  <c r="DM76" i="2"/>
  <c r="CK76" i="2"/>
  <c r="U76" i="2"/>
  <c r="DH75" i="2"/>
  <c r="DM75" i="2"/>
  <c r="CK75" i="2"/>
  <c r="CO75" i="2"/>
  <c r="U75" i="2"/>
  <c r="DH74" i="2" l="1"/>
  <c r="CK74" i="2"/>
  <c r="CO74" i="2"/>
  <c r="U74" i="2" l="1"/>
  <c r="DH73" i="2" l="1"/>
  <c r="DM73" i="2"/>
  <c r="CK73" i="2"/>
  <c r="CO73" i="2"/>
  <c r="U73" i="2"/>
  <c r="DH72" i="2"/>
  <c r="CK72" i="2"/>
  <c r="U72" i="2"/>
  <c r="DH38" i="2" l="1"/>
  <c r="CK38" i="2"/>
  <c r="U38" i="2"/>
  <c r="U37" i="2" l="1"/>
  <c r="DH71" i="2" l="1"/>
  <c r="CK71" i="2"/>
  <c r="U71" i="2" l="1"/>
  <c r="AF71" i="2"/>
  <c r="DM70" i="2"/>
  <c r="CK70" i="2"/>
  <c r="U70" i="2"/>
  <c r="AF70" i="2"/>
  <c r="DM56" i="2" l="1"/>
  <c r="DH56" i="2"/>
  <c r="CK56" i="2"/>
  <c r="U56" i="2"/>
  <c r="CK55" i="2"/>
  <c r="U55" i="2"/>
  <c r="DH54" i="2" l="1"/>
  <c r="CK54" i="2"/>
  <c r="CO54" i="2"/>
  <c r="U54" i="2"/>
  <c r="DM53" i="2"/>
  <c r="DH53" i="2"/>
  <c r="CO53" i="2" l="1"/>
  <c r="CK53" i="2"/>
  <c r="U53" i="2" l="1"/>
  <c r="U3" i="2" l="1"/>
  <c r="U4" i="2"/>
  <c r="U5" i="2"/>
  <c r="U6" i="2"/>
  <c r="U7" i="2"/>
  <c r="U8" i="2"/>
  <c r="U10" i="2"/>
  <c r="U11" i="2"/>
  <c r="U9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57" i="2"/>
  <c r="U58" i="2"/>
  <c r="U59" i="2"/>
  <c r="U60" i="2"/>
  <c r="U61" i="2"/>
  <c r="U62" i="2"/>
  <c r="U63" i="2"/>
  <c r="U64" i="2"/>
  <c r="U65" i="2"/>
  <c r="U36" i="2"/>
  <c r="U39" i="2"/>
  <c r="U40" i="2"/>
  <c r="U34" i="2"/>
  <c r="U35" i="2"/>
  <c r="U66" i="2"/>
  <c r="U67" i="2"/>
  <c r="U68" i="2"/>
  <c r="U69" i="2"/>
  <c r="U41" i="2"/>
  <c r="U42" i="2"/>
  <c r="U43" i="2"/>
  <c r="U44" i="2"/>
  <c r="U45" i="2"/>
  <c r="U46" i="2"/>
  <c r="U47" i="2"/>
  <c r="U48" i="2"/>
  <c r="U49" i="2"/>
  <c r="U50" i="2"/>
  <c r="U51" i="2"/>
  <c r="U52" i="2"/>
  <c r="U2" i="2"/>
</calcChain>
</file>

<file path=xl/sharedStrings.xml><?xml version="1.0" encoding="utf-8"?>
<sst xmlns="http://schemas.openxmlformats.org/spreadsheetml/2006/main" count="1218" uniqueCount="602">
  <si>
    <t>Location</t>
  </si>
  <si>
    <t>Collection number</t>
  </si>
  <si>
    <t>ID</t>
  </si>
  <si>
    <t>Petiole; presence</t>
  </si>
  <si>
    <t>Petiole; shape</t>
  </si>
  <si>
    <t>Petiole; length max</t>
  </si>
  <si>
    <t>Petiole; width max</t>
  </si>
  <si>
    <t>Petiole; length min</t>
  </si>
  <si>
    <t>Petiole; width min</t>
  </si>
  <si>
    <t>Petiole; shape in cross section</t>
  </si>
  <si>
    <t>Petiole; posture</t>
  </si>
  <si>
    <t>Petiole; indumentum</t>
  </si>
  <si>
    <t>Petiole; indumentum, hair length max</t>
  </si>
  <si>
    <t>Petiole; indumentum, hair length min</t>
  </si>
  <si>
    <t>Lamina; shape</t>
  </si>
  <si>
    <t>Lamina; length max</t>
  </si>
  <si>
    <t>Lamina; width max</t>
  </si>
  <si>
    <t>Lamina; length to widest point</t>
  </si>
  <si>
    <t>Lamina; length min</t>
  </si>
  <si>
    <t>Lamina; width min</t>
  </si>
  <si>
    <t>Lamina; transverse posture</t>
  </si>
  <si>
    <t>Lamina; shape in cross section</t>
  </si>
  <si>
    <t>Lamina; apex shape</t>
  </si>
  <si>
    <t>Lamina; whether pungent</t>
  </si>
  <si>
    <t>Lamina; apex (mucro), length</t>
  </si>
  <si>
    <t>Lamina; apex (mucro),  colour</t>
  </si>
  <si>
    <t>Lamina; margin</t>
  </si>
  <si>
    <t>Lamina; margin colour</t>
  </si>
  <si>
    <t>Lamina; margin width (of hyaline section)</t>
  </si>
  <si>
    <t>Lamina; margin indumentum hair length max</t>
  </si>
  <si>
    <t>Lamina; margin indumentum hair length min</t>
  </si>
  <si>
    <t>Lamina; adaxial surface colour</t>
  </si>
  <si>
    <t>Lamina; adaxial surface whether glaucous</t>
  </si>
  <si>
    <t>Lamina adaxial surface; indumentum type</t>
  </si>
  <si>
    <t>Lamina adaxial surface; indumentum extent</t>
  </si>
  <si>
    <t>Lamina adaxial surface indumentum; hair length max</t>
  </si>
  <si>
    <t>Lamina adaxial surface indumentum; hair length min</t>
  </si>
  <si>
    <t>Lamina adaxial surface venation</t>
  </si>
  <si>
    <t>Lamina abaxial surface; colour</t>
  </si>
  <si>
    <t>Lamina abaxial surface; whether discolorous</t>
  </si>
  <si>
    <t>Lamina abaxial surface indumentum; hair length max</t>
  </si>
  <si>
    <t>Lamina abaxial surface indumentum; hair length min</t>
  </si>
  <si>
    <t>Lamina abaxial surface veins; number of</t>
  </si>
  <si>
    <t>Lamina abaxial surface veins; distinctiveness</t>
  </si>
  <si>
    <t>Lamina abaxial surface veins; arrangement</t>
  </si>
  <si>
    <t>Lamina abaxial surface veins; grooved</t>
  </si>
  <si>
    <t>Inflorescence type</t>
  </si>
  <si>
    <t>Flower sexuality</t>
  </si>
  <si>
    <t>Flower arrangement</t>
  </si>
  <si>
    <t>Flower posture</t>
  </si>
  <si>
    <t>Flower length relative to subtending leaf length</t>
  </si>
  <si>
    <t xml:space="preserve">Bud; length </t>
  </si>
  <si>
    <t>Bud; length_to_widest_ point</t>
  </si>
  <si>
    <t>Bud; width</t>
  </si>
  <si>
    <t>Bracts; number of</t>
  </si>
  <si>
    <t>Bract; imbrication</t>
  </si>
  <si>
    <t>Bract; arrangement</t>
  </si>
  <si>
    <t>Bract; shape of last</t>
  </si>
  <si>
    <t>Bract; shape of first</t>
  </si>
  <si>
    <t>Bract; shape overall</t>
  </si>
  <si>
    <t>Bract; maximum length of first</t>
  </si>
  <si>
    <t>Bract; maximum width of first</t>
  </si>
  <si>
    <t>Bract; minimum length of first</t>
  </si>
  <si>
    <t>Bract; minimum width of first</t>
  </si>
  <si>
    <t>Bract; maximum length of last</t>
  </si>
  <si>
    <t>Bract; maximum width of last</t>
  </si>
  <si>
    <t>Bract; maximum length to widest point last</t>
  </si>
  <si>
    <t>Bract; minimum length of last</t>
  </si>
  <si>
    <t>Bract; minimum width of last</t>
  </si>
  <si>
    <t>Bract; apex angle of last</t>
  </si>
  <si>
    <t>Bract; apex mucro angle of last</t>
  </si>
  <si>
    <t>Bract; apex shape</t>
  </si>
  <si>
    <t xml:space="preserve">Bract; apex shape, further description of variation </t>
  </si>
  <si>
    <t>Bract margins</t>
  </si>
  <si>
    <t>Bract margin indumentum; hair length max</t>
  </si>
  <si>
    <t>Bract margin indumentum; hair length min</t>
  </si>
  <si>
    <t>Bract abaxial surface; indumentum</t>
  </si>
  <si>
    <t>Bract both surfaces; colour</t>
  </si>
  <si>
    <t>Calyx; number of sepals</t>
  </si>
  <si>
    <t>Calyx; sepal texture</t>
  </si>
  <si>
    <t>Calyx; sepal imbrication</t>
  </si>
  <si>
    <t>Calyx; sepal shape</t>
  </si>
  <si>
    <t xml:space="preserve">Calyx; sepal length maximum </t>
  </si>
  <si>
    <t>Calyx; sepal length to widest point maximum</t>
  </si>
  <si>
    <t xml:space="preserve">Calyx; sepal width maximum </t>
  </si>
  <si>
    <t xml:space="preserve">Calyx; sepal length minimum </t>
  </si>
  <si>
    <t xml:space="preserve">Calyx; sepal width minimum </t>
  </si>
  <si>
    <t>Calyx; length relative to open corolla</t>
  </si>
  <si>
    <t>Calyx; sepal apex angle</t>
  </si>
  <si>
    <t>Calyx; sepal apex shape</t>
  </si>
  <si>
    <t>Calyx; sepal apex mucronate</t>
  </si>
  <si>
    <t>Calyx; sepal margin</t>
  </si>
  <si>
    <t>Calyx; sepal margin indumentum hair length maximum</t>
  </si>
  <si>
    <t>Calyx; sepal adaxial surface; indumentum</t>
  </si>
  <si>
    <t>Calyx; sepal abaxial surface; indumentum</t>
  </si>
  <si>
    <t>Calyx surfaces; colour</t>
  </si>
  <si>
    <t>Corolla; shape</t>
  </si>
  <si>
    <t>Corolla; colour</t>
  </si>
  <si>
    <t>Corolla; tube length maximum</t>
  </si>
  <si>
    <t>Corolla; tube length to widest point maximum</t>
  </si>
  <si>
    <t>Corolla; tube width maximum</t>
  </si>
  <si>
    <t>Corolla; tube length minimum</t>
  </si>
  <si>
    <t>Corolla; tube width minimum</t>
  </si>
  <si>
    <t>Corolla; tube internal surface indumentum</t>
  </si>
  <si>
    <t>Corolla; number of lobes</t>
  </si>
  <si>
    <t>Corolla; lobes shape</t>
  </si>
  <si>
    <t>Corolla; lobes length maximum</t>
  </si>
  <si>
    <t>Corolla; lobes width maximum</t>
  </si>
  <si>
    <t>Corolla; lobes length minimum</t>
  </si>
  <si>
    <t>Corolla; lobes width minimum</t>
  </si>
  <si>
    <t>Corolla; lobes posture</t>
  </si>
  <si>
    <t>Corolla; lobe apex posture</t>
  </si>
  <si>
    <t>Corolla; lobe apex shape</t>
  </si>
  <si>
    <t>Corolla; lobe sub apical process presence</t>
  </si>
  <si>
    <t>Corolla; lobe sub apical process length maximum</t>
  </si>
  <si>
    <t>Corolla; lobe sub apical process length minimum</t>
  </si>
  <si>
    <t>Corolla; lobe sub apical process colour</t>
  </si>
  <si>
    <t>Corolla; lobe sub apical proces indumentum</t>
  </si>
  <si>
    <t>Corolla; lobe sub apical process indumentum hair length maximum</t>
  </si>
  <si>
    <t>Corolla; lobe sub apical process indumentum hair length minimum</t>
  </si>
  <si>
    <t>Corolla; lobe external surface indumentum</t>
  </si>
  <si>
    <t>Corolla; lobe internal surface indumentum</t>
  </si>
  <si>
    <t>Corolla; lobe internal surface indumentum hair colour</t>
  </si>
  <si>
    <t>Corolla; lobe internal surface indumentum hair length</t>
  </si>
  <si>
    <t>Glandular hairs; arrangement</t>
  </si>
  <si>
    <t xml:space="preserve">Glandular hairs; attachment </t>
  </si>
  <si>
    <t>Glandular hairs; position relative to stamens</t>
  </si>
  <si>
    <t>Glandular hair tufts; shape</t>
  </si>
  <si>
    <t>Glandular hair tufts; length</t>
  </si>
  <si>
    <t>Glandular hair tufts; width</t>
  </si>
  <si>
    <t>Glandular hairs; shape</t>
  </si>
  <si>
    <t>Glandular hairs; length</t>
  </si>
  <si>
    <t>Glandular hairs; width</t>
  </si>
  <si>
    <t>Glandular hairs apex; shape</t>
  </si>
  <si>
    <t>Anthers; number of</t>
  </si>
  <si>
    <t>Anthers; insertion</t>
  </si>
  <si>
    <t>Anthers; position relative to corolla tube</t>
  </si>
  <si>
    <t>Anthers; shape</t>
  </si>
  <si>
    <t>Anthers; length maximum</t>
  </si>
  <si>
    <t>Anthers; width maximum</t>
  </si>
  <si>
    <t>Anthers; length minimum</t>
  </si>
  <si>
    <t>Anthers; width minimum</t>
  </si>
  <si>
    <t>Anthers; surface texture</t>
  </si>
  <si>
    <t>Anthers; hooked distal end?</t>
  </si>
  <si>
    <t>Anthers hooked distal end; length</t>
  </si>
  <si>
    <t>Anther filament; shape</t>
  </si>
  <si>
    <t>Anther filament; attachment</t>
  </si>
  <si>
    <t>Anther filament; length</t>
  </si>
  <si>
    <t>Ovary; shape</t>
  </si>
  <si>
    <t>Ovary; diameter</t>
  </si>
  <si>
    <t>Ovary; number of locules</t>
  </si>
  <si>
    <t xml:space="preserve">Style; shape </t>
  </si>
  <si>
    <t>Style; length</t>
  </si>
  <si>
    <t>Style; shape in cross section</t>
  </si>
  <si>
    <t>Style; indumentum</t>
  </si>
  <si>
    <t>Stigma; shape</t>
  </si>
  <si>
    <t>Nectary; texture</t>
  </si>
  <si>
    <t>Nectary; shape</t>
  </si>
  <si>
    <t>Nectary lobe; shape</t>
  </si>
  <si>
    <t>Fruit; size relative to calyx at maturity</t>
  </si>
  <si>
    <t>Fruit; texture</t>
  </si>
  <si>
    <t>Fruit; shape</t>
  </si>
  <si>
    <t>Fruit; diameter</t>
  </si>
  <si>
    <t>Fruit; colour</t>
  </si>
  <si>
    <t>Fruit; style persistent</t>
  </si>
  <si>
    <t>ANNCATH22078</t>
  </si>
  <si>
    <t>ANNCHTK29c</t>
  </si>
  <si>
    <t>ANNCHTK29i</t>
  </si>
  <si>
    <t>ANNCHTK31a</t>
  </si>
  <si>
    <t>ANNCHTK31e</t>
  </si>
  <si>
    <t>BNNTHTK35a</t>
  </si>
  <si>
    <t>BNNTHTK35J_1</t>
  </si>
  <si>
    <t>BNNTHTK35J_2</t>
  </si>
  <si>
    <t>BQMO79k</t>
  </si>
  <si>
    <t>BQMOHTK79</t>
  </si>
  <si>
    <t>BQMOHTK82</t>
  </si>
  <si>
    <t>BQMOHTK82d</t>
  </si>
  <si>
    <t xml:space="preserve">BUNSCHTK62 </t>
  </si>
  <si>
    <t>BUNSCHTK62g</t>
  </si>
  <si>
    <t>SD388</t>
  </si>
  <si>
    <t>SD388g</t>
  </si>
  <si>
    <t>GNNCHTK10b</t>
  </si>
  <si>
    <t>GNNCHTK28j</t>
  </si>
  <si>
    <t>RLP381</t>
  </si>
  <si>
    <t>SD406</t>
  </si>
  <si>
    <t>HINNCHTK112</t>
  </si>
  <si>
    <t>HINNCHTK112d</t>
  </si>
  <si>
    <t>HINNCHTK8a</t>
  </si>
  <si>
    <t>HINNCHTK8b</t>
  </si>
  <si>
    <t>ARB5377</t>
  </si>
  <si>
    <t>HQCOBSW522</t>
  </si>
  <si>
    <t>BSW522</t>
  </si>
  <si>
    <t>HQCOHTK91e</t>
  </si>
  <si>
    <t>HQCOIRT13090</t>
  </si>
  <si>
    <t>IRT13090</t>
  </si>
  <si>
    <t>HQCOJJB3565</t>
  </si>
  <si>
    <t>JJB3565</t>
  </si>
  <si>
    <t>HQCOSV15959a</t>
  </si>
  <si>
    <t>SV15959a</t>
  </si>
  <si>
    <t>HQCOSV15959e</t>
  </si>
  <si>
    <t>SV15959e</t>
  </si>
  <si>
    <t>SNNTHTK33b</t>
  </si>
  <si>
    <t>SNNTHTK33c</t>
  </si>
  <si>
    <t>SNNTJTH3643</t>
  </si>
  <si>
    <t>SNNTJTH3644</t>
  </si>
  <si>
    <t>JTH3644</t>
  </si>
  <si>
    <t>TQDDDH2259</t>
  </si>
  <si>
    <t>DH2259</t>
  </si>
  <si>
    <t>TQDDVH220</t>
  </si>
  <si>
    <t>VH220</t>
  </si>
  <si>
    <t>TQLEHTK76</t>
  </si>
  <si>
    <t>TQLEHTK76e</t>
  </si>
  <si>
    <t>OTU</t>
  </si>
  <si>
    <t>Morpho group</t>
  </si>
  <si>
    <t>Brooms Head</t>
  </si>
  <si>
    <t>ATH22078</t>
  </si>
  <si>
    <t>Angourie, Yuraygir NP</t>
  </si>
  <si>
    <t>Minnie Water, Yuraygir NP</t>
  </si>
  <si>
    <t>Boonoo boonoo NP</t>
  </si>
  <si>
    <t>Plunkett CP</t>
  </si>
  <si>
    <t>D'Aguilar NP</t>
  </si>
  <si>
    <t>Kroombit Tops NP</t>
  </si>
  <si>
    <t>Melichrus adpressus</t>
  </si>
  <si>
    <t>Kingscliff</t>
  </si>
  <si>
    <t>ANNCARB6148</t>
  </si>
  <si>
    <t>HTK29c</t>
  </si>
  <si>
    <t>HTK29i</t>
  </si>
  <si>
    <t>HTK31a</t>
  </si>
  <si>
    <t>HTK31e</t>
  </si>
  <si>
    <t>M. sp. Boonoo boonoo</t>
  </si>
  <si>
    <t>HTK35a</t>
  </si>
  <si>
    <t>HTK35J_1</t>
  </si>
  <si>
    <t>HTK35J_2</t>
  </si>
  <si>
    <t>HTK79k</t>
  </si>
  <si>
    <t>HTK79</t>
  </si>
  <si>
    <t>HTK82</t>
  </si>
  <si>
    <t>HTK82d</t>
  </si>
  <si>
    <t>HTK87</t>
  </si>
  <si>
    <t>HTK87b</t>
  </si>
  <si>
    <t>Melichrus urceolatus</t>
  </si>
  <si>
    <t xml:space="preserve">HTK62 </t>
  </si>
  <si>
    <t>HTK62g</t>
  </si>
  <si>
    <t>Melichrus erubescens</t>
  </si>
  <si>
    <t>M. erubescens s.s</t>
  </si>
  <si>
    <t>Lee's Pinch</t>
  </si>
  <si>
    <t>HTK48a</t>
  </si>
  <si>
    <t>ENCTHTK48a</t>
  </si>
  <si>
    <t>HTK48i</t>
  </si>
  <si>
    <t>ENCTHTK48i</t>
  </si>
  <si>
    <t>Trinkey SCA</t>
  </si>
  <si>
    <t>HTK49d</t>
  </si>
  <si>
    <t>ENSHTK49d</t>
  </si>
  <si>
    <t>HTK50b</t>
  </si>
  <si>
    <t>ENSHTK50b</t>
  </si>
  <si>
    <t>Goonoo goonoo</t>
  </si>
  <si>
    <t>ENSSD388</t>
  </si>
  <si>
    <t>ENSSD388g</t>
  </si>
  <si>
    <t>M. sp. Gardens of Stone</t>
  </si>
  <si>
    <t>Gardens of Stone NP</t>
  </si>
  <si>
    <t>HTK46a</t>
  </si>
  <si>
    <t>GACTHTK46a</t>
  </si>
  <si>
    <t>M. sp. Gilgandra</t>
  </si>
  <si>
    <t>Gilgandra CA</t>
  </si>
  <si>
    <t>GINNSRLP381</t>
  </si>
  <si>
    <t>GINNSSD406</t>
  </si>
  <si>
    <t>M. gibberagee</t>
  </si>
  <si>
    <t>Gibberagee SF</t>
  </si>
  <si>
    <t>HTK10h</t>
  </si>
  <si>
    <t>HTK10b</t>
  </si>
  <si>
    <t>Tullymorgan Lodge</t>
  </si>
  <si>
    <t>HTK28j</t>
  </si>
  <si>
    <t>M. sp. gurulmundi</t>
  </si>
  <si>
    <t>Bringalilly SF</t>
  </si>
  <si>
    <t>HTK98</t>
  </si>
  <si>
    <t>GUDDHTK98</t>
  </si>
  <si>
    <t>HTK98h</t>
  </si>
  <si>
    <t>GUDDHTK98h</t>
  </si>
  <si>
    <t>M. sp. Herberton</t>
  </si>
  <si>
    <t>Silver Valley Rd</t>
  </si>
  <si>
    <t>HCOARB5377</t>
  </si>
  <si>
    <t>M. hirsutus</t>
  </si>
  <si>
    <t>Shannon Creek</t>
  </si>
  <si>
    <t>HTK112</t>
  </si>
  <si>
    <t>HTK112d</t>
  </si>
  <si>
    <t>Flaggy Creek NR</t>
  </si>
  <si>
    <t>HTK8a</t>
  </si>
  <si>
    <t>HTK8b</t>
  </si>
  <si>
    <t>3km W of Herberton</t>
  </si>
  <si>
    <t>The Bluff SF</t>
  </si>
  <si>
    <t>HTK91e</t>
  </si>
  <si>
    <t>Herberton</t>
  </si>
  <si>
    <t>M. sp. Isla gorge</t>
  </si>
  <si>
    <t>Gurulmundi SF</t>
  </si>
  <si>
    <t>HTK68</t>
  </si>
  <si>
    <t>HTK68a</t>
  </si>
  <si>
    <t>M. sp. Inglewood</t>
  </si>
  <si>
    <t>Killarney SCA</t>
  </si>
  <si>
    <t>HTK15b</t>
  </si>
  <si>
    <t>INNNSHTK15b</t>
  </si>
  <si>
    <t>HTK15d</t>
  </si>
  <si>
    <t>INNNSHTK15d</t>
  </si>
  <si>
    <t>HTK97a</t>
  </si>
  <si>
    <t>INQDDHTK97a</t>
  </si>
  <si>
    <t>HTK97h</t>
  </si>
  <si>
    <t>INQDDHTK97h</t>
  </si>
  <si>
    <t>Mt Maria</t>
  </si>
  <si>
    <t>HTK86</t>
  </si>
  <si>
    <t>IQPCHTK86</t>
  </si>
  <si>
    <t>HTK86j</t>
  </si>
  <si>
    <t>IQPCHTK86j</t>
  </si>
  <si>
    <t>Melichrus procumbens</t>
  </si>
  <si>
    <t>M. procumbens</t>
  </si>
  <si>
    <t>Toohey Forest</t>
  </si>
  <si>
    <t>HTK77</t>
  </si>
  <si>
    <t>PMOHTK77</t>
  </si>
  <si>
    <t>M. sp. Silent Grove</t>
  </si>
  <si>
    <t>Torrington SCA</t>
  </si>
  <si>
    <t>HTK33b</t>
  </si>
  <si>
    <t>HTK33c</t>
  </si>
  <si>
    <t>JTH3645</t>
  </si>
  <si>
    <t>M. sp. Tara</t>
  </si>
  <si>
    <t>631364</t>
  </si>
  <si>
    <t>Chinchilla, spinifex bend</t>
  </si>
  <si>
    <t>377791</t>
  </si>
  <si>
    <t>ROCKWOOD 20M SW OF CHINCHILLA</t>
  </si>
  <si>
    <t>Condamine State Forest, 30 km SE of Miles</t>
  </si>
  <si>
    <t>HTK76</t>
  </si>
  <si>
    <t>HTK76e</t>
  </si>
  <si>
    <t>M. sp. Morton</t>
  </si>
  <si>
    <t>DAGSLE7566</t>
  </si>
  <si>
    <t>Mt Misery</t>
  </si>
  <si>
    <t>MiseryPIF6280</t>
  </si>
  <si>
    <t>M. sp. Yuraygir</t>
  </si>
  <si>
    <t>Morton NP</t>
  </si>
  <si>
    <t>Ungrouped</t>
  </si>
  <si>
    <t>Accession number</t>
  </si>
  <si>
    <t xml:space="preserve">Habit; type </t>
  </si>
  <si>
    <t>Habit; height, population min</t>
  </si>
  <si>
    <t>Habit; height, population max</t>
  </si>
  <si>
    <t>Habit; number of stems at plant base</t>
  </si>
  <si>
    <t>Habit; stem posture</t>
  </si>
  <si>
    <t>Branchlet; indumentum type</t>
  </si>
  <si>
    <t>Branchlet; indumentum hair length</t>
  </si>
  <si>
    <t>Leaf; new leaf posture</t>
  </si>
  <si>
    <t>Leaf; posture</t>
  </si>
  <si>
    <t>Leaf; density</t>
  </si>
  <si>
    <t>a solitary</t>
  </si>
  <si>
    <t>bisexual flower</t>
  </si>
  <si>
    <t>axillary flower</t>
  </si>
  <si>
    <t>Petiole; length max/width max</t>
  </si>
  <si>
    <t>BQMODAGSLE7566</t>
  </si>
  <si>
    <t>HQCOMiseryPIF6280</t>
  </si>
  <si>
    <t>GNNCHTK10c</t>
  </si>
  <si>
    <t>HTK10c</t>
  </si>
  <si>
    <t>ARB6148</t>
  </si>
  <si>
    <t>IQLEHTK68</t>
  </si>
  <si>
    <t>IQLEHTK68a</t>
  </si>
  <si>
    <t>GNNCHTK10h</t>
  </si>
  <si>
    <t>EJT155</t>
  </si>
  <si>
    <t>HQPCKroomEJT155</t>
  </si>
  <si>
    <t>HQPCHTK87</t>
  </si>
  <si>
    <t>HQPCHTK87b</t>
  </si>
  <si>
    <t>M. sp. Mareeba</t>
  </si>
  <si>
    <t>Mt Lewis NP</t>
  </si>
  <si>
    <t>Bullyard CP</t>
  </si>
  <si>
    <t>HTK85</t>
  </si>
  <si>
    <t>HTK94e</t>
  </si>
  <si>
    <t>HTK88c</t>
  </si>
  <si>
    <t>HTK88</t>
  </si>
  <si>
    <t>Lamina; margin indumentum type</t>
  </si>
  <si>
    <t>Lamina; margin indumentum extent</t>
  </si>
  <si>
    <t>full length</t>
  </si>
  <si>
    <t>ciliate</t>
  </si>
  <si>
    <t xml:space="preserve">longer at base to middle, becoming progressively shorter/ less numerous, more antrorse  and barb like distally. </t>
  </si>
  <si>
    <t>green</t>
  </si>
  <si>
    <t>no</t>
  </si>
  <si>
    <t>Bract margin; indumentum type</t>
  </si>
  <si>
    <t>Bract margin; indumentum extent</t>
  </si>
  <si>
    <t>Calyx; sepal margin indumentum type</t>
  </si>
  <si>
    <t>Calyx; sepal margin indumentum extent</t>
  </si>
  <si>
    <t>Calyx; sepal abaxial surface indumentum; approx hair length max</t>
  </si>
  <si>
    <t>full, longer in distal half</t>
  </si>
  <si>
    <t>full, denser in basal half</t>
  </si>
  <si>
    <t>&lt;0.01</t>
  </si>
  <si>
    <t>papillose? Very short, antrorse appressed hairs, more numerous in distal half</t>
  </si>
  <si>
    <t xml:space="preserve">Bract abaxial surface indumentum; type and extent </t>
  </si>
  <si>
    <t>obscure distally</t>
  </si>
  <si>
    <t>Bract; apex mucronate/mucronulate</t>
  </si>
  <si>
    <t>0.01-.1</t>
  </si>
  <si>
    <t>papillose? Scattered, Very short, antrorse appressed hairs, more numerous and longer in distal half</t>
  </si>
  <si>
    <t>papillose? Very short, antrorse appressed hairs, more numerous in distal half, looks glabrous to naked eye</t>
  </si>
  <si>
    <t>4/5th visible, obscure distally</t>
  </si>
  <si>
    <t>scattered, antrorse appresssed</t>
  </si>
  <si>
    <t>scattered, more nmerous near base and margins</t>
  </si>
  <si>
    <t>Lamina abaxial surface veins; grooved papillae length max</t>
  </si>
  <si>
    <t>Lamina abaxial surface veins groove papillae length min</t>
  </si>
  <si>
    <t>scattered cliliate</t>
  </si>
  <si>
    <t>.06-.13</t>
  </si>
  <si>
    <t>Calyx; sepal abaxial surface indumentum; type and extent</t>
  </si>
  <si>
    <t xml:space="preserve">almost glabrous basally to sparse all over hairs, longer and more dense distally and between veins. </t>
  </si>
  <si>
    <t xml:space="preserve">almost glabrous basally to sparse all over hairs, longer and more dense distally and between veins. Antrorsely appressed. </t>
  </si>
  <si>
    <t>sparse scattered antrorsely appressed hairs, more numerous near margins and at the base</t>
  </si>
  <si>
    <t>nearly glabrous</t>
  </si>
  <si>
    <t>na</t>
  </si>
  <si>
    <t>sparsely full margin, denser in basal half</t>
  </si>
  <si>
    <t>MAQCOHTK94c</t>
  </si>
  <si>
    <t>MAQPCHTK88</t>
  </si>
  <si>
    <t>MAQPCHTK88c</t>
  </si>
  <si>
    <t>MAQPCHTK85</t>
  </si>
  <si>
    <t>HTK45a</t>
  </si>
  <si>
    <t>entire length</t>
  </si>
  <si>
    <t>barbed, longer basally, direction diverse, slightly retrorse basally, distally more antrorse</t>
  </si>
  <si>
    <t>grey green</t>
  </si>
  <si>
    <t>barbed</t>
  </si>
  <si>
    <t>all over, antrorsely appressed</t>
  </si>
  <si>
    <t>Lamina abaxial surface; indumentum type</t>
  </si>
  <si>
    <t>Lamina abaxial surface; indumentum extent</t>
  </si>
  <si>
    <t>&lt;0.08</t>
  </si>
  <si>
    <t>almost barb like, but softer</t>
  </si>
  <si>
    <t>0.16 (0.02)</t>
  </si>
  <si>
    <t>full</t>
  </si>
  <si>
    <t>pilose. Antrorsely appressed.</t>
  </si>
  <si>
    <t xml:space="preserve">Bract abaxial surface indumentum; hair length most hairs approx. </t>
  </si>
  <si>
    <t>full, shorter below widest point</t>
  </si>
  <si>
    <t>pilose, above widest point</t>
  </si>
  <si>
    <t>HTK45G</t>
  </si>
  <si>
    <t>antrorsely appressed, all over</t>
  </si>
  <si>
    <t>wider basally,present full length</t>
  </si>
  <si>
    <t>present full length</t>
  </si>
  <si>
    <t>&lt;0.05</t>
  </si>
  <si>
    <t>scattered all over, antrorse</t>
  </si>
  <si>
    <t>Calyx; sepal abaxial surface indumentum; approx hair length min(common length)</t>
  </si>
  <si>
    <t>.21(.21)</t>
  </si>
  <si>
    <t>0.08(.14)</t>
  </si>
  <si>
    <t>Calyx; sepal margin indumentum hair length minimum(common length)</t>
  </si>
  <si>
    <t>.09 (.25)</t>
  </si>
  <si>
    <t>full, long all the way</t>
  </si>
  <si>
    <t>pilose distally</t>
  </si>
  <si>
    <t>M. urceolatus s.s.</t>
  </si>
  <si>
    <t>Calyx: sepal mucro angle</t>
  </si>
  <si>
    <t>HTK68c</t>
  </si>
  <si>
    <t>IQLEHTK68c</t>
  </si>
  <si>
    <t xml:space="preserve">full extent, shorter distally </t>
  </si>
  <si>
    <t>very few scattered hairs in distal half, appressed antrorse</t>
  </si>
  <si>
    <t>sparsely ciliate</t>
  </si>
  <si>
    <t>most hairs at widest point</t>
  </si>
  <si>
    <t>antrorse appressed scattered hairs, mainly basal</t>
  </si>
  <si>
    <t>0.02(0.04)</t>
  </si>
  <si>
    <t>scattered hairs</t>
  </si>
  <si>
    <t>most on petiole, or near base and margins</t>
  </si>
  <si>
    <t>basally ciliate, distally barbed, antrorse</t>
  </si>
  <si>
    <t>scattered hairs all over</t>
  </si>
  <si>
    <t>all over</t>
  </si>
  <si>
    <t>Mugii-murrumban SCA</t>
  </si>
  <si>
    <t>UNCTHTK45a</t>
  </si>
  <si>
    <t>UNCTHTK45g</t>
  </si>
  <si>
    <t>HTK127b</t>
  </si>
  <si>
    <t>HTK128</t>
  </si>
  <si>
    <t>HTK128a</t>
  </si>
  <si>
    <t>M. sp. gilgandra</t>
  </si>
  <si>
    <t>Biddon SCA</t>
  </si>
  <si>
    <t>Gilgandra FR</t>
  </si>
  <si>
    <t>M. sp. Galambary</t>
  </si>
  <si>
    <t>HTK56</t>
  </si>
  <si>
    <t>Mt Granya</t>
  </si>
  <si>
    <t>Heathcote</t>
  </si>
  <si>
    <t>erect</t>
  </si>
  <si>
    <t>HTK7a</t>
  </si>
  <si>
    <t>HTK59a (only young growth)</t>
  </si>
  <si>
    <t>longer, more numerous basally but full extent</t>
  </si>
  <si>
    <t>yes</t>
  </si>
  <si>
    <t>NA</t>
  </si>
  <si>
    <t>few scattered groups, above veins</t>
  </si>
  <si>
    <t>barbed, longer hairs on petiole</t>
  </si>
  <si>
    <t>Lamina abaxial surface midvein enlarged (1)</t>
  </si>
  <si>
    <t>.13(.13)</t>
  </si>
  <si>
    <t>Petiole; colour</t>
  </si>
  <si>
    <t>purple</t>
  </si>
  <si>
    <t>barbed, antrorse</t>
  </si>
  <si>
    <t xml:space="preserve">long barbed </t>
  </si>
  <si>
    <t xml:space="preserve">thicker and longer basally, scatted distally </t>
  </si>
  <si>
    <t>above widest point</t>
  </si>
  <si>
    <t>.1(.16)</t>
  </si>
  <si>
    <t>full, longer and thicker distally</t>
  </si>
  <si>
    <t>green at base turning pink</t>
  </si>
  <si>
    <t>0.05(0.08)</t>
  </si>
  <si>
    <t>purple margins, yellow beige centre</t>
  </si>
  <si>
    <t>Lamina; margin hyaline section presence (at widest point)</t>
  </si>
  <si>
    <t>.05(.06)</t>
  </si>
  <si>
    <t>.04(.07)</t>
  </si>
  <si>
    <t>.06(.12)</t>
  </si>
  <si>
    <t>scattered barbs</t>
  </si>
  <si>
    <t>scattered, concentrated at margins and near base</t>
  </si>
  <si>
    <t>.02(.03)</t>
  </si>
  <si>
    <t>scattered all over, appressed in different directions</t>
  </si>
  <si>
    <t>tiny papillae, like vein papillae</t>
  </si>
  <si>
    <t>.03(.07)</t>
  </si>
  <si>
    <t>.03(.05</t>
  </si>
  <si>
    <t>thicker and longer above widest point</t>
  </si>
  <si>
    <t>Most above widest point</t>
  </si>
  <si>
    <t>.05(.07)</t>
  </si>
  <si>
    <t xml:space="preserve">pilose, most of length, but thicker distally </t>
  </si>
  <si>
    <t>.04(.11)</t>
  </si>
  <si>
    <t>barbed, mostly appressed antrorse</t>
  </si>
  <si>
    <t>entire length, longer basally</t>
  </si>
  <si>
    <t>occasional short hairs</t>
  </si>
  <si>
    <t>scattered, concentrated at margins and near base, mostly appressed antrorse</t>
  </si>
  <si>
    <t>.12(.17)</t>
  </si>
  <si>
    <t>scattered tiny barbs</t>
  </si>
  <si>
    <t>.02(.02)</t>
  </si>
  <si>
    <t>.04(.09)</t>
  </si>
  <si>
    <t>.04(.08)</t>
  </si>
  <si>
    <t>glabrous</t>
  </si>
  <si>
    <t>.03(.05)</t>
  </si>
  <si>
    <t>M. sp. Kaputar</t>
  </si>
  <si>
    <t>M. sp. Canobolas</t>
  </si>
  <si>
    <t>M. adpressus s.s.</t>
  </si>
  <si>
    <t>M. sp. Coornartha</t>
  </si>
  <si>
    <t>M. medius</t>
  </si>
  <si>
    <t>HTK25b</t>
  </si>
  <si>
    <t>Middle Arm</t>
  </si>
  <si>
    <t>HTK138</t>
  </si>
  <si>
    <t>HTK138f</t>
  </si>
  <si>
    <t>Indigo trail, mt canobolas</t>
  </si>
  <si>
    <t>Copperhania NR</t>
  </si>
  <si>
    <t>HTK11e</t>
  </si>
  <si>
    <t>HTK55</t>
  </si>
  <si>
    <t>Gundaroo</t>
  </si>
  <si>
    <t>Gang gang</t>
  </si>
  <si>
    <t>6a or 6b</t>
  </si>
  <si>
    <t>HTK5a</t>
  </si>
  <si>
    <t>HTK137 (specimen not mature, pick a different one)</t>
  </si>
  <si>
    <t>.03(.08)</t>
  </si>
  <si>
    <t>scattered short hairs</t>
  </si>
  <si>
    <t>Mostly at base, scattered near margins, rest of surface basically glabrous</t>
  </si>
  <si>
    <t>.03 (0.06)</t>
  </si>
  <si>
    <t>occasional scattered on veins, antrorse appressed mostly</t>
  </si>
  <si>
    <t>0.01 (&lt;0.01)</t>
  </si>
  <si>
    <t>0.01(0.02)</t>
  </si>
  <si>
    <t>.03(.02)</t>
  </si>
  <si>
    <t>.06(.13)</t>
  </si>
  <si>
    <t>pilose only near apex</t>
  </si>
  <si>
    <t>.06(.06)</t>
  </si>
  <si>
    <t>HTK25a (chosen bud, recently fertilised, ovary slightly swollen)</t>
  </si>
  <si>
    <t>.04(.06)</t>
  </si>
  <si>
    <t>full length, longest and thickest at widest point</t>
  </si>
  <si>
    <t>.1(.22)</t>
  </si>
  <si>
    <t>.01(.03)</t>
  </si>
  <si>
    <t>very occasional</t>
  </si>
  <si>
    <t>only at base on/near petiole</t>
  </si>
  <si>
    <t>hairy , not quite pilose</t>
  </si>
  <si>
    <t>.09(.1)</t>
  </si>
  <si>
    <t>0.02(.16)</t>
  </si>
  <si>
    <t>pilose near margins</t>
  </si>
  <si>
    <t>.04(.13)</t>
  </si>
  <si>
    <t>scattered hairs near margin, mostly glabrous</t>
  </si>
  <si>
    <t>near margins</t>
  </si>
  <si>
    <t>.02(.04)</t>
  </si>
  <si>
    <t>very occasional, more near base</t>
  </si>
  <si>
    <t>.13(.26)</t>
  </si>
  <si>
    <t>pilose, distally</t>
  </si>
  <si>
    <t>.12(.09)</t>
  </si>
  <si>
    <t>.07(.25)</t>
  </si>
  <si>
    <t xml:space="preserve">pilose distally </t>
  </si>
  <si>
    <t xml:space="preserve">scattered hairs </t>
  </si>
  <si>
    <t>near margin and petiole, surface mostly glabrous</t>
  </si>
  <si>
    <t>full length, longer and thicker above widest point</t>
  </si>
  <si>
    <t>.17(.24)</t>
  </si>
  <si>
    <t>HTK137h (here on, measured without squishing)</t>
  </si>
  <si>
    <t>full length, loger and thicker above widest point</t>
  </si>
  <si>
    <t>.14(.15)</t>
  </si>
  <si>
    <t xml:space="preserve">scattered barbs </t>
  </si>
  <si>
    <t>near margins and petiole</t>
  </si>
  <si>
    <t>HTK13a</t>
  </si>
  <si>
    <t>HTK12b</t>
  </si>
  <si>
    <t>most of the length, but only a little below the widest point</t>
  </si>
  <si>
    <t>.09(.15)</t>
  </si>
  <si>
    <t>.13(.25)</t>
  </si>
  <si>
    <t>pilose, appressed</t>
  </si>
  <si>
    <t>sparingly ciliate</t>
  </si>
  <si>
    <t>longest at widest point</t>
  </si>
  <si>
    <t>.08(.12)</t>
  </si>
  <si>
    <t>pilose, appressed, longer and thicker distally but present most of length</t>
  </si>
  <si>
    <t>.07(.14)</t>
  </si>
  <si>
    <t>longest just above widest point and distally</t>
  </si>
  <si>
    <t>.1(0.28)</t>
  </si>
  <si>
    <t>occasional, on the edges of veins and near leaf base</t>
  </si>
  <si>
    <t>M. adpressus s.s. (tip broken)</t>
  </si>
  <si>
    <t>scattered barbs/hairs</t>
  </si>
  <si>
    <t>barbs near margins, longer hairs near base</t>
  </si>
  <si>
    <t>.04(.15)</t>
  </si>
  <si>
    <t>full length, longest around widest point, very short below widest point</t>
  </si>
  <si>
    <t>.06(.23)</t>
  </si>
  <si>
    <t>.18(.03)</t>
  </si>
  <si>
    <t>.05(.1)</t>
  </si>
  <si>
    <t>patch of pilose hair near tip</t>
  </si>
  <si>
    <t>occasional, on the edges of veins, near margins and near leaf base</t>
  </si>
  <si>
    <t>0.03(.1)</t>
  </si>
  <si>
    <t>erect(maybe a bit different?)</t>
  </si>
  <si>
    <t>HTK55a (no flowers in ethanol, no dried buds)</t>
  </si>
  <si>
    <t>HTK135</t>
  </si>
  <si>
    <t>Black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</si>
</sst>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1" xfId="0" applyFill="1" applyBorder="1"/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7"/>
  <sheetViews>
    <sheetView tabSelected="1" workbookViewId="0">
      <pane xSplit="6" ySplit="1" topLeftCell="X71" activePane="bottomRight" state="frozen"/>
      <selection pane="topRight" activeCell="G1" sqref="G1"/>
      <selection pane="bottomLeft" activeCell="A2" sqref="A2"/>
      <selection pane="bottomRight" activeCell="Z79" sqref="Z79"/>
    </sheetView>
  </sheetViews>
  <sheetFormatPr defaultColWidth="9.1796875" defaultRowHeight="14.5" x14ac:dyDescent="0.35"/>
  <cols>
    <col min="1" max="1" width="20.7265625" style="1" customWidth="1"/>
    <col min="2" max="2" width="19" style="3" customWidth="1"/>
    <col min="3" max="5" width="11.54296875" style="1" customWidth="1"/>
    <col min="6" max="6" width="16.1796875" style="2" customWidth="1"/>
    <col min="7" max="11" width="9.1796875" style="1"/>
    <col min="12" max="12" width="9.453125" style="1" customWidth="1"/>
    <col min="13" max="18" width="9.1796875" style="1"/>
    <col min="19" max="21" width="8.7265625" style="1"/>
    <col min="22" max="22" width="11.453125" style="1" bestFit="1" customWidth="1"/>
    <col min="23" max="30" width="9.1796875" style="1"/>
    <col min="31" max="33" width="8.7265625" style="1"/>
    <col min="34" max="39" width="9.1796875" style="1"/>
    <col min="40" max="40" width="8.7265625" style="13"/>
    <col min="41" max="44" width="9.1796875" style="1"/>
    <col min="45" max="45" width="8.7265625" style="1"/>
    <col min="46" max="62" width="9.1796875" style="1"/>
    <col min="63" max="63" width="8.7265625" style="1"/>
    <col min="64" max="74" width="9.1796875" style="1"/>
    <col min="75" max="78" width="8.7265625" style="1"/>
    <col min="79" max="87" width="9.1796875" style="1"/>
    <col min="88" max="90" width="8.7265625" style="1"/>
    <col min="91" max="92" width="9.1796875" style="1"/>
    <col min="93" max="94" width="8.7265625" style="1"/>
    <col min="95" max="102" width="9.1796875" style="1"/>
    <col min="103" max="104" width="8.7265625" style="1"/>
    <col min="105" max="110" width="9.1796875" style="1"/>
    <col min="111" max="111" width="8.7265625" style="1"/>
    <col min="112" max="112" width="8.7265625" style="12"/>
    <col min="113" max="113" width="8.7265625" style="1"/>
    <col min="114" max="116" width="9.1796875" style="1"/>
    <col min="117" max="117" width="8.7265625" style="12"/>
    <col min="118" max="118" width="9.1796875" style="1"/>
    <col min="119" max="119" width="8.7265625" style="1"/>
    <col min="120" max="121" width="9.1796875" style="1"/>
    <col min="122" max="125" width="8.7265625" style="1"/>
    <col min="126" max="126" width="9.1796875" style="1"/>
    <col min="127" max="128" width="8.7265625" style="1" customWidth="1"/>
    <col min="129" max="16384" width="9.1796875" style="1"/>
  </cols>
  <sheetData>
    <row r="1" spans="1:200" s="6" customFormat="1" ht="80.150000000000006" customHeight="1" x14ac:dyDescent="0.35">
      <c r="A1" s="9" t="s">
        <v>213</v>
      </c>
      <c r="B1" s="10" t="s">
        <v>212</v>
      </c>
      <c r="C1" s="9" t="s">
        <v>335</v>
      </c>
      <c r="D1" s="9" t="s">
        <v>0</v>
      </c>
      <c r="E1" s="11" t="s">
        <v>1</v>
      </c>
      <c r="F1" s="11" t="s">
        <v>2</v>
      </c>
      <c r="G1" s="6" t="s">
        <v>336</v>
      </c>
      <c r="H1" s="6" t="s">
        <v>337</v>
      </c>
      <c r="I1" s="6" t="s">
        <v>338</v>
      </c>
      <c r="J1" s="6" t="s">
        <v>339</v>
      </c>
      <c r="K1" s="6" t="s">
        <v>340</v>
      </c>
      <c r="L1" s="6" t="s">
        <v>341</v>
      </c>
      <c r="M1" s="6" t="s">
        <v>342</v>
      </c>
      <c r="N1" s="6" t="s">
        <v>343</v>
      </c>
      <c r="O1" s="6" t="s">
        <v>344</v>
      </c>
      <c r="P1" s="6" t="s">
        <v>345</v>
      </c>
      <c r="Q1" s="6" t="s">
        <v>3</v>
      </c>
      <c r="R1" s="6" t="s">
        <v>4</v>
      </c>
      <c r="S1" s="8" t="s">
        <v>5</v>
      </c>
      <c r="T1" s="8" t="s">
        <v>6</v>
      </c>
      <c r="U1" s="8" t="s">
        <v>349</v>
      </c>
      <c r="V1" s="6" t="s">
        <v>7</v>
      </c>
      <c r="W1" s="6" t="s">
        <v>8</v>
      </c>
      <c r="X1" s="5" t="s">
        <v>476</v>
      </c>
      <c r="Y1" s="6" t="s">
        <v>9</v>
      </c>
      <c r="Z1" s="6" t="s">
        <v>10</v>
      </c>
      <c r="AA1" s="6" t="s">
        <v>11</v>
      </c>
      <c r="AB1" s="6" t="s">
        <v>12</v>
      </c>
      <c r="AC1" s="6" t="s">
        <v>13</v>
      </c>
      <c r="AD1" s="6" t="s">
        <v>14</v>
      </c>
      <c r="AE1" s="8" t="s">
        <v>15</v>
      </c>
      <c r="AF1" s="8" t="s">
        <v>16</v>
      </c>
      <c r="AG1" s="8" t="s">
        <v>17</v>
      </c>
      <c r="AH1" s="6" t="s">
        <v>18</v>
      </c>
      <c r="AI1" s="6" t="s">
        <v>19</v>
      </c>
      <c r="AJ1" s="6" t="s">
        <v>20</v>
      </c>
      <c r="AK1" s="6" t="s">
        <v>21</v>
      </c>
      <c r="AL1" s="6" t="s">
        <v>22</v>
      </c>
      <c r="AM1" s="6" t="s">
        <v>23</v>
      </c>
      <c r="AN1" s="8" t="s">
        <v>24</v>
      </c>
      <c r="AO1" s="6" t="s">
        <v>25</v>
      </c>
      <c r="AP1" s="6" t="s">
        <v>26</v>
      </c>
      <c r="AQ1" s="6" t="s">
        <v>27</v>
      </c>
      <c r="AR1" s="5" t="s">
        <v>487</v>
      </c>
      <c r="AS1" s="8" t="s">
        <v>28</v>
      </c>
      <c r="AT1" s="5" t="s">
        <v>369</v>
      </c>
      <c r="AU1" s="5" t="s">
        <v>370</v>
      </c>
      <c r="AV1" s="16" t="s">
        <v>29</v>
      </c>
      <c r="AW1" s="5" t="s">
        <v>30</v>
      </c>
      <c r="AX1" s="6" t="s">
        <v>31</v>
      </c>
      <c r="AY1" s="5" t="s">
        <v>32</v>
      </c>
      <c r="AZ1" s="5" t="s">
        <v>33</v>
      </c>
      <c r="BA1" s="5" t="s">
        <v>34</v>
      </c>
      <c r="BB1" s="5" t="s">
        <v>35</v>
      </c>
      <c r="BC1" s="5" t="s">
        <v>36</v>
      </c>
      <c r="BD1" s="6" t="s">
        <v>37</v>
      </c>
      <c r="BE1" s="6" t="s">
        <v>38</v>
      </c>
      <c r="BF1" s="6" t="s">
        <v>39</v>
      </c>
      <c r="BG1" s="5" t="s">
        <v>415</v>
      </c>
      <c r="BH1" s="5" t="s">
        <v>416</v>
      </c>
      <c r="BI1" s="5" t="s">
        <v>40</v>
      </c>
      <c r="BJ1" s="5" t="s">
        <v>41</v>
      </c>
      <c r="BK1" s="8" t="s">
        <v>42</v>
      </c>
      <c r="BL1" s="6" t="s">
        <v>43</v>
      </c>
      <c r="BM1" s="6" t="s">
        <v>44</v>
      </c>
      <c r="BN1" s="6" t="s">
        <v>45</v>
      </c>
      <c r="BO1" s="5" t="s">
        <v>394</v>
      </c>
      <c r="BP1" s="5" t="s">
        <v>395</v>
      </c>
      <c r="BQ1" s="5" t="s">
        <v>474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8" t="s">
        <v>51</v>
      </c>
      <c r="BX1" s="8" t="s">
        <v>53</v>
      </c>
      <c r="BY1" s="8" t="s">
        <v>52</v>
      </c>
      <c r="BZ1" s="8" t="s">
        <v>54</v>
      </c>
      <c r="CA1" s="6" t="s">
        <v>55</v>
      </c>
      <c r="CB1" s="6" t="s">
        <v>56</v>
      </c>
      <c r="CC1" s="6" t="s">
        <v>57</v>
      </c>
      <c r="CD1" s="6" t="s">
        <v>58</v>
      </c>
      <c r="CE1" s="6" t="s">
        <v>59</v>
      </c>
      <c r="CF1" s="6" t="s">
        <v>60</v>
      </c>
      <c r="CG1" s="6" t="s">
        <v>61</v>
      </c>
      <c r="CH1" s="6" t="s">
        <v>62</v>
      </c>
      <c r="CI1" s="6" t="s">
        <v>63</v>
      </c>
      <c r="CJ1" s="8" t="s">
        <v>64</v>
      </c>
      <c r="CK1" s="8" t="s">
        <v>65</v>
      </c>
      <c r="CL1" s="8" t="s">
        <v>66</v>
      </c>
      <c r="CM1" s="6" t="s">
        <v>67</v>
      </c>
      <c r="CN1" s="6" t="s">
        <v>68</v>
      </c>
      <c r="CO1" s="8" t="s">
        <v>69</v>
      </c>
      <c r="CP1" s="8" t="s">
        <v>387</v>
      </c>
      <c r="CQ1" s="5" t="s">
        <v>70</v>
      </c>
      <c r="CR1" s="7" t="s">
        <v>71</v>
      </c>
      <c r="CS1" s="7" t="s">
        <v>72</v>
      </c>
      <c r="CT1" s="6" t="s">
        <v>73</v>
      </c>
      <c r="CU1" s="5" t="s">
        <v>376</v>
      </c>
      <c r="CV1" s="5" t="s">
        <v>377</v>
      </c>
      <c r="CW1" s="5" t="s">
        <v>74</v>
      </c>
      <c r="CX1" s="5" t="s">
        <v>75</v>
      </c>
      <c r="CY1" s="8" t="s">
        <v>76</v>
      </c>
      <c r="CZ1" s="5" t="s">
        <v>385</v>
      </c>
      <c r="DA1" s="5" t="s">
        <v>422</v>
      </c>
      <c r="DB1" s="6" t="s">
        <v>77</v>
      </c>
      <c r="DC1" s="6" t="s">
        <v>78</v>
      </c>
      <c r="DD1" s="6" t="s">
        <v>79</v>
      </c>
      <c r="DE1" s="6" t="s">
        <v>80</v>
      </c>
      <c r="DF1" s="6" t="s">
        <v>81</v>
      </c>
      <c r="DG1" s="8" t="s">
        <v>82</v>
      </c>
      <c r="DH1" s="8" t="s">
        <v>84</v>
      </c>
      <c r="DI1" s="8" t="s">
        <v>83</v>
      </c>
      <c r="DJ1" s="6" t="s">
        <v>85</v>
      </c>
      <c r="DK1" s="6" t="s">
        <v>86</v>
      </c>
      <c r="DL1" s="6" t="s">
        <v>87</v>
      </c>
      <c r="DM1" s="8" t="s">
        <v>88</v>
      </c>
      <c r="DN1" s="6" t="s">
        <v>89</v>
      </c>
      <c r="DO1" s="8" t="s">
        <v>90</v>
      </c>
      <c r="DP1" s="8" t="s">
        <v>439</v>
      </c>
      <c r="DQ1" s="5" t="s">
        <v>91</v>
      </c>
      <c r="DR1" s="5" t="s">
        <v>378</v>
      </c>
      <c r="DS1" s="5" t="s">
        <v>379</v>
      </c>
      <c r="DT1" s="16" t="s">
        <v>92</v>
      </c>
      <c r="DU1" s="5" t="s">
        <v>434</v>
      </c>
      <c r="DV1" s="5" t="s">
        <v>93</v>
      </c>
      <c r="DW1" s="8" t="s">
        <v>94</v>
      </c>
      <c r="DX1" s="5" t="s">
        <v>398</v>
      </c>
      <c r="DY1" s="5" t="s">
        <v>380</v>
      </c>
      <c r="DZ1" s="5" t="s">
        <v>431</v>
      </c>
      <c r="EA1" s="6" t="s">
        <v>95</v>
      </c>
      <c r="EB1" s="6" t="s">
        <v>96</v>
      </c>
      <c r="EC1" s="6" t="s">
        <v>97</v>
      </c>
      <c r="ED1" s="6" t="s">
        <v>98</v>
      </c>
      <c r="EE1" s="6" t="s">
        <v>99</v>
      </c>
      <c r="EF1" s="6" t="s">
        <v>100</v>
      </c>
      <c r="EG1" s="6" t="s">
        <v>101</v>
      </c>
      <c r="EH1" s="6" t="s">
        <v>102</v>
      </c>
      <c r="EI1" s="6" t="s">
        <v>103</v>
      </c>
      <c r="EJ1" s="6" t="s">
        <v>104</v>
      </c>
      <c r="EK1" s="6" t="s">
        <v>105</v>
      </c>
      <c r="EL1" s="6" t="s">
        <v>106</v>
      </c>
      <c r="EM1" s="6" t="s">
        <v>107</v>
      </c>
      <c r="EN1" s="6" t="s">
        <v>108</v>
      </c>
      <c r="EO1" s="6" t="s">
        <v>109</v>
      </c>
      <c r="EP1" s="6" t="s">
        <v>110</v>
      </c>
      <c r="EQ1" s="6" t="s">
        <v>111</v>
      </c>
      <c r="ER1" s="6" t="s">
        <v>112</v>
      </c>
      <c r="ES1" s="6" t="s">
        <v>113</v>
      </c>
      <c r="ET1" s="6" t="s">
        <v>114</v>
      </c>
      <c r="EU1" s="6" t="s">
        <v>115</v>
      </c>
      <c r="EV1" s="6" t="s">
        <v>116</v>
      </c>
      <c r="EW1" s="6" t="s">
        <v>117</v>
      </c>
      <c r="EX1" s="6" t="s">
        <v>118</v>
      </c>
      <c r="EY1" s="6" t="s">
        <v>119</v>
      </c>
      <c r="EZ1" s="6" t="s">
        <v>120</v>
      </c>
      <c r="FA1" s="6" t="s">
        <v>121</v>
      </c>
      <c r="FB1" s="6" t="s">
        <v>122</v>
      </c>
      <c r="FC1" s="6" t="s">
        <v>123</v>
      </c>
      <c r="FD1" s="6" t="s">
        <v>124</v>
      </c>
      <c r="FE1" s="6" t="s">
        <v>125</v>
      </c>
      <c r="FF1" s="6" t="s">
        <v>126</v>
      </c>
      <c r="FG1" s="6" t="s">
        <v>127</v>
      </c>
      <c r="FH1" s="6" t="s">
        <v>128</v>
      </c>
      <c r="FI1" s="6" t="s">
        <v>129</v>
      </c>
      <c r="FJ1" s="6" t="s">
        <v>130</v>
      </c>
      <c r="FK1" s="6" t="s">
        <v>131</v>
      </c>
      <c r="FL1" s="6" t="s">
        <v>132</v>
      </c>
      <c r="FM1" s="6" t="s">
        <v>133</v>
      </c>
      <c r="FN1" s="6" t="s">
        <v>134</v>
      </c>
      <c r="FO1" s="6" t="s">
        <v>135</v>
      </c>
      <c r="FP1" s="6" t="s">
        <v>136</v>
      </c>
      <c r="FQ1" s="6" t="s">
        <v>137</v>
      </c>
      <c r="FR1" s="6" t="s">
        <v>138</v>
      </c>
      <c r="FS1" s="6" t="s">
        <v>139</v>
      </c>
      <c r="FT1" s="6" t="s">
        <v>140</v>
      </c>
      <c r="FU1" s="6" t="s">
        <v>141</v>
      </c>
      <c r="FV1" s="6" t="s">
        <v>142</v>
      </c>
      <c r="FW1" s="6" t="s">
        <v>143</v>
      </c>
      <c r="FX1" s="6" t="s">
        <v>144</v>
      </c>
      <c r="FY1" s="6" t="s">
        <v>145</v>
      </c>
      <c r="FZ1" s="6" t="s">
        <v>146</v>
      </c>
      <c r="GA1" s="6" t="s">
        <v>147</v>
      </c>
      <c r="GB1" s="6" t="s">
        <v>148</v>
      </c>
      <c r="GC1" s="6" t="s">
        <v>149</v>
      </c>
      <c r="GD1" s="6" t="s">
        <v>150</v>
      </c>
      <c r="GE1" s="6" t="s">
        <v>151</v>
      </c>
      <c r="GF1" s="6" t="s">
        <v>152</v>
      </c>
      <c r="GG1" s="6" t="s">
        <v>153</v>
      </c>
      <c r="GH1" s="6" t="s">
        <v>154</v>
      </c>
      <c r="GI1" s="6" t="s">
        <v>155</v>
      </c>
      <c r="GJ1" s="6" t="s">
        <v>156</v>
      </c>
      <c r="GK1" s="6" t="s">
        <v>157</v>
      </c>
      <c r="GL1" s="6" t="s">
        <v>158</v>
      </c>
      <c r="GM1" s="6" t="s">
        <v>159</v>
      </c>
      <c r="GN1" s="6" t="s">
        <v>160</v>
      </c>
      <c r="GO1" s="6" t="s">
        <v>161</v>
      </c>
      <c r="GP1" s="6" t="s">
        <v>162</v>
      </c>
      <c r="GQ1" s="6" t="s">
        <v>163</v>
      </c>
      <c r="GR1" s="6" t="s">
        <v>164</v>
      </c>
    </row>
    <row r="2" spans="1:200" s="6" customFormat="1" ht="12.75" customHeight="1" x14ac:dyDescent="0.35">
      <c r="A2" s="1" t="s">
        <v>222</v>
      </c>
      <c r="B2" s="3" t="s">
        <v>229</v>
      </c>
      <c r="C2" s="1">
        <v>109433</v>
      </c>
      <c r="D2" s="1" t="s">
        <v>218</v>
      </c>
      <c r="E2" s="1" t="s">
        <v>230</v>
      </c>
      <c r="F2" s="2" t="s">
        <v>170</v>
      </c>
      <c r="S2" s="1">
        <v>2.1100000000000003</v>
      </c>
      <c r="T2" s="1">
        <v>1.9849999999999999</v>
      </c>
      <c r="U2" s="1">
        <f>S2/T2</f>
        <v>1.062972292191436</v>
      </c>
      <c r="AE2" s="1">
        <v>36.655000000000001</v>
      </c>
      <c r="AF2" s="1">
        <v>5.0999999999999996</v>
      </c>
      <c r="AG2" s="1">
        <v>7.98</v>
      </c>
      <c r="AN2" s="1">
        <v>1.38</v>
      </c>
      <c r="AS2" s="1">
        <v>0.44</v>
      </c>
      <c r="BK2" s="1">
        <v>21</v>
      </c>
      <c r="BR2" s="6" t="s">
        <v>346</v>
      </c>
      <c r="BS2" s="6" t="s">
        <v>347</v>
      </c>
      <c r="BT2" s="6" t="s">
        <v>348</v>
      </c>
      <c r="BW2" s="1">
        <v>8.25</v>
      </c>
      <c r="BX2" s="1">
        <v>2.35</v>
      </c>
      <c r="BY2" s="1">
        <v>3.58</v>
      </c>
      <c r="BZ2" s="1">
        <v>10</v>
      </c>
      <c r="CJ2" s="1">
        <v>4.25</v>
      </c>
      <c r="CK2" s="1">
        <v>2.87</v>
      </c>
      <c r="CL2" s="1">
        <v>1.05</v>
      </c>
      <c r="CO2" s="1">
        <v>85.53</v>
      </c>
      <c r="CP2" s="1">
        <v>0</v>
      </c>
      <c r="CR2" s="7"/>
      <c r="CS2" s="7"/>
      <c r="CY2" s="1">
        <v>1</v>
      </c>
      <c r="CZ2" s="1"/>
      <c r="DG2" s="1">
        <v>5.89</v>
      </c>
      <c r="DH2" s="1">
        <v>2.58</v>
      </c>
      <c r="DI2" s="1">
        <v>1.96</v>
      </c>
      <c r="DM2" s="1">
        <v>25.560000000000002</v>
      </c>
      <c r="DO2" s="1">
        <v>0</v>
      </c>
      <c r="DP2" s="1"/>
      <c r="DW2" s="1">
        <v>1</v>
      </c>
      <c r="DX2" s="1"/>
    </row>
    <row r="3" spans="1:200" s="6" customFormat="1" ht="12.75" customHeight="1" x14ac:dyDescent="0.35">
      <c r="A3" s="1" t="s">
        <v>222</v>
      </c>
      <c r="B3" s="3" t="s">
        <v>229</v>
      </c>
      <c r="C3" s="1">
        <v>109433</v>
      </c>
      <c r="D3" s="1" t="s">
        <v>218</v>
      </c>
      <c r="E3" s="1" t="s">
        <v>231</v>
      </c>
      <c r="F3" s="2" t="s">
        <v>171</v>
      </c>
      <c r="S3" s="1">
        <v>2.5700000000000003</v>
      </c>
      <c r="T3" s="1">
        <v>1.845</v>
      </c>
      <c r="U3" s="1">
        <f t="shared" ref="U3:U56" si="0">S3/T3</f>
        <v>1.3929539295392956</v>
      </c>
      <c r="AE3" s="1">
        <v>38.204999999999998</v>
      </c>
      <c r="AF3" s="1">
        <v>5.9450000000000003</v>
      </c>
      <c r="AG3" s="1">
        <v>7.65</v>
      </c>
      <c r="AN3" s="1">
        <v>1.38</v>
      </c>
      <c r="AS3" s="1">
        <v>0.505</v>
      </c>
      <c r="BK3" s="1">
        <v>21</v>
      </c>
      <c r="BR3" s="6" t="s">
        <v>346</v>
      </c>
      <c r="BS3" s="6" t="s">
        <v>347</v>
      </c>
      <c r="BT3" s="6" t="s">
        <v>348</v>
      </c>
      <c r="BW3" s="1">
        <v>8.3699999999999992</v>
      </c>
      <c r="BX3" s="1">
        <v>2.21</v>
      </c>
      <c r="BY3" s="1">
        <v>3.07</v>
      </c>
      <c r="BZ3" s="1">
        <v>10</v>
      </c>
      <c r="CJ3" s="1">
        <v>4.3899999999999997</v>
      </c>
      <c r="CK3" s="1">
        <v>2.9299999999999997</v>
      </c>
      <c r="CL3" s="1">
        <v>2.09</v>
      </c>
      <c r="CO3" s="1">
        <v>87.399999999999977</v>
      </c>
      <c r="CP3" s="1">
        <v>1</v>
      </c>
      <c r="CR3" s="7"/>
      <c r="CS3" s="7"/>
      <c r="CY3" s="1">
        <v>1</v>
      </c>
      <c r="CZ3" s="1"/>
      <c r="DG3" s="1">
        <v>6.65</v>
      </c>
      <c r="DH3" s="1">
        <v>3.23</v>
      </c>
      <c r="DI3" s="1">
        <v>2.11</v>
      </c>
      <c r="DM3" s="1">
        <v>35.130000000000003</v>
      </c>
      <c r="DO3" s="1">
        <v>0</v>
      </c>
      <c r="DP3" s="1"/>
      <c r="DW3" s="1">
        <v>1</v>
      </c>
      <c r="DX3" s="1"/>
    </row>
    <row r="4" spans="1:200" s="6" customFormat="1" ht="12.75" customHeight="1" x14ac:dyDescent="0.35">
      <c r="A4" s="1" t="s">
        <v>222</v>
      </c>
      <c r="B4" s="3" t="s">
        <v>229</v>
      </c>
      <c r="C4" s="1">
        <v>109433</v>
      </c>
      <c r="D4" s="1" t="s">
        <v>218</v>
      </c>
      <c r="E4" s="1" t="s">
        <v>232</v>
      </c>
      <c r="F4" s="2" t="s">
        <v>172</v>
      </c>
      <c r="S4" s="1">
        <v>2.5700000000000003</v>
      </c>
      <c r="T4" s="1">
        <v>1.845</v>
      </c>
      <c r="U4" s="1">
        <f t="shared" si="0"/>
        <v>1.3929539295392956</v>
      </c>
      <c r="AE4" s="1">
        <v>38.204999999999998</v>
      </c>
      <c r="AF4" s="1">
        <v>5.9450000000000003</v>
      </c>
      <c r="AG4" s="1">
        <v>7.65</v>
      </c>
      <c r="AN4" s="1">
        <v>1.38</v>
      </c>
      <c r="AS4" s="1">
        <v>0.505</v>
      </c>
      <c r="BK4" s="1">
        <v>21</v>
      </c>
      <c r="BR4" s="6" t="s">
        <v>346</v>
      </c>
      <c r="BS4" s="6" t="s">
        <v>347</v>
      </c>
      <c r="BT4" s="6" t="s">
        <v>348</v>
      </c>
      <c r="BW4" s="1">
        <v>8.41</v>
      </c>
      <c r="BX4" s="1">
        <v>2.6</v>
      </c>
      <c r="BY4" s="1">
        <v>3.53</v>
      </c>
      <c r="BZ4" s="1">
        <v>9</v>
      </c>
      <c r="CJ4" s="1">
        <v>4.2300000000000004</v>
      </c>
      <c r="CK4" s="1">
        <v>3.75</v>
      </c>
      <c r="CL4" s="1">
        <v>2.0099999999999998</v>
      </c>
      <c r="CO4" s="1">
        <v>86.91</v>
      </c>
      <c r="CP4" s="1">
        <v>0</v>
      </c>
      <c r="CR4" s="7"/>
      <c r="CS4" s="7"/>
      <c r="CY4" s="1">
        <v>1</v>
      </c>
      <c r="CZ4" s="1"/>
      <c r="DG4" s="1">
        <v>6.25</v>
      </c>
      <c r="DH4" s="1">
        <v>3.5200000000000005</v>
      </c>
      <c r="DI4" s="1">
        <v>1.1000000000000001</v>
      </c>
      <c r="DM4" s="1">
        <v>37.509999999999991</v>
      </c>
      <c r="DO4" s="1">
        <v>0</v>
      </c>
      <c r="DP4" s="1"/>
      <c r="DW4" s="1">
        <v>1</v>
      </c>
      <c r="DX4" s="1"/>
    </row>
    <row r="5" spans="1:200" s="6" customFormat="1" ht="12.75" customHeight="1" x14ac:dyDescent="0.35">
      <c r="A5" s="1" t="s">
        <v>222</v>
      </c>
      <c r="B5" s="3" t="s">
        <v>229</v>
      </c>
      <c r="C5" s="1">
        <v>110785</v>
      </c>
      <c r="D5" s="1" t="s">
        <v>219</v>
      </c>
      <c r="E5" s="1" t="s">
        <v>233</v>
      </c>
      <c r="F5" s="2" t="s">
        <v>173</v>
      </c>
      <c r="S5" s="1">
        <v>1.635</v>
      </c>
      <c r="T5" s="1">
        <v>2.67</v>
      </c>
      <c r="U5" s="1">
        <f t="shared" si="0"/>
        <v>0.61235955056179781</v>
      </c>
      <c r="AE5" s="1">
        <v>26.659999999999997</v>
      </c>
      <c r="AF5" s="1">
        <v>4.7450000000000001</v>
      </c>
      <c r="AG5" s="1">
        <v>4.8250000000000002</v>
      </c>
      <c r="AN5" s="1">
        <v>1.02</v>
      </c>
      <c r="AS5" s="1">
        <v>0.39</v>
      </c>
      <c r="BK5" s="1">
        <v>21</v>
      </c>
      <c r="BR5" s="6" t="s">
        <v>346</v>
      </c>
      <c r="BS5" s="6" t="s">
        <v>347</v>
      </c>
      <c r="BT5" s="6" t="s">
        <v>348</v>
      </c>
      <c r="BW5" s="1">
        <v>7.95</v>
      </c>
      <c r="BX5" s="1">
        <v>3.2</v>
      </c>
      <c r="BY5" s="1">
        <v>3.49</v>
      </c>
      <c r="BZ5" s="1">
        <v>11</v>
      </c>
      <c r="CJ5" s="1">
        <v>4.1100000000000003</v>
      </c>
      <c r="CK5" s="1">
        <v>3.67</v>
      </c>
      <c r="CL5" s="1">
        <v>1.45</v>
      </c>
      <c r="CO5" s="1">
        <v>127.68</v>
      </c>
      <c r="CP5" s="1">
        <v>0</v>
      </c>
      <c r="CR5" s="7"/>
      <c r="CS5" s="7"/>
      <c r="CY5" s="1">
        <v>1</v>
      </c>
      <c r="CZ5" s="1"/>
      <c r="DG5" s="1">
        <v>5.51</v>
      </c>
      <c r="DH5" s="1">
        <v>3.25</v>
      </c>
      <c r="DI5" s="1">
        <v>1.24</v>
      </c>
      <c r="DM5" s="1">
        <v>29.230000000000018</v>
      </c>
      <c r="DO5" s="1">
        <v>0</v>
      </c>
      <c r="DP5" s="1"/>
      <c r="DW5" s="1">
        <v>1</v>
      </c>
      <c r="DX5" s="1"/>
    </row>
    <row r="6" spans="1:200" s="6" customFormat="1" ht="12.75" customHeight="1" x14ac:dyDescent="0.35">
      <c r="A6" s="1" t="s">
        <v>222</v>
      </c>
      <c r="B6" s="3" t="s">
        <v>229</v>
      </c>
      <c r="C6" s="1">
        <v>110785</v>
      </c>
      <c r="D6" s="1" t="s">
        <v>219</v>
      </c>
      <c r="E6" s="1" t="s">
        <v>234</v>
      </c>
      <c r="F6" s="2" t="s">
        <v>174</v>
      </c>
      <c r="S6" s="1">
        <v>1.79</v>
      </c>
      <c r="T6" s="1">
        <v>1.95</v>
      </c>
      <c r="U6" s="1">
        <f t="shared" si="0"/>
        <v>0.91794871794871802</v>
      </c>
      <c r="AE6" s="1">
        <v>28.994999999999997</v>
      </c>
      <c r="AF6" s="1">
        <v>3.7850000000000001</v>
      </c>
      <c r="AG6" s="1">
        <v>5.48</v>
      </c>
      <c r="AN6" s="1">
        <v>1.1400000000000001</v>
      </c>
      <c r="AS6" s="1">
        <v>0.29500000000000004</v>
      </c>
      <c r="BK6" s="1">
        <v>19</v>
      </c>
      <c r="BR6" s="6" t="s">
        <v>346</v>
      </c>
      <c r="BS6" s="6" t="s">
        <v>347</v>
      </c>
      <c r="BT6" s="6" t="s">
        <v>348</v>
      </c>
      <c r="BW6" s="1">
        <v>9.31</v>
      </c>
      <c r="BX6" s="1">
        <v>2.88</v>
      </c>
      <c r="BY6" s="1">
        <v>4.46</v>
      </c>
      <c r="BZ6" s="1">
        <v>10</v>
      </c>
      <c r="CJ6" s="1">
        <v>4.37</v>
      </c>
      <c r="CK6" s="1">
        <v>3.5999999999999996</v>
      </c>
      <c r="CL6" s="1">
        <v>1.62</v>
      </c>
      <c r="CO6" s="1">
        <v>103.13</v>
      </c>
      <c r="CP6" s="1">
        <v>1</v>
      </c>
      <c r="CR6" s="7"/>
      <c r="CS6" s="7"/>
      <c r="CY6" s="1">
        <v>1</v>
      </c>
      <c r="CZ6" s="1"/>
      <c r="DG6" s="1">
        <v>5.61</v>
      </c>
      <c r="DH6" s="1">
        <v>3.7800000000000002</v>
      </c>
      <c r="DI6" s="1">
        <v>0.99</v>
      </c>
      <c r="DM6" s="1">
        <v>60.43</v>
      </c>
      <c r="DO6" s="1">
        <v>0</v>
      </c>
      <c r="DP6" s="1"/>
      <c r="DW6" s="1">
        <v>1</v>
      </c>
      <c r="DX6" s="1"/>
    </row>
    <row r="7" spans="1:200" s="6" customFormat="1" ht="12.75" customHeight="1" x14ac:dyDescent="0.35">
      <c r="A7" s="1" t="s">
        <v>222</v>
      </c>
      <c r="B7" s="3" t="s">
        <v>229</v>
      </c>
      <c r="C7" s="1">
        <v>110787</v>
      </c>
      <c r="D7" s="1" t="s">
        <v>220</v>
      </c>
      <c r="E7" s="1" t="s">
        <v>235</v>
      </c>
      <c r="F7" s="2" t="s">
        <v>175</v>
      </c>
      <c r="S7" s="1">
        <v>1.605</v>
      </c>
      <c r="T7" s="1">
        <v>2.37</v>
      </c>
      <c r="U7" s="1">
        <f t="shared" si="0"/>
        <v>0.67721518987341767</v>
      </c>
      <c r="AE7" s="1">
        <v>23.2</v>
      </c>
      <c r="AF7" s="1">
        <v>3.8250000000000002</v>
      </c>
      <c r="AG7" s="1">
        <v>4.0949999999999998</v>
      </c>
      <c r="AN7" s="1">
        <v>0.78</v>
      </c>
      <c r="AS7" s="1">
        <v>0.27500000000000002</v>
      </c>
      <c r="BK7" s="1">
        <v>23</v>
      </c>
      <c r="BR7" s="6" t="s">
        <v>346</v>
      </c>
      <c r="BS7" s="6" t="s">
        <v>347</v>
      </c>
      <c r="BT7" s="6" t="s">
        <v>348</v>
      </c>
      <c r="BW7" s="1">
        <v>9</v>
      </c>
      <c r="BX7" s="1">
        <v>2.1800000000000002</v>
      </c>
      <c r="BY7" s="1">
        <v>4.09</v>
      </c>
      <c r="BZ7" s="1">
        <v>9</v>
      </c>
      <c r="CJ7" s="1">
        <v>3.72</v>
      </c>
      <c r="CK7" s="1">
        <v>3.26</v>
      </c>
      <c r="CL7" s="1">
        <v>1.23</v>
      </c>
      <c r="CO7" s="1">
        <v>41.37</v>
      </c>
      <c r="CP7" s="1">
        <v>1</v>
      </c>
      <c r="CR7" s="7"/>
      <c r="CS7" s="7"/>
      <c r="CY7" s="1">
        <v>1</v>
      </c>
      <c r="CZ7" s="1"/>
      <c r="DG7" s="1">
        <v>5.88</v>
      </c>
      <c r="DH7" s="1">
        <v>3.01</v>
      </c>
      <c r="DI7" s="1">
        <v>2.2599999999999998</v>
      </c>
      <c r="DM7" s="1">
        <v>20.18</v>
      </c>
      <c r="DO7" s="1">
        <v>1</v>
      </c>
      <c r="DP7" s="1"/>
      <c r="DW7" s="1">
        <v>1</v>
      </c>
      <c r="DX7" s="1"/>
    </row>
    <row r="8" spans="1:200" s="6" customFormat="1" ht="12.75" customHeight="1" x14ac:dyDescent="0.35">
      <c r="A8" s="1" t="s">
        <v>222</v>
      </c>
      <c r="B8" s="3" t="s">
        <v>229</v>
      </c>
      <c r="C8" s="1">
        <v>110787</v>
      </c>
      <c r="D8" s="1" t="s">
        <v>220</v>
      </c>
      <c r="E8" s="1" t="s">
        <v>236</v>
      </c>
      <c r="F8" s="2" t="s">
        <v>176</v>
      </c>
      <c r="S8" s="1">
        <v>1.7000000000000002</v>
      </c>
      <c r="T8" s="1">
        <v>1.52</v>
      </c>
      <c r="U8" s="1">
        <f t="shared" si="0"/>
        <v>1.118421052631579</v>
      </c>
      <c r="AE8" s="1">
        <v>25.625</v>
      </c>
      <c r="AF8" s="1">
        <v>3.6100000000000003</v>
      </c>
      <c r="AG8" s="1">
        <v>4.9849999999999994</v>
      </c>
      <c r="AN8" s="1">
        <v>0.84</v>
      </c>
      <c r="AS8" s="1">
        <v>0.33</v>
      </c>
      <c r="BK8" s="1">
        <v>21</v>
      </c>
      <c r="BR8" s="6" t="s">
        <v>346</v>
      </c>
      <c r="BS8" s="6" t="s">
        <v>347</v>
      </c>
      <c r="BT8" s="6" t="s">
        <v>348</v>
      </c>
      <c r="BW8" s="1">
        <v>10.3</v>
      </c>
      <c r="BX8" s="1">
        <v>2.34</v>
      </c>
      <c r="BY8" s="1">
        <v>5.1100000000000003</v>
      </c>
      <c r="BZ8" s="1">
        <v>9</v>
      </c>
      <c r="CJ8" s="1">
        <v>4.6500000000000004</v>
      </c>
      <c r="CK8" s="1">
        <v>3.7800000000000002</v>
      </c>
      <c r="CL8" s="1">
        <v>1.88</v>
      </c>
      <c r="CO8" s="1">
        <v>54.579999999999984</v>
      </c>
      <c r="CP8" s="1">
        <v>1</v>
      </c>
      <c r="CR8" s="7"/>
      <c r="CS8" s="7"/>
      <c r="CY8" s="1">
        <v>1</v>
      </c>
      <c r="CZ8" s="1"/>
      <c r="DG8" s="1">
        <v>7.13</v>
      </c>
      <c r="DH8" s="1">
        <v>3.06</v>
      </c>
      <c r="DI8" s="1">
        <v>1.45</v>
      </c>
      <c r="DM8" s="1">
        <v>26.66</v>
      </c>
      <c r="DO8" s="1">
        <v>1</v>
      </c>
      <c r="DP8" s="1"/>
      <c r="DW8" s="1">
        <v>1</v>
      </c>
      <c r="DX8" s="1"/>
    </row>
    <row r="9" spans="1:200" s="6" customFormat="1" ht="12.75" customHeight="1" x14ac:dyDescent="0.35">
      <c r="A9" s="1" t="s">
        <v>222</v>
      </c>
      <c r="B9" s="3" t="s">
        <v>229</v>
      </c>
      <c r="C9" s="1"/>
      <c r="D9" s="1" t="s">
        <v>220</v>
      </c>
      <c r="E9" s="1" t="s">
        <v>329</v>
      </c>
      <c r="F9" s="1" t="s">
        <v>350</v>
      </c>
      <c r="S9" s="1">
        <v>1.7850000000000001</v>
      </c>
      <c r="T9" s="1">
        <v>1.8</v>
      </c>
      <c r="U9" s="1">
        <f>S9/T9</f>
        <v>0.9916666666666667</v>
      </c>
      <c r="AE9" s="1">
        <v>28.07</v>
      </c>
      <c r="AF9" s="1">
        <v>3.4350000000000001</v>
      </c>
      <c r="AG9" s="1">
        <v>5.7249999999999996</v>
      </c>
      <c r="AN9" s="1">
        <v>1.0150000000000001</v>
      </c>
      <c r="AS9" s="1">
        <v>0.23499999999999999</v>
      </c>
      <c r="BK9" s="1">
        <v>21</v>
      </c>
      <c r="BR9" s="6" t="s">
        <v>346</v>
      </c>
      <c r="BS9" s="6" t="s">
        <v>347</v>
      </c>
      <c r="BT9" s="6" t="s">
        <v>348</v>
      </c>
      <c r="BW9" s="1"/>
      <c r="BX9" s="1"/>
      <c r="BY9" s="1"/>
      <c r="BZ9" s="1"/>
      <c r="CJ9" s="1"/>
      <c r="CK9" s="1"/>
      <c r="CL9" s="1"/>
      <c r="CO9" s="1"/>
      <c r="CR9" s="7"/>
      <c r="CS9" s="7"/>
      <c r="DA9" s="1"/>
      <c r="DC9" s="1"/>
      <c r="DD9" s="1"/>
      <c r="DE9" s="1"/>
      <c r="DF9" s="1"/>
      <c r="DG9" s="1"/>
      <c r="DW9" s="1"/>
      <c r="DX9" s="1"/>
    </row>
    <row r="10" spans="1:200" s="6" customFormat="1" ht="12.75" customHeight="1" x14ac:dyDescent="0.35">
      <c r="A10" s="1" t="s">
        <v>222</v>
      </c>
      <c r="B10" s="3" t="s">
        <v>229</v>
      </c>
      <c r="C10" s="1">
        <v>110792</v>
      </c>
      <c r="D10" s="1" t="s">
        <v>221</v>
      </c>
      <c r="E10" s="1" t="s">
        <v>237</v>
      </c>
      <c r="F10" s="2" t="s">
        <v>360</v>
      </c>
      <c r="S10" s="1">
        <v>1.54</v>
      </c>
      <c r="T10" s="1">
        <v>1.81</v>
      </c>
      <c r="U10" s="1">
        <f t="shared" si="0"/>
        <v>0.850828729281768</v>
      </c>
      <c r="AE10" s="1">
        <v>28.41</v>
      </c>
      <c r="AF10" s="1">
        <v>4.1349999999999998</v>
      </c>
      <c r="AG10" s="1">
        <v>6.2949999999999999</v>
      </c>
      <c r="AN10" s="1">
        <v>0.99</v>
      </c>
      <c r="AS10" s="1">
        <v>0.38500000000000001</v>
      </c>
      <c r="BK10" s="1">
        <v>21</v>
      </c>
      <c r="BR10" s="6" t="s">
        <v>346</v>
      </c>
      <c r="BS10" s="6" t="s">
        <v>347</v>
      </c>
      <c r="BT10" s="6" t="s">
        <v>348</v>
      </c>
      <c r="BW10" s="1">
        <v>9.4499999999999993</v>
      </c>
      <c r="BX10" s="1">
        <v>3.19</v>
      </c>
      <c r="BY10" s="1">
        <v>4.9400000000000004</v>
      </c>
      <c r="BZ10" s="1">
        <v>9</v>
      </c>
      <c r="CJ10" s="1">
        <v>4.68</v>
      </c>
      <c r="CK10" s="1">
        <v>3.42</v>
      </c>
      <c r="CL10" s="1">
        <v>0.93</v>
      </c>
      <c r="CO10" s="1">
        <v>88.81</v>
      </c>
      <c r="CP10" s="1">
        <v>0</v>
      </c>
      <c r="CR10" s="7"/>
      <c r="CS10" s="7"/>
      <c r="CY10" s="1">
        <v>1</v>
      </c>
      <c r="CZ10" s="1"/>
      <c r="DG10" s="1">
        <v>5.76</v>
      </c>
      <c r="DH10" s="1">
        <v>3.12</v>
      </c>
      <c r="DI10" s="1">
        <v>0.84</v>
      </c>
      <c r="DM10" s="1">
        <v>29.629999999999995</v>
      </c>
      <c r="DO10" s="1">
        <v>0</v>
      </c>
      <c r="DP10" s="1"/>
      <c r="DW10" s="1">
        <v>1</v>
      </c>
      <c r="DX10" s="1"/>
    </row>
    <row r="11" spans="1:200" s="6" customFormat="1" ht="12.75" customHeight="1" x14ac:dyDescent="0.35">
      <c r="A11" s="1" t="s">
        <v>222</v>
      </c>
      <c r="B11" s="3" t="s">
        <v>229</v>
      </c>
      <c r="C11" s="1">
        <v>110792</v>
      </c>
      <c r="D11" s="1" t="s">
        <v>221</v>
      </c>
      <c r="E11" s="1" t="s">
        <v>238</v>
      </c>
      <c r="F11" s="2" t="s">
        <v>361</v>
      </c>
      <c r="S11" s="1">
        <v>1.7949999999999999</v>
      </c>
      <c r="T11" s="1">
        <v>1.9749999999999999</v>
      </c>
      <c r="U11" s="1">
        <f t="shared" si="0"/>
        <v>0.90886075949367096</v>
      </c>
      <c r="AE11" s="1">
        <v>30.395</v>
      </c>
      <c r="AF11" s="1">
        <v>4.84</v>
      </c>
      <c r="AG11" s="1">
        <v>4.75</v>
      </c>
      <c r="AN11" s="1">
        <v>1.0649999999999999</v>
      </c>
      <c r="AS11" s="1">
        <v>0.41000000000000003</v>
      </c>
      <c r="BK11" s="1">
        <v>23</v>
      </c>
      <c r="BR11" s="6" t="s">
        <v>346</v>
      </c>
      <c r="BS11" s="6" t="s">
        <v>347</v>
      </c>
      <c r="BT11" s="6" t="s">
        <v>348</v>
      </c>
      <c r="BW11" s="1">
        <v>9.17</v>
      </c>
      <c r="BX11" s="1">
        <v>3.03</v>
      </c>
      <c r="BY11" s="1">
        <v>5.17</v>
      </c>
      <c r="BZ11" s="1">
        <v>10</v>
      </c>
      <c r="CJ11" s="1">
        <v>4.5999999999999996</v>
      </c>
      <c r="CK11" s="1">
        <v>4.01</v>
      </c>
      <c r="CL11" s="1">
        <v>1.1000000000000001</v>
      </c>
      <c r="CO11" s="1">
        <v>75.02</v>
      </c>
      <c r="CP11" s="1">
        <v>1</v>
      </c>
      <c r="CR11" s="7"/>
      <c r="CS11" s="7"/>
      <c r="CY11" s="1">
        <v>1</v>
      </c>
      <c r="CZ11" s="1"/>
      <c r="DG11" s="1">
        <v>6.6</v>
      </c>
      <c r="DH11" s="1">
        <v>3.96</v>
      </c>
      <c r="DI11" s="1">
        <v>2.02</v>
      </c>
      <c r="DM11" s="1">
        <v>27.509999999999991</v>
      </c>
      <c r="DO11" s="1">
        <v>0</v>
      </c>
      <c r="DP11" s="1"/>
      <c r="DW11" s="1">
        <v>1</v>
      </c>
      <c r="DX11" s="1"/>
    </row>
    <row r="12" spans="1:200" s="6" customFormat="1" ht="12.75" customHeight="1" x14ac:dyDescent="0.35">
      <c r="A12" s="1" t="s">
        <v>222</v>
      </c>
      <c r="B12" s="3" t="s">
        <v>229</v>
      </c>
      <c r="C12" s="1"/>
      <c r="D12" s="1" t="s">
        <v>221</v>
      </c>
      <c r="E12" s="1" t="s">
        <v>358</v>
      </c>
      <c r="F12" s="1" t="s">
        <v>359</v>
      </c>
      <c r="S12" s="1">
        <v>1.5899999999999999</v>
      </c>
      <c r="T12" s="1">
        <v>1.8900000000000001</v>
      </c>
      <c r="U12" s="1">
        <f t="shared" si="0"/>
        <v>0.84126984126984117</v>
      </c>
      <c r="AE12" s="1">
        <v>28.244999999999997</v>
      </c>
      <c r="AF12" s="1">
        <v>3.5550000000000002</v>
      </c>
      <c r="AG12" s="1">
        <v>5.71</v>
      </c>
      <c r="AN12" s="1">
        <v>1.47</v>
      </c>
      <c r="AS12" s="1">
        <v>0.215</v>
      </c>
      <c r="BK12" s="1">
        <v>18</v>
      </c>
      <c r="BR12" s="6" t="s">
        <v>346</v>
      </c>
      <c r="BS12" s="6" t="s">
        <v>347</v>
      </c>
      <c r="BT12" s="6" t="s">
        <v>348</v>
      </c>
      <c r="BW12" s="1"/>
      <c r="BX12" s="1"/>
      <c r="BY12" s="1"/>
      <c r="BZ12" s="1"/>
      <c r="CJ12" s="1"/>
      <c r="CK12" s="1"/>
      <c r="CL12" s="1"/>
      <c r="CO12" s="1"/>
      <c r="CR12" s="7"/>
      <c r="CS12" s="7"/>
      <c r="DA12" s="1"/>
      <c r="DC12" s="1"/>
      <c r="DD12" s="1"/>
      <c r="DE12" s="1"/>
      <c r="DF12" s="1"/>
      <c r="DG12" s="1"/>
      <c r="DW12" s="1"/>
      <c r="DX12" s="1"/>
    </row>
    <row r="13" spans="1:200" s="6" customFormat="1" ht="12.75" customHeight="1" x14ac:dyDescent="0.35">
      <c r="A13" s="1" t="s">
        <v>222</v>
      </c>
      <c r="B13" s="3" t="s">
        <v>277</v>
      </c>
      <c r="C13" s="1"/>
      <c r="D13" s="1" t="s">
        <v>278</v>
      </c>
      <c r="E13" s="1" t="s">
        <v>189</v>
      </c>
      <c r="F13" s="2" t="s">
        <v>279</v>
      </c>
      <c r="S13" s="1">
        <v>1.96</v>
      </c>
      <c r="T13" s="1">
        <v>2.5149999999999997</v>
      </c>
      <c r="U13" s="1">
        <f t="shared" si="0"/>
        <v>0.77932405566600405</v>
      </c>
      <c r="AE13" s="1">
        <v>31.57</v>
      </c>
      <c r="AF13" s="1">
        <v>6.0600000000000005</v>
      </c>
      <c r="AG13" s="1">
        <v>6.3599999999999994</v>
      </c>
      <c r="AN13" s="1">
        <v>1.2149999999999999</v>
      </c>
      <c r="AS13" s="1">
        <v>0.47</v>
      </c>
      <c r="BK13" s="1">
        <v>26</v>
      </c>
      <c r="BR13" s="6" t="s">
        <v>346</v>
      </c>
      <c r="BS13" s="6" t="s">
        <v>347</v>
      </c>
      <c r="BT13" s="6" t="s">
        <v>348</v>
      </c>
      <c r="BW13" s="1">
        <v>6.54</v>
      </c>
      <c r="BX13" s="1">
        <v>3.03</v>
      </c>
      <c r="BY13" s="1">
        <v>2.91</v>
      </c>
      <c r="BZ13" s="1">
        <v>8</v>
      </c>
      <c r="CJ13" s="1">
        <v>3.56</v>
      </c>
      <c r="CK13" s="1">
        <v>3.99</v>
      </c>
      <c r="CL13" s="1">
        <v>1.1599999999999999</v>
      </c>
      <c r="CO13" s="1">
        <v>146.5</v>
      </c>
      <c r="CP13" s="1">
        <v>0</v>
      </c>
      <c r="CR13" s="7"/>
      <c r="CS13" s="7"/>
      <c r="CY13" s="1">
        <v>0</v>
      </c>
      <c r="CZ13" s="1"/>
      <c r="DG13" s="1">
        <v>4.71</v>
      </c>
      <c r="DH13" s="1">
        <v>4.4800000000000004</v>
      </c>
      <c r="DI13" s="1">
        <v>1.81</v>
      </c>
      <c r="DM13" s="1">
        <v>130.94999999999999</v>
      </c>
      <c r="DO13" s="1">
        <v>0</v>
      </c>
      <c r="DP13" s="1"/>
      <c r="DW13" s="1">
        <v>0</v>
      </c>
      <c r="DX13" s="1"/>
    </row>
    <row r="14" spans="1:200" s="6" customFormat="1" ht="12.75" customHeight="1" x14ac:dyDescent="0.35">
      <c r="A14" s="1" t="s">
        <v>222</v>
      </c>
      <c r="B14" s="3" t="s">
        <v>277</v>
      </c>
      <c r="C14" s="1">
        <v>537395</v>
      </c>
      <c r="D14" s="1" t="s">
        <v>287</v>
      </c>
      <c r="E14" s="1" t="s">
        <v>191</v>
      </c>
      <c r="F14" s="2" t="s">
        <v>190</v>
      </c>
      <c r="S14" s="1">
        <v>1.63</v>
      </c>
      <c r="T14" s="1">
        <v>2.3250000000000002</v>
      </c>
      <c r="U14" s="1">
        <f t="shared" si="0"/>
        <v>0.70107526881720417</v>
      </c>
      <c r="AE14" s="1">
        <v>30.97</v>
      </c>
      <c r="AF14" s="1">
        <v>5.3149999999999995</v>
      </c>
      <c r="AG14" s="1">
        <v>4.4799999999999995</v>
      </c>
      <c r="AN14" s="1">
        <v>1.3900000000000001</v>
      </c>
      <c r="AS14" s="1">
        <v>0.43</v>
      </c>
      <c r="BK14" s="1">
        <v>22</v>
      </c>
      <c r="BR14" s="6" t="s">
        <v>346</v>
      </c>
      <c r="BS14" s="6" t="s">
        <v>347</v>
      </c>
      <c r="BT14" s="6" t="s">
        <v>348</v>
      </c>
      <c r="BW14" s="1">
        <v>6.68</v>
      </c>
      <c r="BX14" s="1">
        <v>2.83</v>
      </c>
      <c r="BY14" s="1">
        <v>2.74</v>
      </c>
      <c r="BZ14" s="1">
        <v>8</v>
      </c>
      <c r="CJ14" s="1">
        <v>2.67</v>
      </c>
      <c r="CK14" s="1">
        <v>3.42</v>
      </c>
      <c r="CL14" s="1">
        <v>0.56999999999999995</v>
      </c>
      <c r="CO14" s="1">
        <v>164.56</v>
      </c>
      <c r="CP14" s="1">
        <v>0</v>
      </c>
      <c r="CR14" s="7"/>
      <c r="CS14" s="7"/>
      <c r="CY14" s="1">
        <v>0</v>
      </c>
      <c r="CZ14" s="1"/>
      <c r="DG14" s="1">
        <v>4.13</v>
      </c>
      <c r="DH14" s="1">
        <v>3.0199999999999996</v>
      </c>
      <c r="DI14" s="1">
        <v>1.42</v>
      </c>
      <c r="DM14" s="1">
        <v>114.01</v>
      </c>
      <c r="DO14" s="1">
        <v>0</v>
      </c>
      <c r="DP14" s="1"/>
      <c r="DW14" s="1">
        <v>0</v>
      </c>
      <c r="DX14" s="1"/>
    </row>
    <row r="15" spans="1:200" s="6" customFormat="1" ht="12.75" customHeight="1" x14ac:dyDescent="0.35">
      <c r="A15" s="1" t="s">
        <v>222</v>
      </c>
      <c r="B15" s="3" t="s">
        <v>277</v>
      </c>
      <c r="C15" s="1">
        <v>110795</v>
      </c>
      <c r="D15" s="1" t="s">
        <v>288</v>
      </c>
      <c r="E15" s="1" t="s">
        <v>289</v>
      </c>
      <c r="F15" s="2" t="s">
        <v>192</v>
      </c>
      <c r="S15" s="1">
        <v>2.3849999999999998</v>
      </c>
      <c r="T15" s="1">
        <v>2.5949999999999998</v>
      </c>
      <c r="U15" s="1">
        <f t="shared" si="0"/>
        <v>0.91907514450867056</v>
      </c>
      <c r="AE15" s="1">
        <v>32.975000000000001</v>
      </c>
      <c r="AF15" s="1">
        <v>6.1850000000000005</v>
      </c>
      <c r="AG15" s="1">
        <v>7.59</v>
      </c>
      <c r="AN15" s="1">
        <v>1.0150000000000001</v>
      </c>
      <c r="AS15" s="1">
        <v>0.44500000000000001</v>
      </c>
      <c r="BK15" s="1">
        <v>25</v>
      </c>
      <c r="BR15" s="6" t="s">
        <v>346</v>
      </c>
      <c r="BS15" s="6" t="s">
        <v>347</v>
      </c>
      <c r="BT15" s="6" t="s">
        <v>348</v>
      </c>
      <c r="BW15" s="1">
        <v>6.51</v>
      </c>
      <c r="BX15" s="1">
        <v>2.69</v>
      </c>
      <c r="BY15" s="1">
        <v>3</v>
      </c>
      <c r="BZ15" s="1">
        <v>8</v>
      </c>
      <c r="CJ15" s="1">
        <v>3.63</v>
      </c>
      <c r="CK15" s="1">
        <v>4.21</v>
      </c>
      <c r="CL15" s="1">
        <v>1.08</v>
      </c>
      <c r="CO15" s="1">
        <v>144.4</v>
      </c>
      <c r="CP15" s="1">
        <v>0</v>
      </c>
      <c r="CR15" s="7"/>
      <c r="CS15" s="7"/>
      <c r="CY15" s="1">
        <v>0</v>
      </c>
      <c r="CZ15" s="1"/>
      <c r="DG15" s="1">
        <v>4.25</v>
      </c>
      <c r="DH15" s="1">
        <v>3.84</v>
      </c>
      <c r="DI15" s="1">
        <v>1.17</v>
      </c>
      <c r="DM15" s="1">
        <v>72.7</v>
      </c>
      <c r="DO15" s="1">
        <v>1</v>
      </c>
      <c r="DP15" s="1"/>
      <c r="DW15" s="1">
        <v>0</v>
      </c>
      <c r="DX15" s="1"/>
    </row>
    <row r="16" spans="1:200" s="6" customFormat="1" ht="12.75" customHeight="1" x14ac:dyDescent="0.35">
      <c r="A16" s="1" t="s">
        <v>222</v>
      </c>
      <c r="B16" s="3" t="s">
        <v>277</v>
      </c>
      <c r="C16" s="1"/>
      <c r="D16" s="1" t="s">
        <v>290</v>
      </c>
      <c r="E16" s="1" t="s">
        <v>194</v>
      </c>
      <c r="F16" s="2" t="s">
        <v>193</v>
      </c>
      <c r="S16" s="1">
        <v>1.75</v>
      </c>
      <c r="T16" s="1">
        <v>2.2799999999999998</v>
      </c>
      <c r="U16" s="1">
        <f t="shared" si="0"/>
        <v>0.76754385964912286</v>
      </c>
      <c r="AE16" s="1">
        <v>30</v>
      </c>
      <c r="AF16" s="1">
        <v>5.56</v>
      </c>
      <c r="AG16" s="1">
        <v>0.86</v>
      </c>
      <c r="AN16" s="1">
        <v>0.86</v>
      </c>
      <c r="AS16" s="1">
        <v>0.44</v>
      </c>
      <c r="BK16" s="1">
        <v>26</v>
      </c>
      <c r="BR16" s="6" t="s">
        <v>346</v>
      </c>
      <c r="BS16" s="6" t="s">
        <v>347</v>
      </c>
      <c r="BT16" s="6" t="s">
        <v>348</v>
      </c>
      <c r="BW16" s="1">
        <v>6.59</v>
      </c>
      <c r="BX16" s="1">
        <v>2.79</v>
      </c>
      <c r="BY16" s="1">
        <v>3.3</v>
      </c>
      <c r="BZ16" s="1">
        <v>8</v>
      </c>
      <c r="CJ16" s="1">
        <v>3.09</v>
      </c>
      <c r="CK16" s="1">
        <v>4.04</v>
      </c>
      <c r="CL16" s="1">
        <v>1</v>
      </c>
      <c r="CO16" s="1">
        <v>164.09</v>
      </c>
      <c r="CP16" s="1">
        <v>0</v>
      </c>
      <c r="CR16" s="7"/>
      <c r="CS16" s="7"/>
      <c r="CY16" s="1">
        <v>0</v>
      </c>
      <c r="CZ16" s="1"/>
      <c r="DG16" s="1">
        <v>3.86</v>
      </c>
      <c r="DH16" s="1">
        <v>3.5199999999999996</v>
      </c>
      <c r="DI16" s="1">
        <v>1.34</v>
      </c>
      <c r="DM16" s="1">
        <v>88.92</v>
      </c>
      <c r="DO16" s="1">
        <v>0</v>
      </c>
      <c r="DP16" s="1"/>
      <c r="DW16" s="1">
        <v>0</v>
      </c>
      <c r="DX16" s="1"/>
    </row>
    <row r="17" spans="1:128" s="6" customFormat="1" ht="12.75" customHeight="1" x14ac:dyDescent="0.35">
      <c r="A17" s="1" t="s">
        <v>222</v>
      </c>
      <c r="B17" s="3" t="s">
        <v>277</v>
      </c>
      <c r="C17" s="1"/>
      <c r="D17" s="1" t="s">
        <v>288</v>
      </c>
      <c r="E17" s="1" t="s">
        <v>196</v>
      </c>
      <c r="F17" s="2" t="s">
        <v>195</v>
      </c>
      <c r="S17" s="1">
        <v>2.02</v>
      </c>
      <c r="T17" s="1">
        <v>2.4</v>
      </c>
      <c r="U17" s="1">
        <f t="shared" si="0"/>
        <v>0.84166666666666667</v>
      </c>
      <c r="AE17" s="1">
        <v>28.65</v>
      </c>
      <c r="AF17" s="1">
        <v>5.48</v>
      </c>
      <c r="AG17" s="1">
        <v>6.82</v>
      </c>
      <c r="AN17" s="1">
        <v>0.75</v>
      </c>
      <c r="AS17" s="1">
        <v>0.39</v>
      </c>
      <c r="BK17" s="1">
        <v>23</v>
      </c>
      <c r="BR17" s="6" t="s">
        <v>346</v>
      </c>
      <c r="BS17" s="6" t="s">
        <v>347</v>
      </c>
      <c r="BT17" s="6" t="s">
        <v>348</v>
      </c>
      <c r="BW17" s="1">
        <v>6.99</v>
      </c>
      <c r="BX17" s="1">
        <v>2.72</v>
      </c>
      <c r="BY17" s="1">
        <v>3.96</v>
      </c>
      <c r="BZ17" s="1">
        <v>8</v>
      </c>
      <c r="CJ17" s="1">
        <v>3.8</v>
      </c>
      <c r="CK17" s="1">
        <v>3.82</v>
      </c>
      <c r="CL17" s="1">
        <v>1.1599999999999999</v>
      </c>
      <c r="CO17" s="1">
        <v>166.38</v>
      </c>
      <c r="CP17" s="1">
        <v>0</v>
      </c>
      <c r="CR17" s="7"/>
      <c r="CS17" s="7"/>
      <c r="CY17" s="1">
        <v>0</v>
      </c>
      <c r="CZ17" s="1"/>
      <c r="DG17" s="1">
        <v>4.37</v>
      </c>
      <c r="DH17" s="1">
        <v>3.8499999999999996</v>
      </c>
      <c r="DI17" s="1">
        <v>1.52</v>
      </c>
      <c r="DM17" s="1">
        <v>79.14</v>
      </c>
      <c r="DO17" s="1">
        <v>1</v>
      </c>
      <c r="DP17" s="1"/>
      <c r="DW17" s="1">
        <v>0</v>
      </c>
      <c r="DX17" s="1"/>
    </row>
    <row r="18" spans="1:128" s="6" customFormat="1" ht="12.75" customHeight="1" x14ac:dyDescent="0.35">
      <c r="A18" s="1" t="s">
        <v>222</v>
      </c>
      <c r="B18" s="3" t="s">
        <v>277</v>
      </c>
      <c r="C18" s="1">
        <v>110771</v>
      </c>
      <c r="D18" s="1" t="s">
        <v>290</v>
      </c>
      <c r="E18" s="1" t="s">
        <v>198</v>
      </c>
      <c r="F18" s="2" t="s">
        <v>197</v>
      </c>
      <c r="S18" s="1">
        <v>1.855</v>
      </c>
      <c r="T18" s="1">
        <v>2.8650000000000002</v>
      </c>
      <c r="U18" s="1">
        <f t="shared" si="0"/>
        <v>0.64746945898778352</v>
      </c>
      <c r="AE18" s="1">
        <v>32.354999999999997</v>
      </c>
      <c r="AF18" s="1">
        <v>6.26</v>
      </c>
      <c r="AG18" s="1">
        <v>5.8900000000000006</v>
      </c>
      <c r="AN18" s="1">
        <v>1.3049999999999999</v>
      </c>
      <c r="AS18" s="1">
        <v>0.35</v>
      </c>
      <c r="BK18" s="1">
        <v>24</v>
      </c>
      <c r="BR18" s="6" t="s">
        <v>346</v>
      </c>
      <c r="BS18" s="6" t="s">
        <v>347</v>
      </c>
      <c r="BT18" s="6" t="s">
        <v>348</v>
      </c>
      <c r="BW18" s="1">
        <v>6.57</v>
      </c>
      <c r="BX18" s="1">
        <v>3.13</v>
      </c>
      <c r="BY18" s="1">
        <v>2.58</v>
      </c>
      <c r="BZ18" s="1">
        <v>9</v>
      </c>
      <c r="CJ18" s="1">
        <v>2.64</v>
      </c>
      <c r="CK18" s="1">
        <v>3.88</v>
      </c>
      <c r="CL18" s="1">
        <v>0.62</v>
      </c>
      <c r="CO18" s="1">
        <v>205.51</v>
      </c>
      <c r="CP18" s="1">
        <v>0</v>
      </c>
      <c r="CR18" s="7"/>
      <c r="CS18" s="7"/>
      <c r="CY18" s="1">
        <v>0</v>
      </c>
      <c r="CZ18" s="1"/>
      <c r="DG18" s="1">
        <v>4.28</v>
      </c>
      <c r="DH18" s="1">
        <v>3.1399999999999997</v>
      </c>
      <c r="DI18" s="1">
        <v>0.94</v>
      </c>
      <c r="DM18" s="1">
        <v>142.02000000000001</v>
      </c>
      <c r="DO18" s="1">
        <v>0</v>
      </c>
      <c r="DP18" s="1"/>
      <c r="DW18" s="1">
        <v>0</v>
      </c>
      <c r="DX18" s="1"/>
    </row>
    <row r="19" spans="1:128" s="6" customFormat="1" ht="12.75" customHeight="1" x14ac:dyDescent="0.35">
      <c r="A19" s="1" t="s">
        <v>222</v>
      </c>
      <c r="B19" s="3" t="s">
        <v>277</v>
      </c>
      <c r="C19" s="1">
        <v>110771</v>
      </c>
      <c r="D19" s="1" t="s">
        <v>290</v>
      </c>
      <c r="E19" s="1" t="s">
        <v>200</v>
      </c>
      <c r="F19" s="2" t="s">
        <v>199</v>
      </c>
      <c r="S19" s="1">
        <v>2.4500000000000002</v>
      </c>
      <c r="T19" s="1">
        <v>2.7749999999999999</v>
      </c>
      <c r="U19" s="1">
        <f t="shared" si="0"/>
        <v>0.88288288288288297</v>
      </c>
      <c r="AE19" s="1">
        <v>33.93</v>
      </c>
      <c r="AF19" s="1">
        <v>6.6150000000000002</v>
      </c>
      <c r="AG19" s="1">
        <v>5.9450000000000003</v>
      </c>
      <c r="AN19" s="1">
        <v>1.0649999999999999</v>
      </c>
      <c r="AS19" s="1">
        <v>0.60000000000000009</v>
      </c>
      <c r="BK19" s="1">
        <v>25</v>
      </c>
      <c r="BR19" s="6" t="s">
        <v>346</v>
      </c>
      <c r="BS19" s="6" t="s">
        <v>347</v>
      </c>
      <c r="BT19" s="6" t="s">
        <v>348</v>
      </c>
      <c r="BW19" s="1">
        <v>6.86</v>
      </c>
      <c r="BX19" s="1">
        <v>2.96</v>
      </c>
      <c r="BY19" s="1">
        <v>2.87</v>
      </c>
      <c r="BZ19" s="1">
        <v>9</v>
      </c>
      <c r="CJ19" s="1">
        <v>2.54</v>
      </c>
      <c r="CK19" s="1">
        <v>3.72</v>
      </c>
      <c r="CL19" s="1">
        <v>0.54</v>
      </c>
      <c r="CO19" s="1">
        <v>151.04</v>
      </c>
      <c r="CP19" s="1">
        <v>0</v>
      </c>
      <c r="CR19" s="7"/>
      <c r="CS19" s="7"/>
      <c r="CY19" s="1">
        <v>0</v>
      </c>
      <c r="CZ19" s="1"/>
      <c r="DG19" s="1">
        <v>4.8899999999999997</v>
      </c>
      <c r="DH19" s="1">
        <v>3.78</v>
      </c>
      <c r="DI19" s="1">
        <v>1.71</v>
      </c>
      <c r="DM19" s="1">
        <v>119.25999999999999</v>
      </c>
      <c r="DO19" s="1">
        <v>0</v>
      </c>
      <c r="DP19" s="1"/>
      <c r="DW19" s="1">
        <v>0</v>
      </c>
      <c r="DX19" s="1"/>
    </row>
    <row r="20" spans="1:128" s="6" customFormat="1" ht="12.75" customHeight="1" x14ac:dyDescent="0.35">
      <c r="A20" s="1" t="s">
        <v>222</v>
      </c>
      <c r="B20" s="3" t="s">
        <v>277</v>
      </c>
      <c r="C20" s="1"/>
      <c r="D20" s="1" t="s">
        <v>330</v>
      </c>
      <c r="E20" s="1" t="s">
        <v>331</v>
      </c>
      <c r="F20" s="1" t="s">
        <v>351</v>
      </c>
      <c r="S20" s="1">
        <v>1.9650000000000001</v>
      </c>
      <c r="T20" s="1">
        <v>1.9249999999999998</v>
      </c>
      <c r="U20" s="1">
        <f t="shared" si="0"/>
        <v>1.020779220779221</v>
      </c>
      <c r="AE20" s="1">
        <v>32.435000000000002</v>
      </c>
      <c r="AF20" s="1">
        <v>5</v>
      </c>
      <c r="AG20" s="1">
        <v>4.99</v>
      </c>
      <c r="AN20" s="1">
        <v>0.88500000000000001</v>
      </c>
      <c r="AS20" s="1">
        <v>0.36</v>
      </c>
      <c r="BK20" s="1">
        <v>24</v>
      </c>
      <c r="BR20" s="6" t="s">
        <v>346</v>
      </c>
      <c r="BS20" s="6" t="s">
        <v>347</v>
      </c>
      <c r="BT20" s="6" t="s">
        <v>348</v>
      </c>
      <c r="BW20" s="1"/>
      <c r="BX20" s="1"/>
      <c r="BY20" s="1"/>
      <c r="BZ20" s="1"/>
      <c r="CJ20" s="1"/>
      <c r="CK20" s="1"/>
      <c r="CL20" s="1"/>
      <c r="CO20" s="1"/>
      <c r="CR20" s="7"/>
      <c r="CS20" s="7"/>
      <c r="DA20" s="1"/>
      <c r="DC20" s="1"/>
      <c r="DD20" s="1"/>
      <c r="DE20" s="1"/>
      <c r="DF20" s="1"/>
      <c r="DG20" s="1"/>
      <c r="DW20" s="1"/>
      <c r="DX20" s="1"/>
    </row>
    <row r="21" spans="1:128" s="6" customFormat="1" ht="12.75" customHeight="1" x14ac:dyDescent="0.35">
      <c r="A21" s="1" t="s">
        <v>222</v>
      </c>
      <c r="B21" s="3" t="s">
        <v>332</v>
      </c>
      <c r="C21" s="1"/>
      <c r="D21" s="1" t="s">
        <v>223</v>
      </c>
      <c r="E21" s="1" t="s">
        <v>354</v>
      </c>
      <c r="F21" s="2" t="s">
        <v>224</v>
      </c>
      <c r="S21" s="1">
        <v>1.65</v>
      </c>
      <c r="T21" s="1">
        <v>2.085</v>
      </c>
      <c r="U21" s="1">
        <f t="shared" si="0"/>
        <v>0.79136690647482011</v>
      </c>
      <c r="AE21" s="1">
        <v>18.594999999999999</v>
      </c>
      <c r="AF21" s="1">
        <v>4.47</v>
      </c>
      <c r="AG21" s="1">
        <v>5.085</v>
      </c>
      <c r="AN21" s="1">
        <v>0.55499999999999994</v>
      </c>
      <c r="AS21" s="1">
        <v>0.48499999999999999</v>
      </c>
      <c r="BK21" s="1">
        <v>19</v>
      </c>
      <c r="BR21" s="6" t="s">
        <v>346</v>
      </c>
      <c r="BS21" s="6" t="s">
        <v>347</v>
      </c>
      <c r="BT21" s="6" t="s">
        <v>348</v>
      </c>
      <c r="BW21" s="1"/>
      <c r="BX21" s="1"/>
      <c r="BY21" s="1"/>
      <c r="BZ21" s="1"/>
      <c r="CJ21" s="1"/>
      <c r="CK21" s="1"/>
      <c r="CL21" s="1"/>
      <c r="CO21" s="1"/>
      <c r="CP21" s="1"/>
      <c r="CR21" s="7"/>
      <c r="CS21" s="7"/>
      <c r="CY21" s="1"/>
      <c r="CZ21" s="1"/>
      <c r="DG21" s="1"/>
      <c r="DH21" s="1"/>
      <c r="DI21" s="1"/>
      <c r="DM21" s="1"/>
      <c r="DO21" s="1"/>
      <c r="DP21" s="1"/>
      <c r="DW21" s="1"/>
      <c r="DX21" s="1"/>
    </row>
    <row r="22" spans="1:128" s="6" customFormat="1" ht="12.75" customHeight="1" x14ac:dyDescent="0.35">
      <c r="A22" s="1" t="s">
        <v>222</v>
      </c>
      <c r="B22" s="3" t="s">
        <v>332</v>
      </c>
      <c r="C22" s="1">
        <v>22078</v>
      </c>
      <c r="D22" s="1" t="s">
        <v>214</v>
      </c>
      <c r="E22" s="1" t="s">
        <v>215</v>
      </c>
      <c r="F22" s="2" t="s">
        <v>165</v>
      </c>
      <c r="S22" s="1">
        <v>2.1850000000000001</v>
      </c>
      <c r="T22" s="1">
        <v>2.63</v>
      </c>
      <c r="U22" s="1">
        <f t="shared" si="0"/>
        <v>0.83079847908745252</v>
      </c>
      <c r="AE22" s="1">
        <v>22.105</v>
      </c>
      <c r="AF22" s="1">
        <v>5.6</v>
      </c>
      <c r="AG22" s="1">
        <v>4.74</v>
      </c>
      <c r="AN22" s="1">
        <v>0.34499999999999997</v>
      </c>
      <c r="AS22" s="1">
        <v>0.82499999999999996</v>
      </c>
      <c r="BK22" s="1">
        <v>21</v>
      </c>
      <c r="BR22" s="6" t="s">
        <v>346</v>
      </c>
      <c r="BS22" s="6" t="s">
        <v>347</v>
      </c>
      <c r="BT22" s="6" t="s">
        <v>348</v>
      </c>
      <c r="BW22" s="1">
        <v>7.88</v>
      </c>
      <c r="BX22" s="1">
        <v>2.73</v>
      </c>
      <c r="BY22" s="1">
        <v>3.51</v>
      </c>
      <c r="BZ22" s="1">
        <v>10</v>
      </c>
      <c r="CJ22" s="1">
        <v>4.26</v>
      </c>
      <c r="CK22" s="1">
        <v>4.01</v>
      </c>
      <c r="CL22" s="1">
        <v>0.89</v>
      </c>
      <c r="CO22" s="1">
        <v>117.93</v>
      </c>
      <c r="CP22" s="1">
        <v>0</v>
      </c>
      <c r="CR22" s="7"/>
      <c r="CS22" s="7"/>
      <c r="CY22" s="1">
        <v>1</v>
      </c>
      <c r="CZ22" s="1"/>
      <c r="DG22" s="1">
        <v>4.76</v>
      </c>
      <c r="DH22" s="1">
        <v>3.72</v>
      </c>
      <c r="DI22" s="1">
        <v>1.17</v>
      </c>
      <c r="DM22" s="1">
        <v>81.680000000000007</v>
      </c>
      <c r="DO22" s="1">
        <v>0</v>
      </c>
      <c r="DP22" s="1"/>
      <c r="DW22" s="1">
        <v>1</v>
      </c>
      <c r="DX22" s="1"/>
    </row>
    <row r="23" spans="1:128" s="6" customFormat="1" ht="12.75" customHeight="1" x14ac:dyDescent="0.35">
      <c r="A23" s="1" t="s">
        <v>222</v>
      </c>
      <c r="B23" s="3" t="s">
        <v>332</v>
      </c>
      <c r="C23" s="1">
        <v>109427</v>
      </c>
      <c r="D23" s="1" t="s">
        <v>216</v>
      </c>
      <c r="E23" s="1" t="s">
        <v>225</v>
      </c>
      <c r="F23" s="2" t="s">
        <v>166</v>
      </c>
      <c r="S23" s="1">
        <v>1.7649999999999999</v>
      </c>
      <c r="T23" s="1">
        <v>2.4000000000000004</v>
      </c>
      <c r="U23" s="1">
        <f t="shared" si="0"/>
        <v>0.7354166666666665</v>
      </c>
      <c r="AE23" s="1">
        <v>16.909999999999997</v>
      </c>
      <c r="AF23" s="1">
        <v>4.9399999999999995</v>
      </c>
      <c r="AG23" s="1">
        <v>3.9749999999999996</v>
      </c>
      <c r="AN23" s="1">
        <v>0.36499999999999999</v>
      </c>
      <c r="AS23" s="1">
        <v>0.625</v>
      </c>
      <c r="BK23" s="1">
        <v>21</v>
      </c>
      <c r="BR23" s="6" t="s">
        <v>346</v>
      </c>
      <c r="BS23" s="6" t="s">
        <v>347</v>
      </c>
      <c r="BT23" s="6" t="s">
        <v>348</v>
      </c>
      <c r="BW23" s="1">
        <v>7.43</v>
      </c>
      <c r="BX23" s="1">
        <v>2.52</v>
      </c>
      <c r="BY23" s="1">
        <v>3.23</v>
      </c>
      <c r="BZ23" s="1">
        <v>9</v>
      </c>
      <c r="CJ23" s="1">
        <v>4.03</v>
      </c>
      <c r="CK23" s="1">
        <v>3.96</v>
      </c>
      <c r="CL23" s="1">
        <v>1.1000000000000001</v>
      </c>
      <c r="CO23" s="1">
        <v>112.99000000000001</v>
      </c>
      <c r="CP23" s="1">
        <v>0</v>
      </c>
      <c r="CR23" s="7"/>
      <c r="CS23" s="7"/>
      <c r="CY23" s="1">
        <v>1</v>
      </c>
      <c r="CZ23" s="1"/>
      <c r="DG23" s="1">
        <v>4.78</v>
      </c>
      <c r="DH23" s="1">
        <v>3.8200000000000003</v>
      </c>
      <c r="DI23" s="1">
        <v>1.18</v>
      </c>
      <c r="DM23" s="1">
        <v>78.860000000000014</v>
      </c>
      <c r="DO23" s="1">
        <v>0</v>
      </c>
      <c r="DP23" s="1"/>
      <c r="DW23" s="1">
        <v>1</v>
      </c>
      <c r="DX23" s="1"/>
    </row>
    <row r="24" spans="1:128" s="6" customFormat="1" ht="12.75" customHeight="1" x14ac:dyDescent="0.35">
      <c r="A24" s="1" t="s">
        <v>222</v>
      </c>
      <c r="B24" s="3" t="s">
        <v>332</v>
      </c>
      <c r="C24" s="1">
        <v>109427</v>
      </c>
      <c r="D24" s="1" t="s">
        <v>216</v>
      </c>
      <c r="E24" s="1" t="s">
        <v>226</v>
      </c>
      <c r="F24" s="2" t="s">
        <v>167</v>
      </c>
      <c r="S24" s="1">
        <v>1.79</v>
      </c>
      <c r="T24" s="1">
        <v>1.9950000000000001</v>
      </c>
      <c r="U24" s="1">
        <f t="shared" si="0"/>
        <v>0.89724310776942351</v>
      </c>
      <c r="AE24" s="1">
        <v>17.855</v>
      </c>
      <c r="AF24" s="1">
        <v>4.5350000000000001</v>
      </c>
      <c r="AG24" s="1">
        <v>4.9550000000000001</v>
      </c>
      <c r="AN24" s="1">
        <v>0.34499999999999997</v>
      </c>
      <c r="AS24" s="1">
        <v>0.54499999999999993</v>
      </c>
      <c r="BK24" s="1">
        <v>19</v>
      </c>
      <c r="BR24" s="6" t="s">
        <v>346</v>
      </c>
      <c r="BS24" s="6" t="s">
        <v>347</v>
      </c>
      <c r="BT24" s="6" t="s">
        <v>348</v>
      </c>
      <c r="BW24" s="1">
        <v>7.87</v>
      </c>
      <c r="BX24" s="1">
        <v>2.31</v>
      </c>
      <c r="BY24" s="1">
        <v>3.06</v>
      </c>
      <c r="BZ24" s="1">
        <v>9</v>
      </c>
      <c r="CJ24" s="1">
        <v>4.43</v>
      </c>
      <c r="CK24" s="1">
        <v>4.0999999999999996</v>
      </c>
      <c r="CL24" s="1">
        <v>1.23</v>
      </c>
      <c r="CO24" s="1">
        <v>120.93</v>
      </c>
      <c r="CP24" s="1">
        <v>0</v>
      </c>
      <c r="CR24" s="7"/>
      <c r="CS24" s="7"/>
      <c r="CY24" s="1">
        <v>1</v>
      </c>
      <c r="CZ24" s="1"/>
      <c r="DG24" s="1">
        <v>5.9</v>
      </c>
      <c r="DH24" s="1">
        <v>4.03</v>
      </c>
      <c r="DI24" s="1">
        <v>1.95</v>
      </c>
      <c r="DM24" s="1">
        <v>66.199999999999989</v>
      </c>
      <c r="DO24" s="1">
        <v>0</v>
      </c>
      <c r="DP24" s="1"/>
      <c r="DW24" s="1">
        <v>1</v>
      </c>
      <c r="DX24" s="1"/>
    </row>
    <row r="25" spans="1:128" s="6" customFormat="1" ht="12.75" customHeight="1" x14ac:dyDescent="0.35">
      <c r="A25" s="1" t="s">
        <v>222</v>
      </c>
      <c r="B25" s="3" t="s">
        <v>332</v>
      </c>
      <c r="C25" s="1">
        <v>109429</v>
      </c>
      <c r="D25" s="1" t="s">
        <v>217</v>
      </c>
      <c r="E25" s="1" t="s">
        <v>227</v>
      </c>
      <c r="F25" s="2" t="s">
        <v>168</v>
      </c>
      <c r="S25" s="1">
        <v>2.2349999999999999</v>
      </c>
      <c r="T25" s="1">
        <v>2.31</v>
      </c>
      <c r="U25" s="1">
        <f t="shared" si="0"/>
        <v>0.96753246753246747</v>
      </c>
      <c r="AE25" s="1">
        <v>23.19</v>
      </c>
      <c r="AF25" s="1">
        <v>5.625</v>
      </c>
      <c r="AG25" s="1">
        <v>4.7850000000000001</v>
      </c>
      <c r="AN25" s="1">
        <v>0.51</v>
      </c>
      <c r="AS25" s="1">
        <v>0.71499999999999997</v>
      </c>
      <c r="BK25" s="1">
        <v>23</v>
      </c>
      <c r="BR25" s="6" t="s">
        <v>346</v>
      </c>
      <c r="BS25" s="6" t="s">
        <v>347</v>
      </c>
      <c r="BT25" s="6" t="s">
        <v>348</v>
      </c>
      <c r="BW25" s="1">
        <v>7.79</v>
      </c>
      <c r="BX25" s="1">
        <v>2.72</v>
      </c>
      <c r="BY25" s="1">
        <v>3.1</v>
      </c>
      <c r="BZ25" s="1">
        <v>12</v>
      </c>
      <c r="CJ25" s="1">
        <v>3.72</v>
      </c>
      <c r="CK25" s="1">
        <v>4.22</v>
      </c>
      <c r="CL25" s="1">
        <v>1.1200000000000001</v>
      </c>
      <c r="CO25" s="1">
        <v>129.69999999999999</v>
      </c>
      <c r="CP25" s="1">
        <v>0</v>
      </c>
      <c r="CR25" s="7"/>
      <c r="CS25" s="7"/>
      <c r="CY25" s="1">
        <v>1</v>
      </c>
      <c r="CZ25" s="1"/>
      <c r="DG25" s="1">
        <v>5.73</v>
      </c>
      <c r="DH25" s="1">
        <v>3.8100000000000005</v>
      </c>
      <c r="DI25" s="1">
        <v>1.49</v>
      </c>
      <c r="DM25" s="1">
        <v>47.38</v>
      </c>
      <c r="DO25" s="1"/>
      <c r="DP25" s="1"/>
      <c r="DW25" s="1">
        <v>1</v>
      </c>
      <c r="DX25" s="1"/>
    </row>
    <row r="26" spans="1:128" s="6" customFormat="1" ht="12.75" customHeight="1" x14ac:dyDescent="0.35">
      <c r="A26" s="1" t="s">
        <v>222</v>
      </c>
      <c r="B26" s="3" t="s">
        <v>332</v>
      </c>
      <c r="C26" s="1">
        <v>109429</v>
      </c>
      <c r="D26" s="1" t="s">
        <v>217</v>
      </c>
      <c r="E26" s="1" t="s">
        <v>228</v>
      </c>
      <c r="F26" s="2" t="s">
        <v>169</v>
      </c>
      <c r="S26" s="1">
        <v>1.865</v>
      </c>
      <c r="T26" s="1">
        <v>2.1</v>
      </c>
      <c r="U26" s="1">
        <f t="shared" si="0"/>
        <v>0.88809523809523805</v>
      </c>
      <c r="AE26" s="1">
        <v>18.020000000000003</v>
      </c>
      <c r="AF26" s="1">
        <v>5.2949999999999999</v>
      </c>
      <c r="AG26" s="1">
        <v>4.2450000000000001</v>
      </c>
      <c r="AN26" s="1">
        <v>0.56499999999999995</v>
      </c>
      <c r="AS26" s="1">
        <v>0.58000000000000007</v>
      </c>
      <c r="BK26" s="1">
        <v>21</v>
      </c>
      <c r="BR26" s="6" t="s">
        <v>346</v>
      </c>
      <c r="BS26" s="6" t="s">
        <v>347</v>
      </c>
      <c r="BT26" s="6" t="s">
        <v>348</v>
      </c>
      <c r="BW26" s="1">
        <v>6.47</v>
      </c>
      <c r="BX26" s="1">
        <v>2.5499999999999998</v>
      </c>
      <c r="BY26" s="1">
        <v>3.37</v>
      </c>
      <c r="BZ26" s="1">
        <v>11</v>
      </c>
      <c r="CJ26" s="1">
        <v>3.61</v>
      </c>
      <c r="CK26" s="1">
        <v>3.5700000000000003</v>
      </c>
      <c r="CL26" s="1">
        <v>1.1399999999999999</v>
      </c>
      <c r="CO26" s="1">
        <v>107.6</v>
      </c>
      <c r="CP26" s="1">
        <v>0</v>
      </c>
      <c r="CR26" s="7"/>
      <c r="CS26" s="7"/>
      <c r="CY26" s="1">
        <v>1</v>
      </c>
      <c r="CZ26" s="1"/>
      <c r="DG26" s="1">
        <v>4.3499999999999996</v>
      </c>
      <c r="DH26" s="1">
        <v>3.44</v>
      </c>
      <c r="DI26" s="1">
        <v>1.37</v>
      </c>
      <c r="DM26" s="1">
        <v>45</v>
      </c>
      <c r="DO26" s="1"/>
      <c r="DP26" s="1"/>
      <c r="DW26" s="1">
        <v>1</v>
      </c>
      <c r="DX26" s="1"/>
    </row>
    <row r="27" spans="1:128" s="6" customFormat="1" ht="12.75" customHeight="1" x14ac:dyDescent="0.35">
      <c r="A27" s="1" t="s">
        <v>242</v>
      </c>
      <c r="B27" s="3" t="s">
        <v>243</v>
      </c>
      <c r="C27" s="1">
        <v>109886</v>
      </c>
      <c r="D27" s="1" t="s">
        <v>244</v>
      </c>
      <c r="E27" s="1" t="s">
        <v>245</v>
      </c>
      <c r="F27" s="2" t="s">
        <v>246</v>
      </c>
      <c r="S27" s="1">
        <v>1.96</v>
      </c>
      <c r="T27" s="1">
        <v>0.95</v>
      </c>
      <c r="U27" s="1">
        <f t="shared" si="0"/>
        <v>2.0631578947368423</v>
      </c>
      <c r="AE27" s="1">
        <v>22.38</v>
      </c>
      <c r="AF27" s="1">
        <v>2.25</v>
      </c>
      <c r="AG27" s="1">
        <v>5.87</v>
      </c>
      <c r="AN27" s="1">
        <v>1.19</v>
      </c>
      <c r="AS27" s="1">
        <v>0</v>
      </c>
      <c r="BK27" s="1">
        <v>12</v>
      </c>
      <c r="BR27" s="6" t="s">
        <v>346</v>
      </c>
      <c r="BS27" s="6" t="s">
        <v>347</v>
      </c>
      <c r="BT27" s="6" t="s">
        <v>348</v>
      </c>
      <c r="BW27" s="1">
        <v>6.22</v>
      </c>
      <c r="BX27" s="1">
        <v>2.25</v>
      </c>
      <c r="BY27" s="1">
        <v>3.43</v>
      </c>
      <c r="BZ27" s="1">
        <v>10</v>
      </c>
      <c r="CJ27" s="1">
        <v>2.85</v>
      </c>
      <c r="CK27" s="1">
        <v>4.1500000000000004</v>
      </c>
      <c r="CL27" s="1">
        <v>1.06</v>
      </c>
      <c r="CO27" s="1">
        <v>94.61</v>
      </c>
      <c r="CP27" s="1">
        <v>1</v>
      </c>
      <c r="CR27" s="7"/>
      <c r="CS27" s="7"/>
      <c r="CY27" s="1">
        <v>0</v>
      </c>
      <c r="CZ27" s="1"/>
      <c r="DG27" s="1">
        <v>4.12</v>
      </c>
      <c r="DH27" s="1">
        <v>3.21</v>
      </c>
      <c r="DI27" s="1">
        <v>1.7599999999999998</v>
      </c>
      <c r="DM27" s="1">
        <v>74.13</v>
      </c>
      <c r="DO27" s="1">
        <v>0</v>
      </c>
      <c r="DP27" s="1"/>
      <c r="DW27" s="1">
        <v>0</v>
      </c>
      <c r="DX27" s="1"/>
    </row>
    <row r="28" spans="1:128" s="6" customFormat="1" ht="12.75" customHeight="1" x14ac:dyDescent="0.35">
      <c r="A28" s="1" t="s">
        <v>242</v>
      </c>
      <c r="B28" s="3" t="s">
        <v>243</v>
      </c>
      <c r="C28" s="1">
        <v>109886</v>
      </c>
      <c r="D28" s="1" t="s">
        <v>244</v>
      </c>
      <c r="E28" s="1" t="s">
        <v>247</v>
      </c>
      <c r="F28" s="2" t="s">
        <v>248</v>
      </c>
      <c r="S28" s="1">
        <v>1.83</v>
      </c>
      <c r="T28" s="1">
        <v>1.08</v>
      </c>
      <c r="U28" s="1">
        <f t="shared" si="0"/>
        <v>1.6944444444444444</v>
      </c>
      <c r="AE28" s="1">
        <v>23.87</v>
      </c>
      <c r="AF28" s="1">
        <v>2.4700000000000002</v>
      </c>
      <c r="AG28" s="1">
        <v>6.06</v>
      </c>
      <c r="AN28" s="1">
        <v>0.96</v>
      </c>
      <c r="AS28" s="1">
        <v>0</v>
      </c>
      <c r="BK28" s="1">
        <v>13</v>
      </c>
      <c r="BR28" s="6" t="s">
        <v>346</v>
      </c>
      <c r="BS28" s="6" t="s">
        <v>347</v>
      </c>
      <c r="BT28" s="6" t="s">
        <v>348</v>
      </c>
      <c r="BW28" s="1">
        <v>6.12</v>
      </c>
      <c r="BX28" s="1">
        <v>2.41</v>
      </c>
      <c r="BY28" s="1">
        <v>2.35</v>
      </c>
      <c r="BZ28" s="1">
        <v>12</v>
      </c>
      <c r="CJ28" s="1">
        <v>2.66</v>
      </c>
      <c r="CK28" s="1">
        <v>3.96</v>
      </c>
      <c r="CL28" s="1">
        <v>0.57999999999999996</v>
      </c>
      <c r="CO28" s="1">
        <v>73.69</v>
      </c>
      <c r="CP28" s="1">
        <v>1</v>
      </c>
      <c r="CR28" s="7"/>
      <c r="CS28" s="7"/>
      <c r="CY28" s="1">
        <v>0</v>
      </c>
      <c r="CZ28" s="1"/>
      <c r="DG28" s="1">
        <v>3.97</v>
      </c>
      <c r="DH28" s="1">
        <v>2.89</v>
      </c>
      <c r="DI28" s="1">
        <v>0.68</v>
      </c>
      <c r="DM28" s="1">
        <v>86.949999999999989</v>
      </c>
      <c r="DO28" s="1">
        <v>1</v>
      </c>
      <c r="DP28" s="1"/>
      <c r="DW28" s="1">
        <v>0</v>
      </c>
      <c r="DX28" s="1"/>
    </row>
    <row r="29" spans="1:128" s="6" customFormat="1" ht="12.75" customHeight="1" x14ac:dyDescent="0.35">
      <c r="A29" s="1" t="s">
        <v>242</v>
      </c>
      <c r="B29" s="3" t="s">
        <v>243</v>
      </c>
      <c r="C29" s="1">
        <v>109887</v>
      </c>
      <c r="D29" s="1" t="s">
        <v>249</v>
      </c>
      <c r="E29" s="1" t="s">
        <v>250</v>
      </c>
      <c r="F29" s="2" t="s">
        <v>251</v>
      </c>
      <c r="S29" s="1">
        <v>1.1299999999999999</v>
      </c>
      <c r="T29" s="1">
        <v>0.98</v>
      </c>
      <c r="U29" s="1">
        <f t="shared" si="0"/>
        <v>1.1530612244897958</v>
      </c>
      <c r="AE29" s="1">
        <v>18.420000000000002</v>
      </c>
      <c r="AF29" s="1">
        <v>2.31</v>
      </c>
      <c r="AG29" s="1">
        <v>3.52</v>
      </c>
      <c r="AN29" s="1">
        <v>0.85</v>
      </c>
      <c r="AS29" s="1">
        <v>0</v>
      </c>
      <c r="BK29" s="1">
        <v>13</v>
      </c>
      <c r="BR29" s="6" t="s">
        <v>346</v>
      </c>
      <c r="BS29" s="6" t="s">
        <v>347</v>
      </c>
      <c r="BT29" s="6" t="s">
        <v>348</v>
      </c>
      <c r="BW29" s="1">
        <v>6.25</v>
      </c>
      <c r="BX29" s="1">
        <v>2.16</v>
      </c>
      <c r="BY29" s="1">
        <v>2.37</v>
      </c>
      <c r="BZ29" s="1">
        <v>10</v>
      </c>
      <c r="CJ29" s="1">
        <v>2.93</v>
      </c>
      <c r="CK29" s="1">
        <v>3.44</v>
      </c>
      <c r="CL29" s="1">
        <v>0.65</v>
      </c>
      <c r="CO29" s="1">
        <v>93</v>
      </c>
      <c r="CP29" s="1">
        <v>1</v>
      </c>
      <c r="CR29" s="7"/>
      <c r="CS29" s="7"/>
      <c r="CY29" s="1">
        <v>0</v>
      </c>
      <c r="CZ29" s="1"/>
      <c r="DG29" s="1">
        <v>4.2300000000000004</v>
      </c>
      <c r="DH29" s="1">
        <v>3.04</v>
      </c>
      <c r="DI29" s="1">
        <v>1.84</v>
      </c>
      <c r="DM29" s="1">
        <v>88.3</v>
      </c>
      <c r="DO29" s="1">
        <v>0</v>
      </c>
      <c r="DP29" s="1"/>
      <c r="DW29" s="1">
        <v>0</v>
      </c>
      <c r="DX29" s="1"/>
    </row>
    <row r="30" spans="1:128" s="6" customFormat="1" ht="12.75" customHeight="1" x14ac:dyDescent="0.35">
      <c r="A30" s="1" t="s">
        <v>242</v>
      </c>
      <c r="B30" s="3" t="s">
        <v>243</v>
      </c>
      <c r="C30" s="1">
        <v>109888</v>
      </c>
      <c r="D30" s="1" t="s">
        <v>249</v>
      </c>
      <c r="E30" s="1" t="s">
        <v>252</v>
      </c>
      <c r="F30" s="2" t="s">
        <v>253</v>
      </c>
      <c r="S30" s="1">
        <v>1.3</v>
      </c>
      <c r="T30" s="1">
        <v>1.1200000000000001</v>
      </c>
      <c r="U30" s="1">
        <f t="shared" si="0"/>
        <v>1.1607142857142856</v>
      </c>
      <c r="AE30" s="1">
        <v>27.15</v>
      </c>
      <c r="AF30" s="1">
        <v>2.09</v>
      </c>
      <c r="AG30" s="1">
        <v>3.5</v>
      </c>
      <c r="AN30" s="1">
        <v>1.07</v>
      </c>
      <c r="AS30" s="1">
        <v>0</v>
      </c>
      <c r="BK30" s="1">
        <v>13</v>
      </c>
      <c r="BR30" s="6" t="s">
        <v>346</v>
      </c>
      <c r="BS30" s="6" t="s">
        <v>347</v>
      </c>
      <c r="BT30" s="6" t="s">
        <v>348</v>
      </c>
      <c r="BW30" s="1">
        <v>5.26</v>
      </c>
      <c r="BX30" s="1">
        <v>2.13</v>
      </c>
      <c r="BY30" s="1">
        <v>2.02</v>
      </c>
      <c r="BZ30" s="1">
        <v>9</v>
      </c>
      <c r="CJ30" s="1">
        <v>2.81</v>
      </c>
      <c r="CK30" s="1">
        <v>3.3600000000000003</v>
      </c>
      <c r="CL30" s="1">
        <v>1.02</v>
      </c>
      <c r="CO30" s="1">
        <v>154.99</v>
      </c>
      <c r="CP30" s="1">
        <v>0</v>
      </c>
      <c r="CR30" s="7"/>
      <c r="CS30" s="7"/>
      <c r="CY30" s="1">
        <v>0</v>
      </c>
      <c r="CZ30" s="1"/>
      <c r="DG30" s="1">
        <v>4</v>
      </c>
      <c r="DH30" s="1">
        <v>3</v>
      </c>
      <c r="DI30" s="1">
        <v>1.6</v>
      </c>
      <c r="DM30" s="1">
        <v>107.1</v>
      </c>
      <c r="DO30" s="1">
        <v>0</v>
      </c>
      <c r="DP30" s="1"/>
      <c r="DW30" s="1">
        <v>0</v>
      </c>
      <c r="DX30" s="1"/>
    </row>
    <row r="31" spans="1:128" s="6" customFormat="1" ht="12.75" customHeight="1" x14ac:dyDescent="0.35">
      <c r="A31" s="1" t="s">
        <v>242</v>
      </c>
      <c r="B31" s="3" t="s">
        <v>243</v>
      </c>
      <c r="C31" s="1">
        <v>109532</v>
      </c>
      <c r="D31" s="1" t="s">
        <v>254</v>
      </c>
      <c r="E31" s="1" t="s">
        <v>179</v>
      </c>
      <c r="F31" s="2" t="s">
        <v>255</v>
      </c>
      <c r="S31" s="1">
        <v>1.49</v>
      </c>
      <c r="T31" s="1">
        <v>1.01</v>
      </c>
      <c r="U31" s="1">
        <f t="shared" si="0"/>
        <v>1.4752475247524752</v>
      </c>
      <c r="AE31" s="1">
        <v>20.95</v>
      </c>
      <c r="AF31" s="1">
        <v>2.4900000000000002</v>
      </c>
      <c r="AG31" s="1">
        <v>5.15</v>
      </c>
      <c r="AN31" s="1">
        <v>0.48</v>
      </c>
      <c r="AS31" s="1">
        <v>0</v>
      </c>
      <c r="BK31" s="1">
        <v>13</v>
      </c>
      <c r="BR31" s="6" t="s">
        <v>346</v>
      </c>
      <c r="BS31" s="6" t="s">
        <v>347</v>
      </c>
      <c r="BT31" s="6" t="s">
        <v>348</v>
      </c>
      <c r="BW31" s="1">
        <v>5.74</v>
      </c>
      <c r="BX31" s="1">
        <v>2.27</v>
      </c>
      <c r="BY31" s="1">
        <v>2.4700000000000002</v>
      </c>
      <c r="BZ31" s="1">
        <v>10</v>
      </c>
      <c r="CJ31" s="1">
        <v>3.16</v>
      </c>
      <c r="CK31" s="1">
        <v>3.74</v>
      </c>
      <c r="CL31" s="1">
        <v>1.1100000000000001</v>
      </c>
      <c r="CO31" s="1">
        <v>145.38</v>
      </c>
      <c r="CP31" s="1">
        <v>0</v>
      </c>
      <c r="CR31" s="7"/>
      <c r="CS31" s="7"/>
      <c r="CY31" s="1">
        <v>0</v>
      </c>
      <c r="CZ31" s="1"/>
      <c r="DG31" s="1">
        <v>4.29</v>
      </c>
      <c r="DH31" s="1">
        <v>3.05</v>
      </c>
      <c r="DI31" s="1">
        <v>1.79</v>
      </c>
      <c r="DM31" s="1">
        <v>103.87</v>
      </c>
      <c r="DO31" s="1">
        <v>0</v>
      </c>
      <c r="DP31" s="1"/>
      <c r="DW31" s="1">
        <v>0</v>
      </c>
      <c r="DX31" s="1"/>
    </row>
    <row r="32" spans="1:128" s="6" customFormat="1" ht="12.75" customHeight="1" x14ac:dyDescent="0.35">
      <c r="A32" s="1" t="s">
        <v>242</v>
      </c>
      <c r="B32" s="3" t="s">
        <v>243</v>
      </c>
      <c r="C32" s="1">
        <v>109532</v>
      </c>
      <c r="D32" s="1" t="s">
        <v>254</v>
      </c>
      <c r="E32" s="1" t="s">
        <v>180</v>
      </c>
      <c r="F32" s="2" t="s">
        <v>256</v>
      </c>
      <c r="S32" s="1">
        <v>1.0900000000000001</v>
      </c>
      <c r="T32" s="1">
        <v>0.86</v>
      </c>
      <c r="U32" s="1">
        <f t="shared" si="0"/>
        <v>1.2674418604651163</v>
      </c>
      <c r="AE32" s="1">
        <v>15.91</v>
      </c>
      <c r="AF32" s="1">
        <v>1.96</v>
      </c>
      <c r="AG32" s="1">
        <v>3.58</v>
      </c>
      <c r="AN32" s="1">
        <v>0.88</v>
      </c>
      <c r="AS32" s="1">
        <v>0</v>
      </c>
      <c r="BK32" s="1">
        <v>11</v>
      </c>
      <c r="BR32" s="6" t="s">
        <v>346</v>
      </c>
      <c r="BS32" s="6" t="s">
        <v>347</v>
      </c>
      <c r="BT32" s="6" t="s">
        <v>348</v>
      </c>
      <c r="BW32" s="1">
        <v>6.7</v>
      </c>
      <c r="BX32" s="1">
        <v>2.5499999999999998</v>
      </c>
      <c r="BY32" s="1">
        <v>3.16</v>
      </c>
      <c r="BZ32" s="1">
        <v>11</v>
      </c>
      <c r="CJ32" s="1">
        <v>3.1</v>
      </c>
      <c r="CK32" s="1">
        <v>3.92</v>
      </c>
      <c r="CL32" s="1">
        <v>0.98</v>
      </c>
      <c r="CO32" s="1">
        <v>108.81</v>
      </c>
      <c r="CP32" s="1">
        <v>0</v>
      </c>
      <c r="CR32" s="7"/>
      <c r="CS32" s="7"/>
      <c r="CY32" s="1">
        <v>0</v>
      </c>
      <c r="CZ32" s="1"/>
      <c r="DG32" s="1">
        <v>4.5599999999999996</v>
      </c>
      <c r="DH32" s="1">
        <v>2.98</v>
      </c>
      <c r="DI32" s="1">
        <v>1.97</v>
      </c>
      <c r="DM32" s="1">
        <v>80.09</v>
      </c>
      <c r="DO32" s="1">
        <v>0</v>
      </c>
      <c r="DP32" s="1"/>
      <c r="DW32" s="1">
        <v>0</v>
      </c>
      <c r="DX32" s="1"/>
    </row>
    <row r="33" spans="1:130" s="6" customFormat="1" ht="12.75" customHeight="1" x14ac:dyDescent="0.35">
      <c r="A33" s="1" t="s">
        <v>242</v>
      </c>
      <c r="B33" s="3" t="s">
        <v>257</v>
      </c>
      <c r="C33" s="1">
        <v>109883</v>
      </c>
      <c r="D33" s="1" t="s">
        <v>258</v>
      </c>
      <c r="E33" s="1" t="s">
        <v>259</v>
      </c>
      <c r="F33" s="2" t="s">
        <v>260</v>
      </c>
      <c r="S33" s="1">
        <v>2.19</v>
      </c>
      <c r="T33" s="1">
        <v>1.27</v>
      </c>
      <c r="U33" s="1">
        <f t="shared" si="0"/>
        <v>1.7244094488188975</v>
      </c>
      <c r="AE33" s="1">
        <v>29.79</v>
      </c>
      <c r="AF33" s="1">
        <v>2.65</v>
      </c>
      <c r="AG33" s="1">
        <v>3.99</v>
      </c>
      <c r="AN33" s="1">
        <v>1.01</v>
      </c>
      <c r="AS33" s="1">
        <v>0</v>
      </c>
      <c r="BK33" s="1">
        <v>12</v>
      </c>
      <c r="BR33" s="6" t="s">
        <v>346</v>
      </c>
      <c r="BS33" s="6" t="s">
        <v>347</v>
      </c>
      <c r="BT33" s="6" t="s">
        <v>348</v>
      </c>
      <c r="BW33" s="1">
        <v>7.75</v>
      </c>
      <c r="BX33" s="1">
        <v>2.15</v>
      </c>
      <c r="BY33" s="1">
        <v>3.58</v>
      </c>
      <c r="BZ33" s="1">
        <v>10</v>
      </c>
      <c r="CJ33" s="1">
        <v>2.91</v>
      </c>
      <c r="CK33" s="1">
        <v>2.9299999999999997</v>
      </c>
      <c r="CL33" s="1">
        <v>0.55000000000000004</v>
      </c>
      <c r="CO33" s="1">
        <v>81.04000000000002</v>
      </c>
      <c r="CP33" s="1">
        <v>1</v>
      </c>
      <c r="CR33" s="7"/>
      <c r="CS33" s="7"/>
      <c r="CY33" s="1">
        <v>0</v>
      </c>
      <c r="CZ33" s="1"/>
      <c r="DG33" s="1">
        <v>5.39</v>
      </c>
      <c r="DH33" s="1">
        <v>2.8200000000000003</v>
      </c>
      <c r="DI33" s="1">
        <v>1.21</v>
      </c>
      <c r="DM33" s="1">
        <v>54.389999999999986</v>
      </c>
      <c r="DO33" s="1">
        <v>0</v>
      </c>
      <c r="DP33" s="1"/>
      <c r="DW33" s="1">
        <v>1</v>
      </c>
      <c r="DX33" s="1"/>
    </row>
    <row r="34" spans="1:130" s="6" customFormat="1" ht="12.75" customHeight="1" x14ac:dyDescent="0.35">
      <c r="A34" s="1" t="s">
        <v>239</v>
      </c>
      <c r="B34" s="3" t="s">
        <v>328</v>
      </c>
      <c r="C34" s="1">
        <v>109706</v>
      </c>
      <c r="D34" s="1" t="s">
        <v>333</v>
      </c>
      <c r="E34" s="1" t="s">
        <v>240</v>
      </c>
      <c r="F34" s="2" t="s">
        <v>177</v>
      </c>
      <c r="S34" s="1">
        <v>1.43</v>
      </c>
      <c r="T34" s="1">
        <v>1.45</v>
      </c>
      <c r="U34" s="1">
        <f>S34/T34</f>
        <v>0.98620689655172411</v>
      </c>
      <c r="AE34" s="1">
        <v>20.69</v>
      </c>
      <c r="AF34" s="1">
        <v>2.59</v>
      </c>
      <c r="AG34" s="1">
        <v>4.5999999999999996</v>
      </c>
      <c r="AN34" s="1">
        <v>1.2</v>
      </c>
      <c r="AS34" s="1">
        <v>0.06</v>
      </c>
      <c r="BK34" s="1">
        <v>11</v>
      </c>
      <c r="BR34" s="6" t="s">
        <v>346</v>
      </c>
      <c r="BS34" s="6" t="s">
        <v>347</v>
      </c>
      <c r="BT34" s="6" t="s">
        <v>348</v>
      </c>
      <c r="BW34" s="1">
        <v>6.65</v>
      </c>
      <c r="BX34" s="1">
        <v>1.84</v>
      </c>
      <c r="BY34" s="1">
        <v>2.85</v>
      </c>
      <c r="BZ34" s="1">
        <v>9</v>
      </c>
      <c r="CJ34" s="1">
        <v>3.98</v>
      </c>
      <c r="CK34" s="1">
        <v>3.3</v>
      </c>
      <c r="CL34" s="1">
        <v>0.68</v>
      </c>
      <c r="CO34" s="1">
        <v>70.540000000000006</v>
      </c>
      <c r="CP34" s="1">
        <v>1</v>
      </c>
      <c r="CR34" s="7"/>
      <c r="CS34" s="7"/>
      <c r="CY34" s="1">
        <v>0</v>
      </c>
      <c r="CZ34" s="1"/>
      <c r="DG34" s="1">
        <v>4.8</v>
      </c>
      <c r="DH34" s="1">
        <v>2.63</v>
      </c>
      <c r="DI34" s="1">
        <v>0.95</v>
      </c>
      <c r="DM34" s="1">
        <v>26.939999999999998</v>
      </c>
      <c r="DO34" s="1">
        <v>0</v>
      </c>
      <c r="DP34" s="1"/>
      <c r="DW34" s="1">
        <v>0</v>
      </c>
      <c r="DX34" s="1"/>
    </row>
    <row r="35" spans="1:130" s="6" customFormat="1" ht="12.75" customHeight="1" x14ac:dyDescent="0.35">
      <c r="A35" s="1" t="s">
        <v>239</v>
      </c>
      <c r="B35" s="3" t="s">
        <v>328</v>
      </c>
      <c r="C35" s="1">
        <v>109706</v>
      </c>
      <c r="D35" s="1" t="s">
        <v>333</v>
      </c>
      <c r="E35" s="1" t="s">
        <v>241</v>
      </c>
      <c r="F35" s="2" t="s">
        <v>178</v>
      </c>
      <c r="S35" s="1">
        <v>1.1100000000000001</v>
      </c>
      <c r="T35" s="1">
        <v>1.52</v>
      </c>
      <c r="U35" s="1">
        <f>S35/T35</f>
        <v>0.73026315789473695</v>
      </c>
      <c r="AE35" s="1">
        <v>20.49</v>
      </c>
      <c r="AF35" s="1">
        <v>2.62</v>
      </c>
      <c r="AG35" s="1">
        <v>5.05</v>
      </c>
      <c r="AN35" s="1">
        <v>1.53</v>
      </c>
      <c r="AS35" s="1">
        <v>0.09</v>
      </c>
      <c r="BK35" s="1">
        <v>11</v>
      </c>
      <c r="BR35" s="6" t="s">
        <v>346</v>
      </c>
      <c r="BS35" s="6" t="s">
        <v>347</v>
      </c>
      <c r="BT35" s="6" t="s">
        <v>348</v>
      </c>
      <c r="BW35" s="1">
        <v>7.4</v>
      </c>
      <c r="BX35" s="1">
        <v>2.06</v>
      </c>
      <c r="BY35" s="1">
        <v>2.76</v>
      </c>
      <c r="BZ35" s="1">
        <v>8</v>
      </c>
      <c r="CJ35" s="1">
        <v>4.05</v>
      </c>
      <c r="CK35" s="1">
        <v>3.38</v>
      </c>
      <c r="CL35" s="1">
        <v>1.36</v>
      </c>
      <c r="CO35" s="1">
        <v>37.35</v>
      </c>
      <c r="CP35" s="1">
        <v>1</v>
      </c>
      <c r="CR35" s="7"/>
      <c r="CS35" s="7"/>
      <c r="CY35" s="1">
        <v>0</v>
      </c>
      <c r="CZ35" s="1"/>
      <c r="DG35" s="1">
        <v>4.92</v>
      </c>
      <c r="DH35" s="1">
        <v>2.66</v>
      </c>
      <c r="DI35" s="1">
        <v>0.79</v>
      </c>
      <c r="DM35" s="1">
        <v>33.19</v>
      </c>
      <c r="DO35" s="1">
        <v>1</v>
      </c>
      <c r="DP35" s="1"/>
      <c r="DW35" s="1">
        <v>0</v>
      </c>
      <c r="DX35" s="1"/>
    </row>
    <row r="36" spans="1:130" s="6" customFormat="1" ht="12.75" customHeight="1" x14ac:dyDescent="0.35">
      <c r="A36" s="1" t="s">
        <v>239</v>
      </c>
      <c r="B36" s="3" t="s">
        <v>291</v>
      </c>
      <c r="C36" s="1">
        <v>110750</v>
      </c>
      <c r="D36" s="1" t="s">
        <v>292</v>
      </c>
      <c r="E36" s="1" t="s">
        <v>293</v>
      </c>
      <c r="F36" s="2" t="s">
        <v>355</v>
      </c>
      <c r="S36" s="1">
        <v>0.61</v>
      </c>
      <c r="T36" s="1">
        <v>0.86</v>
      </c>
      <c r="U36" s="1">
        <f t="shared" si="0"/>
        <v>0.70930232558139539</v>
      </c>
      <c r="AE36" s="1">
        <v>13.09</v>
      </c>
      <c r="AF36" s="1">
        <v>1.96</v>
      </c>
      <c r="AG36" s="1">
        <v>2.2400000000000002</v>
      </c>
      <c r="AN36" s="13">
        <v>1.02</v>
      </c>
      <c r="AS36" s="1">
        <v>0.05</v>
      </c>
      <c r="BK36" s="1">
        <v>9</v>
      </c>
      <c r="BR36" s="6" t="s">
        <v>346</v>
      </c>
      <c r="BS36" s="6" t="s">
        <v>347</v>
      </c>
      <c r="BT36" s="6" t="s">
        <v>348</v>
      </c>
      <c r="BW36" s="1">
        <v>6.06</v>
      </c>
      <c r="BX36" s="1">
        <v>1.95</v>
      </c>
      <c r="BY36" s="1">
        <v>2.4500000000000002</v>
      </c>
      <c r="BZ36" s="1">
        <v>10</v>
      </c>
      <c r="CJ36" s="1">
        <v>2.98</v>
      </c>
      <c r="CK36" s="1">
        <v>3.94</v>
      </c>
      <c r="CL36" s="1">
        <v>1.22</v>
      </c>
      <c r="CO36" s="1">
        <v>119.91999999999999</v>
      </c>
      <c r="CP36" s="1">
        <v>1</v>
      </c>
      <c r="CR36" s="7"/>
      <c r="CS36" s="7"/>
      <c r="CY36" s="1">
        <v>0</v>
      </c>
      <c r="CZ36" s="1"/>
      <c r="DG36" s="1">
        <v>4.09</v>
      </c>
      <c r="DH36" s="12">
        <v>3.15</v>
      </c>
      <c r="DI36" s="1">
        <v>1.08</v>
      </c>
      <c r="DM36" s="12">
        <v>100.63999999999999</v>
      </c>
      <c r="DO36" s="1">
        <v>0</v>
      </c>
      <c r="DP36" s="1"/>
      <c r="DW36" s="1">
        <v>1</v>
      </c>
      <c r="DX36" s="1"/>
    </row>
    <row r="37" spans="1:130" s="5" customFormat="1" ht="12.75" customHeight="1" x14ac:dyDescent="0.35">
      <c r="A37" s="13" t="s">
        <v>239</v>
      </c>
      <c r="B37" s="14" t="s">
        <v>291</v>
      </c>
      <c r="C37" s="13">
        <v>110750</v>
      </c>
      <c r="D37" s="13" t="s">
        <v>292</v>
      </c>
      <c r="E37" s="13" t="s">
        <v>294</v>
      </c>
      <c r="F37" s="15" t="s">
        <v>356</v>
      </c>
      <c r="S37" s="13">
        <v>0.7</v>
      </c>
      <c r="T37" s="13">
        <v>0.86</v>
      </c>
      <c r="U37" s="13">
        <f>S37/T37</f>
        <v>0.81395348837209303</v>
      </c>
      <c r="AE37" s="13">
        <v>14.53</v>
      </c>
      <c r="AF37" s="13">
        <v>1.56</v>
      </c>
      <c r="AG37" s="13">
        <v>2.12</v>
      </c>
      <c r="AN37" s="13">
        <v>1.3</v>
      </c>
      <c r="AS37" s="13">
        <v>0.05</v>
      </c>
      <c r="BK37" s="13">
        <v>7</v>
      </c>
      <c r="BR37" s="5" t="s">
        <v>346</v>
      </c>
      <c r="BS37" s="5" t="s">
        <v>347</v>
      </c>
      <c r="BT37" s="5" t="s">
        <v>348</v>
      </c>
      <c r="BW37" s="13">
        <v>7.17</v>
      </c>
      <c r="BX37" s="13">
        <v>2.64</v>
      </c>
      <c r="BY37" s="13">
        <v>2.4700000000000002</v>
      </c>
      <c r="BZ37" s="13">
        <v>9</v>
      </c>
      <c r="CJ37" s="13">
        <v>4.4000000000000004</v>
      </c>
      <c r="CK37" s="13">
        <v>3.55</v>
      </c>
      <c r="CL37" s="13">
        <v>2.78</v>
      </c>
      <c r="CO37" s="13">
        <v>142.58000000000001</v>
      </c>
      <c r="CP37" s="13">
        <v>0</v>
      </c>
      <c r="CR37" s="8"/>
      <c r="CS37" s="8"/>
      <c r="CY37" s="13">
        <v>1</v>
      </c>
      <c r="CZ37" s="13"/>
      <c r="DG37" s="13">
        <v>4.78</v>
      </c>
      <c r="DH37" s="13">
        <v>4.09</v>
      </c>
      <c r="DI37" s="13">
        <v>2.04</v>
      </c>
      <c r="DM37" s="13">
        <v>120.34</v>
      </c>
      <c r="DO37" s="13">
        <v>0</v>
      </c>
      <c r="DP37" s="13"/>
      <c r="DW37" s="13">
        <v>1</v>
      </c>
      <c r="DX37" s="13"/>
    </row>
    <row r="38" spans="1:130" x14ac:dyDescent="0.35">
      <c r="A38" s="1" t="s">
        <v>239</v>
      </c>
      <c r="B38" s="3" t="s">
        <v>291</v>
      </c>
      <c r="C38" s="1">
        <v>110750</v>
      </c>
      <c r="D38" s="1" t="s">
        <v>292</v>
      </c>
      <c r="E38" s="1" t="s">
        <v>440</v>
      </c>
      <c r="F38" s="2" t="s">
        <v>441</v>
      </c>
      <c r="S38" s="1">
        <v>0.79</v>
      </c>
      <c r="T38" s="1">
        <v>0.96</v>
      </c>
      <c r="U38" s="1">
        <f>S38/T38</f>
        <v>0.82291666666666674</v>
      </c>
      <c r="AE38" s="1">
        <v>12.63</v>
      </c>
      <c r="AF38" s="1">
        <v>1.87</v>
      </c>
      <c r="AG38" s="1">
        <v>2.16</v>
      </c>
      <c r="AN38" s="13">
        <v>1.33</v>
      </c>
      <c r="AR38" s="1">
        <v>0</v>
      </c>
      <c r="AS38" s="1">
        <v>0</v>
      </c>
      <c r="AT38" s="1" t="s">
        <v>450</v>
      </c>
      <c r="AU38" s="1" t="s">
        <v>420</v>
      </c>
      <c r="AV38" s="1">
        <v>0.54</v>
      </c>
      <c r="AW38" s="1">
        <v>0.09</v>
      </c>
      <c r="AY38" s="1">
        <v>0</v>
      </c>
      <c r="AZ38" s="1" t="s">
        <v>448</v>
      </c>
      <c r="BA38" s="1" t="s">
        <v>449</v>
      </c>
      <c r="BB38" s="1">
        <v>0.4</v>
      </c>
      <c r="BC38" s="1">
        <v>0.14000000000000001</v>
      </c>
      <c r="BG38" s="1" t="s">
        <v>451</v>
      </c>
      <c r="BH38" s="1" t="s">
        <v>452</v>
      </c>
      <c r="BI38" s="1">
        <v>0.25</v>
      </c>
      <c r="BJ38" s="1">
        <v>0.09</v>
      </c>
      <c r="BK38" s="1">
        <v>9</v>
      </c>
      <c r="BO38" s="1">
        <v>0.09</v>
      </c>
      <c r="BP38" s="1">
        <v>0.04</v>
      </c>
      <c r="BW38" s="1">
        <v>6.17</v>
      </c>
      <c r="BX38" s="1">
        <v>2.2799999999999998</v>
      </c>
      <c r="BY38" s="1">
        <v>2.98</v>
      </c>
      <c r="BZ38" s="1">
        <v>10</v>
      </c>
      <c r="CJ38" s="1">
        <v>2.7</v>
      </c>
      <c r="CK38" s="1">
        <f>1.58+2.18</f>
        <v>3.7600000000000002</v>
      </c>
      <c r="CL38" s="1">
        <v>0.8</v>
      </c>
      <c r="CO38" s="1">
        <v>121.07</v>
      </c>
      <c r="CP38" s="1">
        <v>0</v>
      </c>
      <c r="CU38" s="1" t="s">
        <v>372</v>
      </c>
      <c r="CV38" s="1" t="s">
        <v>442</v>
      </c>
      <c r="CW38" s="1">
        <v>0.19</v>
      </c>
      <c r="CX38" s="1">
        <v>0.04</v>
      </c>
      <c r="CY38" s="1">
        <v>1</v>
      </c>
      <c r="CZ38" s="1" t="s">
        <v>443</v>
      </c>
      <c r="DA38" s="1">
        <v>7.0000000000000007E-2</v>
      </c>
      <c r="DG38" s="1">
        <v>4.41</v>
      </c>
      <c r="DH38" s="12">
        <f>1.73+1.8</f>
        <v>3.5300000000000002</v>
      </c>
      <c r="DI38" s="1">
        <v>1.39</v>
      </c>
      <c r="DM38" s="12">
        <v>91.7</v>
      </c>
      <c r="DO38" s="1">
        <v>0</v>
      </c>
      <c r="DR38" s="1" t="s">
        <v>444</v>
      </c>
      <c r="DS38" s="1" t="s">
        <v>445</v>
      </c>
      <c r="DT38" s="1">
        <v>0.31</v>
      </c>
      <c r="DU38" s="1">
        <v>0.17</v>
      </c>
      <c r="DV38" s="1">
        <v>0</v>
      </c>
      <c r="DW38" s="1">
        <v>1</v>
      </c>
      <c r="DX38" s="1" t="s">
        <v>446</v>
      </c>
      <c r="DY38" s="1">
        <v>0.06</v>
      </c>
      <c r="DZ38" s="1" t="s">
        <v>447</v>
      </c>
    </row>
    <row r="39" spans="1:130" s="6" customFormat="1" ht="12.75" customHeight="1" x14ac:dyDescent="0.35">
      <c r="A39" s="1" t="s">
        <v>239</v>
      </c>
      <c r="B39" s="3" t="s">
        <v>291</v>
      </c>
      <c r="C39" s="1">
        <v>110791</v>
      </c>
      <c r="D39" s="1" t="s">
        <v>305</v>
      </c>
      <c r="E39" s="1" t="s">
        <v>306</v>
      </c>
      <c r="F39" s="2" t="s">
        <v>307</v>
      </c>
      <c r="S39" s="1">
        <v>0.59</v>
      </c>
      <c r="T39" s="1">
        <v>1.1599999999999999</v>
      </c>
      <c r="U39" s="1">
        <f t="shared" si="0"/>
        <v>0.50862068965517238</v>
      </c>
      <c r="AE39" s="1">
        <v>14.84</v>
      </c>
      <c r="AF39" s="1">
        <v>2.41</v>
      </c>
      <c r="AG39" s="1">
        <v>3.62</v>
      </c>
      <c r="AN39" s="1">
        <v>0.9</v>
      </c>
      <c r="AS39" s="1">
        <v>0</v>
      </c>
      <c r="BK39" s="1">
        <v>11</v>
      </c>
      <c r="BR39" s="6" t="s">
        <v>346</v>
      </c>
      <c r="BS39" s="6" t="s">
        <v>347</v>
      </c>
      <c r="BT39" s="6" t="s">
        <v>348</v>
      </c>
      <c r="BW39" s="1">
        <v>7.53</v>
      </c>
      <c r="BX39" s="1">
        <v>2.21</v>
      </c>
      <c r="BY39" s="1">
        <v>3.43</v>
      </c>
      <c r="BZ39" s="1">
        <v>10</v>
      </c>
      <c r="CJ39" s="1">
        <v>2.7</v>
      </c>
      <c r="CK39" s="1">
        <v>2.71</v>
      </c>
      <c r="CL39" s="1">
        <v>0.71</v>
      </c>
      <c r="CO39" s="1">
        <v>87.17</v>
      </c>
      <c r="CP39" s="1">
        <v>1</v>
      </c>
      <c r="CR39" s="7"/>
      <c r="CS39" s="7"/>
      <c r="CY39" s="1">
        <v>1</v>
      </c>
      <c r="CZ39" s="1"/>
      <c r="DG39" s="1">
        <v>5.58</v>
      </c>
      <c r="DH39" s="1">
        <v>2.5</v>
      </c>
      <c r="DI39" s="1">
        <v>2.0099999999999998</v>
      </c>
      <c r="DM39" s="6">
        <v>78.86</v>
      </c>
      <c r="DO39" s="1">
        <v>1</v>
      </c>
      <c r="DP39" s="1">
        <v>30.6</v>
      </c>
      <c r="DW39" s="1">
        <v>1</v>
      </c>
      <c r="DX39" s="1"/>
    </row>
    <row r="40" spans="1:130" s="6" customFormat="1" ht="12.75" customHeight="1" x14ac:dyDescent="0.35">
      <c r="A40" s="1" t="s">
        <v>239</v>
      </c>
      <c r="B40" s="3" t="s">
        <v>291</v>
      </c>
      <c r="C40" s="1">
        <v>110791</v>
      </c>
      <c r="D40" s="1" t="s">
        <v>305</v>
      </c>
      <c r="E40" s="1" t="s">
        <v>308</v>
      </c>
      <c r="F40" s="2" t="s">
        <v>309</v>
      </c>
      <c r="S40" s="1">
        <v>1.07</v>
      </c>
      <c r="T40" s="1">
        <v>1.18</v>
      </c>
      <c r="U40" s="1">
        <f t="shared" si="0"/>
        <v>0.90677966101694929</v>
      </c>
      <c r="AE40" s="1">
        <v>16.78</v>
      </c>
      <c r="AF40" s="1">
        <v>2.97</v>
      </c>
      <c r="AG40" s="1">
        <v>3.76</v>
      </c>
      <c r="AN40" s="1">
        <v>0.6</v>
      </c>
      <c r="AS40" s="1">
        <v>0</v>
      </c>
      <c r="BK40" s="1">
        <v>12</v>
      </c>
      <c r="BR40" s="6" t="s">
        <v>346</v>
      </c>
      <c r="BS40" s="6" t="s">
        <v>347</v>
      </c>
      <c r="BT40" s="6" t="s">
        <v>348</v>
      </c>
      <c r="BW40" s="1">
        <v>6.24</v>
      </c>
      <c r="BX40" s="1">
        <v>2.08</v>
      </c>
      <c r="BY40" s="1">
        <v>3.32</v>
      </c>
      <c r="BZ40" s="1">
        <v>10</v>
      </c>
      <c r="CJ40" s="1">
        <v>2.76</v>
      </c>
      <c r="CK40" s="1">
        <v>3.0300000000000002</v>
      </c>
      <c r="CL40" s="1">
        <v>0.79</v>
      </c>
      <c r="CO40" s="1">
        <v>102.14</v>
      </c>
      <c r="CP40" s="1">
        <v>1</v>
      </c>
      <c r="CR40" s="7"/>
      <c r="CS40" s="7"/>
      <c r="CY40" s="1">
        <v>1</v>
      </c>
      <c r="CZ40" s="1"/>
      <c r="DG40" s="1">
        <v>4.34</v>
      </c>
      <c r="DH40" s="1">
        <v>2.4899999999999998</v>
      </c>
      <c r="DI40" s="1">
        <v>2.41</v>
      </c>
      <c r="DM40" s="1">
        <v>97.326999999999998</v>
      </c>
      <c r="DO40" s="1">
        <v>1</v>
      </c>
      <c r="DP40" s="1">
        <v>58.878999999999998</v>
      </c>
      <c r="DW40" s="1">
        <v>1</v>
      </c>
      <c r="DX40" s="1"/>
    </row>
    <row r="41" spans="1:130" s="6" customFormat="1" ht="12.75" customHeight="1" x14ac:dyDescent="0.35">
      <c r="A41" s="1" t="s">
        <v>239</v>
      </c>
      <c r="B41" s="3" t="s">
        <v>320</v>
      </c>
      <c r="C41" s="1" t="s">
        <v>321</v>
      </c>
      <c r="D41" s="1" t="s">
        <v>322</v>
      </c>
      <c r="E41" s="1" t="s">
        <v>207</v>
      </c>
      <c r="F41" s="2" t="s">
        <v>206</v>
      </c>
      <c r="S41" s="1">
        <v>0.55000000000000004</v>
      </c>
      <c r="T41" s="1">
        <v>0.77</v>
      </c>
      <c r="U41" s="1">
        <f t="shared" si="0"/>
        <v>0.7142857142857143</v>
      </c>
      <c r="AE41" s="1">
        <v>7.38</v>
      </c>
      <c r="AF41" s="1">
        <v>1.1200000000000001</v>
      </c>
      <c r="AG41" s="1">
        <v>1.64</v>
      </c>
      <c r="AN41" s="13">
        <v>0.8</v>
      </c>
      <c r="AS41" s="1">
        <v>0.04</v>
      </c>
      <c r="BK41" s="1">
        <v>7</v>
      </c>
      <c r="BR41" s="6" t="s">
        <v>346</v>
      </c>
      <c r="BS41" s="6" t="s">
        <v>347</v>
      </c>
      <c r="BT41" s="6" t="s">
        <v>348</v>
      </c>
      <c r="BW41" s="1">
        <v>6.39</v>
      </c>
      <c r="BX41" s="1">
        <v>2.17</v>
      </c>
      <c r="BY41" s="1">
        <v>3.07</v>
      </c>
      <c r="BZ41" s="1">
        <v>8</v>
      </c>
      <c r="CJ41" s="1">
        <v>2.86</v>
      </c>
      <c r="CK41" s="1">
        <v>3.0100000000000002</v>
      </c>
      <c r="CL41" s="1">
        <v>0.66</v>
      </c>
      <c r="CO41" s="1">
        <v>143.21</v>
      </c>
      <c r="CP41" s="1">
        <v>0</v>
      </c>
      <c r="CR41" s="7"/>
      <c r="CS41" s="7"/>
      <c r="CY41" s="1">
        <v>1</v>
      </c>
      <c r="CZ41" s="1"/>
      <c r="DG41" s="1">
        <v>4.88</v>
      </c>
      <c r="DH41" s="1">
        <v>2.7800000000000002</v>
      </c>
      <c r="DI41" s="1">
        <v>1.38</v>
      </c>
      <c r="DM41" s="1">
        <v>110.00999999999999</v>
      </c>
      <c r="DO41" s="1">
        <v>1</v>
      </c>
      <c r="DP41" s="1"/>
      <c r="DW41" s="1">
        <v>1</v>
      </c>
      <c r="DX41" s="1"/>
    </row>
    <row r="42" spans="1:130" s="6" customFormat="1" ht="12.75" customHeight="1" x14ac:dyDescent="0.35">
      <c r="A42" s="1" t="s">
        <v>239</v>
      </c>
      <c r="B42" s="3" t="s">
        <v>320</v>
      </c>
      <c r="C42" s="1" t="s">
        <v>323</v>
      </c>
      <c r="D42" s="1" t="s">
        <v>324</v>
      </c>
      <c r="E42" s="1" t="s">
        <v>209</v>
      </c>
      <c r="F42" s="2" t="s">
        <v>208</v>
      </c>
      <c r="S42" s="1">
        <v>0.54</v>
      </c>
      <c r="T42" s="1">
        <v>0.71</v>
      </c>
      <c r="U42" s="1">
        <f t="shared" si="0"/>
        <v>0.76056338028169024</v>
      </c>
      <c r="AE42" s="1">
        <v>8.3800000000000008</v>
      </c>
      <c r="AF42" s="1">
        <v>1.46</v>
      </c>
      <c r="AG42" s="1">
        <v>1.77</v>
      </c>
      <c r="AN42" s="13">
        <v>0.68</v>
      </c>
      <c r="AS42" s="1">
        <v>0.04</v>
      </c>
      <c r="BK42" s="1">
        <v>8</v>
      </c>
      <c r="BR42" s="6" t="s">
        <v>346</v>
      </c>
      <c r="BS42" s="6" t="s">
        <v>347</v>
      </c>
      <c r="BT42" s="6" t="s">
        <v>348</v>
      </c>
      <c r="BW42" s="1">
        <v>6.14</v>
      </c>
      <c r="BX42" s="1">
        <v>1.91</v>
      </c>
      <c r="BY42" s="1">
        <v>2.31</v>
      </c>
      <c r="BZ42" s="1">
        <v>10</v>
      </c>
      <c r="CJ42" s="1">
        <v>2.31</v>
      </c>
      <c r="CK42" s="1">
        <v>3.16</v>
      </c>
      <c r="CL42" s="1">
        <v>0.38</v>
      </c>
      <c r="CO42" s="1">
        <v>143.19</v>
      </c>
      <c r="CP42" s="1">
        <v>0</v>
      </c>
      <c r="CR42" s="7"/>
      <c r="CS42" s="7"/>
      <c r="CY42" s="1">
        <v>1</v>
      </c>
      <c r="CZ42" s="1"/>
      <c r="DG42" s="1">
        <v>4.37</v>
      </c>
      <c r="DH42" s="1">
        <v>2.79</v>
      </c>
      <c r="DI42" s="1">
        <v>1.22</v>
      </c>
      <c r="DM42" s="1">
        <v>87.98</v>
      </c>
      <c r="DO42" s="1">
        <v>0</v>
      </c>
      <c r="DP42" s="1"/>
      <c r="DW42" s="1">
        <v>1</v>
      </c>
      <c r="DX42" s="1"/>
    </row>
    <row r="43" spans="1:130" s="6" customFormat="1" ht="12.75" customHeight="1" x14ac:dyDescent="0.35">
      <c r="A43" s="1" t="s">
        <v>239</v>
      </c>
      <c r="B43" s="3" t="s">
        <v>320</v>
      </c>
      <c r="C43" s="1">
        <v>110754</v>
      </c>
      <c r="D43" s="1" t="s">
        <v>325</v>
      </c>
      <c r="E43" s="1" t="s">
        <v>326</v>
      </c>
      <c r="F43" s="2" t="s">
        <v>210</v>
      </c>
      <c r="S43" s="1">
        <v>0.92</v>
      </c>
      <c r="T43" s="1">
        <v>0.9</v>
      </c>
      <c r="U43" s="1">
        <f t="shared" si="0"/>
        <v>1.0222222222222221</v>
      </c>
      <c r="AE43" s="1">
        <v>11.82</v>
      </c>
      <c r="AF43" s="1">
        <v>1.84</v>
      </c>
      <c r="AG43" s="1">
        <v>2.19</v>
      </c>
      <c r="AN43" s="13">
        <v>0.46</v>
      </c>
      <c r="AS43" s="1">
        <v>0</v>
      </c>
      <c r="BK43" s="1">
        <v>9</v>
      </c>
      <c r="BR43" s="6" t="s">
        <v>346</v>
      </c>
      <c r="BS43" s="6" t="s">
        <v>347</v>
      </c>
      <c r="BT43" s="6" t="s">
        <v>348</v>
      </c>
      <c r="BW43" s="1">
        <v>5.59</v>
      </c>
      <c r="BX43" s="1">
        <v>2.23</v>
      </c>
      <c r="BY43" s="1">
        <v>2.58</v>
      </c>
      <c r="BZ43" s="1">
        <v>8</v>
      </c>
      <c r="CJ43" s="1">
        <v>2.75</v>
      </c>
      <c r="CK43" s="1">
        <v>2.6900000000000004</v>
      </c>
      <c r="CL43" s="1">
        <v>0.97</v>
      </c>
      <c r="CO43" s="1">
        <v>163.24</v>
      </c>
      <c r="CP43" s="1">
        <v>0</v>
      </c>
      <c r="CR43" s="7"/>
      <c r="CS43" s="7"/>
      <c r="CY43" s="1">
        <v>1</v>
      </c>
      <c r="CZ43" s="1"/>
      <c r="DG43" s="1">
        <v>4.07</v>
      </c>
      <c r="DH43" s="1">
        <v>2.3200000000000003</v>
      </c>
      <c r="DI43" s="1">
        <v>1.04</v>
      </c>
      <c r="DM43" s="1">
        <v>115.23</v>
      </c>
      <c r="DO43" s="1">
        <v>0</v>
      </c>
      <c r="DP43" s="1"/>
      <c r="DW43" s="1">
        <v>1</v>
      </c>
      <c r="DX43" s="1"/>
    </row>
    <row r="44" spans="1:130" s="6" customFormat="1" ht="12.75" customHeight="1" x14ac:dyDescent="0.35">
      <c r="A44" s="1" t="s">
        <v>239</v>
      </c>
      <c r="B44" s="3" t="s">
        <v>320</v>
      </c>
      <c r="C44" s="1">
        <v>110754</v>
      </c>
      <c r="D44" s="1" t="s">
        <v>325</v>
      </c>
      <c r="E44" s="1" t="s">
        <v>327</v>
      </c>
      <c r="F44" s="2" t="s">
        <v>211</v>
      </c>
      <c r="S44" s="1">
        <v>0.81</v>
      </c>
      <c r="T44" s="1">
        <v>0.75</v>
      </c>
      <c r="U44" s="1">
        <f t="shared" si="0"/>
        <v>1.08</v>
      </c>
      <c r="AE44" s="1">
        <v>8.3800000000000008</v>
      </c>
      <c r="AF44" s="1">
        <v>1.61</v>
      </c>
      <c r="AG44" s="1">
        <v>2.36</v>
      </c>
      <c r="AN44" s="13">
        <v>0.63</v>
      </c>
      <c r="AS44" s="1">
        <v>0</v>
      </c>
      <c r="BK44" s="1">
        <v>7</v>
      </c>
      <c r="BR44" s="6" t="s">
        <v>346</v>
      </c>
      <c r="BS44" s="6" t="s">
        <v>347</v>
      </c>
      <c r="BT44" s="6" t="s">
        <v>348</v>
      </c>
      <c r="BW44" s="1">
        <v>6.41</v>
      </c>
      <c r="BX44" s="1">
        <v>1.9</v>
      </c>
      <c r="BY44" s="1">
        <v>1.89</v>
      </c>
      <c r="BZ44" s="1">
        <v>8</v>
      </c>
      <c r="CJ44" s="1">
        <v>2.92</v>
      </c>
      <c r="CK44" s="1">
        <v>3.38</v>
      </c>
      <c r="CL44" s="1">
        <v>1.22</v>
      </c>
      <c r="CO44" s="1">
        <v>151.54</v>
      </c>
      <c r="CP44" s="1">
        <v>0</v>
      </c>
      <c r="CR44" s="7"/>
      <c r="CS44" s="7"/>
      <c r="CY44" s="1">
        <v>1</v>
      </c>
      <c r="CZ44" s="1"/>
      <c r="DG44" s="1">
        <v>4.8600000000000003</v>
      </c>
      <c r="DH44" s="1">
        <v>3.27</v>
      </c>
      <c r="DI44" s="1">
        <v>2.16</v>
      </c>
      <c r="DM44" s="1">
        <v>95.36</v>
      </c>
      <c r="DO44" s="1">
        <v>0</v>
      </c>
      <c r="DP44" s="1"/>
      <c r="DW44" s="1">
        <v>1</v>
      </c>
      <c r="DX44" s="1"/>
    </row>
    <row r="45" spans="1:130" s="6" customFormat="1" ht="12.75" customHeight="1" x14ac:dyDescent="0.35">
      <c r="A45" s="1" t="s">
        <v>334</v>
      </c>
      <c r="B45" s="3" t="s">
        <v>265</v>
      </c>
      <c r="C45" s="1">
        <v>109321</v>
      </c>
      <c r="D45" s="1" t="s">
        <v>266</v>
      </c>
      <c r="E45" s="1" t="s">
        <v>267</v>
      </c>
      <c r="F45" s="2" t="s">
        <v>357</v>
      </c>
      <c r="S45" s="1">
        <v>0.85</v>
      </c>
      <c r="T45" s="1">
        <v>0.73</v>
      </c>
      <c r="U45" s="1">
        <f t="shared" si="0"/>
        <v>1.1643835616438356</v>
      </c>
      <c r="AE45" s="1">
        <v>14.5</v>
      </c>
      <c r="AF45" s="1">
        <v>1.47</v>
      </c>
      <c r="AG45" s="1">
        <v>2.56</v>
      </c>
      <c r="AN45" s="1">
        <v>0.64</v>
      </c>
      <c r="AS45" s="1">
        <v>0</v>
      </c>
      <c r="BK45" s="1">
        <v>7</v>
      </c>
      <c r="BR45" s="6" t="s">
        <v>346</v>
      </c>
      <c r="BS45" s="6" t="s">
        <v>347</v>
      </c>
      <c r="BT45" s="6" t="s">
        <v>348</v>
      </c>
      <c r="BW45" s="1">
        <v>8.93</v>
      </c>
      <c r="BX45" s="1">
        <v>2.06</v>
      </c>
      <c r="BY45" s="1">
        <v>3.51</v>
      </c>
      <c r="BZ45" s="1">
        <v>10</v>
      </c>
      <c r="CJ45" s="1">
        <v>4.1900000000000004</v>
      </c>
      <c r="CK45" s="1">
        <v>3.25</v>
      </c>
      <c r="CL45" s="1">
        <v>0.94</v>
      </c>
      <c r="CO45" s="1">
        <v>45.329999999999984</v>
      </c>
      <c r="CP45" s="1">
        <v>1</v>
      </c>
      <c r="CR45" s="7"/>
      <c r="CS45" s="7"/>
      <c r="CY45" s="1">
        <v>0</v>
      </c>
      <c r="CZ45" s="1"/>
      <c r="DG45" s="1">
        <v>7.05</v>
      </c>
      <c r="DH45" s="1">
        <v>2.96</v>
      </c>
      <c r="DI45" s="1">
        <v>1.54</v>
      </c>
      <c r="DM45" s="1">
        <v>28.78</v>
      </c>
      <c r="DO45" s="1">
        <v>1</v>
      </c>
      <c r="DP45" s="1"/>
      <c r="DW45" s="1">
        <v>0</v>
      </c>
      <c r="DX45" s="1"/>
    </row>
    <row r="46" spans="1:130" s="6" customFormat="1" ht="12.75" customHeight="1" x14ac:dyDescent="0.35">
      <c r="A46" s="1" t="s">
        <v>334</v>
      </c>
      <c r="B46" s="3" t="s">
        <v>265</v>
      </c>
      <c r="C46" s="1">
        <v>109321</v>
      </c>
      <c r="D46" s="1" t="s">
        <v>266</v>
      </c>
      <c r="E46" s="1" t="s">
        <v>268</v>
      </c>
      <c r="F46" s="2" t="s">
        <v>181</v>
      </c>
      <c r="S46" s="1">
        <v>0.84000000000000008</v>
      </c>
      <c r="T46" s="1">
        <v>1.0049999999999999</v>
      </c>
      <c r="U46" s="1">
        <f t="shared" si="0"/>
        <v>0.83582089552238825</v>
      </c>
      <c r="AE46" s="1">
        <v>19.68</v>
      </c>
      <c r="AF46" s="1">
        <v>1.82</v>
      </c>
      <c r="AG46" s="1">
        <v>2.9850000000000003</v>
      </c>
      <c r="AN46" s="1">
        <v>0.60499999999999998</v>
      </c>
      <c r="AS46" s="1">
        <v>0</v>
      </c>
      <c r="BK46" s="1">
        <v>9</v>
      </c>
      <c r="BR46" s="6" t="s">
        <v>346</v>
      </c>
      <c r="BS46" s="6" t="s">
        <v>347</v>
      </c>
      <c r="BT46" s="6" t="s">
        <v>348</v>
      </c>
      <c r="BW46" s="1">
        <v>8.56</v>
      </c>
      <c r="BX46" s="1">
        <v>2.1</v>
      </c>
      <c r="BY46" s="1">
        <v>2.72</v>
      </c>
      <c r="BZ46" s="1">
        <v>10</v>
      </c>
      <c r="CJ46" s="1">
        <v>4.2699999999999996</v>
      </c>
      <c r="CK46" s="1">
        <v>2.9000000000000004</v>
      </c>
      <c r="CL46" s="1">
        <v>1.1499999999999999</v>
      </c>
      <c r="CO46" s="1">
        <v>53.15</v>
      </c>
      <c r="CP46" s="1">
        <v>1</v>
      </c>
      <c r="CR46" s="7"/>
      <c r="CS46" s="7"/>
      <c r="CY46" s="1">
        <v>0</v>
      </c>
      <c r="CZ46" s="1"/>
      <c r="DG46" s="1">
        <v>6.81</v>
      </c>
      <c r="DH46" s="1">
        <v>2.79</v>
      </c>
      <c r="DI46" s="1">
        <v>2.2200000000000002</v>
      </c>
      <c r="DM46" s="1">
        <v>30.170000000000016</v>
      </c>
      <c r="DO46" s="1">
        <v>0</v>
      </c>
      <c r="DP46" s="1"/>
      <c r="DW46" s="1">
        <v>0</v>
      </c>
      <c r="DX46" s="1"/>
    </row>
    <row r="47" spans="1:130" s="6" customFormat="1" ht="12.75" customHeight="1" x14ac:dyDescent="0.35">
      <c r="A47" s="1" t="s">
        <v>334</v>
      </c>
      <c r="B47" s="3" t="s">
        <v>265</v>
      </c>
      <c r="C47" s="1">
        <v>109335</v>
      </c>
      <c r="D47" s="1" t="s">
        <v>269</v>
      </c>
      <c r="E47" s="1" t="s">
        <v>270</v>
      </c>
      <c r="F47" s="2" t="s">
        <v>182</v>
      </c>
      <c r="S47" s="1">
        <v>0.95</v>
      </c>
      <c r="T47" s="1">
        <v>1.1200000000000001</v>
      </c>
      <c r="U47" s="1">
        <f t="shared" si="0"/>
        <v>0.84821428571428559</v>
      </c>
      <c r="AE47" s="1">
        <v>20.535</v>
      </c>
      <c r="AF47" s="1">
        <v>1.9749999999999999</v>
      </c>
      <c r="AG47" s="1">
        <v>2.7949999999999999</v>
      </c>
      <c r="AN47" s="1">
        <v>0.745</v>
      </c>
      <c r="AS47" s="1">
        <v>0</v>
      </c>
      <c r="BK47" s="1">
        <v>9</v>
      </c>
      <c r="BR47" s="6" t="s">
        <v>346</v>
      </c>
      <c r="BS47" s="6" t="s">
        <v>347</v>
      </c>
      <c r="BT47" s="6" t="s">
        <v>348</v>
      </c>
      <c r="BW47" s="1">
        <v>8.0500000000000007</v>
      </c>
      <c r="BX47" s="1">
        <v>2.87</v>
      </c>
      <c r="BY47" s="1">
        <v>3.52</v>
      </c>
      <c r="BZ47" s="1">
        <v>9</v>
      </c>
      <c r="CJ47" s="1">
        <v>3.81</v>
      </c>
      <c r="CK47" s="1">
        <v>2.76</v>
      </c>
      <c r="CL47" s="1">
        <v>1.02</v>
      </c>
      <c r="CO47" s="1">
        <v>89.01</v>
      </c>
      <c r="CP47" s="1">
        <v>0</v>
      </c>
      <c r="CR47" s="7"/>
      <c r="CS47" s="7"/>
      <c r="CY47" s="1">
        <v>0</v>
      </c>
      <c r="CZ47" s="1"/>
      <c r="DG47" s="1">
        <v>5.99</v>
      </c>
      <c r="DH47" s="1">
        <v>2.4</v>
      </c>
      <c r="DI47" s="1">
        <v>1.98</v>
      </c>
      <c r="DM47" s="1">
        <v>59.889999999999986</v>
      </c>
      <c r="DO47" s="1">
        <v>0</v>
      </c>
      <c r="DP47" s="1"/>
      <c r="DW47" s="1">
        <v>0</v>
      </c>
      <c r="DX47" s="1"/>
    </row>
    <row r="48" spans="1:130" s="6" customFormat="1" ht="12.75" customHeight="1" x14ac:dyDescent="0.35">
      <c r="A48" s="1" t="s">
        <v>334</v>
      </c>
      <c r="B48" s="3" t="s">
        <v>265</v>
      </c>
      <c r="C48" s="1"/>
      <c r="D48" s="1" t="s">
        <v>266</v>
      </c>
      <c r="E48" s="1" t="s">
        <v>353</v>
      </c>
      <c r="F48" s="2" t="s">
        <v>352</v>
      </c>
      <c r="S48" s="1">
        <v>1.08</v>
      </c>
      <c r="T48" s="1">
        <v>0.84</v>
      </c>
      <c r="U48" s="1">
        <f t="shared" si="0"/>
        <v>1.2857142857142858</v>
      </c>
      <c r="AE48" s="1">
        <v>18.785</v>
      </c>
      <c r="AF48" s="1">
        <v>1.7549999999999999</v>
      </c>
      <c r="AG48" s="1">
        <v>2.9350000000000001</v>
      </c>
      <c r="AN48" s="1">
        <v>0.84499999999999997</v>
      </c>
      <c r="AS48" s="1">
        <v>0</v>
      </c>
      <c r="BK48" s="1">
        <v>9</v>
      </c>
      <c r="BR48" s="6" t="s">
        <v>346</v>
      </c>
      <c r="BS48" s="6" t="s">
        <v>347</v>
      </c>
      <c r="BT48" s="6" t="s">
        <v>348</v>
      </c>
      <c r="BW48" s="1"/>
      <c r="BX48" s="1"/>
      <c r="BY48" s="1"/>
      <c r="BZ48" s="1"/>
      <c r="CJ48" s="1"/>
      <c r="CK48" s="1"/>
      <c r="CL48" s="1"/>
      <c r="CO48" s="1"/>
      <c r="CR48" s="7"/>
      <c r="CS48" s="7"/>
      <c r="DA48" s="1"/>
      <c r="DC48" s="1"/>
      <c r="DD48" s="1"/>
      <c r="DE48" s="1"/>
      <c r="DF48" s="1"/>
      <c r="DG48" s="1"/>
      <c r="DW48" s="1"/>
      <c r="DX48" s="1"/>
    </row>
    <row r="49" spans="1:131" s="6" customFormat="1" ht="12.75" customHeight="1" x14ac:dyDescent="0.35">
      <c r="A49" s="1" t="s">
        <v>334</v>
      </c>
      <c r="B49" s="3" t="s">
        <v>280</v>
      </c>
      <c r="C49" s="1">
        <v>110909</v>
      </c>
      <c r="D49" s="1" t="s">
        <v>281</v>
      </c>
      <c r="E49" s="1" t="s">
        <v>282</v>
      </c>
      <c r="F49" s="2" t="s">
        <v>185</v>
      </c>
      <c r="S49" s="1">
        <v>0.72500000000000009</v>
      </c>
      <c r="T49" s="1">
        <v>1.2349999999999999</v>
      </c>
      <c r="U49" s="1">
        <f t="shared" si="0"/>
        <v>0.58704453441295557</v>
      </c>
      <c r="AE49" s="1">
        <v>21.1</v>
      </c>
      <c r="AF49" s="1">
        <v>2.08</v>
      </c>
      <c r="AG49" s="1">
        <v>2.92</v>
      </c>
      <c r="AN49" s="1">
        <v>0.77500000000000002</v>
      </c>
      <c r="AS49" s="1">
        <v>0</v>
      </c>
      <c r="BK49" s="1">
        <v>9</v>
      </c>
      <c r="BR49" s="6" t="s">
        <v>346</v>
      </c>
      <c r="BS49" s="6" t="s">
        <v>347</v>
      </c>
      <c r="BT49" s="6" t="s">
        <v>348</v>
      </c>
      <c r="BW49" s="1">
        <v>7.81</v>
      </c>
      <c r="BX49" s="1">
        <v>1.96</v>
      </c>
      <c r="BY49" s="1">
        <v>3.25</v>
      </c>
      <c r="BZ49" s="1">
        <v>8</v>
      </c>
      <c r="CJ49" s="1">
        <v>3.41</v>
      </c>
      <c r="CK49" s="1">
        <v>2.13</v>
      </c>
      <c r="CL49" s="1">
        <v>1.04</v>
      </c>
      <c r="CO49" s="1">
        <v>30.149999999999977</v>
      </c>
      <c r="CP49" s="1">
        <v>0</v>
      </c>
      <c r="CR49" s="7"/>
      <c r="CS49" s="7"/>
      <c r="CY49" s="1">
        <v>1</v>
      </c>
      <c r="CZ49" s="1"/>
      <c r="DG49" s="1">
        <v>5.69</v>
      </c>
      <c r="DH49" s="1">
        <v>2.04</v>
      </c>
      <c r="DI49" s="1">
        <v>1.69</v>
      </c>
      <c r="DM49" s="1">
        <v>24.670000000000016</v>
      </c>
      <c r="DO49" s="1">
        <v>0</v>
      </c>
      <c r="DP49" s="1"/>
      <c r="DW49" s="1">
        <v>1</v>
      </c>
      <c r="DX49" s="1"/>
    </row>
    <row r="50" spans="1:131" s="6" customFormat="1" ht="12.75" customHeight="1" x14ac:dyDescent="0.35">
      <c r="A50" s="1" t="s">
        <v>334</v>
      </c>
      <c r="B50" s="3" t="s">
        <v>280</v>
      </c>
      <c r="C50" s="1">
        <v>110909</v>
      </c>
      <c r="D50" s="1" t="s">
        <v>281</v>
      </c>
      <c r="E50" s="1" t="s">
        <v>283</v>
      </c>
      <c r="F50" s="2" t="s">
        <v>186</v>
      </c>
      <c r="S50" s="1">
        <v>1.2999999999999998</v>
      </c>
      <c r="T50" s="1">
        <v>1.4300000000000002</v>
      </c>
      <c r="U50" s="1">
        <f t="shared" si="0"/>
        <v>0.90909090909090884</v>
      </c>
      <c r="AE50" s="1">
        <v>25.990000000000002</v>
      </c>
      <c r="AF50" s="1">
        <v>2.88</v>
      </c>
      <c r="AG50" s="1">
        <v>5.2650000000000006</v>
      </c>
      <c r="AN50" s="1">
        <v>0.92</v>
      </c>
      <c r="AS50" s="1">
        <v>0</v>
      </c>
      <c r="BK50" s="1">
        <v>9</v>
      </c>
      <c r="BR50" s="6" t="s">
        <v>346</v>
      </c>
      <c r="BS50" s="6" t="s">
        <v>347</v>
      </c>
      <c r="BT50" s="6" t="s">
        <v>348</v>
      </c>
      <c r="BW50" s="1">
        <v>7.65</v>
      </c>
      <c r="BX50" s="1">
        <v>2.0699999999999998</v>
      </c>
      <c r="BY50" s="1">
        <v>2.9</v>
      </c>
      <c r="BZ50" s="1">
        <v>8</v>
      </c>
      <c r="CJ50" s="1">
        <v>3.44</v>
      </c>
      <c r="CK50" s="1">
        <v>2.79</v>
      </c>
      <c r="CL50" s="1">
        <v>0.62</v>
      </c>
      <c r="CO50" s="1">
        <v>19.339999999999975</v>
      </c>
      <c r="CP50" s="1">
        <v>0</v>
      </c>
      <c r="CR50" s="7"/>
      <c r="CS50" s="7"/>
      <c r="CY50" s="1">
        <v>1</v>
      </c>
      <c r="CZ50" s="1"/>
      <c r="DG50" s="1">
        <v>6.55</v>
      </c>
      <c r="DH50" s="1">
        <v>2.1</v>
      </c>
      <c r="DI50" s="1">
        <v>1.19</v>
      </c>
      <c r="DM50" s="1">
        <v>14.6</v>
      </c>
      <c r="DO50" s="1">
        <v>0</v>
      </c>
      <c r="DP50" s="1"/>
      <c r="DW50" s="1">
        <v>1</v>
      </c>
      <c r="DX50" s="1"/>
    </row>
    <row r="51" spans="1:131" s="6" customFormat="1" ht="12.75" customHeight="1" x14ac:dyDescent="0.35">
      <c r="A51" s="1" t="s">
        <v>334</v>
      </c>
      <c r="B51" s="3" t="s">
        <v>280</v>
      </c>
      <c r="C51" s="1">
        <v>109319</v>
      </c>
      <c r="D51" s="1" t="s">
        <v>284</v>
      </c>
      <c r="E51" s="1" t="s">
        <v>285</v>
      </c>
      <c r="F51" s="2" t="s">
        <v>187</v>
      </c>
      <c r="S51" s="1">
        <v>1.28</v>
      </c>
      <c r="T51" s="1">
        <v>1.23</v>
      </c>
      <c r="U51" s="1">
        <f t="shared" si="0"/>
        <v>1.0406504065040652</v>
      </c>
      <c r="AE51" s="1">
        <v>21.105</v>
      </c>
      <c r="AF51" s="1">
        <v>3.2649999999999997</v>
      </c>
      <c r="AG51" s="1">
        <v>5.085</v>
      </c>
      <c r="AN51" s="1">
        <v>0.72500000000000009</v>
      </c>
      <c r="AS51" s="1">
        <v>0</v>
      </c>
      <c r="BK51" s="1">
        <v>11</v>
      </c>
      <c r="BR51" s="6" t="s">
        <v>346</v>
      </c>
      <c r="BS51" s="6" t="s">
        <v>347</v>
      </c>
      <c r="BT51" s="6" t="s">
        <v>348</v>
      </c>
      <c r="BW51" s="1">
        <v>9.26</v>
      </c>
      <c r="BX51" s="1">
        <v>2.66</v>
      </c>
      <c r="BY51" s="1">
        <v>3.12</v>
      </c>
      <c r="BZ51" s="1">
        <v>8</v>
      </c>
      <c r="CJ51" s="1">
        <v>3.88</v>
      </c>
      <c r="CK51" s="1">
        <v>4.08</v>
      </c>
      <c r="CL51" s="1">
        <v>0.57999999999999996</v>
      </c>
      <c r="CO51" s="1">
        <v>18.29000000000002</v>
      </c>
      <c r="CP51" s="1">
        <v>1</v>
      </c>
      <c r="CR51" s="7"/>
      <c r="CS51" s="7"/>
      <c r="CY51" s="1">
        <v>1</v>
      </c>
      <c r="CZ51" s="1"/>
      <c r="DG51" s="1">
        <v>6.85</v>
      </c>
      <c r="DH51" s="1">
        <v>2.85</v>
      </c>
      <c r="DI51" s="1">
        <v>2.46</v>
      </c>
      <c r="DM51" s="1">
        <v>29.51</v>
      </c>
      <c r="DO51" s="1">
        <v>0</v>
      </c>
      <c r="DP51" s="1"/>
      <c r="DW51" s="1">
        <v>1</v>
      </c>
      <c r="DX51" s="1"/>
    </row>
    <row r="52" spans="1:131" s="6" customFormat="1" ht="12.75" customHeight="1" x14ac:dyDescent="0.35">
      <c r="A52" s="1" t="s">
        <v>334</v>
      </c>
      <c r="B52" s="3" t="s">
        <v>280</v>
      </c>
      <c r="C52" s="1">
        <v>109319</v>
      </c>
      <c r="D52" s="1" t="s">
        <v>284</v>
      </c>
      <c r="E52" s="1" t="s">
        <v>286</v>
      </c>
      <c r="F52" s="2" t="s">
        <v>188</v>
      </c>
      <c r="S52" s="1">
        <v>1.26</v>
      </c>
      <c r="T52" s="1">
        <v>1.595</v>
      </c>
      <c r="U52" s="1">
        <f t="shared" si="0"/>
        <v>0.78996865203761757</v>
      </c>
      <c r="AE52" s="1">
        <v>24.344999999999999</v>
      </c>
      <c r="AF52" s="1">
        <v>3.24</v>
      </c>
      <c r="AG52" s="1">
        <v>4.5649999999999995</v>
      </c>
      <c r="AN52" s="1">
        <v>0.98499999999999999</v>
      </c>
      <c r="AS52" s="1">
        <v>0</v>
      </c>
      <c r="BK52" s="1">
        <v>10</v>
      </c>
      <c r="BR52" s="6" t="s">
        <v>346</v>
      </c>
      <c r="BS52" s="6" t="s">
        <v>347</v>
      </c>
      <c r="BT52" s="6" t="s">
        <v>348</v>
      </c>
      <c r="BW52" s="1">
        <v>8.41</v>
      </c>
      <c r="BX52" s="1">
        <v>2.37</v>
      </c>
      <c r="BY52" s="1">
        <v>3.1</v>
      </c>
      <c r="BZ52" s="1">
        <v>8</v>
      </c>
      <c r="CJ52" s="1">
        <v>4.59</v>
      </c>
      <c r="CK52" s="1">
        <v>2.59</v>
      </c>
      <c r="CL52" s="1">
        <v>0.81</v>
      </c>
      <c r="CO52" s="1">
        <v>26.899999999999977</v>
      </c>
      <c r="CP52" s="1">
        <v>0</v>
      </c>
      <c r="CR52" s="7"/>
      <c r="CS52" s="7"/>
      <c r="CY52" s="1">
        <v>1</v>
      </c>
      <c r="CZ52" s="1"/>
      <c r="DG52" s="1">
        <v>6.08</v>
      </c>
      <c r="DH52" s="1">
        <v>2.34</v>
      </c>
      <c r="DI52" s="1">
        <v>0.68</v>
      </c>
      <c r="DM52" s="1">
        <v>17.43</v>
      </c>
      <c r="DO52" s="1">
        <v>0</v>
      </c>
      <c r="DP52" s="1"/>
      <c r="DW52" s="1">
        <v>1</v>
      </c>
      <c r="DX52" s="1"/>
    </row>
    <row r="53" spans="1:131" x14ac:dyDescent="0.35">
      <c r="A53" s="1" t="s">
        <v>239</v>
      </c>
      <c r="B53" s="1" t="s">
        <v>362</v>
      </c>
      <c r="C53" s="1">
        <v>110799</v>
      </c>
      <c r="D53" s="1" t="s">
        <v>363</v>
      </c>
      <c r="E53" s="1" t="s">
        <v>366</v>
      </c>
      <c r="F53" s="2" t="s">
        <v>405</v>
      </c>
      <c r="S53" s="1">
        <v>1.35</v>
      </c>
      <c r="T53" s="1">
        <v>1.46</v>
      </c>
      <c r="U53" s="1">
        <f t="shared" si="0"/>
        <v>0.92465753424657537</v>
      </c>
      <c r="AE53" s="1">
        <v>21.19</v>
      </c>
      <c r="AF53" s="1">
        <v>3.68</v>
      </c>
      <c r="AG53" s="1">
        <v>3.41</v>
      </c>
      <c r="AN53" s="1">
        <v>1.1000000000000001</v>
      </c>
      <c r="AR53" s="1" t="s">
        <v>371</v>
      </c>
      <c r="AS53" s="1">
        <v>0.13</v>
      </c>
      <c r="AT53" s="1" t="s">
        <v>372</v>
      </c>
      <c r="AU53" s="1" t="s">
        <v>373</v>
      </c>
      <c r="AV53" s="1">
        <v>0.36</v>
      </c>
      <c r="AW53" s="1">
        <v>0.05</v>
      </c>
      <c r="AX53" s="1" t="s">
        <v>374</v>
      </c>
      <c r="AY53" s="1" t="s">
        <v>375</v>
      </c>
      <c r="BK53" s="1">
        <v>15</v>
      </c>
      <c r="BW53" s="1">
        <v>6.65</v>
      </c>
      <c r="BX53" s="1">
        <v>2.61</v>
      </c>
      <c r="BY53" s="1">
        <v>3.1</v>
      </c>
      <c r="BZ53" s="1">
        <v>7</v>
      </c>
      <c r="CJ53" s="1">
        <v>3.03</v>
      </c>
      <c r="CK53" s="1">
        <f>1.24+0.64+1.57</f>
        <v>3.45</v>
      </c>
      <c r="CL53" s="1">
        <v>1.23</v>
      </c>
      <c r="CO53" s="1">
        <f>360-220.72</f>
        <v>139.28</v>
      </c>
      <c r="CP53" s="1">
        <v>0</v>
      </c>
      <c r="CU53" s="1" t="s">
        <v>372</v>
      </c>
      <c r="CV53" s="1" t="s">
        <v>381</v>
      </c>
      <c r="CW53" s="1">
        <v>0.21</v>
      </c>
      <c r="CX53" s="1">
        <v>0.04</v>
      </c>
      <c r="CY53" s="1">
        <v>1</v>
      </c>
      <c r="CZ53" s="1" t="s">
        <v>389</v>
      </c>
      <c r="DA53" s="1" t="s">
        <v>388</v>
      </c>
      <c r="DG53" s="1">
        <v>4.38</v>
      </c>
      <c r="DH53" s="1">
        <f>1.83+2</f>
        <v>3.83</v>
      </c>
      <c r="DI53" s="1">
        <v>1.37</v>
      </c>
      <c r="DM53" s="1">
        <f>51.61*2</f>
        <v>103.22</v>
      </c>
      <c r="DO53" s="1">
        <v>0</v>
      </c>
      <c r="DR53" s="1" t="s">
        <v>372</v>
      </c>
      <c r="DS53" s="1" t="s">
        <v>382</v>
      </c>
      <c r="DT53" s="1">
        <v>0.33</v>
      </c>
      <c r="DU53" s="1">
        <v>0.04</v>
      </c>
      <c r="DW53" s="1">
        <v>1</v>
      </c>
      <c r="DX53" s="1" t="s">
        <v>390</v>
      </c>
      <c r="DY53" s="1">
        <v>0.01</v>
      </c>
      <c r="DZ53" s="1" t="s">
        <v>383</v>
      </c>
    </row>
    <row r="54" spans="1:131" x14ac:dyDescent="0.35">
      <c r="A54" s="1" t="s">
        <v>239</v>
      </c>
      <c r="B54" s="1" t="s">
        <v>362</v>
      </c>
      <c r="D54" s="1" t="s">
        <v>221</v>
      </c>
      <c r="E54" s="1" t="s">
        <v>368</v>
      </c>
      <c r="F54" s="2" t="s">
        <v>406</v>
      </c>
      <c r="S54" s="1">
        <v>1.88</v>
      </c>
      <c r="T54" s="1">
        <v>1.9</v>
      </c>
      <c r="U54" s="1">
        <f t="shared" si="0"/>
        <v>0.98947368421052628</v>
      </c>
      <c r="AE54" s="1">
        <v>24.79</v>
      </c>
      <c r="AF54" s="1">
        <v>4.83</v>
      </c>
      <c r="AG54" s="1">
        <v>4.0599999999999996</v>
      </c>
      <c r="AN54" s="1">
        <v>0.92</v>
      </c>
      <c r="AR54" s="1" t="s">
        <v>386</v>
      </c>
      <c r="AS54" s="1">
        <v>0.1</v>
      </c>
      <c r="AT54" s="1" t="s">
        <v>372</v>
      </c>
      <c r="AU54" s="1" t="s">
        <v>373</v>
      </c>
      <c r="AV54" s="1">
        <v>0.72</v>
      </c>
      <c r="AW54" s="1">
        <v>0.05</v>
      </c>
      <c r="AX54" s="1" t="s">
        <v>374</v>
      </c>
      <c r="AY54" s="1" t="s">
        <v>375</v>
      </c>
      <c r="BK54" s="1">
        <v>17</v>
      </c>
      <c r="BW54" s="1">
        <v>6.43</v>
      </c>
      <c r="BX54" s="1">
        <v>2.16</v>
      </c>
      <c r="BY54" s="1">
        <v>2.42</v>
      </c>
      <c r="BZ54" s="1">
        <v>7</v>
      </c>
      <c r="CJ54" s="1">
        <v>2.78</v>
      </c>
      <c r="CK54" s="1">
        <f>1.88+1.8</f>
        <v>3.6799999999999997</v>
      </c>
      <c r="CL54" s="1">
        <v>0.9</v>
      </c>
      <c r="CO54" s="1">
        <f>360-237.49</f>
        <v>122.50999999999999</v>
      </c>
      <c r="CP54" s="1">
        <v>0</v>
      </c>
      <c r="CU54" s="1" t="s">
        <v>372</v>
      </c>
      <c r="CV54" s="1" t="s">
        <v>381</v>
      </c>
      <c r="CW54" s="1">
        <v>0.18</v>
      </c>
      <c r="CX54" s="1">
        <v>0.05</v>
      </c>
      <c r="CY54" s="1">
        <v>1</v>
      </c>
      <c r="CZ54" s="1" t="s">
        <v>389</v>
      </c>
      <c r="DA54" s="1" t="s">
        <v>388</v>
      </c>
      <c r="DG54" s="1">
        <v>4.6500000000000004</v>
      </c>
      <c r="DH54" s="1">
        <f>1.6+2.11</f>
        <v>3.71</v>
      </c>
      <c r="DI54" s="1">
        <v>1.79</v>
      </c>
      <c r="DM54" s="1">
        <v>110.71</v>
      </c>
      <c r="DO54" s="1">
        <v>0</v>
      </c>
      <c r="DR54" s="1" t="s">
        <v>372</v>
      </c>
      <c r="DS54" s="1" t="s">
        <v>382</v>
      </c>
      <c r="DT54" s="1">
        <v>0.31</v>
      </c>
      <c r="DU54" s="1">
        <v>0.05</v>
      </c>
      <c r="DW54" s="1">
        <v>1</v>
      </c>
      <c r="DX54" s="1" t="s">
        <v>384</v>
      </c>
      <c r="DY54" s="1">
        <v>0.05</v>
      </c>
      <c r="DZ54" s="1" t="s">
        <v>383</v>
      </c>
    </row>
    <row r="55" spans="1:131" x14ac:dyDescent="0.35">
      <c r="A55" s="1" t="s">
        <v>239</v>
      </c>
      <c r="B55" s="1" t="s">
        <v>362</v>
      </c>
      <c r="D55" s="1" t="s">
        <v>221</v>
      </c>
      <c r="E55" s="1" t="s">
        <v>367</v>
      </c>
      <c r="F55" s="2" t="s">
        <v>407</v>
      </c>
      <c r="S55" s="1">
        <v>1.4</v>
      </c>
      <c r="T55" s="1">
        <v>1.68</v>
      </c>
      <c r="U55" s="1">
        <f t="shared" si="0"/>
        <v>0.83333333333333326</v>
      </c>
      <c r="AE55" s="1">
        <v>19.239999999999998</v>
      </c>
      <c r="AF55" s="1">
        <v>3.61</v>
      </c>
      <c r="AG55" s="1">
        <v>4.07</v>
      </c>
      <c r="AN55" s="1">
        <v>0.82</v>
      </c>
      <c r="AR55" s="1" t="s">
        <v>391</v>
      </c>
      <c r="AS55" s="1">
        <v>0.1</v>
      </c>
      <c r="AT55" s="1" t="s">
        <v>372</v>
      </c>
      <c r="AU55" s="1" t="s">
        <v>373</v>
      </c>
      <c r="AV55" s="1">
        <v>0.71</v>
      </c>
      <c r="AW55" s="1">
        <v>0.03</v>
      </c>
      <c r="AX55" s="1" t="s">
        <v>374</v>
      </c>
      <c r="AY55" s="1" t="s">
        <v>375</v>
      </c>
      <c r="AZ55" s="1" t="s">
        <v>392</v>
      </c>
      <c r="BA55" s="1" t="s">
        <v>393</v>
      </c>
      <c r="BB55" s="1">
        <v>0.15</v>
      </c>
      <c r="BC55" s="1">
        <v>0.08</v>
      </c>
      <c r="BG55" s="1" t="s">
        <v>401</v>
      </c>
      <c r="BI55" s="1">
        <v>0.15</v>
      </c>
      <c r="BJ55" s="1">
        <v>7.0000000000000007E-2</v>
      </c>
      <c r="BK55" s="1">
        <v>14</v>
      </c>
      <c r="BO55" s="1">
        <v>0.09</v>
      </c>
      <c r="BP55" s="1">
        <v>0.03</v>
      </c>
      <c r="BW55" s="1">
        <v>5.62</v>
      </c>
      <c r="BX55" s="1">
        <v>2.3199999999999998</v>
      </c>
      <c r="BY55" s="1">
        <v>2.86</v>
      </c>
      <c r="BZ55" s="1">
        <v>9</v>
      </c>
      <c r="CJ55" s="1">
        <v>3.07</v>
      </c>
      <c r="CK55" s="1">
        <f>1.39+1.76</f>
        <v>3.15</v>
      </c>
      <c r="CL55" s="1">
        <v>1.25</v>
      </c>
      <c r="CO55" s="1">
        <v>138.13999999999999</v>
      </c>
      <c r="CP55" s="1">
        <v>0</v>
      </c>
      <c r="CU55" s="1" t="s">
        <v>396</v>
      </c>
      <c r="CV55" s="1" t="s">
        <v>381</v>
      </c>
      <c r="CW55" s="1">
        <v>0.24</v>
      </c>
      <c r="CX55" s="1">
        <v>0.05</v>
      </c>
      <c r="CY55" s="1">
        <v>1</v>
      </c>
      <c r="CZ55" s="1" t="s">
        <v>399</v>
      </c>
      <c r="DA55" s="1" t="s">
        <v>397</v>
      </c>
      <c r="DG55" s="1">
        <v>3.6</v>
      </c>
      <c r="DH55" s="1">
        <v>3.57</v>
      </c>
      <c r="DI55" s="1">
        <v>1.47</v>
      </c>
      <c r="DM55" s="1">
        <v>104.27</v>
      </c>
      <c r="DO55" s="1">
        <v>0</v>
      </c>
      <c r="DR55" s="1" t="s">
        <v>372</v>
      </c>
      <c r="DS55" s="1" t="s">
        <v>404</v>
      </c>
      <c r="DT55" s="1">
        <v>0.33</v>
      </c>
      <c r="DU55" s="1">
        <v>0.08</v>
      </c>
      <c r="DV55" s="1">
        <v>0</v>
      </c>
      <c r="DW55" s="1">
        <v>1</v>
      </c>
      <c r="DX55" s="1" t="s">
        <v>400</v>
      </c>
      <c r="DY55" s="1">
        <v>0.1</v>
      </c>
      <c r="DZ55" s="1">
        <v>0.03</v>
      </c>
    </row>
    <row r="56" spans="1:131" s="3" customFormat="1" x14ac:dyDescent="0.35">
      <c r="A56" s="1" t="s">
        <v>239</v>
      </c>
      <c r="B56" s="1" t="s">
        <v>362</v>
      </c>
      <c r="C56" s="1">
        <v>110790</v>
      </c>
      <c r="D56" s="1" t="s">
        <v>364</v>
      </c>
      <c r="E56" s="1" t="s">
        <v>365</v>
      </c>
      <c r="F56" s="2" t="s">
        <v>408</v>
      </c>
      <c r="S56" s="3">
        <v>1.34</v>
      </c>
      <c r="T56" s="3">
        <v>1.47</v>
      </c>
      <c r="U56" s="3">
        <f t="shared" si="0"/>
        <v>0.91156462585034026</v>
      </c>
      <c r="AE56" s="3">
        <v>26.29</v>
      </c>
      <c r="AF56" s="3">
        <v>3.46</v>
      </c>
      <c r="AG56" s="3">
        <v>3.79</v>
      </c>
      <c r="AN56" s="3">
        <v>0.82</v>
      </c>
      <c r="AR56" s="1" t="s">
        <v>391</v>
      </c>
      <c r="AS56" s="3">
        <v>0.12</v>
      </c>
      <c r="AT56" s="1" t="s">
        <v>372</v>
      </c>
      <c r="AU56" s="1" t="s">
        <v>373</v>
      </c>
      <c r="AV56" s="3">
        <v>0.45</v>
      </c>
      <c r="AW56" s="3">
        <v>0.05</v>
      </c>
      <c r="AX56" s="1" t="s">
        <v>374</v>
      </c>
      <c r="AY56" s="1" t="s">
        <v>375</v>
      </c>
      <c r="AZ56" s="1" t="s">
        <v>392</v>
      </c>
      <c r="BA56" s="1" t="s">
        <v>393</v>
      </c>
      <c r="BB56" s="3">
        <v>0.22</v>
      </c>
      <c r="BC56" s="3">
        <v>0.08</v>
      </c>
      <c r="BG56" s="1" t="s">
        <v>401</v>
      </c>
      <c r="BH56" s="1"/>
      <c r="BI56" s="3">
        <v>0.08</v>
      </c>
      <c r="BJ56" s="3">
        <v>0.04</v>
      </c>
      <c r="BK56" s="3">
        <v>13</v>
      </c>
      <c r="BO56" s="3">
        <v>0.1</v>
      </c>
      <c r="BP56" s="3">
        <v>0.04</v>
      </c>
      <c r="BW56" s="3">
        <v>6.84</v>
      </c>
      <c r="BX56" s="3">
        <v>2.66</v>
      </c>
      <c r="BY56" s="3">
        <v>4.03</v>
      </c>
      <c r="BZ56" s="3">
        <v>9</v>
      </c>
      <c r="CJ56" s="3">
        <v>3.5</v>
      </c>
      <c r="CK56" s="3">
        <f>1.21+0.8+1.24</f>
        <v>3.25</v>
      </c>
      <c r="CL56" s="3">
        <v>0.91</v>
      </c>
      <c r="CO56" s="3">
        <v>133.66999999999999</v>
      </c>
      <c r="CP56" s="3">
        <v>0</v>
      </c>
      <c r="CU56" s="3" t="s">
        <v>372</v>
      </c>
      <c r="CV56" s="1" t="s">
        <v>381</v>
      </c>
      <c r="CW56" s="1">
        <v>0.22</v>
      </c>
      <c r="CX56" s="1">
        <v>0.03</v>
      </c>
      <c r="CY56" s="1">
        <v>1</v>
      </c>
      <c r="CZ56" s="1" t="s">
        <v>402</v>
      </c>
      <c r="DA56" s="3" t="s">
        <v>403</v>
      </c>
      <c r="DG56" s="3">
        <v>5.22</v>
      </c>
      <c r="DH56" s="3">
        <f>1.62+1.76+0.42</f>
        <v>3.8</v>
      </c>
      <c r="DI56" s="3">
        <v>1.58</v>
      </c>
      <c r="DM56" s="3">
        <f>360-262.62</f>
        <v>97.38</v>
      </c>
      <c r="DO56" s="3">
        <v>0</v>
      </c>
      <c r="DR56" s="3" t="s">
        <v>372</v>
      </c>
      <c r="DS56" s="1" t="s">
        <v>404</v>
      </c>
      <c r="DT56" s="1">
        <v>0.39</v>
      </c>
      <c r="DU56" s="1">
        <v>0.04</v>
      </c>
      <c r="DV56" s="1">
        <v>0</v>
      </c>
      <c r="DW56" s="1">
        <v>1</v>
      </c>
      <c r="DX56" s="1" t="s">
        <v>400</v>
      </c>
      <c r="DY56" s="1">
        <v>0.08</v>
      </c>
      <c r="DZ56" s="1">
        <v>0.01</v>
      </c>
      <c r="EA56" s="1"/>
    </row>
    <row r="57" spans="1:131" s="6" customFormat="1" ht="12.75" customHeight="1" x14ac:dyDescent="0.35">
      <c r="A57" s="1" t="s">
        <v>310</v>
      </c>
      <c r="B57" s="3" t="s">
        <v>311</v>
      </c>
      <c r="C57" s="1">
        <v>110783</v>
      </c>
      <c r="D57" s="1" t="s">
        <v>312</v>
      </c>
      <c r="E57" s="1" t="s">
        <v>313</v>
      </c>
      <c r="F57" s="2" t="s">
        <v>314</v>
      </c>
      <c r="S57" s="1">
        <v>0.88</v>
      </c>
      <c r="T57" s="1">
        <v>1.22</v>
      </c>
      <c r="U57" s="1">
        <f t="shared" ref="U57:U86" si="1">S57/T57</f>
        <v>0.72131147540983609</v>
      </c>
      <c r="AE57" s="1">
        <v>17.79</v>
      </c>
      <c r="AF57" s="1">
        <v>1.78</v>
      </c>
      <c r="AG57" s="1">
        <v>2.5099999999999998</v>
      </c>
      <c r="AN57" s="1">
        <v>2.4500000000000002</v>
      </c>
      <c r="AS57" s="1">
        <v>0.11</v>
      </c>
      <c r="BK57" s="1">
        <v>13</v>
      </c>
      <c r="BR57" s="6" t="s">
        <v>346</v>
      </c>
      <c r="BS57" s="6" t="s">
        <v>347</v>
      </c>
      <c r="BT57" s="6" t="s">
        <v>348</v>
      </c>
      <c r="BW57" s="1">
        <v>6.09</v>
      </c>
      <c r="BX57" s="1">
        <v>2</v>
      </c>
      <c r="BY57" s="1">
        <v>2.94</v>
      </c>
      <c r="BZ57" s="1">
        <v>8</v>
      </c>
      <c r="CJ57" s="1">
        <v>2.4500000000000002</v>
      </c>
      <c r="CK57" s="1">
        <v>2.4699999999999998</v>
      </c>
      <c r="CL57" s="1">
        <v>0.51</v>
      </c>
      <c r="CO57" s="1">
        <v>55.65</v>
      </c>
      <c r="CP57" s="1">
        <v>1</v>
      </c>
      <c r="CR57" s="7"/>
      <c r="CS57" s="7"/>
      <c r="CY57" s="1">
        <v>1</v>
      </c>
      <c r="CZ57" s="1"/>
      <c r="DG57" s="1">
        <v>3.97</v>
      </c>
      <c r="DH57" s="1">
        <v>2.4</v>
      </c>
      <c r="DI57" s="1">
        <v>0.92</v>
      </c>
      <c r="DM57" s="1">
        <v>23.14</v>
      </c>
      <c r="DO57" s="1">
        <v>0</v>
      </c>
      <c r="DP57" s="1"/>
      <c r="DW57" s="1">
        <v>1</v>
      </c>
      <c r="DX57" s="1"/>
    </row>
    <row r="58" spans="1:131" s="6" customFormat="1" ht="12.75" customHeight="1" x14ac:dyDescent="0.35">
      <c r="A58" s="1" t="s">
        <v>239</v>
      </c>
      <c r="B58" s="3" t="s">
        <v>261</v>
      </c>
      <c r="C58" s="1">
        <v>110730</v>
      </c>
      <c r="D58" s="1" t="s">
        <v>262</v>
      </c>
      <c r="E58" s="1" t="s">
        <v>183</v>
      </c>
      <c r="F58" s="2" t="s">
        <v>263</v>
      </c>
      <c r="S58" s="1">
        <v>1.18</v>
      </c>
      <c r="T58" s="1">
        <v>1.21</v>
      </c>
      <c r="U58" s="1">
        <f t="shared" si="1"/>
        <v>0.97520661157024791</v>
      </c>
      <c r="AE58" s="1">
        <v>8.8000000000000007</v>
      </c>
      <c r="AF58" s="1">
        <v>2.75</v>
      </c>
      <c r="AG58" s="1">
        <v>3.54</v>
      </c>
      <c r="AN58" s="1">
        <v>0.64</v>
      </c>
      <c r="AS58" s="1">
        <v>0.06</v>
      </c>
      <c r="BK58" s="1">
        <v>11</v>
      </c>
      <c r="BR58" s="6" t="s">
        <v>346</v>
      </c>
      <c r="BS58" s="6" t="s">
        <v>347</v>
      </c>
      <c r="BT58" s="6" t="s">
        <v>348</v>
      </c>
      <c r="BW58" s="1">
        <v>6.55</v>
      </c>
      <c r="BX58" s="1">
        <v>2.44</v>
      </c>
      <c r="BY58" s="1">
        <v>3.35</v>
      </c>
      <c r="BZ58" s="1">
        <v>9</v>
      </c>
      <c r="CJ58" s="1">
        <v>3.25</v>
      </c>
      <c r="CK58" s="1">
        <v>4.09</v>
      </c>
      <c r="CL58" s="1">
        <v>1</v>
      </c>
      <c r="CO58" s="1">
        <v>136.54</v>
      </c>
      <c r="CP58" s="1">
        <v>0</v>
      </c>
      <c r="CR58" s="7"/>
      <c r="CS58" s="7"/>
      <c r="CY58" s="1">
        <v>0</v>
      </c>
      <c r="CZ58" s="1"/>
      <c r="DG58" s="1">
        <v>4.87</v>
      </c>
      <c r="DH58" s="1">
        <v>4.38</v>
      </c>
      <c r="DI58" s="1">
        <v>1.72</v>
      </c>
      <c r="DM58" s="1">
        <v>103.61</v>
      </c>
      <c r="DO58" s="1">
        <v>0</v>
      </c>
      <c r="DP58" s="1"/>
      <c r="DW58" s="1">
        <v>0</v>
      </c>
      <c r="DX58" s="1"/>
    </row>
    <row r="59" spans="1:131" s="6" customFormat="1" ht="12.75" customHeight="1" x14ac:dyDescent="0.35">
      <c r="A59" s="1" t="s">
        <v>239</v>
      </c>
      <c r="B59" s="3" t="s">
        <v>261</v>
      </c>
      <c r="C59" s="1">
        <v>109550</v>
      </c>
      <c r="D59" s="1" t="s">
        <v>262</v>
      </c>
      <c r="E59" s="1" t="s">
        <v>184</v>
      </c>
      <c r="F59" s="2" t="s">
        <v>264</v>
      </c>
      <c r="S59" s="1">
        <v>1.1000000000000001</v>
      </c>
      <c r="T59" s="1">
        <v>1.17</v>
      </c>
      <c r="U59" s="1">
        <f t="shared" si="1"/>
        <v>0.94017094017094027</v>
      </c>
      <c r="AE59" s="1">
        <v>8.08</v>
      </c>
      <c r="AF59" s="1">
        <v>3.07</v>
      </c>
      <c r="AG59" s="1">
        <v>2.4500000000000002</v>
      </c>
      <c r="AN59" s="1">
        <v>0.56000000000000005</v>
      </c>
      <c r="AS59" s="1">
        <v>0.04</v>
      </c>
      <c r="BK59" s="1">
        <v>11</v>
      </c>
      <c r="BR59" s="6" t="s">
        <v>346</v>
      </c>
      <c r="BS59" s="6" t="s">
        <v>347</v>
      </c>
      <c r="BT59" s="6" t="s">
        <v>348</v>
      </c>
      <c r="BW59" s="1">
        <v>6.28</v>
      </c>
      <c r="BX59" s="1">
        <v>2.16</v>
      </c>
      <c r="BY59" s="1">
        <v>4.33</v>
      </c>
      <c r="BZ59" s="1">
        <v>11</v>
      </c>
      <c r="CJ59" s="1">
        <v>2.57</v>
      </c>
      <c r="CK59" s="1">
        <v>3.68</v>
      </c>
      <c r="CL59" s="1">
        <v>0.67</v>
      </c>
      <c r="CO59" s="1">
        <v>146.27000000000001</v>
      </c>
      <c r="CP59" s="1">
        <v>0</v>
      </c>
      <c r="CR59" s="7"/>
      <c r="CS59" s="7"/>
      <c r="CY59" s="1">
        <v>0</v>
      </c>
      <c r="CZ59" s="1"/>
      <c r="DG59" s="1">
        <v>4.4000000000000004</v>
      </c>
      <c r="DH59" s="1">
        <v>3.5</v>
      </c>
      <c r="DI59" s="1">
        <v>1.22</v>
      </c>
      <c r="DM59" s="1">
        <v>93.39</v>
      </c>
      <c r="DO59" s="1">
        <v>0</v>
      </c>
      <c r="DP59" s="1"/>
      <c r="DW59" s="1">
        <v>0</v>
      </c>
      <c r="DX59" s="1"/>
    </row>
    <row r="60" spans="1:131" s="6" customFormat="1" ht="12.75" customHeight="1" x14ac:dyDescent="0.35">
      <c r="A60" s="1" t="s">
        <v>239</v>
      </c>
      <c r="B60" s="3" t="s">
        <v>271</v>
      </c>
      <c r="C60" s="1">
        <v>110803</v>
      </c>
      <c r="D60" s="1" t="s">
        <v>272</v>
      </c>
      <c r="E60" s="1" t="s">
        <v>273</v>
      </c>
      <c r="F60" s="2" t="s">
        <v>274</v>
      </c>
      <c r="S60" s="1">
        <v>1.44</v>
      </c>
      <c r="T60" s="1">
        <v>1.55</v>
      </c>
      <c r="U60" s="1">
        <f t="shared" si="1"/>
        <v>0.92903225806451606</v>
      </c>
      <c r="AE60" s="1">
        <v>16.28</v>
      </c>
      <c r="AF60" s="1">
        <v>3.34</v>
      </c>
      <c r="AG60" s="1">
        <v>3.35</v>
      </c>
      <c r="AN60" s="1">
        <v>1</v>
      </c>
      <c r="AS60" s="1">
        <v>0.26</v>
      </c>
      <c r="BK60" s="1">
        <v>15</v>
      </c>
      <c r="BR60" s="6" t="s">
        <v>346</v>
      </c>
      <c r="BS60" s="6" t="s">
        <v>347</v>
      </c>
      <c r="BT60" s="6" t="s">
        <v>348</v>
      </c>
      <c r="BW60" s="1">
        <v>7.97</v>
      </c>
      <c r="BX60" s="1">
        <v>3.09</v>
      </c>
      <c r="BY60" s="1">
        <v>3.66</v>
      </c>
      <c r="BZ60" s="1">
        <v>10</v>
      </c>
      <c r="CJ60" s="1">
        <v>4.51</v>
      </c>
      <c r="CK60" s="1">
        <v>4.4499999999999993</v>
      </c>
      <c r="CL60" s="1">
        <v>1.18</v>
      </c>
      <c r="CO60" s="1">
        <v>78.03</v>
      </c>
      <c r="CP60" s="1">
        <v>1</v>
      </c>
      <c r="CR60" s="7"/>
      <c r="CS60" s="7"/>
      <c r="CY60" s="1">
        <v>1</v>
      </c>
      <c r="CZ60" s="1"/>
      <c r="DG60" s="1">
        <v>5.15</v>
      </c>
      <c r="DH60" s="1">
        <v>3.37</v>
      </c>
      <c r="DI60" s="1">
        <v>0.98</v>
      </c>
      <c r="DM60" s="1">
        <v>34.01</v>
      </c>
      <c r="DO60" s="1">
        <v>1</v>
      </c>
      <c r="DP60" s="1"/>
      <c r="DW60" s="1">
        <v>1</v>
      </c>
      <c r="DX60" s="1"/>
    </row>
    <row r="61" spans="1:131" s="6" customFormat="1" ht="12.75" customHeight="1" x14ac:dyDescent="0.35">
      <c r="A61" s="1" t="s">
        <v>239</v>
      </c>
      <c r="B61" s="3" t="s">
        <v>271</v>
      </c>
      <c r="C61" s="1">
        <v>110803</v>
      </c>
      <c r="D61" s="1" t="s">
        <v>272</v>
      </c>
      <c r="E61" s="1" t="s">
        <v>275</v>
      </c>
      <c r="F61" s="2" t="s">
        <v>276</v>
      </c>
      <c r="S61" s="1">
        <v>1.37</v>
      </c>
      <c r="T61" s="1">
        <v>1.7</v>
      </c>
      <c r="U61" s="1">
        <f t="shared" si="1"/>
        <v>0.80588235294117661</v>
      </c>
      <c r="AE61" s="1">
        <v>15.37</v>
      </c>
      <c r="AF61" s="1">
        <v>3.47</v>
      </c>
      <c r="AG61" s="1">
        <v>4.42</v>
      </c>
      <c r="AN61" s="1">
        <v>0.84</v>
      </c>
      <c r="AS61" s="1">
        <v>0.19</v>
      </c>
      <c r="BK61" s="1">
        <v>19</v>
      </c>
      <c r="BR61" s="6" t="s">
        <v>346</v>
      </c>
      <c r="BS61" s="6" t="s">
        <v>347</v>
      </c>
      <c r="BT61" s="6" t="s">
        <v>348</v>
      </c>
      <c r="BW61" s="1">
        <v>9.16</v>
      </c>
      <c r="BX61" s="1">
        <v>3.22</v>
      </c>
      <c r="BY61" s="1">
        <v>4.0999999999999996</v>
      </c>
      <c r="BZ61" s="1">
        <v>8</v>
      </c>
      <c r="CJ61" s="1">
        <v>3.85</v>
      </c>
      <c r="CK61" s="1">
        <v>4</v>
      </c>
      <c r="CL61" s="1">
        <v>1.38</v>
      </c>
      <c r="CO61" s="1">
        <v>88.35</v>
      </c>
      <c r="CP61" s="1">
        <v>1</v>
      </c>
      <c r="CR61" s="7"/>
      <c r="CS61" s="7"/>
      <c r="CY61" s="1">
        <v>1</v>
      </c>
      <c r="CZ61" s="1"/>
      <c r="DG61" s="1">
        <v>5.28</v>
      </c>
      <c r="DH61" s="1">
        <v>3.6900000000000004</v>
      </c>
      <c r="DI61" s="1">
        <v>1.39</v>
      </c>
      <c r="DM61" s="1">
        <v>66.5</v>
      </c>
      <c r="DO61" s="1">
        <v>1</v>
      </c>
      <c r="DP61" s="1"/>
      <c r="DW61" s="1">
        <v>1</v>
      </c>
      <c r="DX61" s="1"/>
    </row>
    <row r="62" spans="1:131" s="6" customFormat="1" ht="12.75" customHeight="1" x14ac:dyDescent="0.35">
      <c r="A62" s="1" t="s">
        <v>239</v>
      </c>
      <c r="B62" s="3" t="s">
        <v>295</v>
      </c>
      <c r="C62" s="1">
        <v>109329</v>
      </c>
      <c r="D62" s="1" t="s">
        <v>296</v>
      </c>
      <c r="E62" s="1" t="s">
        <v>297</v>
      </c>
      <c r="F62" s="2" t="s">
        <v>298</v>
      </c>
      <c r="S62" s="1">
        <v>0.83000000000000007</v>
      </c>
      <c r="T62" s="1">
        <v>1.2050000000000001</v>
      </c>
      <c r="U62" s="1">
        <f t="shared" si="1"/>
        <v>0.68879668049792531</v>
      </c>
      <c r="AE62" s="1">
        <v>11.145</v>
      </c>
      <c r="AF62" s="1">
        <v>3.51</v>
      </c>
      <c r="AG62" s="1">
        <v>3.8949999999999996</v>
      </c>
      <c r="AN62" s="1">
        <v>0.72499999999999998</v>
      </c>
      <c r="AS62" s="1">
        <v>0.1</v>
      </c>
      <c r="BK62" s="1">
        <v>15</v>
      </c>
      <c r="BR62" s="6" t="s">
        <v>346</v>
      </c>
      <c r="BS62" s="6" t="s">
        <v>347</v>
      </c>
      <c r="BT62" s="6" t="s">
        <v>348</v>
      </c>
      <c r="BW62" s="1">
        <v>5.33</v>
      </c>
      <c r="BX62" s="1">
        <v>2.3199999999999998</v>
      </c>
      <c r="BY62" s="1">
        <v>2.16</v>
      </c>
      <c r="BZ62" s="1">
        <v>8</v>
      </c>
      <c r="CJ62" s="1">
        <v>2.79</v>
      </c>
      <c r="CK62" s="1">
        <v>3.04</v>
      </c>
      <c r="CL62" s="1">
        <v>0.84</v>
      </c>
      <c r="CO62" s="1">
        <v>100.18</v>
      </c>
      <c r="CP62" s="1">
        <v>0</v>
      </c>
      <c r="CR62" s="7"/>
      <c r="CS62" s="7"/>
      <c r="CY62" s="1">
        <v>1</v>
      </c>
      <c r="CZ62" s="1"/>
      <c r="DG62" s="1">
        <v>3.92</v>
      </c>
      <c r="DH62" s="1">
        <v>2.21</v>
      </c>
      <c r="DI62" s="1">
        <v>1.05</v>
      </c>
      <c r="DM62" s="1">
        <v>63.649999999999977</v>
      </c>
      <c r="DO62" s="1">
        <v>0</v>
      </c>
      <c r="DP62" s="1"/>
      <c r="DW62" s="1">
        <v>1</v>
      </c>
      <c r="DX62" s="1"/>
    </row>
    <row r="63" spans="1:131" s="6" customFormat="1" ht="12.75" customHeight="1" x14ac:dyDescent="0.35">
      <c r="A63" s="1" t="s">
        <v>239</v>
      </c>
      <c r="B63" s="3" t="s">
        <v>295</v>
      </c>
      <c r="C63" s="1">
        <v>109329</v>
      </c>
      <c r="D63" s="1" t="s">
        <v>296</v>
      </c>
      <c r="E63" s="1" t="s">
        <v>299</v>
      </c>
      <c r="F63" s="2" t="s">
        <v>300</v>
      </c>
      <c r="S63" s="1">
        <v>1.075</v>
      </c>
      <c r="T63" s="1">
        <v>1.25</v>
      </c>
      <c r="U63" s="1">
        <f t="shared" si="1"/>
        <v>0.86</v>
      </c>
      <c r="AE63" s="1">
        <v>12.844999999999999</v>
      </c>
      <c r="AF63" s="1">
        <v>2.48</v>
      </c>
      <c r="AG63" s="1">
        <v>2.77</v>
      </c>
      <c r="AN63" s="1">
        <v>0.99</v>
      </c>
      <c r="AS63" s="1">
        <v>0.11499999999999999</v>
      </c>
      <c r="BK63" s="1">
        <v>13</v>
      </c>
      <c r="BR63" s="6" t="s">
        <v>346</v>
      </c>
      <c r="BS63" s="6" t="s">
        <v>347</v>
      </c>
      <c r="BT63" s="6" t="s">
        <v>348</v>
      </c>
      <c r="BW63" s="1">
        <v>5.21</v>
      </c>
      <c r="BX63" s="1">
        <v>2.25</v>
      </c>
      <c r="BY63" s="1">
        <v>2.16</v>
      </c>
      <c r="BZ63" s="1">
        <v>9</v>
      </c>
      <c r="CJ63" s="1">
        <v>2.38</v>
      </c>
      <c r="CK63" s="1">
        <v>2.73</v>
      </c>
      <c r="CL63" s="1">
        <v>0.46</v>
      </c>
      <c r="CO63" s="1">
        <v>119.08</v>
      </c>
      <c r="CP63" s="1">
        <v>1</v>
      </c>
      <c r="CR63" s="7"/>
      <c r="CS63" s="7"/>
      <c r="CY63" s="1">
        <v>1</v>
      </c>
      <c r="CZ63" s="1"/>
      <c r="DG63" s="1">
        <v>3.5</v>
      </c>
      <c r="DH63" s="1">
        <v>2.2799999999999998</v>
      </c>
      <c r="DI63" s="1">
        <v>1.02</v>
      </c>
      <c r="DM63" s="1">
        <v>61.350000000000023</v>
      </c>
      <c r="DO63" s="1">
        <v>0</v>
      </c>
      <c r="DP63" s="1"/>
      <c r="DW63" s="1">
        <v>1</v>
      </c>
      <c r="DX63" s="1"/>
    </row>
    <row r="64" spans="1:131" s="6" customFormat="1" ht="12.75" customHeight="1" x14ac:dyDescent="0.35">
      <c r="A64" s="1" t="s">
        <v>239</v>
      </c>
      <c r="B64" s="3" t="s">
        <v>295</v>
      </c>
      <c r="C64" s="1">
        <v>110802</v>
      </c>
      <c r="D64" s="1" t="s">
        <v>272</v>
      </c>
      <c r="E64" s="1" t="s">
        <v>301</v>
      </c>
      <c r="F64" s="2" t="s">
        <v>302</v>
      </c>
      <c r="S64" s="1">
        <v>0.82</v>
      </c>
      <c r="T64" s="1">
        <v>0.93</v>
      </c>
      <c r="U64" s="1">
        <f t="shared" si="1"/>
        <v>0.88172043010752676</v>
      </c>
      <c r="AE64" s="1">
        <v>7.74</v>
      </c>
      <c r="AF64" s="1">
        <v>2.0699999999999998</v>
      </c>
      <c r="AG64" s="1">
        <v>2.34</v>
      </c>
      <c r="AN64" s="1">
        <v>0.9</v>
      </c>
      <c r="AS64" s="1">
        <v>7.0000000000000007E-2</v>
      </c>
      <c r="BK64" s="1">
        <v>11</v>
      </c>
      <c r="BR64" s="6" t="s">
        <v>346</v>
      </c>
      <c r="BS64" s="6" t="s">
        <v>347</v>
      </c>
      <c r="BT64" s="6" t="s">
        <v>348</v>
      </c>
      <c r="BW64" s="1">
        <v>5.43</v>
      </c>
      <c r="BX64" s="1">
        <v>2.04</v>
      </c>
      <c r="BY64" s="1">
        <v>2.37</v>
      </c>
      <c r="BZ64" s="1">
        <v>8</v>
      </c>
      <c r="CJ64" s="1">
        <v>2.4700000000000002</v>
      </c>
      <c r="CK64" s="1">
        <v>2.2000000000000002</v>
      </c>
      <c r="CL64" s="1">
        <v>0.7</v>
      </c>
      <c r="CO64" s="1">
        <v>66.420000000000016</v>
      </c>
      <c r="CP64" s="1">
        <v>1</v>
      </c>
      <c r="CR64" s="7"/>
      <c r="CS64" s="7"/>
      <c r="CY64" s="1">
        <v>0</v>
      </c>
      <c r="CZ64" s="1"/>
      <c r="DG64" s="1">
        <v>3.83</v>
      </c>
      <c r="DH64" s="1">
        <v>2.1800000000000002</v>
      </c>
      <c r="DI64" s="1">
        <v>0.67</v>
      </c>
      <c r="DM64" s="1">
        <v>59.759999999999991</v>
      </c>
      <c r="DO64" s="1">
        <v>0</v>
      </c>
      <c r="DP64" s="1"/>
      <c r="DW64" s="1">
        <v>0</v>
      </c>
      <c r="DX64" s="1"/>
    </row>
    <row r="65" spans="1:130" s="6" customFormat="1" ht="12.75" customHeight="1" x14ac:dyDescent="0.35">
      <c r="A65" s="1" t="s">
        <v>239</v>
      </c>
      <c r="B65" s="3" t="s">
        <v>295</v>
      </c>
      <c r="C65" s="1">
        <v>110802</v>
      </c>
      <c r="D65" s="1" t="s">
        <v>272</v>
      </c>
      <c r="E65" s="1" t="s">
        <v>303</v>
      </c>
      <c r="F65" s="2" t="s">
        <v>304</v>
      </c>
      <c r="S65" s="1">
        <v>0.95500000000000007</v>
      </c>
      <c r="T65" s="1">
        <v>1.08</v>
      </c>
      <c r="U65" s="1">
        <f t="shared" si="1"/>
        <v>0.8842592592592593</v>
      </c>
      <c r="AE65" s="1">
        <v>7.5400000000000009</v>
      </c>
      <c r="AF65" s="1">
        <v>2.5099999999999998</v>
      </c>
      <c r="AG65" s="1">
        <v>2.7800000000000002</v>
      </c>
      <c r="AN65" s="1">
        <v>0.85499999999999998</v>
      </c>
      <c r="AS65" s="1">
        <v>0.11</v>
      </c>
      <c r="BK65" s="1">
        <v>13</v>
      </c>
      <c r="BR65" s="6" t="s">
        <v>346</v>
      </c>
      <c r="BS65" s="6" t="s">
        <v>347</v>
      </c>
      <c r="BT65" s="6" t="s">
        <v>348</v>
      </c>
      <c r="BW65" s="1">
        <v>7.35</v>
      </c>
      <c r="BX65" s="1">
        <v>2.4</v>
      </c>
      <c r="BY65" s="1">
        <v>3.32</v>
      </c>
      <c r="BZ65" s="1">
        <v>10</v>
      </c>
      <c r="CJ65" s="1">
        <v>2.77</v>
      </c>
      <c r="CK65" s="1">
        <v>3.21</v>
      </c>
      <c r="CL65" s="1">
        <v>1.27</v>
      </c>
      <c r="CO65" s="1">
        <v>123</v>
      </c>
      <c r="CP65" s="1">
        <v>0</v>
      </c>
      <c r="CR65" s="7"/>
      <c r="CS65" s="7"/>
      <c r="CY65" s="1">
        <v>0</v>
      </c>
      <c r="CZ65" s="1"/>
      <c r="DG65" s="1">
        <v>4.57</v>
      </c>
      <c r="DH65" s="1">
        <v>3.1500000000000004</v>
      </c>
      <c r="DI65" s="1">
        <v>1</v>
      </c>
      <c r="DM65" s="1">
        <v>70.510000000000005</v>
      </c>
      <c r="DO65" s="1">
        <v>0</v>
      </c>
      <c r="DP65" s="1"/>
      <c r="DW65" s="1">
        <v>0</v>
      </c>
      <c r="DX65" s="1"/>
    </row>
    <row r="66" spans="1:130" s="20" customFormat="1" ht="12.75" customHeight="1" x14ac:dyDescent="0.35">
      <c r="A66" s="17" t="s">
        <v>239</v>
      </c>
      <c r="B66" s="18" t="s">
        <v>315</v>
      </c>
      <c r="C66" s="17">
        <v>109431</v>
      </c>
      <c r="D66" s="17" t="s">
        <v>316</v>
      </c>
      <c r="E66" s="17" t="s">
        <v>317</v>
      </c>
      <c r="F66" s="19" t="s">
        <v>201</v>
      </c>
      <c r="S66" s="17">
        <v>0.96</v>
      </c>
      <c r="T66" s="17">
        <v>1.43</v>
      </c>
      <c r="U66" s="17">
        <f t="shared" si="1"/>
        <v>0.67132867132867136</v>
      </c>
      <c r="AE66" s="17">
        <v>23.39</v>
      </c>
      <c r="AF66" s="17">
        <v>2.54</v>
      </c>
      <c r="AG66" s="17">
        <v>3.17</v>
      </c>
      <c r="AN66" s="17">
        <v>0.9</v>
      </c>
      <c r="AS66" s="17">
        <v>0</v>
      </c>
      <c r="BK66" s="17">
        <v>11</v>
      </c>
      <c r="BR66" s="20" t="s">
        <v>346</v>
      </c>
      <c r="BS66" s="20" t="s">
        <v>347</v>
      </c>
      <c r="BT66" s="20" t="s">
        <v>348</v>
      </c>
      <c r="BW66" s="17">
        <v>6.3</v>
      </c>
      <c r="BX66" s="17">
        <v>1.98</v>
      </c>
      <c r="BY66" s="17">
        <v>1.98</v>
      </c>
      <c r="BZ66" s="17">
        <v>10</v>
      </c>
      <c r="CJ66" s="17">
        <v>3</v>
      </c>
      <c r="CK66" s="17">
        <v>6.88</v>
      </c>
      <c r="CL66" s="17">
        <v>0.81</v>
      </c>
      <c r="CO66" s="17">
        <v>51.009999999999991</v>
      </c>
      <c r="CP66" s="17">
        <v>1</v>
      </c>
      <c r="CR66" s="21"/>
      <c r="CS66" s="21"/>
      <c r="CY66" s="17">
        <v>0</v>
      </c>
      <c r="CZ66" s="17"/>
      <c r="DG66" s="17">
        <v>4.09</v>
      </c>
      <c r="DH66" s="17">
        <v>3.21</v>
      </c>
      <c r="DI66" s="17">
        <v>0.5</v>
      </c>
      <c r="DM66" s="17">
        <v>49.100000000000023</v>
      </c>
      <c r="DO66" s="17">
        <v>0</v>
      </c>
      <c r="DP66" s="17"/>
      <c r="DW66" s="17">
        <v>0</v>
      </c>
      <c r="DX66" s="17"/>
    </row>
    <row r="67" spans="1:130" s="20" customFormat="1" ht="12.75" customHeight="1" x14ac:dyDescent="0.35">
      <c r="A67" s="17" t="s">
        <v>239</v>
      </c>
      <c r="B67" s="18" t="s">
        <v>315</v>
      </c>
      <c r="C67" s="17">
        <v>109431</v>
      </c>
      <c r="D67" s="17" t="s">
        <v>316</v>
      </c>
      <c r="E67" s="17" t="s">
        <v>318</v>
      </c>
      <c r="F67" s="19" t="s">
        <v>202</v>
      </c>
      <c r="S67" s="17">
        <v>1.55</v>
      </c>
      <c r="T67" s="17">
        <v>1.66</v>
      </c>
      <c r="U67" s="17">
        <f t="shared" si="1"/>
        <v>0.93373493975903621</v>
      </c>
      <c r="AE67" s="17">
        <v>24.16</v>
      </c>
      <c r="AF67" s="17">
        <v>2.65</v>
      </c>
      <c r="AG67" s="17">
        <v>3.48</v>
      </c>
      <c r="AN67" s="17">
        <v>0.81</v>
      </c>
      <c r="AS67" s="17"/>
      <c r="BK67" s="17">
        <v>11</v>
      </c>
      <c r="BR67" s="20" t="s">
        <v>346</v>
      </c>
      <c r="BS67" s="20" t="s">
        <v>347</v>
      </c>
      <c r="BT67" s="20" t="s">
        <v>348</v>
      </c>
      <c r="BW67" s="17">
        <v>6.39</v>
      </c>
      <c r="BX67" s="17">
        <v>2.25</v>
      </c>
      <c r="BY67" s="17">
        <v>2.54</v>
      </c>
      <c r="BZ67" s="17">
        <v>10</v>
      </c>
      <c r="CJ67" s="17">
        <v>3.38</v>
      </c>
      <c r="CK67" s="17">
        <v>4.07</v>
      </c>
      <c r="CL67" s="17">
        <v>0.95</v>
      </c>
      <c r="CO67" s="17">
        <v>121.58</v>
      </c>
      <c r="CP67" s="17">
        <v>1</v>
      </c>
      <c r="CR67" s="21"/>
      <c r="CS67" s="21"/>
      <c r="CY67" s="17">
        <v>0</v>
      </c>
      <c r="CZ67" s="17"/>
      <c r="DG67" s="17">
        <v>3.89</v>
      </c>
      <c r="DH67" s="17">
        <v>3.4399999999999995</v>
      </c>
      <c r="DI67" s="17">
        <v>0.46</v>
      </c>
      <c r="DM67" s="17">
        <v>38.520000000000003</v>
      </c>
      <c r="DO67" s="17">
        <v>1</v>
      </c>
      <c r="DP67" s="17"/>
      <c r="DW67" s="17">
        <v>0</v>
      </c>
      <c r="DX67" s="17"/>
    </row>
    <row r="68" spans="1:130" s="20" customFormat="1" ht="12.75" customHeight="1" x14ac:dyDescent="0.35">
      <c r="A68" s="17" t="s">
        <v>239</v>
      </c>
      <c r="B68" s="18" t="s">
        <v>315</v>
      </c>
      <c r="C68" s="17">
        <v>73308</v>
      </c>
      <c r="D68" s="17" t="s">
        <v>316</v>
      </c>
      <c r="E68" s="17" t="s">
        <v>319</v>
      </c>
      <c r="F68" s="19" t="s">
        <v>203</v>
      </c>
      <c r="S68" s="17">
        <v>0.88</v>
      </c>
      <c r="T68" s="17">
        <v>2.0299999999999998</v>
      </c>
      <c r="U68" s="17">
        <f t="shared" si="1"/>
        <v>0.43349753694581283</v>
      </c>
      <c r="AE68" s="17">
        <v>30.27</v>
      </c>
      <c r="AF68" s="17">
        <v>3.17</v>
      </c>
      <c r="AG68" s="17">
        <v>5.74</v>
      </c>
      <c r="AN68" s="17">
        <v>0.96</v>
      </c>
      <c r="AS68" s="17">
        <v>0</v>
      </c>
      <c r="BK68" s="17">
        <v>13</v>
      </c>
      <c r="BR68" s="20" t="s">
        <v>346</v>
      </c>
      <c r="BS68" s="20" t="s">
        <v>347</v>
      </c>
      <c r="BT68" s="20" t="s">
        <v>348</v>
      </c>
      <c r="BW68" s="17">
        <v>6.92</v>
      </c>
      <c r="BX68" s="17">
        <v>2.67</v>
      </c>
      <c r="BY68" s="17">
        <v>2.61</v>
      </c>
      <c r="BZ68" s="17">
        <v>9</v>
      </c>
      <c r="CJ68" s="17">
        <v>3.32</v>
      </c>
      <c r="CK68" s="17">
        <v>4.01</v>
      </c>
      <c r="CL68" s="17">
        <v>1.05</v>
      </c>
      <c r="CO68" s="17">
        <v>106.59</v>
      </c>
      <c r="CP68" s="17">
        <v>0</v>
      </c>
      <c r="CR68" s="21"/>
      <c r="CS68" s="21"/>
      <c r="CY68" s="17">
        <v>0</v>
      </c>
      <c r="CZ68" s="17"/>
      <c r="DG68" s="17">
        <v>4.09</v>
      </c>
      <c r="DH68" s="17">
        <v>3.32</v>
      </c>
      <c r="DI68" s="17">
        <v>1.07</v>
      </c>
      <c r="DM68" s="17">
        <v>62.52</v>
      </c>
      <c r="DO68" s="17">
        <v>0</v>
      </c>
      <c r="DP68" s="17"/>
      <c r="DW68" s="17">
        <v>0</v>
      </c>
      <c r="DX68" s="17"/>
    </row>
    <row r="69" spans="1:130" s="20" customFormat="1" ht="12.75" customHeight="1" x14ac:dyDescent="0.35">
      <c r="A69" s="17" t="s">
        <v>239</v>
      </c>
      <c r="B69" s="18" t="s">
        <v>315</v>
      </c>
      <c r="C69" s="17">
        <v>73309</v>
      </c>
      <c r="D69" s="17" t="s">
        <v>316</v>
      </c>
      <c r="E69" s="17" t="s">
        <v>205</v>
      </c>
      <c r="F69" s="19" t="s">
        <v>204</v>
      </c>
      <c r="S69" s="17">
        <v>0.97</v>
      </c>
      <c r="T69" s="17">
        <v>1.43</v>
      </c>
      <c r="U69" s="17">
        <f t="shared" si="1"/>
        <v>0.67832167832167833</v>
      </c>
      <c r="AE69" s="17">
        <v>20.14</v>
      </c>
      <c r="AF69" s="17">
        <v>2.06</v>
      </c>
      <c r="AG69" s="17">
        <v>2.25</v>
      </c>
      <c r="AN69" s="17">
        <v>0.92</v>
      </c>
      <c r="AS69" s="17">
        <v>0</v>
      </c>
      <c r="BK69" s="17">
        <v>10</v>
      </c>
      <c r="BR69" s="20" t="s">
        <v>346</v>
      </c>
      <c r="BS69" s="20" t="s">
        <v>347</v>
      </c>
      <c r="BT69" s="20" t="s">
        <v>348</v>
      </c>
      <c r="BW69" s="17">
        <v>6.61</v>
      </c>
      <c r="BX69" s="17">
        <v>1.85</v>
      </c>
      <c r="BY69" s="17">
        <v>2.46</v>
      </c>
      <c r="BZ69" s="17">
        <v>10</v>
      </c>
      <c r="CJ69" s="17">
        <v>3.46</v>
      </c>
      <c r="CK69" s="17">
        <v>3.07</v>
      </c>
      <c r="CL69" s="17">
        <v>0.87</v>
      </c>
      <c r="CO69" s="17">
        <v>59.66</v>
      </c>
      <c r="CP69" s="17">
        <v>1</v>
      </c>
      <c r="CR69" s="21"/>
      <c r="CS69" s="21"/>
      <c r="CY69" s="17">
        <v>0</v>
      </c>
      <c r="CZ69" s="17"/>
      <c r="DG69" s="17">
        <v>4.4400000000000004</v>
      </c>
      <c r="DH69" s="17">
        <v>2.74</v>
      </c>
      <c r="DI69" s="17">
        <v>0.65</v>
      </c>
      <c r="DM69" s="17">
        <v>32.269999999999982</v>
      </c>
      <c r="DO69" s="17">
        <v>0</v>
      </c>
      <c r="DP69" s="17"/>
      <c r="DW69" s="17">
        <v>0</v>
      </c>
      <c r="DX69" s="17"/>
    </row>
    <row r="70" spans="1:130" s="18" customFormat="1" x14ac:dyDescent="0.35">
      <c r="A70" s="17" t="s">
        <v>239</v>
      </c>
      <c r="B70" s="18" t="s">
        <v>438</v>
      </c>
      <c r="C70" s="18">
        <v>109882</v>
      </c>
      <c r="D70" s="18" t="s">
        <v>453</v>
      </c>
      <c r="E70" s="18" t="s">
        <v>409</v>
      </c>
      <c r="F70" s="22" t="s">
        <v>454</v>
      </c>
      <c r="S70" s="18">
        <v>1.04</v>
      </c>
      <c r="T70" s="18">
        <v>1.78</v>
      </c>
      <c r="U70" s="18">
        <f t="shared" si="1"/>
        <v>0.5842696629213483</v>
      </c>
      <c r="AE70" s="18">
        <v>16.48</v>
      </c>
      <c r="AF70" s="18">
        <f>1.99*2</f>
        <v>3.98</v>
      </c>
      <c r="AG70" s="18">
        <v>4.99</v>
      </c>
      <c r="AN70" s="18">
        <v>1.25</v>
      </c>
      <c r="AR70" s="18" t="s">
        <v>428</v>
      </c>
      <c r="AS70" s="18">
        <v>0.16</v>
      </c>
      <c r="AT70" s="18" t="s">
        <v>411</v>
      </c>
      <c r="AU70" s="18" t="s">
        <v>410</v>
      </c>
      <c r="AV70" s="18">
        <v>0.15</v>
      </c>
      <c r="AW70" s="18">
        <v>0.03</v>
      </c>
      <c r="AX70" s="18" t="s">
        <v>412</v>
      </c>
      <c r="AY70" s="18" t="s">
        <v>375</v>
      </c>
      <c r="AZ70" s="18" t="s">
        <v>418</v>
      </c>
      <c r="BA70" s="18" t="s">
        <v>426</v>
      </c>
      <c r="BB70" s="18">
        <v>7.0000000000000007E-2</v>
      </c>
      <c r="BC70" s="18">
        <v>0.05</v>
      </c>
      <c r="BG70" s="18" t="s">
        <v>413</v>
      </c>
      <c r="BH70" s="18" t="s">
        <v>414</v>
      </c>
      <c r="BI70" s="18">
        <v>0.05</v>
      </c>
      <c r="BJ70" s="18">
        <v>0.02</v>
      </c>
      <c r="BK70" s="18">
        <v>15</v>
      </c>
      <c r="BO70" s="18">
        <v>0.08</v>
      </c>
      <c r="BP70" s="18" t="s">
        <v>417</v>
      </c>
      <c r="BW70" s="18">
        <v>7.08</v>
      </c>
      <c r="BX70" s="18">
        <v>2.4300000000000002</v>
      </c>
      <c r="BY70" s="18">
        <v>2.86</v>
      </c>
      <c r="BZ70" s="18">
        <v>10</v>
      </c>
      <c r="CJ70" s="18">
        <v>3.95</v>
      </c>
      <c r="CK70" s="18">
        <f>1.87+2.2</f>
        <v>4.07</v>
      </c>
      <c r="CL70" s="18">
        <v>1.1599999999999999</v>
      </c>
      <c r="CO70" s="18">
        <v>132.37</v>
      </c>
      <c r="CP70" s="18">
        <v>1</v>
      </c>
      <c r="CQ70" s="18">
        <v>75.849999999999994</v>
      </c>
      <c r="CU70" s="18" t="s">
        <v>372</v>
      </c>
      <c r="CV70" s="18" t="s">
        <v>420</v>
      </c>
      <c r="CW70" s="18">
        <v>0.38</v>
      </c>
      <c r="CX70" s="18" t="s">
        <v>419</v>
      </c>
      <c r="CY70" s="18">
        <v>1</v>
      </c>
      <c r="CZ70" s="18" t="s">
        <v>421</v>
      </c>
      <c r="DA70" s="18">
        <v>0.12</v>
      </c>
      <c r="DG70" s="18">
        <v>4.76</v>
      </c>
      <c r="DH70" s="18">
        <v>3.91</v>
      </c>
      <c r="DI70" s="18">
        <v>1.1599999999999999</v>
      </c>
      <c r="DM70" s="18">
        <f>360-303.49</f>
        <v>56.509999999999991</v>
      </c>
      <c r="DO70" s="18">
        <v>0</v>
      </c>
      <c r="DR70" s="18" t="s">
        <v>372</v>
      </c>
      <c r="DS70" s="18" t="s">
        <v>423</v>
      </c>
      <c r="DT70" s="18">
        <v>0.85</v>
      </c>
      <c r="DU70" s="18">
        <v>0.23</v>
      </c>
      <c r="DW70" s="18">
        <v>1</v>
      </c>
      <c r="DX70" s="18" t="s">
        <v>424</v>
      </c>
      <c r="DY70" s="18">
        <v>0.44</v>
      </c>
      <c r="DZ70" s="18" t="s">
        <v>432</v>
      </c>
    </row>
    <row r="71" spans="1:130" s="18" customFormat="1" x14ac:dyDescent="0.35">
      <c r="A71" s="17" t="s">
        <v>239</v>
      </c>
      <c r="B71" s="18" t="s">
        <v>438</v>
      </c>
      <c r="C71" s="18">
        <v>109882</v>
      </c>
      <c r="D71" s="18" t="s">
        <v>453</v>
      </c>
      <c r="E71" s="18" t="s">
        <v>425</v>
      </c>
      <c r="F71" s="22" t="s">
        <v>455</v>
      </c>
      <c r="S71" s="18">
        <v>1.26</v>
      </c>
      <c r="T71" s="18">
        <v>1.86</v>
      </c>
      <c r="U71" s="18">
        <f t="shared" si="1"/>
        <v>0.67741935483870963</v>
      </c>
      <c r="AE71" s="18">
        <v>20.23</v>
      </c>
      <c r="AF71" s="18">
        <f>2.68*2</f>
        <v>5.36</v>
      </c>
      <c r="AG71" s="18">
        <v>6.12</v>
      </c>
      <c r="AN71" s="18">
        <v>1.72</v>
      </c>
      <c r="AR71" s="18" t="s">
        <v>427</v>
      </c>
      <c r="AS71" s="18">
        <v>0.17</v>
      </c>
      <c r="AT71" s="18" t="s">
        <v>411</v>
      </c>
      <c r="AU71" s="18" t="s">
        <v>410</v>
      </c>
      <c r="AV71" s="18">
        <v>0.16</v>
      </c>
      <c r="AW71" s="18">
        <v>0.03</v>
      </c>
      <c r="AX71" s="18" t="s">
        <v>412</v>
      </c>
      <c r="AY71" s="18" t="s">
        <v>375</v>
      </c>
      <c r="AZ71" s="18" t="s">
        <v>418</v>
      </c>
      <c r="BB71" s="18">
        <v>0.08</v>
      </c>
      <c r="BC71" s="18">
        <v>0.06</v>
      </c>
      <c r="BG71" s="18" t="s">
        <v>413</v>
      </c>
      <c r="BH71" s="18" t="s">
        <v>430</v>
      </c>
      <c r="BI71" s="18">
        <v>0.09</v>
      </c>
      <c r="BJ71" s="18">
        <v>0.05</v>
      </c>
      <c r="BK71" s="18">
        <v>19</v>
      </c>
      <c r="BO71" s="18">
        <v>0.05</v>
      </c>
      <c r="BP71" s="18" t="s">
        <v>429</v>
      </c>
      <c r="BW71" s="18">
        <v>8.0500000000000007</v>
      </c>
      <c r="BX71" s="18">
        <v>2.4300000000000002</v>
      </c>
      <c r="BY71" s="18">
        <v>3.47</v>
      </c>
      <c r="BZ71" s="18">
        <v>8</v>
      </c>
      <c r="CJ71" s="18">
        <v>4.07</v>
      </c>
      <c r="CK71" s="18">
        <f>2.37+1.78</f>
        <v>4.1500000000000004</v>
      </c>
      <c r="CL71" s="18">
        <v>1.47</v>
      </c>
      <c r="CO71" s="18">
        <v>73.36</v>
      </c>
      <c r="CP71" s="18">
        <v>0</v>
      </c>
      <c r="CU71" s="18" t="s">
        <v>372</v>
      </c>
      <c r="CV71" s="18" t="s">
        <v>420</v>
      </c>
      <c r="CW71" s="18">
        <v>0.12</v>
      </c>
      <c r="CX71" s="18">
        <v>0.03</v>
      </c>
      <c r="CY71" s="18">
        <v>1</v>
      </c>
      <c r="CZ71" s="18" t="s">
        <v>421</v>
      </c>
      <c r="DA71" s="18">
        <v>0.08</v>
      </c>
      <c r="DG71" s="18">
        <v>5.7</v>
      </c>
      <c r="DH71" s="18">
        <f>0.37+1.51+1.68</f>
        <v>3.5599999999999996</v>
      </c>
      <c r="DI71" s="18">
        <v>2.14</v>
      </c>
      <c r="DM71" s="18">
        <v>75.23</v>
      </c>
      <c r="DO71" s="18">
        <v>1</v>
      </c>
      <c r="DR71" s="18" t="s">
        <v>372</v>
      </c>
      <c r="DS71" s="18" t="s">
        <v>436</v>
      </c>
      <c r="DT71" s="18">
        <v>0.34</v>
      </c>
      <c r="DU71" s="18" t="s">
        <v>435</v>
      </c>
      <c r="DV71" s="18" t="s">
        <v>437</v>
      </c>
      <c r="DW71" s="18">
        <v>1</v>
      </c>
      <c r="DX71" s="18" t="s">
        <v>424</v>
      </c>
      <c r="DY71" s="18">
        <v>0.22</v>
      </c>
      <c r="DZ71" s="18" t="s">
        <v>433</v>
      </c>
    </row>
    <row r="72" spans="1:130" s="18" customFormat="1" x14ac:dyDescent="0.35">
      <c r="A72" s="17" t="s">
        <v>239</v>
      </c>
      <c r="B72" s="18" t="s">
        <v>459</v>
      </c>
      <c r="D72" s="18" t="s">
        <v>460</v>
      </c>
      <c r="E72" s="18" t="s">
        <v>456</v>
      </c>
      <c r="F72" s="22"/>
      <c r="N72" s="18" t="s">
        <v>466</v>
      </c>
      <c r="S72" s="18">
        <v>1.54</v>
      </c>
      <c r="T72" s="18">
        <v>1.22</v>
      </c>
      <c r="U72" s="18">
        <f t="shared" si="1"/>
        <v>1.2622950819672132</v>
      </c>
      <c r="AE72" s="18">
        <v>16.34</v>
      </c>
      <c r="AF72" s="18">
        <v>3.5</v>
      </c>
      <c r="AG72" s="18">
        <v>5.23</v>
      </c>
      <c r="AN72" s="18">
        <v>1.44</v>
      </c>
      <c r="AR72" s="18">
        <v>0</v>
      </c>
      <c r="AS72" s="18" t="s">
        <v>471</v>
      </c>
      <c r="AT72" s="18" t="s">
        <v>411</v>
      </c>
      <c r="AU72" s="18" t="s">
        <v>469</v>
      </c>
      <c r="AV72" s="18">
        <v>0.18</v>
      </c>
      <c r="AW72" s="18">
        <v>7.0000000000000007E-2</v>
      </c>
      <c r="AY72" s="18" t="s">
        <v>470</v>
      </c>
      <c r="AZ72" s="18" t="s">
        <v>473</v>
      </c>
      <c r="BA72" s="18" t="s">
        <v>472</v>
      </c>
      <c r="BB72" s="18">
        <v>0.04</v>
      </c>
      <c r="BC72" s="18">
        <v>0.03</v>
      </c>
      <c r="BG72" s="18" t="s">
        <v>413</v>
      </c>
      <c r="BH72" s="18" t="s">
        <v>430</v>
      </c>
      <c r="BI72" s="18">
        <v>0.06</v>
      </c>
      <c r="BJ72" s="18">
        <v>0.04</v>
      </c>
      <c r="BK72" s="18">
        <v>13</v>
      </c>
      <c r="BO72" s="18">
        <v>0.04</v>
      </c>
      <c r="BP72" s="18">
        <v>0.03</v>
      </c>
      <c r="BQ72" s="18">
        <v>1</v>
      </c>
      <c r="BW72" s="18">
        <v>6.79</v>
      </c>
      <c r="BX72" s="18">
        <v>2.1800000000000002</v>
      </c>
      <c r="BY72" s="18">
        <v>3.36</v>
      </c>
      <c r="BZ72" s="18">
        <v>9</v>
      </c>
      <c r="CJ72" s="18">
        <v>2.84</v>
      </c>
      <c r="CK72" s="18">
        <f>1.94+1.68</f>
        <v>3.62</v>
      </c>
      <c r="CL72" s="18">
        <v>0.69</v>
      </c>
      <c r="CO72" s="18">
        <v>139.80000000000001</v>
      </c>
      <c r="CP72" s="18">
        <v>0</v>
      </c>
      <c r="CU72" s="18" t="s">
        <v>372</v>
      </c>
      <c r="CV72" s="18" t="s">
        <v>420</v>
      </c>
      <c r="CW72" s="18">
        <v>0.15</v>
      </c>
      <c r="CX72" s="18">
        <v>0.06</v>
      </c>
      <c r="CY72" s="18">
        <v>0</v>
      </c>
      <c r="CZ72" s="18" t="s">
        <v>403</v>
      </c>
      <c r="DA72" s="18" t="s">
        <v>403</v>
      </c>
      <c r="DG72" s="18">
        <v>4.5599999999999996</v>
      </c>
      <c r="DH72" s="18">
        <f>1.84+1.96</f>
        <v>3.8</v>
      </c>
      <c r="DI72" s="18">
        <v>1.36</v>
      </c>
      <c r="DM72" s="18">
        <v>89.2</v>
      </c>
      <c r="DO72" s="18">
        <v>0</v>
      </c>
      <c r="DR72" s="18" t="s">
        <v>372</v>
      </c>
      <c r="DS72" s="18" t="s">
        <v>420</v>
      </c>
      <c r="DT72" s="18">
        <v>0.37</v>
      </c>
      <c r="DU72" s="18" t="s">
        <v>475</v>
      </c>
      <c r="DV72" s="18" t="s">
        <v>437</v>
      </c>
      <c r="DW72" s="18">
        <v>0</v>
      </c>
      <c r="DX72" s="18" t="s">
        <v>471</v>
      </c>
      <c r="DY72" s="18" t="s">
        <v>471</v>
      </c>
      <c r="DZ72" s="18" t="s">
        <v>471</v>
      </c>
    </row>
    <row r="73" spans="1:130" s="23" customFormat="1" x14ac:dyDescent="0.35">
      <c r="A73" s="17" t="s">
        <v>239</v>
      </c>
      <c r="B73" s="23" t="s">
        <v>459</v>
      </c>
      <c r="D73" s="23" t="s">
        <v>461</v>
      </c>
      <c r="E73" s="23" t="s">
        <v>457</v>
      </c>
      <c r="F73" s="24"/>
      <c r="N73" s="23" t="s">
        <v>466</v>
      </c>
      <c r="S73" s="23">
        <v>1.45</v>
      </c>
      <c r="T73" s="23">
        <v>1.52</v>
      </c>
      <c r="U73" s="23">
        <f t="shared" si="1"/>
        <v>0.95394736842105254</v>
      </c>
      <c r="X73" s="23" t="s">
        <v>477</v>
      </c>
      <c r="AE73" s="23">
        <v>16.91</v>
      </c>
      <c r="AF73" s="23">
        <v>4.08</v>
      </c>
      <c r="AG73" s="23">
        <v>3.68</v>
      </c>
      <c r="AN73" s="23">
        <v>1.18</v>
      </c>
      <c r="AR73" s="23">
        <v>1</v>
      </c>
      <c r="AS73" s="23">
        <v>0.08</v>
      </c>
      <c r="AT73" s="23" t="s">
        <v>478</v>
      </c>
      <c r="AU73" s="23" t="s">
        <v>410</v>
      </c>
      <c r="AV73" s="23">
        <v>0.12</v>
      </c>
      <c r="AW73" s="23">
        <v>7.0000000000000007E-2</v>
      </c>
      <c r="AY73" s="23" t="s">
        <v>470</v>
      </c>
      <c r="AZ73" s="23" t="s">
        <v>479</v>
      </c>
      <c r="BA73" s="23" t="s">
        <v>480</v>
      </c>
      <c r="BB73" s="23">
        <v>0.15</v>
      </c>
      <c r="BC73" s="23">
        <v>0.08</v>
      </c>
      <c r="BG73" s="23" t="s">
        <v>413</v>
      </c>
      <c r="BH73" s="23" t="s">
        <v>430</v>
      </c>
      <c r="BI73" s="23">
        <v>0.09</v>
      </c>
      <c r="BJ73" s="23">
        <v>0.04</v>
      </c>
      <c r="BK73" s="23">
        <v>15</v>
      </c>
      <c r="BO73" s="23">
        <v>0.03</v>
      </c>
      <c r="BP73" s="23">
        <v>0.03</v>
      </c>
      <c r="BQ73" s="23">
        <v>1</v>
      </c>
      <c r="BW73" s="23">
        <v>6.71</v>
      </c>
      <c r="BX73" s="23">
        <v>2.41</v>
      </c>
      <c r="BY73" s="23">
        <v>2.89</v>
      </c>
      <c r="BZ73" s="23">
        <v>7</v>
      </c>
      <c r="CJ73" s="23">
        <v>3.84</v>
      </c>
      <c r="CK73" s="23">
        <f>1.17+1.12+0.78+1.35</f>
        <v>4.42</v>
      </c>
      <c r="CL73" s="23">
        <v>1.2</v>
      </c>
      <c r="CO73" s="23">
        <f>360-220</f>
        <v>140</v>
      </c>
      <c r="CP73" s="23">
        <v>0</v>
      </c>
      <c r="CU73" s="23" t="s">
        <v>372</v>
      </c>
      <c r="CV73" s="23" t="s">
        <v>481</v>
      </c>
      <c r="CW73" s="23">
        <v>0.23</v>
      </c>
      <c r="CX73" s="23">
        <v>0.1</v>
      </c>
      <c r="CY73" s="23">
        <v>0</v>
      </c>
      <c r="CZ73" s="23" t="s">
        <v>403</v>
      </c>
      <c r="DA73" s="23" t="s">
        <v>403</v>
      </c>
      <c r="DB73" s="23" t="s">
        <v>484</v>
      </c>
      <c r="DG73" s="23">
        <v>5.04</v>
      </c>
      <c r="DH73" s="23">
        <f>1.95+1.7</f>
        <v>3.65</v>
      </c>
      <c r="DI73" s="23">
        <v>1.5</v>
      </c>
      <c r="DM73" s="23">
        <f>360-276.3</f>
        <v>83.699999999999989</v>
      </c>
      <c r="DO73" s="23">
        <v>0</v>
      </c>
      <c r="DR73" s="23" t="s">
        <v>372</v>
      </c>
      <c r="DS73" s="23" t="s">
        <v>483</v>
      </c>
      <c r="DT73" s="23">
        <v>0.18</v>
      </c>
      <c r="DU73" s="23" t="s">
        <v>482</v>
      </c>
      <c r="DV73" s="23" t="s">
        <v>437</v>
      </c>
      <c r="DW73" s="23">
        <v>0</v>
      </c>
      <c r="DX73" s="18" t="s">
        <v>471</v>
      </c>
      <c r="DY73" s="18" t="s">
        <v>471</v>
      </c>
      <c r="DZ73" s="18" t="s">
        <v>471</v>
      </c>
    </row>
    <row r="74" spans="1:130" s="23" customFormat="1" x14ac:dyDescent="0.35">
      <c r="A74" s="17" t="s">
        <v>239</v>
      </c>
      <c r="B74" s="23" t="s">
        <v>459</v>
      </c>
      <c r="D74" s="23" t="s">
        <v>461</v>
      </c>
      <c r="E74" s="23" t="s">
        <v>458</v>
      </c>
      <c r="F74" s="24"/>
      <c r="N74" s="23" t="s">
        <v>466</v>
      </c>
      <c r="S74" s="23">
        <v>1.26</v>
      </c>
      <c r="T74" s="23">
        <v>1.59</v>
      </c>
      <c r="U74" s="23">
        <f t="shared" si="1"/>
        <v>0.79245283018867918</v>
      </c>
      <c r="X74" s="23" t="s">
        <v>486</v>
      </c>
      <c r="AE74" s="23">
        <v>17.18</v>
      </c>
      <c r="AF74" s="23">
        <v>3.1</v>
      </c>
      <c r="AG74" s="23">
        <v>5.33</v>
      </c>
      <c r="AN74" s="23">
        <v>1.36</v>
      </c>
      <c r="AR74" s="23">
        <v>0</v>
      </c>
      <c r="AS74" s="23" t="s">
        <v>403</v>
      </c>
      <c r="AT74" s="23" t="s">
        <v>478</v>
      </c>
      <c r="AU74" s="23" t="s">
        <v>410</v>
      </c>
      <c r="AV74" s="23">
        <v>0.08</v>
      </c>
      <c r="AW74" s="23" t="s">
        <v>488</v>
      </c>
      <c r="AY74" s="23" t="s">
        <v>470</v>
      </c>
      <c r="AZ74" s="23" t="s">
        <v>479</v>
      </c>
      <c r="BA74" s="23" t="s">
        <v>480</v>
      </c>
      <c r="BB74" s="23">
        <v>0.08</v>
      </c>
      <c r="BC74" s="23" t="s">
        <v>485</v>
      </c>
      <c r="BG74" s="23" t="s">
        <v>413</v>
      </c>
      <c r="BH74" s="23" t="s">
        <v>430</v>
      </c>
      <c r="BI74" s="23">
        <v>7.0000000000000007E-2</v>
      </c>
      <c r="BJ74" s="23">
        <v>0.04</v>
      </c>
      <c r="BK74" s="23">
        <v>13</v>
      </c>
      <c r="BO74" s="23">
        <v>0.04</v>
      </c>
      <c r="BP74" s="23">
        <v>0.03</v>
      </c>
      <c r="BQ74" s="23">
        <v>1</v>
      </c>
      <c r="BW74" s="23">
        <v>6.53</v>
      </c>
      <c r="BX74" s="23">
        <v>1.92</v>
      </c>
      <c r="BY74" s="23">
        <v>2.4500000000000002</v>
      </c>
      <c r="BZ74" s="23">
        <v>8</v>
      </c>
      <c r="CJ74" s="23">
        <v>3.01</v>
      </c>
      <c r="CK74" s="23">
        <f>1.26+0.54+1.54</f>
        <v>3.34</v>
      </c>
      <c r="CL74" s="23">
        <v>0.78</v>
      </c>
      <c r="CO74" s="23">
        <f>360-230.6</f>
        <v>129.4</v>
      </c>
      <c r="CP74" s="23">
        <v>1</v>
      </c>
      <c r="CQ74" s="23">
        <v>64.33</v>
      </c>
      <c r="CU74" s="23" t="s">
        <v>372</v>
      </c>
      <c r="CV74" s="23" t="s">
        <v>420</v>
      </c>
      <c r="CW74" s="23">
        <v>0.09</v>
      </c>
      <c r="CX74" s="23" t="s">
        <v>489</v>
      </c>
      <c r="CY74" s="23">
        <v>0</v>
      </c>
      <c r="CZ74" s="23" t="s">
        <v>403</v>
      </c>
      <c r="DA74" s="23" t="s">
        <v>403</v>
      </c>
      <c r="DG74" s="23">
        <v>4.54</v>
      </c>
      <c r="DH74" s="23">
        <f>0.97+0.46+1.95</f>
        <v>3.38</v>
      </c>
      <c r="DI74" s="23">
        <v>0.81</v>
      </c>
      <c r="DM74" s="23">
        <v>91.72</v>
      </c>
      <c r="DO74" s="23">
        <v>0</v>
      </c>
      <c r="DR74" s="23" t="s">
        <v>372</v>
      </c>
      <c r="DS74" s="23" t="s">
        <v>483</v>
      </c>
      <c r="DT74" s="23">
        <v>0.18</v>
      </c>
      <c r="DU74" s="23" t="s">
        <v>490</v>
      </c>
      <c r="DV74" s="23" t="s">
        <v>437</v>
      </c>
      <c r="DW74" s="23">
        <v>0</v>
      </c>
      <c r="DX74" s="23" t="s">
        <v>471</v>
      </c>
      <c r="DY74" s="23" t="s">
        <v>471</v>
      </c>
      <c r="DZ74" s="23" t="s">
        <v>471</v>
      </c>
    </row>
    <row r="75" spans="1:130" s="23" customFormat="1" x14ac:dyDescent="0.35">
      <c r="A75" s="17" t="s">
        <v>239</v>
      </c>
      <c r="B75" s="23" t="s">
        <v>462</v>
      </c>
      <c r="D75" s="23" t="s">
        <v>601</v>
      </c>
      <c r="E75" s="23" t="s">
        <v>467</v>
      </c>
      <c r="F75" s="24"/>
      <c r="N75" s="23" t="s">
        <v>466</v>
      </c>
      <c r="S75" s="23">
        <v>1.35</v>
      </c>
      <c r="T75" s="23">
        <v>1.63</v>
      </c>
      <c r="U75" s="23">
        <f t="shared" si="1"/>
        <v>0.82822085889570563</v>
      </c>
      <c r="AE75" s="23">
        <v>17.36</v>
      </c>
      <c r="AF75" s="23">
        <v>2.8</v>
      </c>
      <c r="AG75" s="23">
        <v>2.65</v>
      </c>
      <c r="AN75" s="23">
        <v>1.27</v>
      </c>
      <c r="AR75" s="23">
        <v>1</v>
      </c>
      <c r="AS75" s="23">
        <v>0.14000000000000001</v>
      </c>
      <c r="AT75" s="23" t="s">
        <v>478</v>
      </c>
      <c r="AU75" s="23" t="s">
        <v>410</v>
      </c>
      <c r="AV75" s="23">
        <v>7.0000000000000007E-2</v>
      </c>
      <c r="AW75" s="23" t="s">
        <v>513</v>
      </c>
      <c r="AY75" s="23" t="s">
        <v>375</v>
      </c>
      <c r="AZ75" s="23" t="s">
        <v>491</v>
      </c>
      <c r="BA75" s="23" t="s">
        <v>492</v>
      </c>
      <c r="BB75" s="23">
        <v>0.1</v>
      </c>
      <c r="BC75" s="23" t="s">
        <v>489</v>
      </c>
      <c r="BG75" s="23" t="s">
        <v>495</v>
      </c>
      <c r="BH75" s="23" t="s">
        <v>494</v>
      </c>
      <c r="BI75" s="23">
        <v>0.03</v>
      </c>
      <c r="BJ75" s="23" t="s">
        <v>493</v>
      </c>
      <c r="BK75" s="23">
        <v>13</v>
      </c>
      <c r="BO75" s="23">
        <v>7.0000000000000007E-2</v>
      </c>
      <c r="BP75" s="23" t="s">
        <v>496</v>
      </c>
      <c r="BQ75" s="23">
        <v>1</v>
      </c>
      <c r="BW75" s="23">
        <v>7.2</v>
      </c>
      <c r="BX75" s="23">
        <v>2.75</v>
      </c>
      <c r="BY75" s="23">
        <v>3.54</v>
      </c>
      <c r="BZ75" s="23">
        <v>10</v>
      </c>
      <c r="CJ75" s="23">
        <v>3.56</v>
      </c>
      <c r="CK75" s="23">
        <f>1.2+1.19+1.26</f>
        <v>3.6499999999999995</v>
      </c>
      <c r="CL75" s="23">
        <v>0.88</v>
      </c>
      <c r="CO75" s="23">
        <f>360-225.02</f>
        <v>134.97999999999999</v>
      </c>
      <c r="CP75" s="23">
        <v>0</v>
      </c>
      <c r="CU75" s="23" t="s">
        <v>372</v>
      </c>
      <c r="CV75" s="23" t="s">
        <v>498</v>
      </c>
      <c r="CW75" s="23">
        <v>0.09</v>
      </c>
      <c r="CX75" s="23" t="s">
        <v>497</v>
      </c>
      <c r="CY75" s="23">
        <v>0</v>
      </c>
      <c r="CZ75" s="23" t="s">
        <v>403</v>
      </c>
      <c r="DA75" s="23" t="s">
        <v>403</v>
      </c>
      <c r="DG75" s="23">
        <v>5.25</v>
      </c>
      <c r="DH75" s="23">
        <f>0.67+0.84+0.88+1.01</f>
        <v>3.4000000000000004</v>
      </c>
      <c r="DI75" s="23">
        <v>1.55</v>
      </c>
      <c r="DM75" s="23">
        <f>360-261.62</f>
        <v>98.38</v>
      </c>
      <c r="DO75" s="23">
        <v>0</v>
      </c>
      <c r="DR75" s="23" t="s">
        <v>372</v>
      </c>
      <c r="DS75" s="23" t="s">
        <v>499</v>
      </c>
      <c r="DT75" s="23">
        <v>0.09</v>
      </c>
      <c r="DU75" s="23" t="s">
        <v>500</v>
      </c>
      <c r="DV75" s="23" t="s">
        <v>501</v>
      </c>
      <c r="DW75" s="23">
        <v>0</v>
      </c>
      <c r="DX75" s="23" t="s">
        <v>471</v>
      </c>
      <c r="DY75" s="23" t="s">
        <v>471</v>
      </c>
      <c r="DZ75" s="23" t="s">
        <v>471</v>
      </c>
    </row>
    <row r="76" spans="1:130" s="23" customFormat="1" x14ac:dyDescent="0.35">
      <c r="A76" s="17" t="s">
        <v>239</v>
      </c>
      <c r="B76" s="23" t="s">
        <v>462</v>
      </c>
      <c r="D76" s="23" t="s">
        <v>464</v>
      </c>
      <c r="E76" s="23" t="s">
        <v>463</v>
      </c>
      <c r="F76" s="24"/>
      <c r="N76" s="23" t="s">
        <v>466</v>
      </c>
      <c r="S76" s="23">
        <v>1.55</v>
      </c>
      <c r="T76" s="23">
        <v>1.43</v>
      </c>
      <c r="U76" s="23">
        <f t="shared" si="1"/>
        <v>1.083916083916084</v>
      </c>
      <c r="AE76" s="23">
        <v>17.54</v>
      </c>
      <c r="AF76" s="23">
        <v>2.37</v>
      </c>
      <c r="AG76" s="23">
        <v>2.13</v>
      </c>
      <c r="AN76" s="23">
        <v>1.38</v>
      </c>
      <c r="AR76" s="23">
        <v>1</v>
      </c>
      <c r="AS76" s="23">
        <v>0.11</v>
      </c>
      <c r="AT76" s="23" t="s">
        <v>503</v>
      </c>
      <c r="AU76" s="23" t="s">
        <v>504</v>
      </c>
      <c r="AV76" s="23">
        <v>0.1</v>
      </c>
      <c r="AW76" s="23">
        <v>0.03</v>
      </c>
      <c r="AY76" s="23" t="s">
        <v>375</v>
      </c>
      <c r="AZ76" s="23" t="s">
        <v>505</v>
      </c>
      <c r="BA76" s="23" t="s">
        <v>506</v>
      </c>
      <c r="BB76" s="23">
        <v>0.13</v>
      </c>
      <c r="BC76" s="23">
        <v>0.06</v>
      </c>
      <c r="BG76" s="23" t="s">
        <v>495</v>
      </c>
      <c r="BH76" s="23" t="s">
        <v>494</v>
      </c>
      <c r="BI76" s="23">
        <v>7.0000000000000007E-2</v>
      </c>
      <c r="BJ76" s="23" t="s">
        <v>489</v>
      </c>
      <c r="BK76" s="23">
        <v>13</v>
      </c>
      <c r="BO76" s="23">
        <v>0.11</v>
      </c>
      <c r="BP76" s="23" t="s">
        <v>502</v>
      </c>
      <c r="BQ76" s="23">
        <v>1</v>
      </c>
      <c r="BW76" s="23">
        <v>6.59</v>
      </c>
      <c r="BX76" s="23">
        <v>2.7</v>
      </c>
      <c r="BY76" s="23">
        <v>2.13</v>
      </c>
      <c r="BZ76" s="23">
        <v>9</v>
      </c>
      <c r="CJ76" s="23">
        <v>3.62</v>
      </c>
      <c r="CK76" s="23">
        <f>1.28+0.9+0.96+1.11</f>
        <v>4.25</v>
      </c>
      <c r="CL76" s="23">
        <v>0.8</v>
      </c>
      <c r="CO76" s="23">
        <v>122.65</v>
      </c>
      <c r="CP76" s="23">
        <v>0</v>
      </c>
      <c r="CU76" s="23" t="s">
        <v>372</v>
      </c>
      <c r="CV76" s="23" t="s">
        <v>498</v>
      </c>
      <c r="CW76" s="23">
        <v>0.14000000000000001</v>
      </c>
      <c r="CX76" s="23" t="s">
        <v>500</v>
      </c>
      <c r="CY76" s="23">
        <v>0</v>
      </c>
      <c r="CZ76" s="23" t="s">
        <v>403</v>
      </c>
      <c r="DA76" s="23" t="s">
        <v>403</v>
      </c>
      <c r="DG76" s="23">
        <v>5.16</v>
      </c>
      <c r="DH76" s="23">
        <f>0.85+0.86+1.6</f>
        <v>3.31</v>
      </c>
      <c r="DI76" s="23">
        <v>2.42</v>
      </c>
      <c r="DM76" s="23">
        <f>360-267.68</f>
        <v>92.32</v>
      </c>
      <c r="DO76" s="23">
        <v>1</v>
      </c>
      <c r="DR76" s="23" t="s">
        <v>372</v>
      </c>
      <c r="DS76" s="23" t="s">
        <v>499</v>
      </c>
      <c r="DT76" s="23">
        <v>0.22</v>
      </c>
      <c r="DU76" s="23" t="s">
        <v>507</v>
      </c>
      <c r="DV76" s="23" t="s">
        <v>501</v>
      </c>
      <c r="DW76" s="23">
        <v>0</v>
      </c>
      <c r="DX76" s="23" t="s">
        <v>471</v>
      </c>
      <c r="DY76" s="23" t="s">
        <v>471</v>
      </c>
      <c r="DZ76" s="23" t="s">
        <v>471</v>
      </c>
    </row>
    <row r="77" spans="1:130" s="23" customFormat="1" x14ac:dyDescent="0.35">
      <c r="A77" s="17" t="s">
        <v>239</v>
      </c>
      <c r="B77" s="23" t="s">
        <v>462</v>
      </c>
      <c r="D77" s="23" t="s">
        <v>465</v>
      </c>
      <c r="E77" s="23" t="s">
        <v>468</v>
      </c>
      <c r="F77" s="24"/>
      <c r="N77" s="23" t="s">
        <v>466</v>
      </c>
      <c r="S77" s="23">
        <v>1.1000000000000001</v>
      </c>
      <c r="T77" s="23">
        <v>1.0900000000000001</v>
      </c>
      <c r="U77" s="23">
        <f t="shared" si="1"/>
        <v>1.0091743119266054</v>
      </c>
      <c r="AE77" s="23">
        <v>16.059999999999999</v>
      </c>
      <c r="AF77" s="23">
        <v>2.2599999999999998</v>
      </c>
      <c r="AG77" s="23">
        <v>2.59</v>
      </c>
      <c r="AN77" s="23">
        <v>1.19</v>
      </c>
      <c r="AR77" s="23">
        <v>1</v>
      </c>
      <c r="AS77" s="23">
        <v>0.1</v>
      </c>
      <c r="AT77" s="23" t="s">
        <v>503</v>
      </c>
      <c r="AU77" s="23" t="s">
        <v>410</v>
      </c>
      <c r="AV77" s="23">
        <v>0.06</v>
      </c>
      <c r="AW77" s="23">
        <v>0.03</v>
      </c>
      <c r="AY77" s="23" t="s">
        <v>375</v>
      </c>
      <c r="AZ77" s="23" t="s">
        <v>508</v>
      </c>
      <c r="BA77" s="23" t="s">
        <v>506</v>
      </c>
      <c r="BB77" s="23">
        <v>0.06</v>
      </c>
      <c r="BC77" s="23">
        <v>0.05</v>
      </c>
      <c r="BG77" s="23" t="s">
        <v>495</v>
      </c>
      <c r="BH77" s="23" t="s">
        <v>494</v>
      </c>
      <c r="BI77" s="23">
        <v>7.0000000000000007E-2</v>
      </c>
      <c r="BJ77" s="23" t="s">
        <v>489</v>
      </c>
      <c r="BK77" s="23">
        <v>13</v>
      </c>
      <c r="BO77" s="23">
        <v>0.03</v>
      </c>
      <c r="BP77" s="23" t="s">
        <v>509</v>
      </c>
      <c r="BQ77" s="23">
        <v>1</v>
      </c>
      <c r="BW77" s="23">
        <v>6.38</v>
      </c>
      <c r="BX77" s="23">
        <v>2.1</v>
      </c>
      <c r="BY77" s="23">
        <v>2.33</v>
      </c>
      <c r="BZ77" s="23">
        <v>8</v>
      </c>
      <c r="CJ77" s="23">
        <v>3.47</v>
      </c>
      <c r="CK77" s="23">
        <f>1.31+0.84+1.17</f>
        <v>3.32</v>
      </c>
      <c r="CL77" s="23">
        <v>0.9</v>
      </c>
      <c r="CO77" s="23">
        <v>124.66</v>
      </c>
      <c r="CP77" s="23">
        <v>0</v>
      </c>
      <c r="CU77" s="23" t="s">
        <v>372</v>
      </c>
      <c r="CV77" s="23" t="s">
        <v>498</v>
      </c>
      <c r="CW77" s="23">
        <v>0.11</v>
      </c>
      <c r="CX77" s="23" t="s">
        <v>510</v>
      </c>
      <c r="CY77" s="23">
        <v>0</v>
      </c>
      <c r="CZ77" s="23" t="s">
        <v>403</v>
      </c>
      <c r="DA77" s="23" t="s">
        <v>403</v>
      </c>
      <c r="DG77" s="23">
        <v>4.6100000000000003</v>
      </c>
      <c r="DH77" s="23">
        <f>1.39+1.49</f>
        <v>2.88</v>
      </c>
      <c r="DI77" s="23">
        <v>1.64</v>
      </c>
      <c r="DM77" s="23">
        <v>109.01</v>
      </c>
      <c r="DO77" s="23">
        <v>1</v>
      </c>
      <c r="DP77" s="23">
        <v>36.78</v>
      </c>
      <c r="DR77" s="23" t="s">
        <v>372</v>
      </c>
      <c r="DS77" s="23" t="s">
        <v>499</v>
      </c>
      <c r="DT77" s="23">
        <v>0.1</v>
      </c>
      <c r="DU77" s="23" t="s">
        <v>511</v>
      </c>
      <c r="DV77" s="23" t="s">
        <v>512</v>
      </c>
      <c r="DW77" s="23">
        <v>0</v>
      </c>
      <c r="DX77" s="23" t="s">
        <v>471</v>
      </c>
      <c r="DY77" s="23" t="s">
        <v>471</v>
      </c>
      <c r="DZ77" s="23" t="s">
        <v>471</v>
      </c>
    </row>
    <row r="78" spans="1:130" s="26" customFormat="1" x14ac:dyDescent="0.35">
      <c r="A78" s="25" t="s">
        <v>239</v>
      </c>
      <c r="B78" s="26" t="s">
        <v>514</v>
      </c>
      <c r="E78" s="26" t="s">
        <v>543</v>
      </c>
      <c r="F78" s="27"/>
      <c r="N78" s="26" t="s">
        <v>466</v>
      </c>
      <c r="S78" s="26">
        <v>1.77</v>
      </c>
      <c r="T78" s="26">
        <v>1.33</v>
      </c>
      <c r="U78" s="26">
        <f t="shared" si="1"/>
        <v>1.3308270676691729</v>
      </c>
      <c r="AE78" s="26">
        <v>18.37</v>
      </c>
      <c r="AF78" s="26">
        <v>3.2</v>
      </c>
      <c r="AG78" s="26">
        <v>5.57</v>
      </c>
      <c r="AN78" s="26">
        <v>1.39</v>
      </c>
      <c r="AR78" s="26">
        <v>1</v>
      </c>
      <c r="AS78" s="26">
        <v>0.06</v>
      </c>
      <c r="AT78" s="26" t="s">
        <v>478</v>
      </c>
      <c r="AU78" s="26" t="s">
        <v>410</v>
      </c>
      <c r="AV78" s="26">
        <v>0.08</v>
      </c>
      <c r="AW78" s="26" t="s">
        <v>532</v>
      </c>
      <c r="AY78" s="26" t="s">
        <v>375</v>
      </c>
      <c r="AZ78" s="26" t="s">
        <v>533</v>
      </c>
      <c r="BA78" s="26" t="s">
        <v>534</v>
      </c>
      <c r="BB78" s="26">
        <v>0.06</v>
      </c>
      <c r="BC78" s="26" t="s">
        <v>535</v>
      </c>
      <c r="BG78" s="26" t="s">
        <v>495</v>
      </c>
      <c r="BH78" s="26" t="s">
        <v>536</v>
      </c>
      <c r="BI78" s="26">
        <v>0.04</v>
      </c>
      <c r="BJ78" s="26" t="s">
        <v>538</v>
      </c>
      <c r="BK78" s="26">
        <v>14</v>
      </c>
      <c r="BO78" s="26">
        <v>0.01</v>
      </c>
      <c r="BP78" s="26" t="s">
        <v>537</v>
      </c>
      <c r="BQ78" s="26">
        <v>0</v>
      </c>
      <c r="BW78" s="26">
        <v>6.84</v>
      </c>
      <c r="BX78" s="26">
        <v>2.5299999999999998</v>
      </c>
      <c r="BY78" s="26">
        <v>3</v>
      </c>
      <c r="BZ78" s="26">
        <v>8</v>
      </c>
      <c r="CJ78" s="26">
        <v>2.9</v>
      </c>
      <c r="CK78" s="26">
        <f>0.34+1.62+1.39+0.68</f>
        <v>4.03</v>
      </c>
      <c r="CL78" s="26">
        <v>1.28</v>
      </c>
      <c r="CO78" s="26">
        <f>360-217.29</f>
        <v>142.71</v>
      </c>
      <c r="CP78" s="26">
        <v>1</v>
      </c>
      <c r="CQ78" s="26">
        <f>360-301.33</f>
        <v>58.670000000000016</v>
      </c>
      <c r="CU78" s="26" t="s">
        <v>372</v>
      </c>
      <c r="CV78" s="26" t="s">
        <v>498</v>
      </c>
      <c r="CW78" s="26">
        <v>0.08</v>
      </c>
      <c r="CX78" s="26" t="s">
        <v>539</v>
      </c>
      <c r="CY78" s="26">
        <v>0</v>
      </c>
      <c r="CZ78" s="26" t="s">
        <v>403</v>
      </c>
      <c r="DA78" s="26" t="s">
        <v>403</v>
      </c>
      <c r="DG78" s="26">
        <v>5.17</v>
      </c>
      <c r="DH78" s="26">
        <f>1.82+1.15+0.79</f>
        <v>3.76</v>
      </c>
      <c r="DI78" s="26">
        <v>1.96</v>
      </c>
      <c r="DM78" s="26">
        <f>360-262.1</f>
        <v>97.899999999999977</v>
      </c>
      <c r="DO78" s="26">
        <v>0</v>
      </c>
      <c r="DR78" s="26" t="s">
        <v>372</v>
      </c>
      <c r="DS78" s="26" t="s">
        <v>371</v>
      </c>
      <c r="DT78" s="26">
        <v>0.2</v>
      </c>
      <c r="DU78" s="26" t="s">
        <v>540</v>
      </c>
      <c r="DV78" s="26" t="s">
        <v>437</v>
      </c>
      <c r="DW78" s="26">
        <v>1</v>
      </c>
      <c r="DX78" s="26" t="s">
        <v>541</v>
      </c>
      <c r="DY78" s="26">
        <v>7.0000000000000007E-2</v>
      </c>
      <c r="DZ78" s="26" t="s">
        <v>542</v>
      </c>
    </row>
    <row r="79" spans="1:130" s="26" customFormat="1" x14ac:dyDescent="0.35">
      <c r="A79" s="25" t="s">
        <v>239</v>
      </c>
      <c r="B79" s="26" t="s">
        <v>514</v>
      </c>
      <c r="E79" s="26" t="s">
        <v>519</v>
      </c>
      <c r="F79" s="27"/>
      <c r="N79" s="26" t="s">
        <v>466</v>
      </c>
      <c r="S79" s="26">
        <v>2.17</v>
      </c>
      <c r="T79" s="26">
        <v>1.77</v>
      </c>
      <c r="U79" s="26">
        <f t="shared" si="1"/>
        <v>1.2259887005649717</v>
      </c>
      <c r="AE79" s="26">
        <v>20.99</v>
      </c>
      <c r="AF79" s="26">
        <v>4.5199999999999996</v>
      </c>
      <c r="AG79" s="26">
        <v>6.22</v>
      </c>
      <c r="AN79" s="26">
        <v>1.33</v>
      </c>
      <c r="AR79" s="26">
        <v>1</v>
      </c>
      <c r="AS79" s="26">
        <v>0.14000000000000001</v>
      </c>
      <c r="AT79" s="26" t="s">
        <v>478</v>
      </c>
      <c r="AU79" s="26" t="s">
        <v>410</v>
      </c>
      <c r="AV79" s="26">
        <v>0.18</v>
      </c>
      <c r="AW79" s="26" t="s">
        <v>552</v>
      </c>
      <c r="AY79" s="26" t="s">
        <v>375</v>
      </c>
      <c r="AZ79" s="26" t="s">
        <v>550</v>
      </c>
      <c r="BA79" s="26" t="s">
        <v>549</v>
      </c>
      <c r="BB79" s="26">
        <v>0.2</v>
      </c>
      <c r="BC79" s="26" t="s">
        <v>551</v>
      </c>
      <c r="BG79" s="26" t="s">
        <v>495</v>
      </c>
      <c r="BH79" s="26" t="s">
        <v>548</v>
      </c>
      <c r="BI79" s="26">
        <v>0.03</v>
      </c>
      <c r="BJ79" s="26" t="s">
        <v>538</v>
      </c>
      <c r="BK79" s="26">
        <v>17</v>
      </c>
      <c r="BO79" s="26">
        <v>0.04</v>
      </c>
      <c r="BP79" s="26" t="s">
        <v>547</v>
      </c>
      <c r="BQ79" s="26">
        <v>0</v>
      </c>
      <c r="BW79" s="26">
        <v>6.35</v>
      </c>
      <c r="BX79" s="26">
        <v>2.73</v>
      </c>
      <c r="BY79" s="26">
        <v>3.07</v>
      </c>
      <c r="BZ79" s="26">
        <v>8</v>
      </c>
      <c r="CJ79" s="26">
        <v>2.76</v>
      </c>
      <c r="CK79" s="26">
        <f>0.61+0.76+1.18+1.36</f>
        <v>3.91</v>
      </c>
      <c r="CL79" s="26">
        <v>0.55000000000000004</v>
      </c>
      <c r="CO79" s="26">
        <f>360-239.15</f>
        <v>120.85</v>
      </c>
      <c r="CP79" s="26">
        <v>1</v>
      </c>
      <c r="CQ79" s="26">
        <f>360-267.32</f>
        <v>92.68</v>
      </c>
      <c r="CU79" s="26" t="s">
        <v>372</v>
      </c>
      <c r="CV79" s="26" t="s">
        <v>498</v>
      </c>
      <c r="CW79" s="26">
        <v>0.1</v>
      </c>
      <c r="CX79" s="26" t="s">
        <v>544</v>
      </c>
      <c r="CY79" s="26">
        <v>0</v>
      </c>
      <c r="CZ79" s="26" t="s">
        <v>403</v>
      </c>
      <c r="DA79" s="26" t="s">
        <v>403</v>
      </c>
      <c r="DG79" s="26">
        <v>4.71</v>
      </c>
      <c r="DH79" s="26">
        <f>0.95+0.75+1.52</f>
        <v>3.2199999999999998</v>
      </c>
      <c r="DI79" s="26">
        <v>0.88</v>
      </c>
      <c r="DM79" s="26">
        <v>103.77</v>
      </c>
      <c r="DO79" s="26">
        <v>0</v>
      </c>
      <c r="DR79" s="26" t="s">
        <v>372</v>
      </c>
      <c r="DS79" s="26" t="s">
        <v>545</v>
      </c>
      <c r="DT79" s="26">
        <v>0.28000000000000003</v>
      </c>
      <c r="DU79" s="26" t="s">
        <v>546</v>
      </c>
      <c r="DV79" s="26" t="s">
        <v>512</v>
      </c>
      <c r="DW79" s="26">
        <v>0</v>
      </c>
      <c r="DX79" s="26" t="s">
        <v>471</v>
      </c>
      <c r="DY79" s="26" t="s">
        <v>471</v>
      </c>
      <c r="DZ79" s="26" t="s">
        <v>471</v>
      </c>
    </row>
    <row r="80" spans="1:130" s="26" customFormat="1" x14ac:dyDescent="0.35">
      <c r="A80" s="25" t="s">
        <v>239</v>
      </c>
      <c r="B80" s="26" t="s">
        <v>515</v>
      </c>
      <c r="D80" s="26" t="s">
        <v>523</v>
      </c>
      <c r="E80" s="26" t="s">
        <v>521</v>
      </c>
      <c r="F80" s="27"/>
      <c r="N80" s="26" t="s">
        <v>466</v>
      </c>
      <c r="S80" s="26">
        <v>1.34</v>
      </c>
      <c r="T80" s="26">
        <v>1.64</v>
      </c>
      <c r="U80" s="26">
        <f t="shared" si="1"/>
        <v>0.81707317073170738</v>
      </c>
      <c r="AE80" s="26">
        <v>16.72</v>
      </c>
      <c r="AF80" s="26">
        <v>3.88</v>
      </c>
      <c r="AG80" s="26">
        <v>2.79</v>
      </c>
      <c r="AN80" s="26">
        <v>1.55</v>
      </c>
      <c r="AR80" s="26">
        <v>1</v>
      </c>
      <c r="AS80" s="26">
        <v>0.14000000000000001</v>
      </c>
      <c r="AT80" s="26" t="s">
        <v>478</v>
      </c>
      <c r="AU80" s="26" t="s">
        <v>410</v>
      </c>
      <c r="AV80" s="26">
        <v>0.09</v>
      </c>
      <c r="AW80" s="26" t="s">
        <v>513</v>
      </c>
      <c r="AY80" s="26" t="s">
        <v>375</v>
      </c>
      <c r="AZ80" s="26" t="s">
        <v>555</v>
      </c>
      <c r="BA80" s="26" t="s">
        <v>556</v>
      </c>
      <c r="BB80" s="26">
        <v>0.11</v>
      </c>
      <c r="BC80" s="26" t="s">
        <v>513</v>
      </c>
      <c r="BG80" s="26" t="s">
        <v>495</v>
      </c>
      <c r="BH80" s="26" t="s">
        <v>558</v>
      </c>
      <c r="BI80" s="26">
        <v>0.06</v>
      </c>
      <c r="BJ80" s="26" t="s">
        <v>557</v>
      </c>
      <c r="BK80" s="26">
        <v>17</v>
      </c>
      <c r="BO80" s="26">
        <v>0.03</v>
      </c>
      <c r="BP80" s="26">
        <v>0.02</v>
      </c>
      <c r="BQ80" s="26">
        <v>0</v>
      </c>
      <c r="BW80" s="26">
        <v>7.15</v>
      </c>
      <c r="BX80" s="26">
        <v>2.78</v>
      </c>
      <c r="BY80" s="26">
        <v>2.87</v>
      </c>
      <c r="BZ80" s="26">
        <v>12</v>
      </c>
      <c r="CJ80" s="26">
        <v>3.53</v>
      </c>
      <c r="CK80" s="26">
        <f>0.79+1.42+2.5</f>
        <v>4.71</v>
      </c>
      <c r="CL80" s="26">
        <v>1.43</v>
      </c>
      <c r="CO80" s="26">
        <f>360-249.66</f>
        <v>110.34</v>
      </c>
      <c r="CP80" s="26">
        <v>0</v>
      </c>
      <c r="CU80" s="26" t="s">
        <v>372</v>
      </c>
      <c r="CV80" s="26" t="s">
        <v>481</v>
      </c>
      <c r="CW80" s="26">
        <v>0.19</v>
      </c>
      <c r="CX80" s="26" t="s">
        <v>490</v>
      </c>
      <c r="CY80" s="26">
        <v>1</v>
      </c>
      <c r="CZ80" s="26" t="s">
        <v>553</v>
      </c>
      <c r="DA80" s="26">
        <v>0.17</v>
      </c>
      <c r="DG80" s="26">
        <v>5.12</v>
      </c>
      <c r="DH80" s="26">
        <f>1.35+1.92+0.39</f>
        <v>3.66</v>
      </c>
      <c r="DI80" s="26">
        <v>1.34</v>
      </c>
      <c r="DM80" s="26">
        <f>360-244.66</f>
        <v>115.34</v>
      </c>
      <c r="DO80" s="26">
        <v>0</v>
      </c>
      <c r="DR80" s="26" t="s">
        <v>372</v>
      </c>
      <c r="DS80" s="26" t="s">
        <v>545</v>
      </c>
      <c r="DT80" s="26">
        <v>0.27</v>
      </c>
      <c r="DU80" s="26" t="s">
        <v>554</v>
      </c>
      <c r="DV80" s="26" t="s">
        <v>512</v>
      </c>
      <c r="DW80" s="26">
        <v>1</v>
      </c>
      <c r="DX80" s="26" t="s">
        <v>437</v>
      </c>
      <c r="DY80" s="26">
        <v>0.16</v>
      </c>
      <c r="DZ80" s="26">
        <v>0.06</v>
      </c>
    </row>
    <row r="81" spans="1:130" s="26" customFormat="1" x14ac:dyDescent="0.35">
      <c r="A81" s="25" t="s">
        <v>239</v>
      </c>
      <c r="B81" s="26" t="s">
        <v>515</v>
      </c>
      <c r="D81" s="26" t="s">
        <v>523</v>
      </c>
      <c r="E81" s="26" t="s">
        <v>522</v>
      </c>
      <c r="F81" s="27"/>
      <c r="N81" s="26" t="s">
        <v>466</v>
      </c>
      <c r="S81" s="26">
        <v>1.65</v>
      </c>
      <c r="T81" s="26">
        <v>1.39</v>
      </c>
      <c r="U81" s="26">
        <f t="shared" si="1"/>
        <v>1.1870503597122302</v>
      </c>
      <c r="AE81" s="26">
        <v>21.08</v>
      </c>
      <c r="AF81" s="26">
        <v>4.3899999999999997</v>
      </c>
      <c r="AG81" s="26">
        <v>3.38</v>
      </c>
      <c r="AN81" s="26">
        <v>1.48</v>
      </c>
      <c r="AR81" s="26">
        <v>1</v>
      </c>
      <c r="AS81" s="26">
        <v>0.08</v>
      </c>
      <c r="AT81" s="26" t="s">
        <v>478</v>
      </c>
      <c r="AU81" s="26" t="s">
        <v>410</v>
      </c>
      <c r="AV81" s="26">
        <v>0.09</v>
      </c>
      <c r="AW81" s="26" t="s">
        <v>488</v>
      </c>
      <c r="AY81" s="26" t="s">
        <v>375</v>
      </c>
      <c r="AZ81" s="26" t="s">
        <v>564</v>
      </c>
      <c r="BA81" s="26" t="s">
        <v>565</v>
      </c>
      <c r="BB81" s="26">
        <v>0.22</v>
      </c>
      <c r="BC81" s="26">
        <v>0.08</v>
      </c>
      <c r="BG81" s="26" t="s">
        <v>495</v>
      </c>
      <c r="BH81" s="26" t="s">
        <v>558</v>
      </c>
      <c r="BI81" s="26">
        <v>7.0000000000000007E-2</v>
      </c>
      <c r="BJ81" s="26">
        <v>0.04</v>
      </c>
      <c r="BK81" s="26">
        <v>15</v>
      </c>
      <c r="BO81" s="26">
        <v>0.04</v>
      </c>
      <c r="BP81" s="26">
        <v>0.03</v>
      </c>
      <c r="BQ81" s="26">
        <v>1</v>
      </c>
      <c r="BW81" s="26">
        <v>7.77</v>
      </c>
      <c r="BX81" s="26">
        <v>2.99</v>
      </c>
      <c r="BY81" s="26">
        <v>3.1</v>
      </c>
      <c r="BZ81" s="26">
        <v>11</v>
      </c>
      <c r="CJ81" s="26">
        <v>3.98</v>
      </c>
      <c r="CK81" s="26">
        <f>0.57+2.16+0.91+1.22</f>
        <v>4.8600000000000003</v>
      </c>
      <c r="CL81" s="26">
        <v>0.86</v>
      </c>
      <c r="CO81" s="26">
        <v>150.51</v>
      </c>
      <c r="CP81" s="26">
        <v>1</v>
      </c>
      <c r="CQ81" s="26">
        <v>99.1</v>
      </c>
      <c r="CU81" s="26" t="s">
        <v>372</v>
      </c>
      <c r="CV81" s="26" t="s">
        <v>481</v>
      </c>
      <c r="CW81" s="26">
        <v>0.3</v>
      </c>
      <c r="CX81" s="26" t="s">
        <v>559</v>
      </c>
      <c r="CY81" s="26">
        <v>1</v>
      </c>
      <c r="CZ81" s="26" t="s">
        <v>560</v>
      </c>
      <c r="DA81" s="26">
        <v>0.25</v>
      </c>
      <c r="DG81" s="26">
        <v>4.79</v>
      </c>
      <c r="DH81" s="26">
        <f>0.99+0.98+0.93+1.53</f>
        <v>4.43</v>
      </c>
      <c r="DI81" s="26">
        <v>1.33</v>
      </c>
      <c r="DM81" s="26">
        <v>114.91</v>
      </c>
      <c r="DO81" s="26">
        <v>0</v>
      </c>
      <c r="DR81" s="26" t="s">
        <v>372</v>
      </c>
      <c r="DS81" s="26" t="s">
        <v>545</v>
      </c>
      <c r="DT81" s="26">
        <v>0.51</v>
      </c>
      <c r="DU81" s="26" t="s">
        <v>561</v>
      </c>
      <c r="DV81" s="26" t="s">
        <v>512</v>
      </c>
      <c r="DW81" s="26">
        <v>1</v>
      </c>
      <c r="DX81" s="26" t="s">
        <v>563</v>
      </c>
      <c r="DY81" s="26">
        <v>0.48</v>
      </c>
      <c r="DZ81" s="26" t="s">
        <v>562</v>
      </c>
    </row>
    <row r="82" spans="1:130" s="26" customFormat="1" x14ac:dyDescent="0.35">
      <c r="A82" s="25" t="s">
        <v>239</v>
      </c>
      <c r="B82" s="26" t="s">
        <v>515</v>
      </c>
      <c r="D82" s="26" t="s">
        <v>524</v>
      </c>
      <c r="E82" s="26" t="s">
        <v>568</v>
      </c>
      <c r="F82" s="27"/>
      <c r="N82" s="26" t="s">
        <v>466</v>
      </c>
      <c r="S82" s="26">
        <v>1.24</v>
      </c>
      <c r="T82" s="26">
        <v>1.3</v>
      </c>
      <c r="U82" s="26">
        <f t="shared" si="1"/>
        <v>0.95384615384615379</v>
      </c>
      <c r="AE82" s="26">
        <v>20.25</v>
      </c>
      <c r="AF82" s="26">
        <v>3.49</v>
      </c>
      <c r="AG82" s="26">
        <v>3.96</v>
      </c>
      <c r="AN82" s="26">
        <v>1.26</v>
      </c>
      <c r="AR82" s="26">
        <v>1</v>
      </c>
      <c r="AS82" s="26">
        <v>0.09</v>
      </c>
      <c r="AT82" s="26" t="s">
        <v>478</v>
      </c>
      <c r="AU82" s="26" t="s">
        <v>410</v>
      </c>
      <c r="AV82" s="26">
        <v>0.08</v>
      </c>
      <c r="AW82" s="26">
        <v>0.05</v>
      </c>
      <c r="AY82" s="26" t="s">
        <v>375</v>
      </c>
      <c r="AZ82" s="26" t="s">
        <v>571</v>
      </c>
      <c r="BA82" s="26" t="s">
        <v>572</v>
      </c>
      <c r="BB82" s="26">
        <v>0.1</v>
      </c>
      <c r="BC82" s="26">
        <v>0.03</v>
      </c>
      <c r="BG82" s="26" t="s">
        <v>495</v>
      </c>
      <c r="BH82" s="26" t="s">
        <v>558</v>
      </c>
      <c r="BI82" s="26">
        <v>0.04</v>
      </c>
      <c r="BJ82" s="26">
        <v>0.02</v>
      </c>
      <c r="BK82" s="26">
        <v>15</v>
      </c>
      <c r="BO82" s="26">
        <v>0.04</v>
      </c>
      <c r="BP82" s="26">
        <v>0.02</v>
      </c>
      <c r="BQ82" s="26">
        <v>1</v>
      </c>
      <c r="BW82" s="26">
        <v>6.5</v>
      </c>
      <c r="BX82" s="26">
        <v>2.8</v>
      </c>
      <c r="BY82" s="26">
        <v>2.72</v>
      </c>
      <c r="BZ82" s="26">
        <v>9</v>
      </c>
      <c r="CJ82" s="26">
        <v>3.56</v>
      </c>
      <c r="CK82" s="26">
        <v>4.0199999999999996</v>
      </c>
      <c r="CL82" s="26">
        <v>0.92</v>
      </c>
      <c r="CO82" s="26">
        <f>360-229.4</f>
        <v>130.6</v>
      </c>
      <c r="CP82" s="26">
        <v>0</v>
      </c>
      <c r="CU82" s="26" t="s">
        <v>372</v>
      </c>
      <c r="CV82" s="26" t="s">
        <v>566</v>
      </c>
      <c r="CW82" s="26">
        <v>0.33</v>
      </c>
      <c r="CX82" s="26" t="s">
        <v>567</v>
      </c>
      <c r="CY82" s="26">
        <v>0</v>
      </c>
      <c r="CZ82" s="26" t="s">
        <v>512</v>
      </c>
      <c r="DG82" s="26">
        <v>5</v>
      </c>
      <c r="DH82" s="26">
        <v>4.2300000000000004</v>
      </c>
      <c r="DI82" s="26">
        <v>1.29</v>
      </c>
      <c r="DM82" s="26">
        <v>118.02</v>
      </c>
      <c r="DO82" s="26">
        <v>0</v>
      </c>
      <c r="DR82" s="26" t="s">
        <v>372</v>
      </c>
      <c r="DS82" s="26" t="s">
        <v>569</v>
      </c>
      <c r="DT82" s="26">
        <v>0.26</v>
      </c>
      <c r="DU82" s="26" t="s">
        <v>570</v>
      </c>
      <c r="DV82" s="26" t="s">
        <v>512</v>
      </c>
      <c r="DW82" s="26">
        <v>0</v>
      </c>
      <c r="DX82" s="26" t="s">
        <v>512</v>
      </c>
    </row>
    <row r="83" spans="1:130" s="23" customFormat="1" x14ac:dyDescent="0.35">
      <c r="A83" s="28" t="s">
        <v>239</v>
      </c>
      <c r="B83" s="23" t="s">
        <v>515</v>
      </c>
      <c r="D83" s="23" t="s">
        <v>524</v>
      </c>
      <c r="E83" s="23" t="s">
        <v>531</v>
      </c>
      <c r="F83" s="24"/>
      <c r="N83" s="23" t="s">
        <v>466</v>
      </c>
      <c r="U83" s="26" t="e">
        <f t="shared" si="1"/>
        <v>#DIV/0!</v>
      </c>
    </row>
    <row r="84" spans="1:130" s="18" customFormat="1" x14ac:dyDescent="0.35">
      <c r="A84" s="17" t="s">
        <v>239</v>
      </c>
      <c r="B84" s="18" t="s">
        <v>516</v>
      </c>
      <c r="E84" s="18" t="s">
        <v>525</v>
      </c>
      <c r="F84" s="22"/>
      <c r="N84" s="18" t="s">
        <v>466</v>
      </c>
      <c r="S84" s="18">
        <v>1.66</v>
      </c>
      <c r="T84" s="18">
        <v>1.36</v>
      </c>
      <c r="U84" s="18">
        <f t="shared" si="1"/>
        <v>1.2205882352941175</v>
      </c>
      <c r="AE84" s="18">
        <v>23.65</v>
      </c>
      <c r="AF84" s="18">
        <v>3.44</v>
      </c>
      <c r="AG84" s="18">
        <v>8.8699999999999992</v>
      </c>
      <c r="AN84" s="18">
        <v>2.29</v>
      </c>
      <c r="AR84" s="18">
        <v>1</v>
      </c>
      <c r="AS84" s="18">
        <v>0.16</v>
      </c>
      <c r="AT84" s="18" t="s">
        <v>413</v>
      </c>
      <c r="AU84" s="18" t="s">
        <v>410</v>
      </c>
      <c r="AV84" s="18">
        <v>0.1</v>
      </c>
      <c r="AW84" s="18">
        <v>0.05</v>
      </c>
      <c r="AY84" s="18" t="s">
        <v>375</v>
      </c>
      <c r="AZ84" s="18" t="s">
        <v>512</v>
      </c>
      <c r="BA84" s="18" t="s">
        <v>403</v>
      </c>
      <c r="BB84" s="18" t="s">
        <v>403</v>
      </c>
      <c r="BC84" s="18" t="s">
        <v>403</v>
      </c>
      <c r="BG84" s="18" t="s">
        <v>512</v>
      </c>
      <c r="BK84" s="18">
        <v>13</v>
      </c>
      <c r="BO84" s="18">
        <v>0.03</v>
      </c>
      <c r="BP84" s="18">
        <v>0.02</v>
      </c>
      <c r="BQ84" s="18">
        <v>1</v>
      </c>
      <c r="BW84" s="18">
        <v>6.77</v>
      </c>
      <c r="BX84" s="18">
        <v>2.81</v>
      </c>
      <c r="BY84" s="18">
        <v>2.9</v>
      </c>
      <c r="BZ84" s="18">
        <v>9</v>
      </c>
      <c r="CJ84" s="18">
        <v>4.1399999999999997</v>
      </c>
      <c r="CK84" s="18">
        <v>5.38</v>
      </c>
      <c r="CL84" s="18">
        <v>1.3</v>
      </c>
      <c r="CO84" s="18">
        <f>360-215.31</f>
        <v>144.69</v>
      </c>
      <c r="CP84" s="18">
        <v>1</v>
      </c>
      <c r="CQ84" s="18">
        <v>81.319999999999993</v>
      </c>
      <c r="CU84" s="18" t="s">
        <v>372</v>
      </c>
      <c r="CV84" s="18" t="s">
        <v>575</v>
      </c>
      <c r="CW84" s="18">
        <v>0.27</v>
      </c>
      <c r="CX84" s="18" t="s">
        <v>576</v>
      </c>
      <c r="CY84" s="18">
        <v>1</v>
      </c>
      <c r="CZ84" s="18" t="s">
        <v>560</v>
      </c>
      <c r="DA84" s="18">
        <v>0.3</v>
      </c>
      <c r="DG84" s="18">
        <v>4.24</v>
      </c>
      <c r="DH84" s="18">
        <v>4.8099999999999996</v>
      </c>
      <c r="DI84" s="18">
        <v>1.51</v>
      </c>
      <c r="DM84" s="18">
        <f>360-266.98</f>
        <v>93.019999999999982</v>
      </c>
      <c r="DO84" s="18">
        <v>0</v>
      </c>
      <c r="DR84" s="18" t="s">
        <v>579</v>
      </c>
      <c r="DS84" s="18" t="s">
        <v>580</v>
      </c>
      <c r="DT84" s="18">
        <v>0.41</v>
      </c>
      <c r="DU84" s="18">
        <v>0.11</v>
      </c>
      <c r="DV84" s="18" t="s">
        <v>512</v>
      </c>
      <c r="DW84" s="18">
        <v>1</v>
      </c>
      <c r="DX84" s="18" t="s">
        <v>578</v>
      </c>
      <c r="DY84" s="18">
        <v>0.31</v>
      </c>
      <c r="DZ84" s="18" t="s">
        <v>577</v>
      </c>
    </row>
    <row r="85" spans="1:130" s="26" customFormat="1" x14ac:dyDescent="0.35">
      <c r="A85" s="25" t="s">
        <v>239</v>
      </c>
      <c r="B85" s="26" t="s">
        <v>587</v>
      </c>
      <c r="E85" s="26" t="s">
        <v>574</v>
      </c>
      <c r="F85" s="27"/>
      <c r="N85" s="26" t="s">
        <v>466</v>
      </c>
      <c r="S85" s="26">
        <v>2.4500000000000002</v>
      </c>
      <c r="T85" s="26">
        <v>1.48</v>
      </c>
      <c r="U85" s="26">
        <f t="shared" si="1"/>
        <v>1.6554054054054055</v>
      </c>
      <c r="AE85" s="26">
        <v>20.04</v>
      </c>
      <c r="AF85" s="26">
        <v>3.84</v>
      </c>
      <c r="AG85" s="26">
        <v>5.95</v>
      </c>
      <c r="AN85" s="26">
        <v>1.6</v>
      </c>
      <c r="AR85" s="26">
        <v>1</v>
      </c>
      <c r="AS85" s="26">
        <v>0.08</v>
      </c>
      <c r="AT85" s="26" t="s">
        <v>413</v>
      </c>
      <c r="AU85" s="26" t="s">
        <v>410</v>
      </c>
      <c r="AV85" s="26">
        <v>0.17</v>
      </c>
      <c r="AW85" s="26">
        <v>0.03</v>
      </c>
      <c r="AY85" s="26" t="s">
        <v>375</v>
      </c>
      <c r="AZ85" s="26" t="s">
        <v>588</v>
      </c>
      <c r="BA85" s="26" t="s">
        <v>589</v>
      </c>
      <c r="BB85" s="26">
        <v>0.21</v>
      </c>
      <c r="BC85" s="26" t="s">
        <v>590</v>
      </c>
      <c r="BG85" s="26" t="s">
        <v>495</v>
      </c>
      <c r="BH85" s="26" t="s">
        <v>586</v>
      </c>
      <c r="BI85" s="26">
        <v>7.0000000000000007E-2</v>
      </c>
      <c r="BJ85" s="26">
        <v>0.03</v>
      </c>
      <c r="BK85" s="26">
        <v>13</v>
      </c>
      <c r="BO85" s="26">
        <v>0.06</v>
      </c>
      <c r="BP85" s="26">
        <v>0.03</v>
      </c>
      <c r="BQ85" s="26">
        <v>1</v>
      </c>
      <c r="BW85" s="26">
        <v>5.83</v>
      </c>
      <c r="BX85" s="26">
        <v>2.35</v>
      </c>
      <c r="BY85" s="26">
        <v>2.14</v>
      </c>
      <c r="BZ85" s="26">
        <v>10</v>
      </c>
      <c r="CJ85" s="26">
        <v>3.87</v>
      </c>
      <c r="CK85" s="26">
        <v>5.38</v>
      </c>
      <c r="CL85" s="26">
        <v>1.03</v>
      </c>
      <c r="CO85" s="26">
        <f>360-214.39</f>
        <v>145.61000000000001</v>
      </c>
      <c r="CP85" s="26">
        <v>1</v>
      </c>
      <c r="CQ85" s="26">
        <v>86.79</v>
      </c>
      <c r="CU85" s="26" t="s">
        <v>372</v>
      </c>
      <c r="CV85" s="26" t="s">
        <v>575</v>
      </c>
      <c r="CW85" s="26">
        <v>0.47</v>
      </c>
      <c r="CX85" s="26" t="s">
        <v>581</v>
      </c>
      <c r="CY85" s="26">
        <v>1</v>
      </c>
      <c r="CZ85" s="26" t="s">
        <v>560</v>
      </c>
      <c r="DA85" s="26">
        <v>0.17</v>
      </c>
      <c r="DG85" s="26">
        <v>3.75</v>
      </c>
      <c r="DH85" s="26">
        <v>4.7</v>
      </c>
      <c r="DI85" s="26">
        <v>0.8</v>
      </c>
      <c r="DM85" s="26">
        <f>61.35*2</f>
        <v>122.7</v>
      </c>
      <c r="DO85" s="26">
        <v>0</v>
      </c>
      <c r="DR85" s="26" t="s">
        <v>372</v>
      </c>
      <c r="DS85" s="26" t="s">
        <v>584</v>
      </c>
      <c r="DT85" s="26">
        <v>0.56999999999999995</v>
      </c>
      <c r="DU85" s="26" t="s">
        <v>585</v>
      </c>
      <c r="DV85" s="26" t="s">
        <v>512</v>
      </c>
      <c r="DW85" s="26">
        <v>1</v>
      </c>
      <c r="DX85" s="26" t="s">
        <v>582</v>
      </c>
      <c r="DY85" s="26">
        <v>0.21</v>
      </c>
      <c r="DZ85" s="26" t="s">
        <v>583</v>
      </c>
    </row>
    <row r="86" spans="1:130" s="26" customFormat="1" x14ac:dyDescent="0.35">
      <c r="A86" s="25" t="s">
        <v>239</v>
      </c>
      <c r="B86" s="26" t="s">
        <v>587</v>
      </c>
      <c r="E86" s="26" t="s">
        <v>573</v>
      </c>
      <c r="F86" s="27"/>
      <c r="N86" s="26" t="s">
        <v>466</v>
      </c>
      <c r="S86" s="26">
        <v>1.73</v>
      </c>
      <c r="T86" s="26">
        <v>1.64</v>
      </c>
      <c r="U86" s="26">
        <f t="shared" si="1"/>
        <v>1.0548780487804879</v>
      </c>
      <c r="AE86" s="26">
        <v>16.690000000000001</v>
      </c>
      <c r="AF86" s="26">
        <v>3.54</v>
      </c>
      <c r="AG86" s="26">
        <v>5</v>
      </c>
      <c r="AN86" s="26">
        <v>0.88</v>
      </c>
      <c r="AR86" s="26">
        <v>1</v>
      </c>
      <c r="AS86" s="26">
        <v>0.08</v>
      </c>
      <c r="AT86" s="26" t="s">
        <v>413</v>
      </c>
      <c r="AU86" s="26" t="s">
        <v>410</v>
      </c>
      <c r="AV86" s="26">
        <v>0.14000000000000001</v>
      </c>
      <c r="AW86" s="26" t="s">
        <v>597</v>
      </c>
      <c r="AY86" s="26" t="s">
        <v>375</v>
      </c>
      <c r="AZ86" s="26" t="s">
        <v>512</v>
      </c>
      <c r="BA86" s="26" t="s">
        <v>403</v>
      </c>
      <c r="BB86" s="26" t="s">
        <v>403</v>
      </c>
      <c r="BC86" s="26" t="s">
        <v>403</v>
      </c>
      <c r="BG86" s="26" t="s">
        <v>495</v>
      </c>
      <c r="BH86" s="26" t="s">
        <v>596</v>
      </c>
      <c r="BI86" s="26">
        <v>0.12</v>
      </c>
      <c r="BJ86" s="26">
        <v>0.03</v>
      </c>
      <c r="BK86" s="26">
        <v>15</v>
      </c>
      <c r="BO86" s="26">
        <v>0.03</v>
      </c>
      <c r="BP86" s="26">
        <v>0.02</v>
      </c>
      <c r="BQ86" s="26">
        <v>1</v>
      </c>
      <c r="BW86" s="26">
        <v>6.22</v>
      </c>
      <c r="BX86" s="26">
        <v>2.56</v>
      </c>
      <c r="BY86" s="26">
        <v>3.04</v>
      </c>
      <c r="BZ86" s="26">
        <v>10</v>
      </c>
      <c r="CJ86" s="26">
        <f>0.74+3.12</f>
        <v>3.8600000000000003</v>
      </c>
      <c r="CK86" s="26">
        <f>1.88+4.32</f>
        <v>6.2</v>
      </c>
      <c r="CL86" s="26">
        <f>0.4+0.74</f>
        <v>1.1400000000000001</v>
      </c>
      <c r="CO86" s="26">
        <v>120.63</v>
      </c>
      <c r="CP86" s="26">
        <v>1</v>
      </c>
      <c r="CQ86" s="26">
        <v>51.39</v>
      </c>
      <c r="CU86" s="26" t="s">
        <v>372</v>
      </c>
      <c r="CV86" s="26" t="s">
        <v>591</v>
      </c>
      <c r="CW86" s="26">
        <v>0.32</v>
      </c>
      <c r="CX86" s="26" t="s">
        <v>592</v>
      </c>
      <c r="CY86" s="26">
        <v>1</v>
      </c>
      <c r="CZ86" s="26" t="s">
        <v>560</v>
      </c>
      <c r="DA86" s="26">
        <v>0.12</v>
      </c>
      <c r="DG86" s="26">
        <v>4.0199999999999996</v>
      </c>
      <c r="DH86" s="26">
        <f>2.06+1.81+0.43</f>
        <v>4.3</v>
      </c>
      <c r="DI86" s="26">
        <v>0.66</v>
      </c>
      <c r="DM86" s="26">
        <v>102.45</v>
      </c>
      <c r="DR86" s="26" t="s">
        <v>372</v>
      </c>
      <c r="DS86" s="26" t="s">
        <v>584</v>
      </c>
      <c r="DT86" s="26">
        <v>0.27</v>
      </c>
      <c r="DU86" s="26" t="s">
        <v>593</v>
      </c>
      <c r="DV86" s="26" t="s">
        <v>595</v>
      </c>
      <c r="DW86" s="26">
        <v>1</v>
      </c>
      <c r="DX86" s="26" t="s">
        <v>582</v>
      </c>
      <c r="DY86" s="26">
        <v>0.28999999999999998</v>
      </c>
      <c r="DZ86" s="26" t="s">
        <v>594</v>
      </c>
    </row>
    <row r="87" spans="1:130" s="26" customFormat="1" x14ac:dyDescent="0.35">
      <c r="A87" s="25" t="s">
        <v>239</v>
      </c>
      <c r="B87" s="26" t="s">
        <v>517</v>
      </c>
      <c r="E87" s="26" t="s">
        <v>526</v>
      </c>
      <c r="F87" s="27"/>
      <c r="N87" s="26" t="s">
        <v>598</v>
      </c>
    </row>
    <row r="88" spans="1:130" s="26" customFormat="1" x14ac:dyDescent="0.35">
      <c r="A88" s="25" t="s">
        <v>239</v>
      </c>
      <c r="B88" s="26" t="s">
        <v>517</v>
      </c>
      <c r="E88" s="26" t="s">
        <v>599</v>
      </c>
      <c r="F88" s="27"/>
    </row>
    <row r="89" spans="1:130" s="3" customFormat="1" x14ac:dyDescent="0.35">
      <c r="A89" s="17" t="s">
        <v>239</v>
      </c>
      <c r="B89" s="3" t="s">
        <v>518</v>
      </c>
      <c r="D89" s="3" t="s">
        <v>520</v>
      </c>
      <c r="E89" s="3" t="s">
        <v>600</v>
      </c>
      <c r="F89" s="4"/>
      <c r="U89" s="26"/>
    </row>
    <row r="90" spans="1:130" s="3" customFormat="1" x14ac:dyDescent="0.35">
      <c r="A90" s="17" t="s">
        <v>239</v>
      </c>
      <c r="B90" s="3" t="s">
        <v>518</v>
      </c>
      <c r="D90" s="3" t="s">
        <v>527</v>
      </c>
      <c r="E90" s="3" t="s">
        <v>530</v>
      </c>
      <c r="F90" s="4"/>
      <c r="N90" s="3" t="s">
        <v>466</v>
      </c>
      <c r="U90" s="26"/>
    </row>
    <row r="91" spans="1:130" s="3" customFormat="1" x14ac:dyDescent="0.35">
      <c r="A91" s="17" t="s">
        <v>239</v>
      </c>
      <c r="B91" s="3" t="s">
        <v>518</v>
      </c>
      <c r="D91" s="3" t="s">
        <v>528</v>
      </c>
      <c r="E91" s="3" t="s">
        <v>529</v>
      </c>
      <c r="F91" s="4"/>
    </row>
    <row r="92" spans="1:130" s="3" customFormat="1" x14ac:dyDescent="0.35">
      <c r="A92" s="17" t="s">
        <v>239</v>
      </c>
      <c r="B92" s="3" t="s">
        <v>518</v>
      </c>
      <c r="F92" s="4"/>
    </row>
    <row r="93" spans="1:130" s="3" customFormat="1" x14ac:dyDescent="0.35">
      <c r="F93" s="4"/>
    </row>
    <row r="94" spans="1:130" s="3" customFormat="1" x14ac:dyDescent="0.35">
      <c r="F94" s="4"/>
    </row>
    <row r="95" spans="1:130" s="3" customFormat="1" x14ac:dyDescent="0.35">
      <c r="F95" s="4"/>
    </row>
    <row r="96" spans="1:130" s="3" customFormat="1" x14ac:dyDescent="0.35">
      <c r="F96" s="4"/>
    </row>
    <row r="97" spans="6:6" s="3" customFormat="1" x14ac:dyDescent="0.35">
      <c r="F97" s="4"/>
    </row>
    <row r="98" spans="6:6" s="3" customFormat="1" x14ac:dyDescent="0.35">
      <c r="F98" s="4"/>
    </row>
    <row r="99" spans="6:6" s="3" customFormat="1" x14ac:dyDescent="0.35">
      <c r="F99" s="4"/>
    </row>
    <row r="100" spans="6:6" s="3" customFormat="1" x14ac:dyDescent="0.35">
      <c r="F100" s="4"/>
    </row>
    <row r="101" spans="6:6" s="3" customFormat="1" x14ac:dyDescent="0.35">
      <c r="F101" s="4"/>
    </row>
    <row r="102" spans="6:6" s="3" customFormat="1" x14ac:dyDescent="0.35">
      <c r="F102" s="4"/>
    </row>
    <row r="103" spans="6:6" s="3" customFormat="1" x14ac:dyDescent="0.35">
      <c r="F103" s="4"/>
    </row>
    <row r="104" spans="6:6" s="3" customFormat="1" x14ac:dyDescent="0.35">
      <c r="F104" s="4"/>
    </row>
    <row r="105" spans="6:6" s="3" customFormat="1" x14ac:dyDescent="0.35">
      <c r="F105" s="4"/>
    </row>
    <row r="106" spans="6:6" s="3" customFormat="1" x14ac:dyDescent="0.35">
      <c r="F106" s="4"/>
    </row>
    <row r="107" spans="6:6" s="3" customFormat="1" x14ac:dyDescent="0.35">
      <c r="F107" s="4"/>
    </row>
  </sheetData>
  <autoFilter ref="A1:GR108"/>
  <sortState ref="A2:GE131">
    <sortCondition ref="A2:A131"/>
  </sortState>
  <conditionalFormatting sqref="S1:U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:BZ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:C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1:C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78:DI1048576 DG77 DI77 DG1:DI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Therese Kennedy</dc:creator>
  <cp:lastModifiedBy>Helen Therese Kennedy</cp:lastModifiedBy>
  <dcterms:created xsi:type="dcterms:W3CDTF">2021-11-03T23:58:23Z</dcterms:created>
  <dcterms:modified xsi:type="dcterms:W3CDTF">2022-01-31T22:22:10Z</dcterms:modified>
</cp:coreProperties>
</file>