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d_vega1754_uniandes_edu_co/Documents/Documentos/GRAFOS DEF/Imágenes Grafos/"/>
    </mc:Choice>
  </mc:AlternateContent>
  <xr:revisionPtr revIDLastSave="0" documentId="8_{09B40878-2AFF-48D5-B0B9-644574FE1BB7}" xr6:coauthVersionLast="47" xr6:coauthVersionMax="47" xr10:uidLastSave="{00000000-0000-0000-0000-000000000000}"/>
  <bookViews>
    <workbookView xWindow="-120" yWindow="-120" windowWidth="29040" windowHeight="15840" tabRatio="854" firstSheet="11" activeTab="11" xr2:uid="{00000000-000D-0000-FFFF-FFFF00000000}"/>
  </bookViews>
  <sheets>
    <sheet name="Rxns Biomasa" sheetId="24" r:id="rId1"/>
    <sheet name="TD_RxnsBiomasa" sheetId="25" r:id="rId2"/>
    <sheet name="Enzimas en chasis" sheetId="6" r:id="rId3"/>
    <sheet name="KCat|Km min" sheetId="3" r:id="rId4"/>
    <sheet name="Requerimientos adicionales" sheetId="14" r:id="rId5"/>
    <sheet name="Requerimientos adicionales (2)" sheetId="26" r:id="rId6"/>
    <sheet name="Matriz Raw Data" sheetId="17" r:id="rId7"/>
    <sheet name="Min TOTAL -Alfa-" sheetId="18" r:id="rId8"/>
    <sheet name="0 TOTAL -Alfa-" sheetId="21" r:id="rId9"/>
    <sheet name="Min TOTAL -Prom-" sheetId="22" r:id="rId10"/>
    <sheet name="Min (BR)" sheetId="23" r:id="rId11"/>
    <sheet name="Min Sacchar" sheetId="27" r:id="rId12"/>
  </sheets>
  <definedNames>
    <definedName name="_xlnm._FilterDatabase" localSheetId="8" hidden="1">'0 TOTAL -Alfa-'!$B$2:$L$2</definedName>
    <definedName name="_xlnm._FilterDatabase" localSheetId="6" hidden="1">'Matriz Raw Data'!$J$61:$N$61</definedName>
    <definedName name="_xlnm._FilterDatabase" localSheetId="10" hidden="1">'Min (BR)'!$B$2:$L$2</definedName>
    <definedName name="_xlnm._FilterDatabase" localSheetId="11" hidden="1">'Min Sacchar'!$B$2:$K$21</definedName>
    <definedName name="_xlnm._FilterDatabase" localSheetId="7" hidden="1">'Min TOTAL -Alfa-'!$B$2:$L$2</definedName>
    <definedName name="_xlnm._FilterDatabase" localSheetId="9" hidden="1">'Min TOTAL -Prom-'!$B$2:$L$2</definedName>
    <definedName name="_xlnm._FilterDatabase" localSheetId="0" hidden="1">'Rxns Biomasa'!$C$26:$G$156</definedName>
    <definedName name="_xlchart.v1.0" hidden="1">'Min Sacchar'!$E$2</definedName>
    <definedName name="_xlchart.v1.1" hidden="1">'Min Sacchar'!$E$3:$E$20</definedName>
    <definedName name="_xlchart.v1.2" hidden="1">'Min Sacchar'!$H$2</definedName>
    <definedName name="_xlchart.v1.3" hidden="1">'Min Sacchar'!$H$3:$H$20</definedName>
    <definedName name="_xlchart.v1.4" hidden="1">'Min Sacchar'!$I$2</definedName>
    <definedName name="_xlchart.v1.5" hidden="1">'Min Sacchar'!$I$3:$I$20</definedName>
    <definedName name="_xlchart.v1.6" hidden="1">'Min Sacchar'!$J$2</definedName>
    <definedName name="_xlchart.v1.7" hidden="1">'Min Sacchar'!$J$3:$J$20</definedName>
    <definedName name="solver_adj" localSheetId="8" hidden="1">'0 TOTAL -Alfa-'!$Q$8:$Q$12</definedName>
    <definedName name="solver_adj" localSheetId="10" hidden="1">'Min (BR)'!$O$8:$O$12</definedName>
    <definedName name="solver_adj" localSheetId="11" hidden="1">'Min Sacchar'!$N$8:$N$12</definedName>
    <definedName name="solver_adj" localSheetId="7" hidden="1">'Min TOTAL -Alfa-'!$Q$8:$Q$12</definedName>
    <definedName name="solver_adj" localSheetId="9" hidden="1">'Min TOTAL -Prom-'!$O$8:$O$12</definedName>
    <definedName name="solver_cvg" localSheetId="8" hidden="1">0.0001</definedName>
    <definedName name="solver_cvg" localSheetId="10" hidden="1">0.0001</definedName>
    <definedName name="solver_cvg" localSheetId="11" hidden="1">0.0001</definedName>
    <definedName name="solver_cvg" localSheetId="7" hidden="1">0.0001</definedName>
    <definedName name="solver_cvg" localSheetId="9" hidden="1">0.0001</definedName>
    <definedName name="solver_drv" localSheetId="8" hidden="1">1</definedName>
    <definedName name="solver_drv" localSheetId="10" hidden="1">1</definedName>
    <definedName name="solver_drv" localSheetId="11" hidden="1">1</definedName>
    <definedName name="solver_drv" localSheetId="7" hidden="1">1</definedName>
    <definedName name="solver_drv" localSheetId="9" hidden="1">1</definedName>
    <definedName name="solver_eng" localSheetId="8" hidden="1">1</definedName>
    <definedName name="solver_eng" localSheetId="10" hidden="1">1</definedName>
    <definedName name="solver_eng" localSheetId="11" hidden="1">1</definedName>
    <definedName name="solver_eng" localSheetId="7" hidden="1">1</definedName>
    <definedName name="solver_eng" localSheetId="9" hidden="1">1</definedName>
    <definedName name="solver_est" localSheetId="8" hidden="1">1</definedName>
    <definedName name="solver_est" localSheetId="10" hidden="1">1</definedName>
    <definedName name="solver_est" localSheetId="11" hidden="1">1</definedName>
    <definedName name="solver_est" localSheetId="7" hidden="1">1</definedName>
    <definedName name="solver_est" localSheetId="9" hidden="1">1</definedName>
    <definedName name="solver_itr" localSheetId="8" hidden="1">2147483647</definedName>
    <definedName name="solver_itr" localSheetId="10" hidden="1">2147483647</definedName>
    <definedName name="solver_itr" localSheetId="11" hidden="1">2147483647</definedName>
    <definedName name="solver_itr" localSheetId="7" hidden="1">2147483647</definedName>
    <definedName name="solver_itr" localSheetId="9" hidden="1">2147483647</definedName>
    <definedName name="solver_lhs1" localSheetId="8" hidden="1">'0 TOTAL -Alfa-'!$Q$14</definedName>
    <definedName name="solver_lhs1" localSheetId="10" hidden="1">'Min (BR)'!$O$14</definedName>
    <definedName name="solver_lhs1" localSheetId="11" hidden="1">'Min Sacchar'!$N$14</definedName>
    <definedName name="solver_lhs1" localSheetId="7" hidden="1">'Min TOTAL -Alfa-'!$Q$14</definedName>
    <definedName name="solver_lhs1" localSheetId="9" hidden="1">'Min TOTAL -Prom-'!$O$14</definedName>
    <definedName name="solver_lhs2" localSheetId="8" hidden="1">'0 TOTAL -Alfa-'!$Q$8:$Q$12</definedName>
    <definedName name="solver_lhs2" localSheetId="10" hidden="1">'Min (BR)'!$O$8:$O$12</definedName>
    <definedName name="solver_lhs2" localSheetId="11" hidden="1">'Min Sacchar'!$N$8:$N$12</definedName>
    <definedName name="solver_lhs2" localSheetId="7" hidden="1">'Min TOTAL -Alfa-'!$Q$8:$Q$12</definedName>
    <definedName name="solver_lhs2" localSheetId="9" hidden="1">'Min TOTAL -Prom-'!$O$8:$O$12</definedName>
    <definedName name="solver_lhs3" localSheetId="8" hidden="1">'0 TOTAL -Alfa-'!$Q$8:$Q$10</definedName>
    <definedName name="solver_lhs3" localSheetId="10" hidden="1">'Min (BR)'!$O$8:$O$10</definedName>
    <definedName name="solver_lhs3" localSheetId="11" hidden="1">'Min Sacchar'!$N$8:$N$10</definedName>
    <definedName name="solver_lhs3" localSheetId="7" hidden="1">'Min TOTAL -Alfa-'!$Q$8:$Q$10</definedName>
    <definedName name="solver_lhs3" localSheetId="9" hidden="1">'Min TOTAL -Prom-'!$O$8:$O$10</definedName>
    <definedName name="solver_lhs4" localSheetId="8" hidden="1">'0 TOTAL -Alfa-'!#REF!</definedName>
    <definedName name="solver_lhs4" localSheetId="10" hidden="1">'Min (BR)'!#REF!</definedName>
    <definedName name="solver_lhs4" localSheetId="11" hidden="1">'Min Sacchar'!#REF!</definedName>
    <definedName name="solver_lhs4" localSheetId="7" hidden="1">'Min TOTAL -Alfa-'!#REF!</definedName>
    <definedName name="solver_lhs4" localSheetId="9" hidden="1">'Min TOTAL -Prom-'!#REF!</definedName>
    <definedName name="solver_lhs5" localSheetId="8" hidden="1">'0 TOTAL -Alfa-'!$Q$8:$Q$10</definedName>
    <definedName name="solver_lhs5" localSheetId="10" hidden="1">'Min (BR)'!$O$8:$O$10</definedName>
    <definedName name="solver_lhs5" localSheetId="11" hidden="1">'Min Sacchar'!$N$8:$N$10</definedName>
    <definedName name="solver_lhs5" localSheetId="7" hidden="1">'Min TOTAL -Alfa-'!$Q$8:$Q$10</definedName>
    <definedName name="solver_lhs5" localSheetId="9" hidden="1">'Min TOTAL -Prom-'!$O$8:$O$10</definedName>
    <definedName name="solver_lhs6" localSheetId="8" hidden="1">'0 TOTAL -Alfa-'!$Q$8:$Q$10</definedName>
    <definedName name="solver_lhs6" localSheetId="10" hidden="1">'Min (BR)'!$O$8:$O$10</definedName>
    <definedName name="solver_lhs6" localSheetId="11" hidden="1">'Min Sacchar'!$N$8:$N$10</definedName>
    <definedName name="solver_lhs6" localSheetId="7" hidden="1">'Min TOTAL -Alfa-'!$Q$8:$Q$10</definedName>
    <definedName name="solver_lhs6" localSheetId="9" hidden="1">'Min TOTAL -Prom-'!$O$8:$O$10</definedName>
    <definedName name="solver_mip" localSheetId="8" hidden="1">2147483647</definedName>
    <definedName name="solver_mip" localSheetId="10" hidden="1">2147483647</definedName>
    <definedName name="solver_mip" localSheetId="11" hidden="1">2147483647</definedName>
    <definedName name="solver_mip" localSheetId="7" hidden="1">2147483647</definedName>
    <definedName name="solver_mip" localSheetId="9" hidden="1">2147483647</definedName>
    <definedName name="solver_mni" localSheetId="8" hidden="1">30</definedName>
    <definedName name="solver_mni" localSheetId="10" hidden="1">30</definedName>
    <definedName name="solver_mni" localSheetId="11" hidden="1">30</definedName>
    <definedName name="solver_mni" localSheetId="7" hidden="1">30</definedName>
    <definedName name="solver_mni" localSheetId="9" hidden="1">30</definedName>
    <definedName name="solver_mrt" localSheetId="8" hidden="1">0.075</definedName>
    <definedName name="solver_mrt" localSheetId="10" hidden="1">0.075</definedName>
    <definedName name="solver_mrt" localSheetId="11" hidden="1">0.075</definedName>
    <definedName name="solver_mrt" localSheetId="7" hidden="1">0.075</definedName>
    <definedName name="solver_mrt" localSheetId="9" hidden="1">0.075</definedName>
    <definedName name="solver_msl" localSheetId="8" hidden="1">2</definedName>
    <definedName name="solver_msl" localSheetId="10" hidden="1">2</definedName>
    <definedName name="solver_msl" localSheetId="11" hidden="1">2</definedName>
    <definedName name="solver_msl" localSheetId="7" hidden="1">2</definedName>
    <definedName name="solver_msl" localSheetId="9" hidden="1">2</definedName>
    <definedName name="solver_neg" localSheetId="8" hidden="1">1</definedName>
    <definedName name="solver_neg" localSheetId="10" hidden="1">1</definedName>
    <definedName name="solver_neg" localSheetId="11" hidden="1">1</definedName>
    <definedName name="solver_neg" localSheetId="7" hidden="1">1</definedName>
    <definedName name="solver_neg" localSheetId="9" hidden="1">1</definedName>
    <definedName name="solver_nod" localSheetId="8" hidden="1">2147483647</definedName>
    <definedName name="solver_nod" localSheetId="10" hidden="1">2147483647</definedName>
    <definedName name="solver_nod" localSheetId="11" hidden="1">2147483647</definedName>
    <definedName name="solver_nod" localSheetId="7" hidden="1">2147483647</definedName>
    <definedName name="solver_nod" localSheetId="9" hidden="1">2147483647</definedName>
    <definedName name="solver_num" localSheetId="8" hidden="1">1</definedName>
    <definedName name="solver_num" localSheetId="10" hidden="1">2</definedName>
    <definedName name="solver_num" localSheetId="11" hidden="1">2</definedName>
    <definedName name="solver_num" localSheetId="7" hidden="1">2</definedName>
    <definedName name="solver_num" localSheetId="9" hidden="1">2</definedName>
    <definedName name="solver_nwt" localSheetId="8" hidden="1">1</definedName>
    <definedName name="solver_nwt" localSheetId="10" hidden="1">1</definedName>
    <definedName name="solver_nwt" localSheetId="11" hidden="1">1</definedName>
    <definedName name="solver_nwt" localSheetId="7" hidden="1">1</definedName>
    <definedName name="solver_nwt" localSheetId="9" hidden="1">1</definedName>
    <definedName name="solver_opt" localSheetId="8" hidden="1">'0 TOTAL -Alfa-'!$E$119</definedName>
    <definedName name="solver_opt" localSheetId="10" hidden="1">'Min (BR)'!$L$114</definedName>
    <definedName name="solver_opt" localSheetId="11" hidden="1">'Min Sacchar'!$K$43</definedName>
    <definedName name="solver_opt" localSheetId="7" hidden="1">'Min TOTAL -Alfa-'!$E$119</definedName>
    <definedName name="solver_opt" localSheetId="9" hidden="1">'Min TOTAL -Prom-'!$L$114</definedName>
    <definedName name="solver_pre" localSheetId="8" hidden="1">0.000001</definedName>
    <definedName name="solver_pre" localSheetId="10" hidden="1">0.000001</definedName>
    <definedName name="solver_pre" localSheetId="11" hidden="1">0.000001</definedName>
    <definedName name="solver_pre" localSheetId="7" hidden="1">0.000001</definedName>
    <definedName name="solver_pre" localSheetId="9" hidden="1">0.000001</definedName>
    <definedName name="solver_rbv" localSheetId="8" hidden="1">1</definedName>
    <definedName name="solver_rbv" localSheetId="10" hidden="1">1</definedName>
    <definedName name="solver_rbv" localSheetId="11" hidden="1">1</definedName>
    <definedName name="solver_rbv" localSheetId="7" hidden="1">1</definedName>
    <definedName name="solver_rbv" localSheetId="9" hidden="1">1</definedName>
    <definedName name="solver_rel1" localSheetId="8" hidden="1">2</definedName>
    <definedName name="solver_rel1" localSheetId="10" hidden="1">2</definedName>
    <definedName name="solver_rel1" localSheetId="11" hidden="1">2</definedName>
    <definedName name="solver_rel1" localSheetId="7" hidden="1">2</definedName>
    <definedName name="solver_rel1" localSheetId="9" hidden="1">2</definedName>
    <definedName name="solver_rel2" localSheetId="8" hidden="1">3</definedName>
    <definedName name="solver_rel2" localSheetId="10" hidden="1">3</definedName>
    <definedName name="solver_rel2" localSheetId="11" hidden="1">3</definedName>
    <definedName name="solver_rel2" localSheetId="7" hidden="1">3</definedName>
    <definedName name="solver_rel2" localSheetId="9" hidden="1">3</definedName>
    <definedName name="solver_rel3" localSheetId="8" hidden="1">3</definedName>
    <definedName name="solver_rel3" localSheetId="10" hidden="1">3</definedName>
    <definedName name="solver_rel3" localSheetId="11" hidden="1">3</definedName>
    <definedName name="solver_rel3" localSheetId="7" hidden="1">3</definedName>
    <definedName name="solver_rel3" localSheetId="9" hidden="1">3</definedName>
    <definedName name="solver_rel4" localSheetId="8" hidden="1">2</definedName>
    <definedName name="solver_rel4" localSheetId="10" hidden="1">2</definedName>
    <definedName name="solver_rel4" localSheetId="11" hidden="1">2</definedName>
    <definedName name="solver_rel4" localSheetId="7" hidden="1">2</definedName>
    <definedName name="solver_rel4" localSheetId="9" hidden="1">2</definedName>
    <definedName name="solver_rel5" localSheetId="8" hidden="1">3</definedName>
    <definedName name="solver_rel5" localSheetId="10" hidden="1">3</definedName>
    <definedName name="solver_rel5" localSheetId="11" hidden="1">3</definedName>
    <definedName name="solver_rel5" localSheetId="7" hidden="1">3</definedName>
    <definedName name="solver_rel5" localSheetId="9" hidden="1">3</definedName>
    <definedName name="solver_rel6" localSheetId="8" hidden="1">3</definedName>
    <definedName name="solver_rel6" localSheetId="10" hidden="1">3</definedName>
    <definedName name="solver_rel6" localSheetId="11" hidden="1">3</definedName>
    <definedName name="solver_rel6" localSheetId="7" hidden="1">3</definedName>
    <definedName name="solver_rel6" localSheetId="9" hidden="1">3</definedName>
    <definedName name="solver_rhs1" localSheetId="8" hidden="1">1</definedName>
    <definedName name="solver_rhs1" localSheetId="10" hidden="1">1</definedName>
    <definedName name="solver_rhs1" localSheetId="11" hidden="1">1</definedName>
    <definedName name="solver_rhs1" localSheetId="7" hidden="1">1</definedName>
    <definedName name="solver_rhs1" localSheetId="9" hidden="1">1</definedName>
    <definedName name="solver_rhs2" localSheetId="8" hidden="1">0.001</definedName>
    <definedName name="solver_rhs2" localSheetId="10" hidden="1">0.001</definedName>
    <definedName name="solver_rhs2" localSheetId="11" hidden="1">0.001</definedName>
    <definedName name="solver_rhs2" localSheetId="7" hidden="1">0.001</definedName>
    <definedName name="solver_rhs2" localSheetId="9" hidden="1">0.001</definedName>
    <definedName name="solver_rhs3" localSheetId="8" hidden="1">0.1</definedName>
    <definedName name="solver_rhs3" localSheetId="10" hidden="1">0.1</definedName>
    <definedName name="solver_rhs3" localSheetId="11" hidden="1">0.1</definedName>
    <definedName name="solver_rhs3" localSheetId="7" hidden="1">0.1</definedName>
    <definedName name="solver_rhs3" localSheetId="9" hidden="1">0.1</definedName>
    <definedName name="solver_rhs4" localSheetId="8" hidden="1">1</definedName>
    <definedName name="solver_rhs4" localSheetId="10" hidden="1">1</definedName>
    <definedName name="solver_rhs4" localSheetId="11" hidden="1">1</definedName>
    <definedName name="solver_rhs4" localSheetId="7" hidden="1">1</definedName>
    <definedName name="solver_rhs4" localSheetId="9" hidden="1">1</definedName>
    <definedName name="solver_rhs5" localSheetId="8" hidden="1">0.05</definedName>
    <definedName name="solver_rhs5" localSheetId="10" hidden="1">0.05</definedName>
    <definedName name="solver_rhs5" localSheetId="11" hidden="1">0.05</definedName>
    <definedName name="solver_rhs5" localSheetId="7" hidden="1">0.05</definedName>
    <definedName name="solver_rhs5" localSheetId="9" hidden="1">0.05</definedName>
    <definedName name="solver_rhs6" localSheetId="8" hidden="1">0.05</definedName>
    <definedName name="solver_rhs6" localSheetId="10" hidden="1">0.05</definedName>
    <definedName name="solver_rhs6" localSheetId="11" hidden="1">0.05</definedName>
    <definedName name="solver_rhs6" localSheetId="7" hidden="1">0.05</definedName>
    <definedName name="solver_rhs6" localSheetId="9" hidden="1">0.05</definedName>
    <definedName name="solver_rlx" localSheetId="8" hidden="1">2</definedName>
    <definedName name="solver_rlx" localSheetId="10" hidden="1">2</definedName>
    <definedName name="solver_rlx" localSheetId="11" hidden="1">2</definedName>
    <definedName name="solver_rlx" localSheetId="7" hidden="1">2</definedName>
    <definedName name="solver_rlx" localSheetId="9" hidden="1">2</definedName>
    <definedName name="solver_rsd" localSheetId="8" hidden="1">"""""""""""""""""""""""""""""""""""""""""""""""""""""""""""""""""""""""""""""""""""""""""""""""""""""""""""""""""""""""""""""""0.25"""""""""""""""""""""""""""""""""""""""""""""""""""""""""""""""""""""""""""""""""""""""""""""""""""""""""""""""""""""""""""""""</definedName>
    <definedName name="solver_rsd" localSheetId="10" hidden="1">"""""""""""""""""""""""""""""""""""""""""""""""""""""""""""""""""""""""""""""""""""""""""""""""""""""""""""""""""""""""""""""""0.25"""""""""""""""""""""""""""""""""""""""""""""""""""""""""""""""""""""""""""""""""""""""""""""""""""""""""""""""""""""""""""""""</definedName>
    <definedName name="solver_rsd" localSheetId="11" hidden="1">"""""""""""""""""""""""""""""""""""""""""""""""""""""""""""""""""""""""""""""""""""""""""""""""""""""""""""""""""""""""""""""""0.25"""""""""""""""""""""""""""""""""""""""""""""""""""""""""""""""""""""""""""""""""""""""""""""""""""""""""""""""""""""""""""""""</definedName>
    <definedName name="solver_rsd" localSheetId="7" hidden="1">"""""""""""""""""""""""""""""""""""""""""""""""""""""""""""""""""""""""""""""""""""""""""""""""""""""""""""""""""""""""""""""""0.25"""""""""""""""""""""""""""""""""""""""""""""""""""""""""""""""""""""""""""""""""""""""""""""""""""""""""""""""""""""""""""""""</definedName>
    <definedName name="solver_rsd" localSheetId="9" hidden="1">"""""""""""""""""""""""""""""""""""""""""""""""""""""""""""""""""""""""""""""""""""""""""""""""""""""""""""""""""""""""""""""""0.25"""""""""""""""""""""""""""""""""""""""""""""""""""""""""""""""""""""""""""""""""""""""""""""""""""""""""""""""""""""""""""""""</definedName>
    <definedName name="solver_scl" localSheetId="8" hidden="1">1</definedName>
    <definedName name="solver_scl" localSheetId="10" hidden="1">1</definedName>
    <definedName name="solver_scl" localSheetId="11" hidden="1">1</definedName>
    <definedName name="solver_scl" localSheetId="7" hidden="1">1</definedName>
    <definedName name="solver_scl" localSheetId="9" hidden="1">1</definedName>
    <definedName name="solver_sho" localSheetId="8" hidden="1">2</definedName>
    <definedName name="solver_sho" localSheetId="10" hidden="1">2</definedName>
    <definedName name="solver_sho" localSheetId="11" hidden="1">2</definedName>
    <definedName name="solver_sho" localSheetId="7" hidden="1">2</definedName>
    <definedName name="solver_sho" localSheetId="9" hidden="1">2</definedName>
    <definedName name="solver_ssz" localSheetId="8" hidden="1">1000</definedName>
    <definedName name="solver_ssz" localSheetId="10" hidden="1">1000</definedName>
    <definedName name="solver_ssz" localSheetId="11" hidden="1">1000</definedName>
    <definedName name="solver_ssz" localSheetId="7" hidden="1">1000</definedName>
    <definedName name="solver_ssz" localSheetId="9" hidden="1">1000</definedName>
    <definedName name="solver_tim" localSheetId="8" hidden="1">2147483647</definedName>
    <definedName name="solver_tim" localSheetId="10" hidden="1">2147483647</definedName>
    <definedName name="solver_tim" localSheetId="11" hidden="1">2147483647</definedName>
    <definedName name="solver_tim" localSheetId="7" hidden="1">2147483647</definedName>
    <definedName name="solver_tim" localSheetId="9" hidden="1">2147483647</definedName>
    <definedName name="solver_tol" localSheetId="8" hidden="1">0.01</definedName>
    <definedName name="solver_tol" localSheetId="10" hidden="1">0.01</definedName>
    <definedName name="solver_tol" localSheetId="11" hidden="1">0.01</definedName>
    <definedName name="solver_tol" localSheetId="7" hidden="1">0.01</definedName>
    <definedName name="solver_tol" localSheetId="9" hidden="1">0.01</definedName>
    <definedName name="solver_typ" localSheetId="8" hidden="1">3</definedName>
    <definedName name="solver_typ" localSheetId="10" hidden="1">2</definedName>
    <definedName name="solver_typ" localSheetId="11" hidden="1">2</definedName>
    <definedName name="solver_typ" localSheetId="7" hidden="1">2</definedName>
    <definedName name="solver_typ" localSheetId="9" hidden="1">2</definedName>
    <definedName name="solver_val" localSheetId="8" hidden="1">0</definedName>
    <definedName name="solver_val" localSheetId="10" hidden="1">0</definedName>
    <definedName name="solver_val" localSheetId="11" hidden="1">0</definedName>
    <definedName name="solver_val" localSheetId="7" hidden="1">0</definedName>
    <definedName name="solver_val" localSheetId="9" hidden="1">0</definedName>
    <definedName name="solver_ver" localSheetId="8" hidden="1">3</definedName>
    <definedName name="solver_ver" localSheetId="10" hidden="1">3</definedName>
    <definedName name="solver_ver" localSheetId="11" hidden="1">3</definedName>
    <definedName name="solver_ver" localSheetId="7" hidden="1">3</definedName>
    <definedName name="solver_ver" localSheetId="9" hidden="1">3</definedName>
  </definedNames>
  <calcPr calcId="191028"/>
  <pivotCaches>
    <pivotCache cacheId="9019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27" l="1"/>
  <c r="E22" i="3"/>
  <c r="I7" i="27" s="1"/>
  <c r="E20" i="3"/>
  <c r="U15" i="14"/>
  <c r="U16" i="14" s="1"/>
  <c r="U17" i="14" s="1"/>
  <c r="U9" i="14"/>
  <c r="U8" i="14"/>
  <c r="C9" i="14"/>
  <c r="C17" i="14"/>
  <c r="E25" i="27"/>
  <c r="E7" i="27"/>
  <c r="K7" i="27" s="1"/>
  <c r="K3" i="27"/>
  <c r="N14" i="27"/>
  <c r="H25" i="27"/>
  <c r="I25" i="27"/>
  <c r="J25" i="27"/>
  <c r="E26" i="27"/>
  <c r="H26" i="27"/>
  <c r="I26" i="27"/>
  <c r="J26" i="27"/>
  <c r="E27" i="27"/>
  <c r="H27" i="27"/>
  <c r="I27" i="27"/>
  <c r="J27" i="27"/>
  <c r="E28" i="27"/>
  <c r="H28" i="27"/>
  <c r="I28" i="27"/>
  <c r="J28" i="27"/>
  <c r="E29" i="27"/>
  <c r="H29" i="27"/>
  <c r="I29" i="27"/>
  <c r="J29" i="27"/>
  <c r="E30" i="27"/>
  <c r="H30" i="27"/>
  <c r="I30" i="27"/>
  <c r="J30" i="27"/>
  <c r="E31" i="27"/>
  <c r="H31" i="27"/>
  <c r="I31" i="27"/>
  <c r="J31" i="27"/>
  <c r="E32" i="27"/>
  <c r="H32" i="27"/>
  <c r="I32" i="27"/>
  <c r="J32" i="27"/>
  <c r="E33" i="27"/>
  <c r="H33" i="27"/>
  <c r="I33" i="27"/>
  <c r="J33" i="27"/>
  <c r="E34" i="27"/>
  <c r="H34" i="27"/>
  <c r="I34" i="27"/>
  <c r="J34" i="27"/>
  <c r="E35" i="27"/>
  <c r="H35" i="27"/>
  <c r="I35" i="27"/>
  <c r="J35" i="27"/>
  <c r="E36" i="27"/>
  <c r="H36" i="27"/>
  <c r="I36" i="27"/>
  <c r="J36" i="27"/>
  <c r="E37" i="27"/>
  <c r="H37" i="27"/>
  <c r="I37" i="27"/>
  <c r="J37" i="27"/>
  <c r="E38" i="27"/>
  <c r="H38" i="27"/>
  <c r="I38" i="27"/>
  <c r="J38" i="27"/>
  <c r="E39" i="27"/>
  <c r="H39" i="27"/>
  <c r="I39" i="27"/>
  <c r="J39" i="27"/>
  <c r="E40" i="27"/>
  <c r="H40" i="27"/>
  <c r="I40" i="27"/>
  <c r="J40" i="27"/>
  <c r="E41" i="27"/>
  <c r="H41" i="27"/>
  <c r="I41" i="27"/>
  <c r="J41" i="27"/>
  <c r="K4" i="27"/>
  <c r="K5" i="27"/>
  <c r="K6" i="27"/>
  <c r="K8" i="27"/>
  <c r="K9" i="27"/>
  <c r="K10" i="27"/>
  <c r="K11" i="27"/>
  <c r="K12" i="27"/>
  <c r="K13" i="27"/>
  <c r="K14" i="27"/>
  <c r="K15" i="27"/>
  <c r="K16" i="27"/>
  <c r="K17" i="27"/>
  <c r="K18" i="27"/>
  <c r="K19" i="27"/>
  <c r="K20" i="27"/>
  <c r="K21" i="27"/>
  <c r="J24" i="27"/>
  <c r="I24" i="27"/>
  <c r="H24" i="27"/>
  <c r="P14" i="27"/>
  <c r="I123" i="23"/>
  <c r="K124" i="23"/>
  <c r="K127" i="23"/>
  <c r="K128" i="23" s="1"/>
  <c r="I122" i="23"/>
  <c r="J116" i="23"/>
  <c r="I118" i="23"/>
  <c r="I117" i="23"/>
  <c r="I116" i="23"/>
  <c r="Q14" i="22"/>
  <c r="K9" i="14"/>
  <c r="E3" i="3"/>
  <c r="R22" i="17"/>
  <c r="R23" i="17"/>
  <c r="Z50" i="17"/>
  <c r="E60" i="18"/>
  <c r="H60" i="18"/>
  <c r="E4" i="3"/>
  <c r="C16" i="14"/>
  <c r="J60" i="22"/>
  <c r="K60" i="22"/>
  <c r="J61" i="22"/>
  <c r="K61" i="22"/>
  <c r="J62" i="22"/>
  <c r="K62" i="22"/>
  <c r="J63" i="22"/>
  <c r="K63" i="22"/>
  <c r="J64" i="22"/>
  <c r="K64" i="22"/>
  <c r="J65" i="22"/>
  <c r="K65" i="22"/>
  <c r="J66" i="22"/>
  <c r="K66" i="22"/>
  <c r="J67" i="22"/>
  <c r="K67" i="22"/>
  <c r="J68" i="22"/>
  <c r="K68" i="22"/>
  <c r="J69" i="22"/>
  <c r="K69" i="22"/>
  <c r="J70" i="22"/>
  <c r="K70" i="22"/>
  <c r="J71" i="22"/>
  <c r="K71" i="22"/>
  <c r="J72" i="22"/>
  <c r="K72" i="22"/>
  <c r="J73" i="22"/>
  <c r="K73" i="22"/>
  <c r="J74" i="22"/>
  <c r="K74" i="22"/>
  <c r="J75" i="22"/>
  <c r="K75" i="22"/>
  <c r="J76" i="22"/>
  <c r="K76" i="22"/>
  <c r="J77" i="22"/>
  <c r="K77" i="22"/>
  <c r="J78" i="22"/>
  <c r="K78" i="22"/>
  <c r="J79" i="22"/>
  <c r="K79" i="22"/>
  <c r="J80" i="22"/>
  <c r="K80" i="22"/>
  <c r="J81" i="22"/>
  <c r="K81" i="22"/>
  <c r="J82" i="22"/>
  <c r="K82" i="22"/>
  <c r="J83" i="22"/>
  <c r="K83" i="22"/>
  <c r="J84" i="22"/>
  <c r="K84" i="22"/>
  <c r="J85" i="22"/>
  <c r="K85" i="22"/>
  <c r="J86" i="22"/>
  <c r="K86" i="22"/>
  <c r="J87" i="22"/>
  <c r="K87" i="22"/>
  <c r="J88" i="22"/>
  <c r="K88" i="22"/>
  <c r="J89" i="22"/>
  <c r="K89" i="22"/>
  <c r="J90" i="22"/>
  <c r="K90" i="22"/>
  <c r="J91" i="22"/>
  <c r="K91" i="22"/>
  <c r="J92" i="22"/>
  <c r="K92" i="22"/>
  <c r="J93" i="22"/>
  <c r="K93" i="22"/>
  <c r="J94" i="22"/>
  <c r="K94" i="22"/>
  <c r="J95" i="22"/>
  <c r="K95" i="22"/>
  <c r="J96" i="22"/>
  <c r="K96" i="22"/>
  <c r="J97" i="22"/>
  <c r="K97" i="22"/>
  <c r="J98" i="22"/>
  <c r="K98" i="22"/>
  <c r="J99" i="22"/>
  <c r="K99" i="22"/>
  <c r="J100" i="22"/>
  <c r="K100" i="22"/>
  <c r="J101" i="22"/>
  <c r="K101" i="22"/>
  <c r="J102" i="22"/>
  <c r="K102" i="22"/>
  <c r="J103" i="22"/>
  <c r="K103" i="22"/>
  <c r="J104" i="22"/>
  <c r="K104" i="22"/>
  <c r="J105" i="22"/>
  <c r="K105" i="22"/>
  <c r="J106" i="22"/>
  <c r="K106" i="22"/>
  <c r="J107" i="22"/>
  <c r="K107" i="22"/>
  <c r="J108" i="22"/>
  <c r="K108" i="22"/>
  <c r="J109" i="22"/>
  <c r="K109" i="22"/>
  <c r="J110" i="22"/>
  <c r="K110" i="22"/>
  <c r="J111" i="22"/>
  <c r="K111" i="22"/>
  <c r="J112" i="22"/>
  <c r="K112" i="22"/>
  <c r="J59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S22" i="17"/>
  <c r="T40" i="17"/>
  <c r="T41" i="17"/>
  <c r="G5" i="17"/>
  <c r="G3" i="17"/>
  <c r="C3" i="17"/>
  <c r="AQ238" i="26"/>
  <c r="AO238" i="26"/>
  <c r="AM238" i="26"/>
  <c r="AK238" i="26"/>
  <c r="AI238" i="26"/>
  <c r="AG238" i="26"/>
  <c r="AQ237" i="26"/>
  <c r="AO237" i="26"/>
  <c r="AM237" i="26"/>
  <c r="AK237" i="26"/>
  <c r="AI237" i="26"/>
  <c r="AG237" i="26"/>
  <c r="AQ236" i="26"/>
  <c r="AO236" i="26"/>
  <c r="AM236" i="26"/>
  <c r="AK236" i="26"/>
  <c r="AI236" i="26"/>
  <c r="AG236" i="26"/>
  <c r="AQ235" i="26"/>
  <c r="AO235" i="26"/>
  <c r="AM235" i="26"/>
  <c r="AK235" i="26"/>
  <c r="AI235" i="26"/>
  <c r="AG235" i="26"/>
  <c r="AQ234" i="26"/>
  <c r="AO234" i="26"/>
  <c r="AM234" i="26"/>
  <c r="AK234" i="26"/>
  <c r="AI234" i="26"/>
  <c r="AG234" i="26"/>
  <c r="AQ233" i="26"/>
  <c r="AO233" i="26"/>
  <c r="AM233" i="26"/>
  <c r="AK233" i="26"/>
  <c r="AI233" i="26"/>
  <c r="AG233" i="26"/>
  <c r="AQ232" i="26"/>
  <c r="AO232" i="26"/>
  <c r="AM232" i="26"/>
  <c r="AK232" i="26"/>
  <c r="AI232" i="26"/>
  <c r="AG232" i="26"/>
  <c r="AQ231" i="26"/>
  <c r="AO231" i="26"/>
  <c r="AM231" i="26"/>
  <c r="AK231" i="26"/>
  <c r="AI231" i="26"/>
  <c r="AG231" i="26"/>
  <c r="AQ230" i="26"/>
  <c r="AO230" i="26"/>
  <c r="AM230" i="26"/>
  <c r="AK230" i="26"/>
  <c r="AI230" i="26"/>
  <c r="AG230" i="26"/>
  <c r="AD238" i="26"/>
  <c r="AD237" i="26"/>
  <c r="AD236" i="26"/>
  <c r="AD235" i="26"/>
  <c r="AD234" i="26"/>
  <c r="AD233" i="26"/>
  <c r="AD232" i="26"/>
  <c r="AD231" i="26"/>
  <c r="AD230" i="26"/>
  <c r="AB238" i="26"/>
  <c r="AB237" i="26"/>
  <c r="AB236" i="26"/>
  <c r="AB235" i="26"/>
  <c r="AB234" i="26"/>
  <c r="AB233" i="26"/>
  <c r="AB232" i="26"/>
  <c r="AB231" i="26"/>
  <c r="AB230" i="26"/>
  <c r="Z238" i="26"/>
  <c r="Z237" i="26"/>
  <c r="Z236" i="26"/>
  <c r="Z235" i="26"/>
  <c r="Z234" i="26"/>
  <c r="Z233" i="26"/>
  <c r="Z232" i="26"/>
  <c r="Z231" i="26"/>
  <c r="Z230" i="26"/>
  <c r="X238" i="26"/>
  <c r="X237" i="26"/>
  <c r="X236" i="26"/>
  <c r="X235" i="26"/>
  <c r="X234" i="26"/>
  <c r="X233" i="26"/>
  <c r="X232" i="26"/>
  <c r="X231" i="26"/>
  <c r="X230" i="26"/>
  <c r="V238" i="26"/>
  <c r="V237" i="26"/>
  <c r="V236" i="26"/>
  <c r="V235" i="26"/>
  <c r="V234" i="26"/>
  <c r="V233" i="26"/>
  <c r="V232" i="26"/>
  <c r="V231" i="26"/>
  <c r="V230" i="26"/>
  <c r="T238" i="26"/>
  <c r="T237" i="26"/>
  <c r="T236" i="26"/>
  <c r="T235" i="26"/>
  <c r="T234" i="26"/>
  <c r="T233" i="26"/>
  <c r="T232" i="26"/>
  <c r="T231" i="26"/>
  <c r="T230" i="26"/>
  <c r="Q238" i="26"/>
  <c r="Q237" i="26"/>
  <c r="Q236" i="26"/>
  <c r="Q235" i="26"/>
  <c r="Q234" i="26"/>
  <c r="Q233" i="26"/>
  <c r="Q232" i="26"/>
  <c r="Q231" i="26"/>
  <c r="Q230" i="26"/>
  <c r="O238" i="26"/>
  <c r="O237" i="26"/>
  <c r="O236" i="26"/>
  <c r="O235" i="26"/>
  <c r="O234" i="26"/>
  <c r="O233" i="26"/>
  <c r="O232" i="26"/>
  <c r="O231" i="26"/>
  <c r="O230" i="26"/>
  <c r="M238" i="26"/>
  <c r="M237" i="26"/>
  <c r="M236" i="26"/>
  <c r="M235" i="26"/>
  <c r="M234" i="26"/>
  <c r="M233" i="26"/>
  <c r="M232" i="26"/>
  <c r="M231" i="26"/>
  <c r="M230" i="26"/>
  <c r="K238" i="26"/>
  <c r="K237" i="26"/>
  <c r="K236" i="26"/>
  <c r="K235" i="26"/>
  <c r="K234" i="26"/>
  <c r="K233" i="26"/>
  <c r="K232" i="26"/>
  <c r="K231" i="26"/>
  <c r="K230" i="26"/>
  <c r="AQ220" i="26"/>
  <c r="AO220" i="26"/>
  <c r="AM220" i="26"/>
  <c r="AK220" i="26"/>
  <c r="AI220" i="26"/>
  <c r="AG220" i="26"/>
  <c r="AQ219" i="26"/>
  <c r="AO219" i="26"/>
  <c r="AM219" i="26"/>
  <c r="AK219" i="26"/>
  <c r="AI219" i="26"/>
  <c r="AG219" i="26"/>
  <c r="AD220" i="26"/>
  <c r="AB220" i="26"/>
  <c r="Z220" i="26"/>
  <c r="Z221" i="26" s="1"/>
  <c r="X220" i="26"/>
  <c r="V220" i="26"/>
  <c r="V221" i="26" s="1"/>
  <c r="T220" i="26"/>
  <c r="AD219" i="26"/>
  <c r="AB219" i="26"/>
  <c r="Z219" i="26"/>
  <c r="Z222" i="26" s="1"/>
  <c r="X219" i="26"/>
  <c r="V219" i="26"/>
  <c r="T219" i="26"/>
  <c r="Q227" i="26"/>
  <c r="O227" i="26"/>
  <c r="M227" i="26"/>
  <c r="K227" i="26"/>
  <c r="Q226" i="26"/>
  <c r="O226" i="26"/>
  <c r="M226" i="26"/>
  <c r="K226" i="26"/>
  <c r="Q225" i="26"/>
  <c r="O225" i="26"/>
  <c r="M225" i="26"/>
  <c r="K225" i="26"/>
  <c r="Q224" i="26"/>
  <c r="O224" i="26"/>
  <c r="M224" i="26"/>
  <c r="K224" i="26"/>
  <c r="K220" i="26"/>
  <c r="K221" i="26" s="1"/>
  <c r="M220" i="26"/>
  <c r="O220" i="26"/>
  <c r="Q220" i="26"/>
  <c r="Q221" i="26"/>
  <c r="Q223" i="26" s="1"/>
  <c r="Q222" i="26"/>
  <c r="Q219" i="26"/>
  <c r="O219" i="26"/>
  <c r="M219" i="26"/>
  <c r="K219" i="26"/>
  <c r="G217" i="26"/>
  <c r="G230" i="26" s="1"/>
  <c r="I217" i="26"/>
  <c r="K217" i="26"/>
  <c r="M217" i="26"/>
  <c r="O217" i="26"/>
  <c r="Q217" i="26"/>
  <c r="T217" i="26"/>
  <c r="V217" i="26"/>
  <c r="X217" i="26"/>
  <c r="Z217" i="26"/>
  <c r="AB217" i="26"/>
  <c r="AD217" i="26"/>
  <c r="AG217" i="26"/>
  <c r="AI217" i="26"/>
  <c r="AK217" i="26"/>
  <c r="AM217" i="26"/>
  <c r="AO217" i="26"/>
  <c r="AQ217" i="26"/>
  <c r="K40" i="27" l="1"/>
  <c r="K41" i="27"/>
  <c r="K33" i="27"/>
  <c r="K29" i="27"/>
  <c r="K25" i="27"/>
  <c r="K35" i="27"/>
  <c r="K34" i="27"/>
  <c r="K30" i="27"/>
  <c r="K24" i="27"/>
  <c r="K32" i="27"/>
  <c r="K39" i="27"/>
  <c r="K38" i="27"/>
  <c r="K36" i="27"/>
  <c r="K31" i="27"/>
  <c r="K37" i="27"/>
  <c r="K28" i="27"/>
  <c r="K27" i="27"/>
  <c r="K26" i="27"/>
  <c r="AG221" i="26"/>
  <c r="AI221" i="26"/>
  <c r="AK221" i="26"/>
  <c r="AM221" i="26"/>
  <c r="AO221" i="26"/>
  <c r="AQ221" i="26"/>
  <c r="Z223" i="26"/>
  <c r="T221" i="26"/>
  <c r="X221" i="26"/>
  <c r="AB221" i="26"/>
  <c r="AD221" i="26"/>
  <c r="T222" i="26"/>
  <c r="V222" i="26"/>
  <c r="O222" i="26"/>
  <c r="O223" i="26" s="1"/>
  <c r="M222" i="26"/>
  <c r="M223" i="26" s="1"/>
  <c r="K222" i="26"/>
  <c r="K223" i="26" s="1"/>
  <c r="O221" i="26"/>
  <c r="M221" i="26"/>
  <c r="F164" i="24"/>
  <c r="F163" i="24"/>
  <c r="F162" i="24"/>
  <c r="D166" i="24"/>
  <c r="D159" i="24"/>
  <c r="K43" i="27" l="1"/>
  <c r="I231" i="26"/>
  <c r="I230" i="26"/>
  <c r="G231" i="26"/>
  <c r="AQ222" i="26"/>
  <c r="AO222" i="26"/>
  <c r="AO223" i="26" s="1"/>
  <c r="AM224" i="26"/>
  <c r="AM225" i="26" s="1"/>
  <c r="AM226" i="26" s="1"/>
  <c r="AQ223" i="26"/>
  <c r="AM222" i="26"/>
  <c r="AK222" i="26"/>
  <c r="AI222" i="26"/>
  <c r="AM223" i="26"/>
  <c r="AM227" i="26" s="1"/>
  <c r="AG222" i="26"/>
  <c r="AO224" i="26"/>
  <c r="AD222" i="26"/>
  <c r="AB222" i="26"/>
  <c r="AB223" i="26" s="1"/>
  <c r="V223" i="26"/>
  <c r="T223" i="26"/>
  <c r="Z224" i="26"/>
  <c r="Z225" i="26" s="1"/>
  <c r="X222" i="26"/>
  <c r="K117" i="23"/>
  <c r="K118" i="23"/>
  <c r="K116" i="23"/>
  <c r="J118" i="23"/>
  <c r="J117" i="23"/>
  <c r="I232" i="26" l="1"/>
  <c r="G232" i="26"/>
  <c r="AO225" i="26"/>
  <c r="AK223" i="26"/>
  <c r="AG223" i="26"/>
  <c r="AQ224" i="26"/>
  <c r="AI223" i="26"/>
  <c r="Z226" i="26"/>
  <c r="Z227" i="26" s="1"/>
  <c r="T225" i="26"/>
  <c r="AB224" i="26"/>
  <c r="AB226" i="26" s="1"/>
  <c r="AB227" i="26" s="1"/>
  <c r="V224" i="26"/>
  <c r="AB225" i="26"/>
  <c r="X224" i="26"/>
  <c r="AD223" i="26"/>
  <c r="AD224" i="26"/>
  <c r="AD225" i="26"/>
  <c r="T224" i="26"/>
  <c r="X223" i="26"/>
  <c r="X225" i="26" s="1"/>
  <c r="L3" i="23"/>
  <c r="D67" i="6"/>
  <c r="K112" i="23"/>
  <c r="J112" i="23"/>
  <c r="I112" i="23"/>
  <c r="H112" i="23"/>
  <c r="E112" i="23"/>
  <c r="K111" i="23"/>
  <c r="J111" i="23"/>
  <c r="I111" i="23"/>
  <c r="H111" i="23"/>
  <c r="E111" i="23"/>
  <c r="L111" i="23" s="1"/>
  <c r="K110" i="23"/>
  <c r="J110" i="23"/>
  <c r="I110" i="23"/>
  <c r="H110" i="23"/>
  <c r="E110" i="23"/>
  <c r="L110" i="23" s="1"/>
  <c r="K109" i="23"/>
  <c r="J109" i="23"/>
  <c r="I109" i="23"/>
  <c r="H109" i="23"/>
  <c r="E109" i="23"/>
  <c r="K108" i="23"/>
  <c r="J108" i="23"/>
  <c r="I108" i="23"/>
  <c r="H108" i="23"/>
  <c r="E108" i="23"/>
  <c r="K107" i="23"/>
  <c r="J107" i="23"/>
  <c r="I107" i="23"/>
  <c r="H107" i="23"/>
  <c r="E107" i="23"/>
  <c r="K106" i="23"/>
  <c r="J106" i="23"/>
  <c r="I106" i="23"/>
  <c r="H106" i="23"/>
  <c r="E106" i="23"/>
  <c r="K105" i="23"/>
  <c r="J105" i="23"/>
  <c r="I105" i="23"/>
  <c r="H105" i="23"/>
  <c r="E105" i="23"/>
  <c r="K104" i="23"/>
  <c r="J104" i="23"/>
  <c r="I104" i="23"/>
  <c r="H104" i="23"/>
  <c r="E104" i="23"/>
  <c r="L104" i="23" s="1"/>
  <c r="K103" i="23"/>
  <c r="J103" i="23"/>
  <c r="I103" i="23"/>
  <c r="H103" i="23"/>
  <c r="E103" i="23"/>
  <c r="K102" i="23"/>
  <c r="J102" i="23"/>
  <c r="I102" i="23"/>
  <c r="H102" i="23"/>
  <c r="E102" i="23"/>
  <c r="K101" i="23"/>
  <c r="J101" i="23"/>
  <c r="I101" i="23"/>
  <c r="H101" i="23"/>
  <c r="E101" i="23"/>
  <c r="L101" i="23" s="1"/>
  <c r="K100" i="23"/>
  <c r="J100" i="23"/>
  <c r="I100" i="23"/>
  <c r="H100" i="23"/>
  <c r="E100" i="23"/>
  <c r="K99" i="23"/>
  <c r="J99" i="23"/>
  <c r="I99" i="23"/>
  <c r="H99" i="23"/>
  <c r="E99" i="23"/>
  <c r="K98" i="23"/>
  <c r="J98" i="23"/>
  <c r="I98" i="23"/>
  <c r="H98" i="23"/>
  <c r="E98" i="23"/>
  <c r="L98" i="23" s="1"/>
  <c r="K97" i="23"/>
  <c r="J97" i="23"/>
  <c r="I97" i="23"/>
  <c r="H97" i="23"/>
  <c r="E97" i="23"/>
  <c r="K96" i="23"/>
  <c r="J96" i="23"/>
  <c r="I96" i="23"/>
  <c r="H96" i="23"/>
  <c r="E96" i="23"/>
  <c r="K95" i="23"/>
  <c r="J95" i="23"/>
  <c r="I95" i="23"/>
  <c r="H95" i="23"/>
  <c r="E95" i="23"/>
  <c r="L95" i="23" s="1"/>
  <c r="K94" i="23"/>
  <c r="J94" i="23"/>
  <c r="I94" i="23"/>
  <c r="H94" i="23"/>
  <c r="E94" i="23"/>
  <c r="K93" i="23"/>
  <c r="J93" i="23"/>
  <c r="I93" i="23"/>
  <c r="H93" i="23"/>
  <c r="E93" i="23"/>
  <c r="K92" i="23"/>
  <c r="J92" i="23"/>
  <c r="I92" i="23"/>
  <c r="H92" i="23"/>
  <c r="E92" i="23"/>
  <c r="K91" i="23"/>
  <c r="J91" i="23"/>
  <c r="I91" i="23"/>
  <c r="H91" i="23"/>
  <c r="E91" i="23"/>
  <c r="K90" i="23"/>
  <c r="J90" i="23"/>
  <c r="I90" i="23"/>
  <c r="H90" i="23"/>
  <c r="E90" i="23"/>
  <c r="K89" i="23"/>
  <c r="J89" i="23"/>
  <c r="I89" i="23"/>
  <c r="H89" i="23"/>
  <c r="E89" i="23"/>
  <c r="K88" i="23"/>
  <c r="J88" i="23"/>
  <c r="I88" i="23"/>
  <c r="H88" i="23"/>
  <c r="E88" i="23"/>
  <c r="L88" i="23" s="1"/>
  <c r="K87" i="23"/>
  <c r="J87" i="23"/>
  <c r="I87" i="23"/>
  <c r="H87" i="23"/>
  <c r="E87" i="23"/>
  <c r="K86" i="23"/>
  <c r="J86" i="23"/>
  <c r="I86" i="23"/>
  <c r="H86" i="23"/>
  <c r="E86" i="23"/>
  <c r="K85" i="23"/>
  <c r="J85" i="23"/>
  <c r="I85" i="23"/>
  <c r="H85" i="23"/>
  <c r="E85" i="23"/>
  <c r="L85" i="23" s="1"/>
  <c r="K84" i="23"/>
  <c r="J84" i="23"/>
  <c r="I84" i="23"/>
  <c r="H84" i="23"/>
  <c r="L84" i="23" s="1"/>
  <c r="E84" i="23"/>
  <c r="K83" i="23"/>
  <c r="J83" i="23"/>
  <c r="I83" i="23"/>
  <c r="H83" i="23"/>
  <c r="E83" i="23"/>
  <c r="K82" i="23"/>
  <c r="J82" i="23"/>
  <c r="I82" i="23"/>
  <c r="H82" i="23"/>
  <c r="E82" i="23"/>
  <c r="L82" i="23" s="1"/>
  <c r="K81" i="23"/>
  <c r="J81" i="23"/>
  <c r="I81" i="23"/>
  <c r="H81" i="23"/>
  <c r="E81" i="23"/>
  <c r="K80" i="23"/>
  <c r="J80" i="23"/>
  <c r="I80" i="23"/>
  <c r="H80" i="23"/>
  <c r="E80" i="23"/>
  <c r="K79" i="23"/>
  <c r="J79" i="23"/>
  <c r="I79" i="23"/>
  <c r="H79" i="23"/>
  <c r="E79" i="23"/>
  <c r="L79" i="23" s="1"/>
  <c r="K78" i="23"/>
  <c r="J78" i="23"/>
  <c r="I78" i="23"/>
  <c r="H78" i="23"/>
  <c r="E78" i="23"/>
  <c r="K77" i="23"/>
  <c r="J77" i="23"/>
  <c r="I77" i="23"/>
  <c r="H77" i="23"/>
  <c r="E77" i="23"/>
  <c r="K76" i="23"/>
  <c r="J76" i="23"/>
  <c r="I76" i="23"/>
  <c r="H76" i="23"/>
  <c r="E76" i="23"/>
  <c r="K75" i="23"/>
  <c r="J75" i="23"/>
  <c r="I75" i="23"/>
  <c r="H75" i="23"/>
  <c r="E75" i="23"/>
  <c r="K74" i="23"/>
  <c r="J74" i="23"/>
  <c r="I74" i="23"/>
  <c r="H74" i="23"/>
  <c r="E74" i="23"/>
  <c r="K73" i="23"/>
  <c r="J73" i="23"/>
  <c r="I73" i="23"/>
  <c r="H73" i="23"/>
  <c r="E73" i="23"/>
  <c r="K72" i="23"/>
  <c r="J72" i="23"/>
  <c r="I72" i="23"/>
  <c r="H72" i="23"/>
  <c r="E72" i="23"/>
  <c r="K71" i="23"/>
  <c r="J71" i="23"/>
  <c r="I71" i="23"/>
  <c r="H71" i="23"/>
  <c r="E71" i="23"/>
  <c r="K70" i="23"/>
  <c r="J70" i="23"/>
  <c r="I70" i="23"/>
  <c r="H70" i="23"/>
  <c r="E70" i="23"/>
  <c r="K69" i="23"/>
  <c r="J69" i="23"/>
  <c r="I69" i="23"/>
  <c r="H69" i="23"/>
  <c r="E69" i="23"/>
  <c r="K68" i="23"/>
  <c r="J68" i="23"/>
  <c r="I68" i="23"/>
  <c r="H68" i="23"/>
  <c r="E68" i="23"/>
  <c r="K67" i="23"/>
  <c r="J67" i="23"/>
  <c r="I67" i="23"/>
  <c r="H67" i="23"/>
  <c r="E67" i="23"/>
  <c r="K66" i="23"/>
  <c r="J66" i="23"/>
  <c r="I66" i="23"/>
  <c r="H66" i="23"/>
  <c r="E66" i="23"/>
  <c r="K65" i="23"/>
  <c r="J65" i="23"/>
  <c r="I65" i="23"/>
  <c r="H65" i="23"/>
  <c r="E65" i="23"/>
  <c r="K64" i="23"/>
  <c r="J64" i="23"/>
  <c r="I64" i="23"/>
  <c r="H64" i="23"/>
  <c r="E64" i="23"/>
  <c r="K63" i="23"/>
  <c r="J63" i="23"/>
  <c r="I63" i="23"/>
  <c r="H63" i="23"/>
  <c r="E63" i="23"/>
  <c r="L63" i="23" s="1"/>
  <c r="K62" i="23"/>
  <c r="J62" i="23"/>
  <c r="I62" i="23"/>
  <c r="H62" i="23"/>
  <c r="E62" i="23"/>
  <c r="L62" i="23" s="1"/>
  <c r="K61" i="23"/>
  <c r="J61" i="23"/>
  <c r="I61" i="23"/>
  <c r="H61" i="23"/>
  <c r="E61" i="23"/>
  <c r="K60" i="23"/>
  <c r="J60" i="23"/>
  <c r="I60" i="23"/>
  <c r="H60" i="23"/>
  <c r="E60" i="23"/>
  <c r="K59" i="23"/>
  <c r="J59" i="23"/>
  <c r="I59" i="23"/>
  <c r="H59" i="23"/>
  <c r="E59" i="23"/>
  <c r="L16" i="23"/>
  <c r="L22" i="23"/>
  <c r="L19" i="23"/>
  <c r="L7" i="23"/>
  <c r="L4" i="23"/>
  <c r="L31" i="23"/>
  <c r="L28" i="23"/>
  <c r="L25" i="23"/>
  <c r="L40" i="23"/>
  <c r="L13" i="23"/>
  <c r="L10" i="23"/>
  <c r="L43" i="23"/>
  <c r="L37" i="23"/>
  <c r="L55" i="23"/>
  <c r="L52" i="23"/>
  <c r="L49" i="23"/>
  <c r="L46" i="23"/>
  <c r="L34" i="23"/>
  <c r="L20" i="23"/>
  <c r="L44" i="23"/>
  <c r="L56" i="23"/>
  <c r="L53" i="23"/>
  <c r="L32" i="23"/>
  <c r="L29" i="23"/>
  <c r="L26" i="23"/>
  <c r="L14" i="23"/>
  <c r="L38" i="23"/>
  <c r="L50" i="23"/>
  <c r="L47" i="23"/>
  <c r="L8" i="23"/>
  <c r="L41" i="23"/>
  <c r="L23" i="23"/>
  <c r="L17" i="23"/>
  <c r="L35" i="23"/>
  <c r="L42" i="23"/>
  <c r="L54" i="23"/>
  <c r="L51" i="23"/>
  <c r="L39" i="23"/>
  <c r="L18" i="23"/>
  <c r="L30" i="23"/>
  <c r="L27" i="23"/>
  <c r="L24" i="23"/>
  <c r="O14" i="23"/>
  <c r="L11" i="23"/>
  <c r="L36" i="23"/>
  <c r="L48" i="23"/>
  <c r="L45" i="23"/>
  <c r="L6" i="23"/>
  <c r="L21" i="23"/>
  <c r="L33" i="23"/>
  <c r="L12" i="23"/>
  <c r="L5" i="23"/>
  <c r="L15" i="23"/>
  <c r="L9" i="23"/>
  <c r="I112" i="22"/>
  <c r="H112" i="22"/>
  <c r="E112" i="22"/>
  <c r="I111" i="22"/>
  <c r="H111" i="22"/>
  <c r="E111" i="22"/>
  <c r="I110" i="22"/>
  <c r="H110" i="22"/>
  <c r="E110" i="22"/>
  <c r="I109" i="22"/>
  <c r="H109" i="22"/>
  <c r="E109" i="22"/>
  <c r="I108" i="22"/>
  <c r="H108" i="22"/>
  <c r="E108" i="22"/>
  <c r="I107" i="22"/>
  <c r="H107" i="22"/>
  <c r="E107" i="22"/>
  <c r="I106" i="22"/>
  <c r="H106" i="22"/>
  <c r="E106" i="22"/>
  <c r="I105" i="22"/>
  <c r="H105" i="22"/>
  <c r="E105" i="22"/>
  <c r="I104" i="22"/>
  <c r="H104" i="22"/>
  <c r="E104" i="22"/>
  <c r="I103" i="22"/>
  <c r="H103" i="22"/>
  <c r="E103" i="22"/>
  <c r="I102" i="22"/>
  <c r="H102" i="22"/>
  <c r="E102" i="22"/>
  <c r="I101" i="22"/>
  <c r="H101" i="22"/>
  <c r="E101" i="22"/>
  <c r="I100" i="22"/>
  <c r="H100" i="22"/>
  <c r="E100" i="22"/>
  <c r="I99" i="22"/>
  <c r="H99" i="22"/>
  <c r="E99" i="22"/>
  <c r="I98" i="22"/>
  <c r="H98" i="22"/>
  <c r="E98" i="22"/>
  <c r="I97" i="22"/>
  <c r="H97" i="22"/>
  <c r="E97" i="22"/>
  <c r="I96" i="22"/>
  <c r="H96" i="22"/>
  <c r="E96" i="22"/>
  <c r="I95" i="22"/>
  <c r="H95" i="22"/>
  <c r="E95" i="22"/>
  <c r="I94" i="22"/>
  <c r="H94" i="22"/>
  <c r="E94" i="22"/>
  <c r="I93" i="22"/>
  <c r="H93" i="22"/>
  <c r="E93" i="22"/>
  <c r="I92" i="22"/>
  <c r="H92" i="22"/>
  <c r="E92" i="22"/>
  <c r="I91" i="22"/>
  <c r="H91" i="22"/>
  <c r="E91" i="22"/>
  <c r="I90" i="22"/>
  <c r="H90" i="22"/>
  <c r="E90" i="22"/>
  <c r="I89" i="22"/>
  <c r="H89" i="22"/>
  <c r="E89" i="22"/>
  <c r="I88" i="22"/>
  <c r="H88" i="22"/>
  <c r="E88" i="22"/>
  <c r="I87" i="22"/>
  <c r="H87" i="22"/>
  <c r="E87" i="22"/>
  <c r="I86" i="22"/>
  <c r="H86" i="22"/>
  <c r="E86" i="22"/>
  <c r="I85" i="22"/>
  <c r="H85" i="22"/>
  <c r="E85" i="22"/>
  <c r="I84" i="22"/>
  <c r="H84" i="22"/>
  <c r="E84" i="22"/>
  <c r="I83" i="22"/>
  <c r="H83" i="22"/>
  <c r="E83" i="22"/>
  <c r="I82" i="22"/>
  <c r="H82" i="22"/>
  <c r="E82" i="22"/>
  <c r="I81" i="22"/>
  <c r="H81" i="22"/>
  <c r="E81" i="22"/>
  <c r="I80" i="22"/>
  <c r="H80" i="22"/>
  <c r="E80" i="22"/>
  <c r="I79" i="22"/>
  <c r="H79" i="22"/>
  <c r="E79" i="22"/>
  <c r="I78" i="22"/>
  <c r="H78" i="22"/>
  <c r="E78" i="22"/>
  <c r="I77" i="22"/>
  <c r="H77" i="22"/>
  <c r="E77" i="22"/>
  <c r="I76" i="22"/>
  <c r="H76" i="22"/>
  <c r="E76" i="22"/>
  <c r="I75" i="22"/>
  <c r="H75" i="22"/>
  <c r="E75" i="22"/>
  <c r="I74" i="22"/>
  <c r="H74" i="22"/>
  <c r="E74" i="22"/>
  <c r="I73" i="22"/>
  <c r="H73" i="22"/>
  <c r="E73" i="22"/>
  <c r="I72" i="22"/>
  <c r="H72" i="22"/>
  <c r="E72" i="22"/>
  <c r="I71" i="22"/>
  <c r="H71" i="22"/>
  <c r="E71" i="22"/>
  <c r="I70" i="22"/>
  <c r="H70" i="22"/>
  <c r="E70" i="22"/>
  <c r="I69" i="22"/>
  <c r="H69" i="22"/>
  <c r="E69" i="22"/>
  <c r="I68" i="22"/>
  <c r="H68" i="22"/>
  <c r="E68" i="22"/>
  <c r="I67" i="22"/>
  <c r="H67" i="22"/>
  <c r="E67" i="22"/>
  <c r="I66" i="22"/>
  <c r="H66" i="22"/>
  <c r="E66" i="22"/>
  <c r="I65" i="22"/>
  <c r="H65" i="22"/>
  <c r="E65" i="22"/>
  <c r="I64" i="22"/>
  <c r="H64" i="22"/>
  <c r="E64" i="22"/>
  <c r="I63" i="22"/>
  <c r="H63" i="22"/>
  <c r="E63" i="22"/>
  <c r="I62" i="22"/>
  <c r="H62" i="22"/>
  <c r="E62" i="22"/>
  <c r="I61" i="22"/>
  <c r="H61" i="22"/>
  <c r="E61" i="22"/>
  <c r="I60" i="22"/>
  <c r="H60" i="22"/>
  <c r="E60" i="22"/>
  <c r="K59" i="22"/>
  <c r="I59" i="22"/>
  <c r="H59" i="22"/>
  <c r="E59" i="22"/>
  <c r="O14" i="22"/>
  <c r="L3" i="22"/>
  <c r="K112" i="21"/>
  <c r="J112" i="21"/>
  <c r="I112" i="21"/>
  <c r="H112" i="21"/>
  <c r="E112" i="21"/>
  <c r="K111" i="21"/>
  <c r="J111" i="21"/>
  <c r="I111" i="21"/>
  <c r="H111" i="21"/>
  <c r="E111" i="21"/>
  <c r="K110" i="21"/>
  <c r="J110" i="21"/>
  <c r="I110" i="21"/>
  <c r="H110" i="21"/>
  <c r="E110" i="21"/>
  <c r="K109" i="21"/>
  <c r="J109" i="21"/>
  <c r="I109" i="21"/>
  <c r="H109" i="21"/>
  <c r="E109" i="21"/>
  <c r="K108" i="21"/>
  <c r="J108" i="21"/>
  <c r="I108" i="21"/>
  <c r="H108" i="21"/>
  <c r="E108" i="21"/>
  <c r="K107" i="21"/>
  <c r="J107" i="21"/>
  <c r="I107" i="21"/>
  <c r="H107" i="21"/>
  <c r="E107" i="21"/>
  <c r="K106" i="21"/>
  <c r="J106" i="21"/>
  <c r="I106" i="21"/>
  <c r="H106" i="21"/>
  <c r="E106" i="21"/>
  <c r="K105" i="21"/>
  <c r="J105" i="21"/>
  <c r="I105" i="21"/>
  <c r="H105" i="21"/>
  <c r="E105" i="21"/>
  <c r="K104" i="21"/>
  <c r="J104" i="21"/>
  <c r="I104" i="21"/>
  <c r="H104" i="21"/>
  <c r="E104" i="21"/>
  <c r="K103" i="21"/>
  <c r="J103" i="21"/>
  <c r="I103" i="21"/>
  <c r="H103" i="21"/>
  <c r="E103" i="21"/>
  <c r="K102" i="21"/>
  <c r="J102" i="21"/>
  <c r="I102" i="21"/>
  <c r="H102" i="21"/>
  <c r="E102" i="21"/>
  <c r="K101" i="21"/>
  <c r="J101" i="21"/>
  <c r="I101" i="21"/>
  <c r="H101" i="21"/>
  <c r="E101" i="21"/>
  <c r="K100" i="21"/>
  <c r="J100" i="21"/>
  <c r="I100" i="21"/>
  <c r="H100" i="21"/>
  <c r="E100" i="21"/>
  <c r="K99" i="21"/>
  <c r="J99" i="21"/>
  <c r="I99" i="21"/>
  <c r="H99" i="21"/>
  <c r="E99" i="21"/>
  <c r="K98" i="21"/>
  <c r="J98" i="21"/>
  <c r="I98" i="21"/>
  <c r="H98" i="21"/>
  <c r="E98" i="21"/>
  <c r="K97" i="21"/>
  <c r="J97" i="21"/>
  <c r="I97" i="21"/>
  <c r="H97" i="21"/>
  <c r="E97" i="21"/>
  <c r="K96" i="21"/>
  <c r="J96" i="21"/>
  <c r="I96" i="21"/>
  <c r="H96" i="21"/>
  <c r="E96" i="21"/>
  <c r="K95" i="21"/>
  <c r="J95" i="21"/>
  <c r="I95" i="21"/>
  <c r="H95" i="21"/>
  <c r="E95" i="21"/>
  <c r="K94" i="21"/>
  <c r="J94" i="21"/>
  <c r="I94" i="21"/>
  <c r="H94" i="21"/>
  <c r="E94" i="21"/>
  <c r="K93" i="21"/>
  <c r="J93" i="21"/>
  <c r="I93" i="21"/>
  <c r="H93" i="21"/>
  <c r="E93" i="21"/>
  <c r="K92" i="21"/>
  <c r="J92" i="21"/>
  <c r="I92" i="21"/>
  <c r="H92" i="21"/>
  <c r="E92" i="21"/>
  <c r="K91" i="21"/>
  <c r="J91" i="21"/>
  <c r="I91" i="21"/>
  <c r="H91" i="21"/>
  <c r="E91" i="21"/>
  <c r="K90" i="21"/>
  <c r="J90" i="21"/>
  <c r="I90" i="21"/>
  <c r="H90" i="21"/>
  <c r="E90" i="21"/>
  <c r="K89" i="21"/>
  <c r="J89" i="21"/>
  <c r="I89" i="21"/>
  <c r="H89" i="21"/>
  <c r="E89" i="21"/>
  <c r="K88" i="21"/>
  <c r="J88" i="21"/>
  <c r="I88" i="21"/>
  <c r="H88" i="21"/>
  <c r="E88" i="21"/>
  <c r="K87" i="21"/>
  <c r="J87" i="21"/>
  <c r="I87" i="21"/>
  <c r="H87" i="21"/>
  <c r="E87" i="21"/>
  <c r="K86" i="21"/>
  <c r="J86" i="21"/>
  <c r="I86" i="21"/>
  <c r="H86" i="21"/>
  <c r="E86" i="21"/>
  <c r="K85" i="21"/>
  <c r="J85" i="21"/>
  <c r="I85" i="21"/>
  <c r="H85" i="21"/>
  <c r="E85" i="21"/>
  <c r="K84" i="21"/>
  <c r="J84" i="21"/>
  <c r="I84" i="21"/>
  <c r="H84" i="21"/>
  <c r="E84" i="21"/>
  <c r="K83" i="21"/>
  <c r="J83" i="21"/>
  <c r="I83" i="21"/>
  <c r="H83" i="21"/>
  <c r="E83" i="21"/>
  <c r="K82" i="21"/>
  <c r="J82" i="21"/>
  <c r="I82" i="21"/>
  <c r="H82" i="21"/>
  <c r="E82" i="21"/>
  <c r="K81" i="21"/>
  <c r="J81" i="21"/>
  <c r="I81" i="21"/>
  <c r="H81" i="21"/>
  <c r="E81" i="21"/>
  <c r="K80" i="21"/>
  <c r="J80" i="21"/>
  <c r="I80" i="21"/>
  <c r="H80" i="21"/>
  <c r="E80" i="21"/>
  <c r="K79" i="21"/>
  <c r="J79" i="21"/>
  <c r="I79" i="21"/>
  <c r="H79" i="21"/>
  <c r="E79" i="21"/>
  <c r="K78" i="21"/>
  <c r="J78" i="21"/>
  <c r="I78" i="21"/>
  <c r="H78" i="21"/>
  <c r="E78" i="21"/>
  <c r="K77" i="21"/>
  <c r="J77" i="21"/>
  <c r="I77" i="21"/>
  <c r="H77" i="21"/>
  <c r="E77" i="21"/>
  <c r="K76" i="21"/>
  <c r="J76" i="21"/>
  <c r="I76" i="21"/>
  <c r="H76" i="21"/>
  <c r="E76" i="21"/>
  <c r="K75" i="21"/>
  <c r="J75" i="21"/>
  <c r="I75" i="21"/>
  <c r="H75" i="21"/>
  <c r="E75" i="21"/>
  <c r="K74" i="21"/>
  <c r="J74" i="21"/>
  <c r="I74" i="21"/>
  <c r="H74" i="21"/>
  <c r="E74" i="21"/>
  <c r="K73" i="21"/>
  <c r="J73" i="21"/>
  <c r="I73" i="21"/>
  <c r="H73" i="21"/>
  <c r="E73" i="21"/>
  <c r="K72" i="21"/>
  <c r="J72" i="21"/>
  <c r="I72" i="21"/>
  <c r="H72" i="21"/>
  <c r="E72" i="21"/>
  <c r="K71" i="21"/>
  <c r="J71" i="21"/>
  <c r="I71" i="21"/>
  <c r="H71" i="21"/>
  <c r="E71" i="21"/>
  <c r="K70" i="21"/>
  <c r="J70" i="21"/>
  <c r="I70" i="21"/>
  <c r="H70" i="21"/>
  <c r="E70" i="21"/>
  <c r="K69" i="21"/>
  <c r="J69" i="21"/>
  <c r="I69" i="21"/>
  <c r="H69" i="21"/>
  <c r="E69" i="21"/>
  <c r="K68" i="21"/>
  <c r="J68" i="21"/>
  <c r="I68" i="21"/>
  <c r="H68" i="21"/>
  <c r="E68" i="21"/>
  <c r="K67" i="21"/>
  <c r="J67" i="21"/>
  <c r="I67" i="21"/>
  <c r="H67" i="21"/>
  <c r="E67" i="21"/>
  <c r="K66" i="21"/>
  <c r="J66" i="21"/>
  <c r="I66" i="21"/>
  <c r="H66" i="21"/>
  <c r="E66" i="21"/>
  <c r="K65" i="21"/>
  <c r="J65" i="21"/>
  <c r="I65" i="21"/>
  <c r="H65" i="21"/>
  <c r="E65" i="21"/>
  <c r="K64" i="21"/>
  <c r="J64" i="21"/>
  <c r="I64" i="21"/>
  <c r="H64" i="21"/>
  <c r="E64" i="21"/>
  <c r="K63" i="21"/>
  <c r="J63" i="21"/>
  <c r="I63" i="21"/>
  <c r="H63" i="21"/>
  <c r="E63" i="21"/>
  <c r="K62" i="21"/>
  <c r="J62" i="21"/>
  <c r="I62" i="21"/>
  <c r="H62" i="21"/>
  <c r="E62" i="21"/>
  <c r="K61" i="21"/>
  <c r="J61" i="21"/>
  <c r="I61" i="21"/>
  <c r="H61" i="21"/>
  <c r="E61" i="21"/>
  <c r="K60" i="21"/>
  <c r="J60" i="21"/>
  <c r="I60" i="21"/>
  <c r="H60" i="21"/>
  <c r="E60" i="21"/>
  <c r="K59" i="21"/>
  <c r="J59" i="21"/>
  <c r="I59" i="21"/>
  <c r="H59" i="21"/>
  <c r="E59" i="21"/>
  <c r="N56" i="21"/>
  <c r="L56" i="21"/>
  <c r="N55" i="21"/>
  <c r="L47" i="21"/>
  <c r="N54" i="21"/>
  <c r="L50" i="21"/>
  <c r="N53" i="21"/>
  <c r="L21" i="21"/>
  <c r="N52" i="21"/>
  <c r="L20" i="21"/>
  <c r="N51" i="21"/>
  <c r="L19" i="21"/>
  <c r="N50" i="21"/>
  <c r="L18" i="21"/>
  <c r="N49" i="21"/>
  <c r="L55" i="21"/>
  <c r="N48" i="21"/>
  <c r="L17" i="21"/>
  <c r="N47" i="21"/>
  <c r="L46" i="21"/>
  <c r="N46" i="21"/>
  <c r="L16" i="21"/>
  <c r="N45" i="21"/>
  <c r="L15" i="21"/>
  <c r="N44" i="21"/>
  <c r="L14" i="21"/>
  <c r="N43" i="21"/>
  <c r="L6" i="21"/>
  <c r="N42" i="21"/>
  <c r="L8" i="21"/>
  <c r="N41" i="21"/>
  <c r="L45" i="21"/>
  <c r="N40" i="21"/>
  <c r="L53" i="21"/>
  <c r="N39" i="21"/>
  <c r="L52" i="21"/>
  <c r="N38" i="21"/>
  <c r="L51" i="21"/>
  <c r="N37" i="21"/>
  <c r="L54" i="21"/>
  <c r="N36" i="21"/>
  <c r="L13" i="21"/>
  <c r="N35" i="21"/>
  <c r="L12" i="21"/>
  <c r="N34" i="21"/>
  <c r="L11" i="21"/>
  <c r="N33" i="21"/>
  <c r="L35" i="21"/>
  <c r="N32" i="21"/>
  <c r="L41" i="21"/>
  <c r="N31" i="21"/>
  <c r="L40" i="21"/>
  <c r="N30" i="21"/>
  <c r="L39" i="21"/>
  <c r="N29" i="21"/>
  <c r="L38" i="21"/>
  <c r="N28" i="21"/>
  <c r="L37" i="21"/>
  <c r="N27" i="21"/>
  <c r="L36" i="21"/>
  <c r="N26" i="21"/>
  <c r="L9" i="21"/>
  <c r="N25" i="21"/>
  <c r="L49" i="21"/>
  <c r="N24" i="21"/>
  <c r="L48" i="21"/>
  <c r="N23" i="21"/>
  <c r="L10" i="21"/>
  <c r="N22" i="21"/>
  <c r="L44" i="21"/>
  <c r="N21" i="21"/>
  <c r="L43" i="21"/>
  <c r="N20" i="21"/>
  <c r="L42" i="21"/>
  <c r="N19" i="21"/>
  <c r="L25" i="21"/>
  <c r="N18" i="21"/>
  <c r="L30" i="21"/>
  <c r="N17" i="21"/>
  <c r="L29" i="21"/>
  <c r="N16" i="21"/>
  <c r="L28" i="21"/>
  <c r="N15" i="21"/>
  <c r="L4" i="21"/>
  <c r="Q14" i="21"/>
  <c r="N14" i="21"/>
  <c r="L7" i="21"/>
  <c r="N13" i="21"/>
  <c r="L34" i="21"/>
  <c r="N12" i="21"/>
  <c r="L33" i="21"/>
  <c r="N11" i="21"/>
  <c r="L32" i="21"/>
  <c r="N10" i="21"/>
  <c r="L31" i="21"/>
  <c r="N9" i="21"/>
  <c r="L27" i="21"/>
  <c r="N8" i="21"/>
  <c r="L23" i="21"/>
  <c r="N7" i="21"/>
  <c r="L26" i="21"/>
  <c r="N6" i="21"/>
  <c r="L3" i="21"/>
  <c r="N5" i="21"/>
  <c r="L22" i="21"/>
  <c r="N4" i="21"/>
  <c r="L24" i="21"/>
  <c r="N3" i="21"/>
  <c r="L5" i="21"/>
  <c r="L51" i="18"/>
  <c r="L10" i="18"/>
  <c r="L8" i="18"/>
  <c r="I60" i="18"/>
  <c r="J60" i="18"/>
  <c r="K60" i="18"/>
  <c r="E61" i="18"/>
  <c r="H61" i="18"/>
  <c r="I61" i="18"/>
  <c r="J61" i="18"/>
  <c r="K61" i="18"/>
  <c r="E62" i="18"/>
  <c r="H62" i="18"/>
  <c r="I62" i="18"/>
  <c r="J62" i="18"/>
  <c r="K62" i="18"/>
  <c r="E63" i="18"/>
  <c r="H63" i="18"/>
  <c r="I63" i="18"/>
  <c r="J63" i="18"/>
  <c r="K63" i="18"/>
  <c r="E64" i="18"/>
  <c r="H64" i="18"/>
  <c r="I64" i="18"/>
  <c r="J64" i="18"/>
  <c r="K64" i="18"/>
  <c r="E65" i="18"/>
  <c r="H65" i="18"/>
  <c r="I65" i="18"/>
  <c r="J65" i="18"/>
  <c r="K65" i="18"/>
  <c r="E66" i="18"/>
  <c r="H66" i="18"/>
  <c r="I66" i="18"/>
  <c r="J66" i="18"/>
  <c r="K66" i="18"/>
  <c r="E67" i="18"/>
  <c r="H67" i="18"/>
  <c r="I67" i="18"/>
  <c r="J67" i="18"/>
  <c r="K67" i="18"/>
  <c r="E68" i="18"/>
  <c r="H68" i="18"/>
  <c r="I68" i="18"/>
  <c r="J68" i="18"/>
  <c r="K68" i="18"/>
  <c r="E69" i="18"/>
  <c r="H69" i="18"/>
  <c r="I69" i="18"/>
  <c r="J69" i="18"/>
  <c r="K69" i="18"/>
  <c r="E70" i="18"/>
  <c r="H70" i="18"/>
  <c r="I70" i="18"/>
  <c r="J70" i="18"/>
  <c r="K70" i="18"/>
  <c r="E71" i="18"/>
  <c r="H71" i="18"/>
  <c r="I71" i="18"/>
  <c r="J71" i="18"/>
  <c r="K71" i="18"/>
  <c r="E72" i="18"/>
  <c r="H72" i="18"/>
  <c r="I72" i="18"/>
  <c r="J72" i="18"/>
  <c r="K72" i="18"/>
  <c r="E73" i="18"/>
  <c r="H73" i="18"/>
  <c r="I73" i="18"/>
  <c r="J73" i="18"/>
  <c r="K73" i="18"/>
  <c r="E74" i="18"/>
  <c r="H74" i="18"/>
  <c r="I74" i="18"/>
  <c r="J74" i="18"/>
  <c r="K74" i="18"/>
  <c r="E75" i="18"/>
  <c r="H75" i="18"/>
  <c r="I75" i="18"/>
  <c r="J75" i="18"/>
  <c r="K75" i="18"/>
  <c r="E76" i="18"/>
  <c r="H76" i="18"/>
  <c r="I76" i="18"/>
  <c r="J76" i="18"/>
  <c r="K76" i="18"/>
  <c r="E77" i="18"/>
  <c r="H77" i="18"/>
  <c r="I77" i="18"/>
  <c r="J77" i="18"/>
  <c r="K77" i="18"/>
  <c r="E78" i="18"/>
  <c r="H78" i="18"/>
  <c r="I78" i="18"/>
  <c r="J78" i="18"/>
  <c r="K78" i="18"/>
  <c r="E79" i="18"/>
  <c r="H79" i="18"/>
  <c r="I79" i="18"/>
  <c r="J79" i="18"/>
  <c r="K79" i="18"/>
  <c r="E80" i="18"/>
  <c r="H80" i="18"/>
  <c r="I80" i="18"/>
  <c r="J80" i="18"/>
  <c r="K80" i="18"/>
  <c r="E81" i="18"/>
  <c r="H81" i="18"/>
  <c r="I81" i="18"/>
  <c r="J81" i="18"/>
  <c r="K81" i="18"/>
  <c r="E82" i="18"/>
  <c r="H82" i="18"/>
  <c r="I82" i="18"/>
  <c r="J82" i="18"/>
  <c r="K82" i="18"/>
  <c r="E83" i="18"/>
  <c r="H83" i="18"/>
  <c r="I83" i="18"/>
  <c r="J83" i="18"/>
  <c r="K83" i="18"/>
  <c r="E84" i="18"/>
  <c r="H84" i="18"/>
  <c r="I84" i="18"/>
  <c r="J84" i="18"/>
  <c r="K84" i="18"/>
  <c r="E85" i="18"/>
  <c r="H85" i="18"/>
  <c r="I85" i="18"/>
  <c r="J85" i="18"/>
  <c r="K85" i="18"/>
  <c r="E86" i="18"/>
  <c r="H86" i="18"/>
  <c r="I86" i="18"/>
  <c r="J86" i="18"/>
  <c r="K86" i="18"/>
  <c r="E87" i="18"/>
  <c r="H87" i="18"/>
  <c r="I87" i="18"/>
  <c r="J87" i="18"/>
  <c r="K87" i="18"/>
  <c r="E88" i="18"/>
  <c r="H88" i="18"/>
  <c r="I88" i="18"/>
  <c r="J88" i="18"/>
  <c r="K88" i="18"/>
  <c r="E89" i="18"/>
  <c r="H89" i="18"/>
  <c r="I89" i="18"/>
  <c r="J89" i="18"/>
  <c r="K89" i="18"/>
  <c r="E90" i="18"/>
  <c r="H90" i="18"/>
  <c r="I90" i="18"/>
  <c r="J90" i="18"/>
  <c r="K90" i="18"/>
  <c r="E91" i="18"/>
  <c r="H91" i="18"/>
  <c r="I91" i="18"/>
  <c r="J91" i="18"/>
  <c r="K91" i="18"/>
  <c r="E92" i="18"/>
  <c r="H92" i="18"/>
  <c r="I92" i="18"/>
  <c r="J92" i="18"/>
  <c r="K92" i="18"/>
  <c r="E93" i="18"/>
  <c r="H93" i="18"/>
  <c r="I93" i="18"/>
  <c r="J93" i="18"/>
  <c r="K93" i="18"/>
  <c r="E94" i="18"/>
  <c r="H94" i="18"/>
  <c r="I94" i="18"/>
  <c r="J94" i="18"/>
  <c r="K94" i="18"/>
  <c r="E95" i="18"/>
  <c r="H95" i="18"/>
  <c r="I95" i="18"/>
  <c r="J95" i="18"/>
  <c r="K95" i="18"/>
  <c r="E96" i="18"/>
  <c r="H96" i="18"/>
  <c r="I96" i="18"/>
  <c r="J96" i="18"/>
  <c r="K96" i="18"/>
  <c r="E97" i="18"/>
  <c r="H97" i="18"/>
  <c r="I97" i="18"/>
  <c r="J97" i="18"/>
  <c r="K97" i="18"/>
  <c r="E98" i="18"/>
  <c r="H98" i="18"/>
  <c r="I98" i="18"/>
  <c r="J98" i="18"/>
  <c r="K98" i="18"/>
  <c r="E99" i="18"/>
  <c r="H99" i="18"/>
  <c r="I99" i="18"/>
  <c r="J99" i="18"/>
  <c r="K99" i="18"/>
  <c r="E100" i="18"/>
  <c r="H100" i="18"/>
  <c r="I100" i="18"/>
  <c r="J100" i="18"/>
  <c r="K100" i="18"/>
  <c r="E101" i="18"/>
  <c r="H101" i="18"/>
  <c r="I101" i="18"/>
  <c r="J101" i="18"/>
  <c r="K101" i="18"/>
  <c r="E102" i="18"/>
  <c r="H102" i="18"/>
  <c r="I102" i="18"/>
  <c r="J102" i="18"/>
  <c r="K102" i="18"/>
  <c r="E103" i="18"/>
  <c r="H103" i="18"/>
  <c r="I103" i="18"/>
  <c r="J103" i="18"/>
  <c r="K103" i="18"/>
  <c r="E104" i="18"/>
  <c r="H104" i="18"/>
  <c r="I104" i="18"/>
  <c r="J104" i="18"/>
  <c r="K104" i="18"/>
  <c r="E105" i="18"/>
  <c r="H105" i="18"/>
  <c r="I105" i="18"/>
  <c r="J105" i="18"/>
  <c r="K105" i="18"/>
  <c r="E106" i="18"/>
  <c r="H106" i="18"/>
  <c r="I106" i="18"/>
  <c r="J106" i="18"/>
  <c r="K106" i="18"/>
  <c r="E107" i="18"/>
  <c r="H107" i="18"/>
  <c r="I107" i="18"/>
  <c r="J107" i="18"/>
  <c r="K107" i="18"/>
  <c r="E108" i="18"/>
  <c r="H108" i="18"/>
  <c r="I108" i="18"/>
  <c r="J108" i="18"/>
  <c r="K108" i="18"/>
  <c r="E109" i="18"/>
  <c r="H109" i="18"/>
  <c r="I109" i="18"/>
  <c r="J109" i="18"/>
  <c r="K109" i="18"/>
  <c r="E110" i="18"/>
  <c r="H110" i="18"/>
  <c r="I110" i="18"/>
  <c r="J110" i="18"/>
  <c r="K110" i="18"/>
  <c r="E111" i="18"/>
  <c r="H111" i="18"/>
  <c r="I111" i="18"/>
  <c r="J111" i="18"/>
  <c r="K111" i="18"/>
  <c r="E112" i="18"/>
  <c r="H112" i="18"/>
  <c r="I112" i="18"/>
  <c r="J112" i="18"/>
  <c r="K112" i="18"/>
  <c r="K59" i="18"/>
  <c r="J59" i="18"/>
  <c r="I59" i="18"/>
  <c r="H59" i="18"/>
  <c r="E59" i="18"/>
  <c r="L47" i="18"/>
  <c r="L3" i="18"/>
  <c r="L15" i="18"/>
  <c r="L37" i="18"/>
  <c r="L5" i="18"/>
  <c r="L42" i="18"/>
  <c r="L56" i="18"/>
  <c r="L19" i="18"/>
  <c r="L43" i="18"/>
  <c r="L54" i="18"/>
  <c r="L45" i="18"/>
  <c r="L39" i="18"/>
  <c r="L28" i="18"/>
  <c r="L26" i="18"/>
  <c r="L13" i="18"/>
  <c r="L4" i="18"/>
  <c r="L50" i="18"/>
  <c r="L25" i="18"/>
  <c r="L9" i="18"/>
  <c r="L34" i="18"/>
  <c r="L16" i="18"/>
  <c r="L20" i="18"/>
  <c r="L30" i="18"/>
  <c r="L14" i="18"/>
  <c r="L41" i="18"/>
  <c r="L7" i="18"/>
  <c r="L23" i="18"/>
  <c r="L24" i="18"/>
  <c r="L33" i="18"/>
  <c r="L48" i="18"/>
  <c r="L49" i="18"/>
  <c r="L55" i="18"/>
  <c r="L44" i="18"/>
  <c r="L38" i="18"/>
  <c r="L27" i="18"/>
  <c r="L46" i="18"/>
  <c r="L40" i="18"/>
  <c r="L29" i="18"/>
  <c r="L36" i="18"/>
  <c r="L12" i="18"/>
  <c r="L18" i="18"/>
  <c r="L53" i="18"/>
  <c r="L22" i="18"/>
  <c r="L32" i="18"/>
  <c r="L35" i="18"/>
  <c r="L11" i="18"/>
  <c r="L17" i="18"/>
  <c r="L52" i="18"/>
  <c r="L21" i="18"/>
  <c r="L31" i="18"/>
  <c r="L6" i="18"/>
  <c r="Q14" i="18"/>
  <c r="N4" i="18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3" i="18"/>
  <c r="X98" i="17"/>
  <c r="R98" i="17"/>
  <c r="L98" i="17"/>
  <c r="R97" i="17"/>
  <c r="L97" i="17"/>
  <c r="X96" i="17"/>
  <c r="X95" i="17"/>
  <c r="R95" i="17"/>
  <c r="L95" i="17"/>
  <c r="X94" i="17"/>
  <c r="X92" i="17"/>
  <c r="R92" i="17"/>
  <c r="L92" i="17"/>
  <c r="X91" i="17"/>
  <c r="R91" i="17"/>
  <c r="X89" i="17"/>
  <c r="R89" i="17"/>
  <c r="L88" i="17"/>
  <c r="X87" i="17"/>
  <c r="R87" i="17"/>
  <c r="L87" i="17"/>
  <c r="R86" i="17"/>
  <c r="L86" i="17"/>
  <c r="X85" i="17"/>
  <c r="X84" i="17"/>
  <c r="R84" i="17"/>
  <c r="L84" i="17"/>
  <c r="X82" i="17"/>
  <c r="R82" i="17"/>
  <c r="G82" i="17"/>
  <c r="C82" i="17"/>
  <c r="G81" i="17"/>
  <c r="C81" i="17"/>
  <c r="G80" i="17"/>
  <c r="C80" i="17"/>
  <c r="X78" i="17"/>
  <c r="R78" i="17"/>
  <c r="L78" i="17"/>
  <c r="G78" i="17"/>
  <c r="C78" i="17"/>
  <c r="R77" i="17"/>
  <c r="L77" i="17"/>
  <c r="G77" i="17"/>
  <c r="C77" i="17"/>
  <c r="G76" i="17"/>
  <c r="C76" i="17"/>
  <c r="X75" i="17"/>
  <c r="R75" i="17"/>
  <c r="L75" i="17"/>
  <c r="G74" i="17"/>
  <c r="C74" i="17"/>
  <c r="G73" i="17"/>
  <c r="C73" i="17"/>
  <c r="X72" i="17"/>
  <c r="R72" i="17"/>
  <c r="L72" i="17"/>
  <c r="G72" i="17"/>
  <c r="C72" i="17"/>
  <c r="X71" i="17"/>
  <c r="G70" i="17"/>
  <c r="C70" i="17"/>
  <c r="X69" i="17"/>
  <c r="R69" i="17"/>
  <c r="L69" i="17"/>
  <c r="G69" i="17"/>
  <c r="C69" i="17"/>
  <c r="L68" i="17"/>
  <c r="G68" i="17"/>
  <c r="C68" i="17"/>
  <c r="X67" i="17"/>
  <c r="R67" i="17"/>
  <c r="L67" i="17"/>
  <c r="X66" i="17"/>
  <c r="R66" i="17"/>
  <c r="L66" i="17"/>
  <c r="G66" i="17"/>
  <c r="C66" i="17"/>
  <c r="L65" i="17"/>
  <c r="G65" i="17"/>
  <c r="C65" i="17"/>
  <c r="X64" i="17"/>
  <c r="R64" i="17"/>
  <c r="L64" i="17"/>
  <c r="G64" i="17"/>
  <c r="C64" i="17"/>
  <c r="X62" i="17"/>
  <c r="R62" i="17"/>
  <c r="G62" i="17"/>
  <c r="C62" i="17"/>
  <c r="G61" i="17"/>
  <c r="C61" i="17"/>
  <c r="G60" i="17"/>
  <c r="C60" i="17"/>
  <c r="G58" i="17"/>
  <c r="C58" i="17"/>
  <c r="G57" i="17"/>
  <c r="C57" i="17"/>
  <c r="G56" i="17"/>
  <c r="C56" i="17"/>
  <c r="G54" i="17"/>
  <c r="C54" i="17"/>
  <c r="G53" i="17"/>
  <c r="C53" i="17"/>
  <c r="G52" i="17"/>
  <c r="C52" i="17"/>
  <c r="Y51" i="17"/>
  <c r="Z51" i="17" s="1"/>
  <c r="Y50" i="17"/>
  <c r="G50" i="17"/>
  <c r="C50" i="17"/>
  <c r="Y49" i="17"/>
  <c r="Z49" i="17" s="1"/>
  <c r="G49" i="17"/>
  <c r="C49" i="17"/>
  <c r="Z48" i="17"/>
  <c r="Y48" i="17"/>
  <c r="G48" i="17"/>
  <c r="C48" i="17"/>
  <c r="Y47" i="17"/>
  <c r="Z47" i="17" s="1"/>
  <c r="Y46" i="17"/>
  <c r="Z46" i="17" s="1"/>
  <c r="S39" i="17"/>
  <c r="S38" i="17"/>
  <c r="S37" i="17"/>
  <c r="X97" i="17" s="1"/>
  <c r="G37" i="17"/>
  <c r="C37" i="17"/>
  <c r="S36" i="17"/>
  <c r="R96" i="17" s="1"/>
  <c r="G36" i="17"/>
  <c r="C36" i="17"/>
  <c r="S35" i="17"/>
  <c r="G35" i="17"/>
  <c r="C35" i="17"/>
  <c r="S34" i="17"/>
  <c r="S33" i="17"/>
  <c r="G33" i="17"/>
  <c r="C33" i="17"/>
  <c r="S32" i="17"/>
  <c r="G32" i="17"/>
  <c r="C32" i="17"/>
  <c r="S31" i="17"/>
  <c r="G31" i="17"/>
  <c r="C31" i="17"/>
  <c r="S30" i="17"/>
  <c r="R70" i="17" s="1"/>
  <c r="S29" i="17"/>
  <c r="L89" i="17" s="1"/>
  <c r="G29" i="17"/>
  <c r="C29" i="17"/>
  <c r="S28" i="17"/>
  <c r="G28" i="17"/>
  <c r="C28" i="17"/>
  <c r="S27" i="17"/>
  <c r="G27" i="17"/>
  <c r="C27" i="17"/>
  <c r="S26" i="17"/>
  <c r="X86" i="17" s="1"/>
  <c r="S25" i="17"/>
  <c r="G25" i="17"/>
  <c r="C25" i="17"/>
  <c r="S24" i="17"/>
  <c r="G24" i="17"/>
  <c r="C24" i="17"/>
  <c r="S23" i="17"/>
  <c r="G23" i="17"/>
  <c r="C23" i="17"/>
  <c r="L62" i="17"/>
  <c r="G21" i="17"/>
  <c r="C21" i="17"/>
  <c r="G20" i="17"/>
  <c r="C20" i="17"/>
  <c r="G19" i="17"/>
  <c r="C19" i="17"/>
  <c r="G17" i="17"/>
  <c r="C17" i="17"/>
  <c r="G16" i="17"/>
  <c r="C16" i="17"/>
  <c r="G15" i="17"/>
  <c r="C15" i="17"/>
  <c r="G13" i="17"/>
  <c r="C13" i="17"/>
  <c r="G12" i="17"/>
  <c r="C12" i="17"/>
  <c r="G11" i="17"/>
  <c r="C11" i="17"/>
  <c r="G9" i="17"/>
  <c r="C9" i="17"/>
  <c r="G8" i="17"/>
  <c r="C8" i="17"/>
  <c r="G7" i="17"/>
  <c r="C7" i="17"/>
  <c r="C5" i="17"/>
  <c r="G4" i="17"/>
  <c r="C4" i="17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C15" i="14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X99" i="17" l="1"/>
  <c r="X79" i="17"/>
  <c r="R79" i="17"/>
  <c r="X63" i="17"/>
  <c r="L63" i="17"/>
  <c r="D16" i="14"/>
  <c r="I235" i="26"/>
  <c r="I233" i="26"/>
  <c r="G233" i="26"/>
  <c r="G224" i="26"/>
  <c r="G235" i="26" s="1"/>
  <c r="AG224" i="26"/>
  <c r="AG225" i="26" s="1"/>
  <c r="AG226" i="26" s="1"/>
  <c r="AI224" i="26"/>
  <c r="AO226" i="26"/>
  <c r="AO227" i="26" s="1"/>
  <c r="AQ225" i="26"/>
  <c r="AQ226" i="26"/>
  <c r="AQ227" i="26" s="1"/>
  <c r="AK224" i="26"/>
  <c r="AD226" i="26"/>
  <c r="AD227" i="26" s="1"/>
  <c r="V225" i="26"/>
  <c r="X226" i="26"/>
  <c r="X227" i="26" s="1"/>
  <c r="T227" i="26"/>
  <c r="T226" i="26"/>
  <c r="I9" i="14"/>
  <c r="O9" i="14"/>
  <c r="S9" i="14"/>
  <c r="N9" i="14"/>
  <c r="R9" i="14"/>
  <c r="D9" i="14"/>
  <c r="D17" i="14" s="1"/>
  <c r="T9" i="14"/>
  <c r="L9" i="14"/>
  <c r="M9" i="14"/>
  <c r="M17" i="14" s="1"/>
  <c r="P9" i="14"/>
  <c r="E9" i="14"/>
  <c r="F9" i="14"/>
  <c r="J9" i="14"/>
  <c r="Q9" i="14"/>
  <c r="G9" i="14"/>
  <c r="H9" i="14"/>
  <c r="F16" i="14"/>
  <c r="G16" i="14"/>
  <c r="E16" i="14"/>
  <c r="T16" i="14"/>
  <c r="S16" i="14"/>
  <c r="R16" i="14"/>
  <c r="Q16" i="14"/>
  <c r="J16" i="14"/>
  <c r="K16" i="14"/>
  <c r="H16" i="14"/>
  <c r="O16" i="14"/>
  <c r="P16" i="14"/>
  <c r="N16" i="14"/>
  <c r="L16" i="14"/>
  <c r="I16" i="14"/>
  <c r="M16" i="14"/>
  <c r="D69" i="6" a="1"/>
  <c r="D69" i="6" s="1"/>
  <c r="L73" i="23"/>
  <c r="L89" i="23"/>
  <c r="L105" i="23"/>
  <c r="L102" i="23"/>
  <c r="L70" i="23"/>
  <c r="L86" i="23"/>
  <c r="L64" i="23"/>
  <c r="L80" i="23"/>
  <c r="L96" i="23"/>
  <c r="L78" i="23"/>
  <c r="L61" i="23"/>
  <c r="L77" i="23"/>
  <c r="L93" i="23"/>
  <c r="L74" i="23"/>
  <c r="L71" i="23"/>
  <c r="L94" i="23"/>
  <c r="L91" i="23"/>
  <c r="L92" i="23"/>
  <c r="L67" i="23"/>
  <c r="L65" i="23"/>
  <c r="L68" i="23"/>
  <c r="L83" i="23"/>
  <c r="L90" i="23"/>
  <c r="L87" i="23"/>
  <c r="L109" i="23"/>
  <c r="L112" i="23"/>
  <c r="L75" i="23"/>
  <c r="L60" i="23"/>
  <c r="L76" i="23"/>
  <c r="L107" i="23"/>
  <c r="L103" i="23"/>
  <c r="L108" i="23"/>
  <c r="L99" i="23"/>
  <c r="L106" i="23"/>
  <c r="L69" i="23"/>
  <c r="L72" i="23"/>
  <c r="L97" i="23"/>
  <c r="L100" i="23"/>
  <c r="L81" i="23"/>
  <c r="L59" i="23"/>
  <c r="L66" i="23"/>
  <c r="L62" i="22"/>
  <c r="L69" i="22"/>
  <c r="L101" i="22"/>
  <c r="L110" i="22"/>
  <c r="L104" i="22"/>
  <c r="L109" i="22"/>
  <c r="L92" i="22"/>
  <c r="L67" i="22"/>
  <c r="L70" i="22"/>
  <c r="L86" i="22"/>
  <c r="L102" i="22"/>
  <c r="L64" i="22"/>
  <c r="L106" i="22"/>
  <c r="L74" i="22"/>
  <c r="L90" i="22"/>
  <c r="L61" i="22"/>
  <c r="L93" i="22"/>
  <c r="L107" i="22"/>
  <c r="L77" i="22"/>
  <c r="L66" i="22"/>
  <c r="L85" i="22"/>
  <c r="L88" i="22"/>
  <c r="L76" i="22"/>
  <c r="L68" i="22"/>
  <c r="L84" i="22"/>
  <c r="L100" i="22"/>
  <c r="L91" i="22"/>
  <c r="L98" i="22"/>
  <c r="L73" i="22"/>
  <c r="L105" i="22"/>
  <c r="L80" i="22"/>
  <c r="L96" i="22"/>
  <c r="L112" i="22"/>
  <c r="L87" i="22"/>
  <c r="L103" i="22"/>
  <c r="L94" i="22"/>
  <c r="L108" i="22"/>
  <c r="L81" i="22"/>
  <c r="L75" i="22"/>
  <c r="L82" i="22"/>
  <c r="L71" i="22"/>
  <c r="L78" i="22"/>
  <c r="L83" i="22"/>
  <c r="L99" i="22"/>
  <c r="L65" i="22"/>
  <c r="L97" i="22"/>
  <c r="L72" i="22"/>
  <c r="L63" i="22"/>
  <c r="L79" i="22"/>
  <c r="L95" i="22"/>
  <c r="L111" i="22"/>
  <c r="L59" i="22"/>
  <c r="L89" i="22"/>
  <c r="L60" i="22"/>
  <c r="N65" i="21"/>
  <c r="N81" i="21"/>
  <c r="L62" i="21"/>
  <c r="N110" i="21"/>
  <c r="N107" i="21"/>
  <c r="N83" i="21"/>
  <c r="L69" i="21"/>
  <c r="L101" i="21"/>
  <c r="N63" i="21"/>
  <c r="N79" i="21"/>
  <c r="N106" i="21"/>
  <c r="N97" i="21"/>
  <c r="N94" i="21"/>
  <c r="N98" i="21"/>
  <c r="N69" i="21"/>
  <c r="N85" i="21"/>
  <c r="N89" i="21"/>
  <c r="N70" i="21"/>
  <c r="N80" i="21"/>
  <c r="N112" i="21"/>
  <c r="L74" i="21"/>
  <c r="N71" i="21"/>
  <c r="L68" i="21"/>
  <c r="L97" i="21"/>
  <c r="L85" i="21"/>
  <c r="E118" i="21"/>
  <c r="H118" i="21"/>
  <c r="I118" i="21"/>
  <c r="L86" i="21"/>
  <c r="L95" i="21"/>
  <c r="N101" i="21"/>
  <c r="L104" i="21"/>
  <c r="N62" i="21"/>
  <c r="L65" i="21"/>
  <c r="N74" i="21"/>
  <c r="L78" i="21"/>
  <c r="L90" i="21"/>
  <c r="N96" i="21"/>
  <c r="N105" i="21"/>
  <c r="N75" i="21"/>
  <c r="N84" i="21"/>
  <c r="N87" i="21"/>
  <c r="N93" i="21"/>
  <c r="N99" i="21"/>
  <c r="N66" i="21"/>
  <c r="L99" i="21"/>
  <c r="N108" i="21"/>
  <c r="N111" i="21"/>
  <c r="N60" i="21"/>
  <c r="L102" i="21"/>
  <c r="N88" i="21"/>
  <c r="N77" i="21"/>
  <c r="L83" i="21"/>
  <c r="N92" i="21"/>
  <c r="K118" i="21"/>
  <c r="N72" i="21"/>
  <c r="N78" i="21"/>
  <c r="L81" i="21"/>
  <c r="N90" i="21"/>
  <c r="L94" i="21"/>
  <c r="L106" i="21"/>
  <c r="N64" i="21"/>
  <c r="N73" i="21"/>
  <c r="N91" i="21"/>
  <c r="N100" i="21"/>
  <c r="N103" i="21"/>
  <c r="L109" i="21"/>
  <c r="N61" i="21"/>
  <c r="N67" i="21"/>
  <c r="N82" i="21"/>
  <c r="L67" i="21"/>
  <c r="N76" i="21"/>
  <c r="L63" i="21"/>
  <c r="N104" i="21"/>
  <c r="L61" i="21"/>
  <c r="L77" i="21"/>
  <c r="N86" i="21"/>
  <c r="L93" i="21"/>
  <c r="N102" i="21"/>
  <c r="L84" i="21"/>
  <c r="L100" i="21"/>
  <c r="L59" i="21"/>
  <c r="N68" i="21"/>
  <c r="L75" i="21"/>
  <c r="L91" i="21"/>
  <c r="L107" i="21"/>
  <c r="N59" i="21"/>
  <c r="L66" i="21"/>
  <c r="L82" i="21"/>
  <c r="L98" i="21"/>
  <c r="L73" i="21"/>
  <c r="L89" i="21"/>
  <c r="L105" i="21"/>
  <c r="L64" i="21"/>
  <c r="L80" i="21"/>
  <c r="L96" i="21"/>
  <c r="L112" i="21"/>
  <c r="N95" i="21"/>
  <c r="N109" i="21"/>
  <c r="J118" i="21"/>
  <c r="L111" i="21"/>
  <c r="L71" i="21"/>
  <c r="L87" i="21"/>
  <c r="L103" i="21"/>
  <c r="L110" i="21"/>
  <c r="L72" i="21"/>
  <c r="L88" i="21"/>
  <c r="L79" i="21"/>
  <c r="L70" i="21"/>
  <c r="L60" i="21"/>
  <c r="L76" i="21"/>
  <c r="L92" i="21"/>
  <c r="L108" i="21"/>
  <c r="N105" i="18"/>
  <c r="L108" i="18"/>
  <c r="N84" i="18"/>
  <c r="N68" i="18"/>
  <c r="L65" i="18"/>
  <c r="L83" i="18"/>
  <c r="L76" i="18"/>
  <c r="L73" i="18"/>
  <c r="N73" i="18"/>
  <c r="E118" i="18"/>
  <c r="H118" i="18"/>
  <c r="I118" i="18"/>
  <c r="J118" i="18"/>
  <c r="K118" i="18"/>
  <c r="L89" i="18"/>
  <c r="N61" i="18"/>
  <c r="N108" i="18"/>
  <c r="N76" i="18"/>
  <c r="N67" i="18"/>
  <c r="N86" i="18"/>
  <c r="N60" i="18"/>
  <c r="L112" i="18"/>
  <c r="N64" i="18"/>
  <c r="N111" i="18"/>
  <c r="N79" i="18"/>
  <c r="N63" i="18"/>
  <c r="L86" i="18"/>
  <c r="L67" i="18"/>
  <c r="L61" i="18"/>
  <c r="L106" i="18"/>
  <c r="N90" i="18"/>
  <c r="N66" i="18"/>
  <c r="N112" i="18"/>
  <c r="N104" i="18"/>
  <c r="N95" i="18"/>
  <c r="N106" i="18"/>
  <c r="L107" i="18"/>
  <c r="N103" i="18"/>
  <c r="L90" i="18"/>
  <c r="N83" i="18"/>
  <c r="N89" i="18"/>
  <c r="N65" i="18"/>
  <c r="L102" i="18"/>
  <c r="N92" i="18"/>
  <c r="L64" i="18"/>
  <c r="N85" i="18"/>
  <c r="N101" i="18"/>
  <c r="N69" i="18"/>
  <c r="N88" i="18"/>
  <c r="N62" i="18"/>
  <c r="L91" i="18"/>
  <c r="L75" i="18"/>
  <c r="N94" i="18"/>
  <c r="N78" i="18"/>
  <c r="N77" i="18"/>
  <c r="N80" i="18"/>
  <c r="N70" i="18"/>
  <c r="L70" i="18"/>
  <c r="L60" i="18"/>
  <c r="N82" i="18"/>
  <c r="L104" i="18"/>
  <c r="N72" i="18"/>
  <c r="N81" i="18"/>
  <c r="L100" i="18"/>
  <c r="L97" i="18"/>
  <c r="L81" i="18"/>
  <c r="L77" i="18"/>
  <c r="L96" i="18"/>
  <c r="N87" i="18"/>
  <c r="N71" i="18"/>
  <c r="N74" i="18"/>
  <c r="N109" i="18"/>
  <c r="L99" i="18"/>
  <c r="N99" i="18"/>
  <c r="L92" i="18"/>
  <c r="N102" i="18"/>
  <c r="L105" i="18"/>
  <c r="N98" i="18"/>
  <c r="L88" i="18"/>
  <c r="N110" i="18"/>
  <c r="N59" i="18"/>
  <c r="L74" i="18"/>
  <c r="N96" i="18"/>
  <c r="N93" i="18"/>
  <c r="L72" i="18"/>
  <c r="N97" i="18"/>
  <c r="L93" i="18"/>
  <c r="L80" i="18"/>
  <c r="L109" i="18"/>
  <c r="L66" i="18"/>
  <c r="L82" i="18"/>
  <c r="N75" i="18"/>
  <c r="N91" i="18"/>
  <c r="N107" i="18"/>
  <c r="L68" i="18"/>
  <c r="L84" i="18"/>
  <c r="N100" i="18"/>
  <c r="L69" i="18"/>
  <c r="L85" i="18"/>
  <c r="L101" i="18"/>
  <c r="L62" i="18"/>
  <c r="L78" i="18"/>
  <c r="L94" i="18"/>
  <c r="L110" i="18"/>
  <c r="L98" i="18"/>
  <c r="L63" i="18"/>
  <c r="L71" i="18"/>
  <c r="L79" i="18"/>
  <c r="L87" i="18"/>
  <c r="L95" i="18"/>
  <c r="L103" i="18"/>
  <c r="L111" i="18"/>
  <c r="L59" i="18"/>
  <c r="R31" i="17"/>
  <c r="W91" i="17"/>
  <c r="Q71" i="17"/>
  <c r="K71" i="17"/>
  <c r="Q91" i="17"/>
  <c r="W71" i="17"/>
  <c r="K91" i="17"/>
  <c r="W83" i="17"/>
  <c r="Q83" i="17"/>
  <c r="W63" i="17"/>
  <c r="Q63" i="17"/>
  <c r="K83" i="17"/>
  <c r="K63" i="17"/>
  <c r="X73" i="17"/>
  <c r="X93" i="17"/>
  <c r="R73" i="17"/>
  <c r="L73" i="17"/>
  <c r="L94" i="17"/>
  <c r="X74" i="17"/>
  <c r="L70" i="17"/>
  <c r="R71" i="17"/>
  <c r="L71" i="17"/>
  <c r="L74" i="17"/>
  <c r="X76" i="17"/>
  <c r="X68" i="17"/>
  <c r="X88" i="17"/>
  <c r="R68" i="17"/>
  <c r="R88" i="17"/>
  <c r="R99" i="17"/>
  <c r="L79" i="17"/>
  <c r="L99" i="17"/>
  <c r="L93" i="17"/>
  <c r="R74" i="17"/>
  <c r="L91" i="17"/>
  <c r="L85" i="17"/>
  <c r="R85" i="17"/>
  <c r="X65" i="17"/>
  <c r="S40" i="17"/>
  <c r="S41" i="17" s="1"/>
  <c r="R65" i="17"/>
  <c r="R93" i="17"/>
  <c r="L82" i="17"/>
  <c r="R94" i="17"/>
  <c r="R90" i="17"/>
  <c r="X90" i="17"/>
  <c r="L90" i="17"/>
  <c r="X70" i="17"/>
  <c r="L96" i="17"/>
  <c r="R76" i="17"/>
  <c r="L76" i="17"/>
  <c r="L83" i="17"/>
  <c r="R63" i="17"/>
  <c r="X83" i="17"/>
  <c r="X77" i="17"/>
  <c r="R83" i="17"/>
  <c r="K17" i="14" l="1"/>
  <c r="H17" i="14"/>
  <c r="G17" i="14"/>
  <c r="Q17" i="14"/>
  <c r="J17" i="14"/>
  <c r="F17" i="14"/>
  <c r="E17" i="14"/>
  <c r="P17" i="14"/>
  <c r="L17" i="14"/>
  <c r="T17" i="14"/>
  <c r="R17" i="14"/>
  <c r="N17" i="14"/>
  <c r="S17" i="14"/>
  <c r="O17" i="14"/>
  <c r="I17" i="14"/>
  <c r="I236" i="26"/>
  <c r="I234" i="26"/>
  <c r="G234" i="26"/>
  <c r="G236" i="26"/>
  <c r="AI226" i="26"/>
  <c r="AK225" i="26"/>
  <c r="AG227" i="26"/>
  <c r="AI225" i="26"/>
  <c r="AI227" i="26" s="1"/>
  <c r="V226" i="26"/>
  <c r="V227" i="26" s="1"/>
  <c r="C19" i="14" a="1"/>
  <c r="C19" i="14" s="1"/>
  <c r="E19" i="14" a="1"/>
  <c r="E19" i="14" s="1"/>
  <c r="L114" i="22"/>
  <c r="L114" i="23"/>
  <c r="N116" i="21"/>
  <c r="L118" i="21"/>
  <c r="L114" i="21"/>
  <c r="L118" i="18"/>
  <c r="N116" i="18"/>
  <c r="L114" i="18"/>
  <c r="R28" i="17"/>
  <c r="W88" i="17" s="1"/>
  <c r="R25" i="17"/>
  <c r="Q65" i="17" s="1"/>
  <c r="R24" i="17"/>
  <c r="R30" i="17"/>
  <c r="Q82" i="17"/>
  <c r="W62" i="17"/>
  <c r="K62" i="17"/>
  <c r="Q62" i="17"/>
  <c r="K82" i="17"/>
  <c r="W82" i="17"/>
  <c r="R27" i="17"/>
  <c r="Q68" i="17"/>
  <c r="R26" i="17"/>
  <c r="R32" i="17"/>
  <c r="R29" i="17"/>
  <c r="G19" i="14" l="1" a="1"/>
  <c r="G19" i="14" s="1"/>
  <c r="T22" i="17" s="1"/>
  <c r="M62" i="17" s="1"/>
  <c r="N62" i="17" s="1"/>
  <c r="G237" i="26"/>
  <c r="I237" i="26"/>
  <c r="G238" i="26"/>
  <c r="AK226" i="26"/>
  <c r="AK227" i="26" s="1"/>
  <c r="E119" i="21"/>
  <c r="E119" i="18"/>
  <c r="K88" i="17"/>
  <c r="Q88" i="17"/>
  <c r="Q85" i="17"/>
  <c r="K68" i="17"/>
  <c r="W65" i="17"/>
  <c r="K85" i="17"/>
  <c r="W84" i="17"/>
  <c r="W64" i="17"/>
  <c r="Q64" i="17"/>
  <c r="K64" i="17"/>
  <c r="Q84" i="17"/>
  <c r="K84" i="17"/>
  <c r="W85" i="17"/>
  <c r="W68" i="17"/>
  <c r="K65" i="17"/>
  <c r="K89" i="17"/>
  <c r="K69" i="17"/>
  <c r="W69" i="17"/>
  <c r="Q69" i="17"/>
  <c r="W89" i="17"/>
  <c r="Q89" i="17"/>
  <c r="Q90" i="17"/>
  <c r="K70" i="17"/>
  <c r="W90" i="17"/>
  <c r="K90" i="17"/>
  <c r="W70" i="17"/>
  <c r="Q70" i="17"/>
  <c r="Q72" i="17"/>
  <c r="Q92" i="17"/>
  <c r="W72" i="17"/>
  <c r="K92" i="17"/>
  <c r="K72" i="17"/>
  <c r="W92" i="17"/>
  <c r="R33" i="17"/>
  <c r="Q86" i="17"/>
  <c r="W86" i="17"/>
  <c r="W66" i="17"/>
  <c r="K86" i="17"/>
  <c r="Q66" i="17"/>
  <c r="K66" i="17"/>
  <c r="W87" i="17"/>
  <c r="K67" i="17"/>
  <c r="K87" i="17"/>
  <c r="Q67" i="17"/>
  <c r="W67" i="17"/>
  <c r="Q87" i="17"/>
  <c r="I238" i="26" l="1"/>
  <c r="T25" i="17"/>
  <c r="Y85" i="17" s="1"/>
  <c r="Z85" i="17" s="1"/>
  <c r="T39" i="17"/>
  <c r="M99" i="17" s="1"/>
  <c r="T37" i="17"/>
  <c r="M97" i="17" s="1"/>
  <c r="T36" i="17"/>
  <c r="Y96" i="17" s="1"/>
  <c r="T35" i="17"/>
  <c r="S95" i="17" s="1"/>
  <c r="T34" i="17"/>
  <c r="Y74" i="17" s="1"/>
  <c r="T33" i="17"/>
  <c r="S73" i="17" s="1"/>
  <c r="T32" i="17"/>
  <c r="Y72" i="17" s="1"/>
  <c r="Z72" i="17" s="1"/>
  <c r="T27" i="17"/>
  <c r="S87" i="17" s="1"/>
  <c r="T87" i="17" s="1"/>
  <c r="T26" i="17"/>
  <c r="Y86" i="17" s="1"/>
  <c r="Z86" i="17" s="1"/>
  <c r="T29" i="17"/>
  <c r="M89" i="17" s="1"/>
  <c r="N89" i="17" s="1"/>
  <c r="T28" i="17"/>
  <c r="S68" i="17" s="1"/>
  <c r="T68" i="17" s="1"/>
  <c r="T24" i="17"/>
  <c r="M64" i="17" s="1"/>
  <c r="N64" i="17" s="1"/>
  <c r="T31" i="17"/>
  <c r="Y91" i="17" s="1"/>
  <c r="Z91" i="17" s="1"/>
  <c r="T38" i="17"/>
  <c r="S98" i="17" s="1"/>
  <c r="T23" i="17"/>
  <c r="S63" i="17" s="1"/>
  <c r="T63" i="17" s="1"/>
  <c r="T30" i="17"/>
  <c r="S90" i="17" s="1"/>
  <c r="T90" i="17" s="1"/>
  <c r="S82" i="17"/>
  <c r="T82" i="17" s="1"/>
  <c r="Y82" i="17"/>
  <c r="Z82" i="17" s="1"/>
  <c r="Y62" i="17"/>
  <c r="Z62" i="17" s="1"/>
  <c r="S62" i="17"/>
  <c r="T62" i="17" s="1"/>
  <c r="M82" i="17"/>
  <c r="N82" i="17" s="1"/>
  <c r="S75" i="17"/>
  <c r="Y95" i="17"/>
  <c r="R34" i="17"/>
  <c r="K93" i="17"/>
  <c r="Q73" i="17"/>
  <c r="W73" i="17"/>
  <c r="W93" i="17"/>
  <c r="Q93" i="17"/>
  <c r="K73" i="17"/>
  <c r="Y75" i="17" l="1"/>
  <c r="S76" i="17"/>
  <c r="Y97" i="17"/>
  <c r="Y93" i="17"/>
  <c r="M87" i="17"/>
  <c r="N87" i="17" s="1"/>
  <c r="M73" i="17"/>
  <c r="Y67" i="17"/>
  <c r="Z67" i="17" s="1"/>
  <c r="S67" i="17"/>
  <c r="T67" i="17" s="1"/>
  <c r="S96" i="17"/>
  <c r="M76" i="17"/>
  <c r="M93" i="17"/>
  <c r="N93" i="17" s="1"/>
  <c r="M79" i="17"/>
  <c r="S99" i="17"/>
  <c r="Y99" i="17"/>
  <c r="M77" i="17"/>
  <c r="S97" i="17"/>
  <c r="S77" i="17"/>
  <c r="Y77" i="17"/>
  <c r="Y79" i="17"/>
  <c r="M94" i="17"/>
  <c r="M95" i="17"/>
  <c r="T73" i="17"/>
  <c r="S79" i="17"/>
  <c r="S72" i="17"/>
  <c r="T72" i="17" s="1"/>
  <c r="M75" i="17"/>
  <c r="M96" i="17"/>
  <c r="S94" i="17"/>
  <c r="Y76" i="17"/>
  <c r="Y92" i="17"/>
  <c r="Z92" i="17" s="1"/>
  <c r="M66" i="17"/>
  <c r="N66" i="17" s="1"/>
  <c r="S78" i="17"/>
  <c r="Y66" i="17"/>
  <c r="Z66" i="17" s="1"/>
  <c r="M67" i="17"/>
  <c r="N67" i="17" s="1"/>
  <c r="Y87" i="17"/>
  <c r="Z87" i="17" s="1"/>
  <c r="M74" i="17"/>
  <c r="S74" i="17"/>
  <c r="S93" i="17"/>
  <c r="T93" i="17" s="1"/>
  <c r="M84" i="17"/>
  <c r="N84" i="17" s="1"/>
  <c r="Y64" i="17"/>
  <c r="Z64" i="17" s="1"/>
  <c r="M69" i="17"/>
  <c r="N69" i="17" s="1"/>
  <c r="Y84" i="17"/>
  <c r="Z84" i="17" s="1"/>
  <c r="Y65" i="17"/>
  <c r="Z65" i="17" s="1"/>
  <c r="M91" i="17"/>
  <c r="N91" i="17" s="1"/>
  <c r="Y69" i="17"/>
  <c r="Z69" i="17" s="1"/>
  <c r="M65" i="17"/>
  <c r="N65" i="17" s="1"/>
  <c r="Y68" i="17"/>
  <c r="Z68" i="17" s="1"/>
  <c r="M85" i="17"/>
  <c r="N85" i="17" s="1"/>
  <c r="M63" i="17"/>
  <c r="N63" i="17" s="1"/>
  <c r="S91" i="17"/>
  <c r="T91" i="17" s="1"/>
  <c r="S85" i="17"/>
  <c r="T85" i="17" s="1"/>
  <c r="Y89" i="17"/>
  <c r="Z89" i="17" s="1"/>
  <c r="Y78" i="17"/>
  <c r="S65" i="17"/>
  <c r="T65" i="17" s="1"/>
  <c r="Y70" i="17"/>
  <c r="Z70" i="17" s="1"/>
  <c r="S71" i="17"/>
  <c r="T71" i="17" s="1"/>
  <c r="M68" i="17"/>
  <c r="N68" i="17" s="1"/>
  <c r="M72" i="17"/>
  <c r="N72" i="17" s="1"/>
  <c r="S83" i="17"/>
  <c r="T83" i="17" s="1"/>
  <c r="S89" i="17"/>
  <c r="T89" i="17" s="1"/>
  <c r="Y88" i="17"/>
  <c r="Z88" i="17" s="1"/>
  <c r="S86" i="17"/>
  <c r="T86" i="17" s="1"/>
  <c r="M92" i="17"/>
  <c r="N92" i="17" s="1"/>
  <c r="S69" i="17"/>
  <c r="T69" i="17" s="1"/>
  <c r="Y63" i="17"/>
  <c r="Z63" i="17" s="1"/>
  <c r="Y98" i="17"/>
  <c r="S88" i="17"/>
  <c r="T88" i="17" s="1"/>
  <c r="S92" i="17"/>
  <c r="T92" i="17" s="1"/>
  <c r="Y90" i="17"/>
  <c r="Z90" i="17" s="1"/>
  <c r="S84" i="17"/>
  <c r="T84" i="17" s="1"/>
  <c r="S66" i="17"/>
  <c r="T66" i="17" s="1"/>
  <c r="Y73" i="17"/>
  <c r="Z73" i="17" s="1"/>
  <c r="Y94" i="17"/>
  <c r="M98" i="17"/>
  <c r="M86" i="17"/>
  <c r="N86" i="17" s="1"/>
  <c r="M90" i="17"/>
  <c r="N90" i="17" s="1"/>
  <c r="M70" i="17"/>
  <c r="N70" i="17" s="1"/>
  <c r="M88" i="17"/>
  <c r="N88" i="17" s="1"/>
  <c r="M83" i="17"/>
  <c r="N83" i="17" s="1"/>
  <c r="M71" i="17"/>
  <c r="N71" i="17" s="1"/>
  <c r="Y71" i="17"/>
  <c r="Z71" i="17" s="1"/>
  <c r="M78" i="17"/>
  <c r="S70" i="17"/>
  <c r="T70" i="17" s="1"/>
  <c r="S64" i="17"/>
  <c r="T64" i="17" s="1"/>
  <c r="Y83" i="17"/>
  <c r="Z83" i="17" s="1"/>
  <c r="Z93" i="17"/>
  <c r="N73" i="17"/>
  <c r="Q94" i="17"/>
  <c r="Q74" i="17"/>
  <c r="K94" i="17"/>
  <c r="W94" i="17"/>
  <c r="W74" i="17"/>
  <c r="Z74" i="17" s="1"/>
  <c r="K74" i="17"/>
  <c r="R35" i="17"/>
  <c r="N94" i="17" l="1"/>
  <c r="T94" i="17"/>
  <c r="T74" i="17"/>
  <c r="N74" i="17"/>
  <c r="Z94" i="17"/>
  <c r="R36" i="17"/>
  <c r="W95" i="17"/>
  <c r="Z95" i="17" s="1"/>
  <c r="W75" i="17"/>
  <c r="Z75" i="17" s="1"/>
  <c r="K75" i="17"/>
  <c r="N75" i="17" s="1"/>
  <c r="Q95" i="17"/>
  <c r="T95" i="17" s="1"/>
  <c r="Q75" i="17"/>
  <c r="T75" i="17" s="1"/>
  <c r="K95" i="17"/>
  <c r="N95" i="17" s="1"/>
  <c r="R37" i="17" l="1"/>
  <c r="W76" i="17"/>
  <c r="Z76" i="17" s="1"/>
  <c r="Q76" i="17"/>
  <c r="T76" i="17" s="1"/>
  <c r="K96" i="17"/>
  <c r="N96" i="17" s="1"/>
  <c r="K76" i="17"/>
  <c r="N76" i="17" s="1"/>
  <c r="W96" i="17"/>
  <c r="Z96" i="17" s="1"/>
  <c r="Q96" i="17"/>
  <c r="T96" i="17" s="1"/>
  <c r="K97" i="17" l="1"/>
  <c r="N97" i="17" s="1"/>
  <c r="W77" i="17"/>
  <c r="Z77" i="17" s="1"/>
  <c r="W97" i="17"/>
  <c r="Z97" i="17" s="1"/>
  <c r="Q97" i="17"/>
  <c r="T97" i="17" s="1"/>
  <c r="Q77" i="17"/>
  <c r="T77" i="17" s="1"/>
  <c r="K77" i="17"/>
  <c r="N77" i="17" s="1"/>
  <c r="R39" i="17"/>
  <c r="R38" i="17"/>
  <c r="Q98" i="17" l="1"/>
  <c r="T98" i="17" s="1"/>
  <c r="W78" i="17"/>
  <c r="Z78" i="17" s="1"/>
  <c r="Q78" i="17"/>
  <c r="T78" i="17" s="1"/>
  <c r="W98" i="17"/>
  <c r="Z98" i="17" s="1"/>
  <c r="K78" i="17"/>
  <c r="N78" i="17" s="1"/>
  <c r="K98" i="17"/>
  <c r="N98" i="17" s="1"/>
  <c r="W99" i="17"/>
  <c r="Z99" i="17" s="1"/>
  <c r="Q79" i="17"/>
  <c r="T79" i="17" s="1"/>
  <c r="K79" i="17"/>
  <c r="N79" i="17" s="1"/>
  <c r="Q99" i="17"/>
  <c r="T99" i="17" s="1"/>
  <c r="K99" i="17"/>
  <c r="N99" i="17" s="1"/>
  <c r="W79" i="17"/>
  <c r="Z79" i="17" s="1"/>
  <c r="R40" i="17"/>
  <c r="R41" i="17" s="1"/>
  <c r="E18" i="3"/>
  <c r="E14" i="3"/>
  <c r="E13" i="3"/>
  <c r="E12" i="3"/>
  <c r="C11" i="3"/>
  <c r="C10" i="3"/>
  <c r="E10" i="3" s="1"/>
  <c r="E11" i="3"/>
  <c r="D9" i="3"/>
  <c r="E9" i="3" s="1"/>
  <c r="D8" i="3"/>
  <c r="C9" i="3"/>
  <c r="C8" i="3"/>
  <c r="C7" i="3"/>
  <c r="C6" i="3"/>
  <c r="C5" i="3"/>
  <c r="E7" i="3"/>
  <c r="D6" i="3"/>
  <c r="E6" i="3"/>
  <c r="D5" i="3"/>
  <c r="C4" i="3"/>
  <c r="D4" i="3"/>
  <c r="C3" i="3"/>
  <c r="D3" i="3"/>
  <c r="E5" i="3"/>
  <c r="E8" i="3"/>
  <c r="E15" i="3"/>
  <c r="E16" i="3"/>
  <c r="E17" i="3"/>
  <c r="E1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tc={F5B4B635-B05E-44C2-B269-551E09F1F152}</author>
    <author>tc={58A5AF3D-F19A-4BC2-AF65-730BD0D53B41}</author>
    <author>tc={D76C57E2-12B1-4FC7-8DAC-C98F80C06D12}</author>
    <author>tc={D9143BCB-FFC0-42DA-92D3-8D6EAF810F8F}</author>
    <author>tc={582856FC-B45F-471A-B692-42FB2849321B}</author>
    <author>tc={D6BAD2B4-103F-4493-BE46-2DB67371DCBC}</author>
  </authors>
  <commentList>
    <comment ref="B9" authorId="0" shapeId="0" xr:uid="{F5B4B635-B05E-44C2-B269-551E09F1F152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  <comment ref="B11" authorId="1" shapeId="0" xr:uid="{58A5AF3D-F19A-4BC2-AF65-730BD0D53B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  <comment ref="B30" authorId="2" shapeId="0" xr:uid="{D76C57E2-12B1-4FC7-8DAC-C98F80C06D12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  <comment ref="B32" authorId="3" shapeId="0" xr:uid="{D9143BCB-FFC0-42DA-92D3-8D6EAF810F8F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  <comment ref="B51" authorId="4" shapeId="0" xr:uid="{582856FC-B45F-471A-B692-42FB2849321B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  <comment ref="B53" authorId="5" shapeId="0" xr:uid="{D6BAD2B4-103F-4493-BE46-2DB67371DCBC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tc={58BC6973-350D-480E-8850-C32B69B0BF5C}</author>
    <author>J David Vega</author>
    <author>tc={3F50E183-327D-4389-ADBC-26F55E57B040}</author>
    <author>tc={25E2D7F2-EDF7-4AA7-8E36-D4BDC4D900DA}</author>
    <author>tc={6399A6F6-AEA8-4E0C-990A-DE89E3E2B3DC}</author>
    <author>tc={2B7085BF-D3D3-496C-8072-B878C0E5DF32}</author>
    <author>tc={E1246AA3-A565-4993-B1B0-7C88390B63F6}</author>
    <author>tc={C0F7913D-05D1-4B8E-8A32-B69BE3EB405B}</author>
    <author>tc={AC76F09C-4296-4203-9F72-B33151EDE886}</author>
    <author>tc={B544DED9-4AA8-44BD-B786-FA15456D789E}</author>
    <author>tc={610E6807-D8F0-4E83-9694-F2A0BA56D314}</author>
    <author>tc={D0318856-7156-4558-94EB-B2D3A1144A82}</author>
    <author>tc={1B466B97-687B-4BA4-9953-A0EF0B07D5F4}</author>
  </authors>
  <commentList>
    <comment ref="E2" authorId="0" shapeId="0" xr:uid="{58BC6973-350D-480E-8850-C32B69B0BF5C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Modificar con % de conocimiento</t>
      </text>
    </comment>
    <comment ref="J2" authorId="1" shapeId="0" xr:uid="{8B93E812-F6A9-41E5-AADE-BAAEB79F1F74}">
      <text>
        <r>
          <rPr>
            <b/>
            <sz val="9"/>
            <color indexed="81"/>
            <rFont val="Tahoma"/>
            <family val="2"/>
          </rPr>
          <t>J David Vega:</t>
        </r>
        <r>
          <rPr>
            <sz val="9"/>
            <color indexed="81"/>
            <rFont val="Tahoma"/>
            <family val="2"/>
          </rPr>
          <t xml:space="preserve">
Importante: PARA ESTA COLUMNA INSERTAR COMO COMENTARIO LA SECUENCIA DE mRNA correspondiente.</t>
        </r>
      </text>
    </comment>
    <comment ref="J3" authorId="2" shapeId="0" xr:uid="{3F50E183-327D-4389-ADBC-26F55E57B0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&gt;|3-dehydroshikimate dehydratase|EC 4.2.1.118||
MALRPEPEVTTTRLSGNRIWANSQDIRRCQAGGSCVPGQRTGAIVFGVPAQAHALYVGSR
GVGADLPKQDQALICNAKGEPKPCQPLPNHNQPAPRLLALEGNVLRGEVQGPASSLLRVE
FFGNAQADATEAEHYLGEVQVNSDVQGQARFAQALDDIAGLRSFTATVTTADGATSELSL
PLRR
</t>
      </text>
    </comment>
    <comment ref="J5" authorId="3" shapeId="0" xr:uid="{25E2D7F2-EDF7-4AA7-8E36-D4BDC4D900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Secuencia más óptima no reportada pero la segunda más óptima (583) sí: &gt;|tyrosine 
decarboxylase|EC 4.1.1.25||
MEKSNRSLKDLDLNALFIGDKAENGQLYKDLLNKLVDEHLGWRKNYIPSDPNMIGPEDQN
SPAFKKTVGHMKTVLDQLSERIRTESVPWHSAGRYWGHMNSETLMPALLAYNYAMLWNGN
NVAYESSPATSQMEEEVGQEFARLMGYDYGWGHIVADGSLANLEGLWYARNIKSLPFAMK
EVNPELVAGKSDWELLNMPTKEIMDLLENAGSQIDEVKKRSARSGKNLQRLGKWLVPQTK
HYSWMKAADIIGIGLDQVVPVPIDSNYRMDIQALESIIRKYAAEKTPILGVVGVAGSTEE
GAVDGIDKIVALRQKLQKEGIYFYLHVDAAYGGYARALFLDEDDQFIPYKNLQKVHAENH
VFTEDKEYIKPEVYAAYKAFDQAESITIDPHKMGYVPYSAGGIVIQDIRMRDTISYFATY
VFEKGADIPALLGAYILEGSKAGATAASVWAAHHTLPLNVTGYGKLEGASIEGAHRYYDF
LKNLKFEVAGKRISVHPLISPDFNMVDYVLKEDGNDDLIEMNRLNHAFYEQASYVKGSLY
GKEYIVSHTDFAIPDYGDSPLAFVESLGFSEVEWRHAGKVTIIRASVMTPYMNQRENFDY
FAPRIKKAIQADLEKVYASVNQKENV
</t>
      </text>
    </comment>
    <comment ref="J6" authorId="4" shapeId="0" xr:uid="{6399A6F6-AEA8-4E0C-990A-DE89E3E2B3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&gt;|4-hydroxybenzoate 3-monooxygenase|EC 1.14.13.2||
MRTRVAIIGAGPAGLLLGHLLQRAGIDSVILEDCTQAHVEARIRAGVLEQGTVDLLEEAG
VAARLREQGMVHHGIDLLFDGQRHRIDLSGLTGGRAITVYGQHEVVRDLIAARQACGAPL
LFEVSQVALHGLDTQSPSLSFEHGGQRHVLACDFIAGCDGSHGVSRHAVPAGALQVFERS
YPFAWLGILASAAPAAQELIYASHARGFALFSMRSPEITRLYLQCRPDEDLAGWTDRRIW
DELHARLETGDGWHLNEGPVLQKGITPMRSLVTEPMQYGRLFLAGDAAHIVPPTGAKGMN
LAVADVRNLAHALVTHYRHGRDDLLAGYSSACLARVWRAEHFSWWMTSLLHRFDDHTPFT
ARLQHAELAYVCASQAASRMLAENYVGLPFAPLPA
</t>
      </text>
    </comment>
    <comment ref="H8" authorId="5" shapeId="0" xr:uid="{2B7085BF-D3D3-496C-8072-B878C0E5DF32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  <comment ref="J9" authorId="6" shapeId="0" xr:uid="{E1246AA3-A565-4993-B1B0-7C88390B63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WT con valor de 298: &gt;|tyrosine ammonia-lyase|EC 4.3.1.23||
MAPRPTSQSQARTCPTTQVTQVDIVEKMLAAPTDSTLELDGYSLNLGDVVSAARKGRPVR
VKDSDEIRSKIDKSVEFLRSQLSMSVYGVTTGFGGSADTRTEDAISLQKALLEHQLCGVL
PSSFDSFRLGRGLENSLPLEVVRGAMTIRVNSLTRGHSAVRLVVLEALTNFLNHGITPIV
PLRGTISASGDLSPLSYIAAAISGHPDSKVHVVHEGKEKILYAREAMALFNLEPVVLGPK
EGLGLVNGTAVSASMATLALHDAHMLSLLSQSLTAMTVEAMVGHAGSFHPFLHDVTRPHP
TQIEVAGNIRKLLEGSRFAVHHEEEVKVKDDEGILRQDRYPLRTSPQWLGPLVSDLIHAH
AVLTIEAGQSTTDNPLIDVENKTSHHGGNFQAAAVANTMEKTRLGLAQIGKLNFTQLTEM
LNAGMNRGLPSCLAAEDPSLSYHCKGLDIAAAAYTSELGHLANPVTTHVQPAEMANQAVN
SLALISARRTTESNDVLSLLLATHLYCVLQAIDLRAIEFEFKKQFGPAIVSLIDQHFGSA
MTGSNLRDELVEKVNKTLAKRLEQTNSYDLVPRWHDAFSFAAGTVVEVLSSTSLSLAAVN
AWKVAAAESAISLTRQVRETFWSAASTSSPALSYLSPRTQILYAFVREELGVKARRGDVF
LGKQEVTIGSNVSKIYEAIKSGRINNVLLKMLA
</t>
      </text>
    </comment>
    <comment ref="H10" authorId="7" shapeId="0" xr:uid="{C0F7913D-05D1-4B8E-8A32-B69BE3EB40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Patente Vanilina</t>
      </text>
    </comment>
    <comment ref="J12" authorId="8" shapeId="0" xr:uid="{AC76F09C-4296-4203-9F72-B33151EDE8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&gt;|arogenate dehydrogenase [NAD(P)+]|EC 1.3.1.79||
MVEHTVGIYGLGRFGSFWAKSLAASGLKVIGYNRSKRALPEGVVSGSETEVLSCNTLFYC
VAISSFEEVLSRTAAKIGKHTLVFDTCSVKVEPVRTMERLLPQGCTFAGSHPMFGPDSAS
EGMDGLPMVLCPGRDDEGKVDFWRHHFSKMGLRVIEITADRHDKEAAYTQGITHVVGRIL
GELDLHESEIATSGYKRLLQVREQTCNDPLQLFIDLQRYNPYTHGMRMELTSALEQIMTL
FAQADLPPDRP
</t>
      </text>
    </comment>
    <comment ref="J13" authorId="9" shapeId="0" xr:uid="{B544DED9-4AA8-44BD-B786-FA15456D78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WT de otro estudio con valor de 2.8: &gt;|4-hydroxyphenylacetate 3-monooxygenase|EC 1.14.14.9||
MKPEDFRASTQRPFTGEEYLKSLQDGREIYIYGERVKDVTTHPAFRNAAASVAQLYDALH
KPEMQDSLCWNTDTGSGGYTHKFFRVAKSADDLRQQRDAIAEWSRLSYGWMGRTPDYKAA
FGCALGANPGFYGQFEQNARNWYTRIQETGLYFNHAIVNPPIDRHLPTDKVKDVYIKLEK
ETDAGIIVSGAKVVATNSALTHYNMIGFGSAQVMGENPDFALMFVAPMDADGVKLISRAS
YEMVAGATGSPYDYPLSSRFDENDAILVMDNVLIPWENVLIYRDFDRCRRWTMEGGFARM
YPLQACVRLAVKLDFITALLKKSLECTGTLEFRGVQADLGEVVAWRNTFWALSDSMCSEA
TPWVNGAYLPDHAALQTYRVLAPMAYAKIKNIIERNVTSGLIYLPSSARDLNNPQIDQYL
AKYVRGSNGMDHVQRIKILKLMWDAIGSEFGGRHELYEINYSGSQDEIRLQCLRQAQNSG
NMDKMMAMVDRCLSEYDQDGWTVPHLHNNDDINMLDKLLK
</t>
      </text>
    </comment>
    <comment ref="J14" authorId="10" shapeId="0" xr:uid="{610E6807-D8F0-4E83-9694-F2A0BA56D3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WT que es igual de eficiente para cumarato y cafeato y la mitad de eficiente para ferulato: &gt;|4-coumarate-CoA ligase|EC 6.2.1.12||
MEKDTKQVDIIFRSKLPDIYIPNHLPLHSYCFENISEFSSRPCLINGANKQIYTYADVEL
NSRKVAAGLHKQGIQPKDTIMILLPNSPEFVFAFIGASYLGAISTMANPLFTPAEVVKQA
KASSAKIIVTQACHVNKVKDYAFENDVKIICIDSAPEGCLHFSVLTQANEHDIPEVEIQP
DDVVALPYSSGTTGLPKGVMLTHKGLVTSVAQQVDGENPNLYIHSEDVMLCVLPLFHIYS
LNSVLLCGLRVGAAILIMQKFDIVSFLELIQRYKVTIGPFVPPIVLAIAKSPMVDDYDLS
SVRTVMSGAAPLGKELEDTVRAKFPNAKLGQGYGMTEAGPVLAMCLAFAKEPFEIKSGAC
GTVVRNAEMKIVDPKTGNSLPRNQSGEICIRGDQIMKGYLNDPEATARTIDKEGWLYTGD
IGYIDDDDELFIVDRLKELIKYKGFQVAPAELEALLLNHPNISDAAVVPMKDEQAGEVPV
AFVVRSNGSTITEDEVKDFISKQVIFYKRIKRVFFVDAIPKSPSGKILRKDLRAKLAAGL
PN
</t>
      </text>
    </comment>
    <comment ref="J16" authorId="11" shapeId="0" xr:uid="{D0318856-7156-4558-94EB-B2D3A1144A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Varias secuencias de Populus tormentosa. Isoforma 4CL4 es la más eficiente transformando cumarato, sin embargo, es aún más eficiente transformando ferulato: &gt;|4-coumarate-CoA ligase|EC 6.2.1.12||
MSVATVEPPKPELSPPQNQNAPSSHETDHIFRSKLPDITISNHLPLHAYCFENLSDFSDR
PCLISGSTGKTYSFAETHLISRKVAAGLSNLGIKKGDVIMTLLQNCPEFVFSFMGASMIG
AVTTTANPFYTQSEIFKQFSASRAKLIITQSQYVNKLGDSDCHENNQKPGEDFIVITIDD
PPENCRHFNVLVEANESEMPTISILPDDPVALPFSSGTTGLPKGVILTHKSLITSVAQQV
DGEIPNLYLKQDDVVLCVLPLFHIFSLNSVLLCSLRAGSAVLLMQKFEIGSLLELIQKHN
VSVAAVVPPLVLALAKNPLVANFDLSSIRVVLSGAAPLGKELEDALRSRVPQAILGQGYG
MTEAGPVLSMCLAFSKQPFPTKSGSCGTVVRNAELKVIDPETGGSLGYNQPGEICIRGSQ
IMKGYLNDAEATANTIDVEGWLHTGDIGYVDDDDEIFIVDRVKEIIKFKGFQVPPAELEA
LLVNHPSIADAAVVPQKDEVAGEVPVAFVVRSDDLDLSEEAVKDYIAKQVVFYKKLHKVF
FVHSIPKSASGKILRKDLRAKLATSTTMS
</t>
      </text>
    </comment>
    <comment ref="J20" authorId="12" shapeId="0" xr:uid="{1B466B97-687B-4BA4-9953-A0EF0B07D5F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Importante: Tiene ligeramente mejor valor con N-methylnorbelladine y valor similar con dopamina: &gt;|norbelladine O-methyltransferase|EC 2.1.1.336||
MGASIDDYSLVHKNILHSEDLLKYILETSAYPREHEQLKGLREVTEKHEWSSALVPADEG
LFLSMLLKLMNAKRTIEIGVYTGYSLLTTALALPEDGKITAIDVNKSYYEIGLPFIQKAG
VEHKINFIESEALPVLDQMLEEMKEEDLYDYAFVDADKSNYANYHERLVKLVRIGGAILY
DNTLWYGSVAYPEYPGLHPEEEVARLSFRNLNTFLAADPRVEISQVSIGDGVTICRRLY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tc={B41A064D-0D25-45E3-B859-36BE09C717AE}</author>
    <author>tc={084A398E-20F6-44E6-A8B9-CD9BEC1F2863}</author>
    <author>tc={C9AE3ACC-EEBA-43DF-9B1A-2FB04D9A437B}</author>
    <author>tc={89D8C643-4EE9-4296-9DE0-DFDCBB7D61ED}</author>
    <author>tc={DE57A14A-A89A-4FD7-A581-42ACFE530D70}</author>
    <author>tc={B44BC062-8147-4542-AB9C-04BEDF028F28}</author>
    <author>tc={DE9AA9B6-3B34-43DE-BB6A-CC6510D7518C}</author>
    <author>tc={882404B3-B93D-4831-96CC-6FFEEFAE47D1}</author>
    <author>tc={252AAFAF-085D-4935-BBFF-618CB58364D3}</author>
    <author>tc={DD0D2171-1BE1-42EE-A593-E8E3996988B3}</author>
    <author>tc={C2ED0FE1-2FB6-4920-A0B1-E0B0614C5671}</author>
    <author>tc={F1A76898-5BB8-432F-8054-E221DCB82F39}</author>
    <author>tc={F9055FDD-FCE4-4313-AC68-56664985A7FE}</author>
    <author>tc={E6A7854C-D9F6-4E44-B7BE-B8F8666EC111}</author>
    <author>tc={419D6E3F-392C-4509-8FB6-9E772A261EC8}</author>
    <author>tc={C2A81AB8-2020-41C4-B165-DED0CEDDA19E}</author>
    <author>tc={FAC2F8E4-5AA2-417F-ADEE-803D49884D26}</author>
    <author>tc={3FF63D5E-510E-48EE-B4BA-BBDF26FB246D}</author>
    <author>tc={54D860EC-6854-4023-AE43-9FB9BE246290}</author>
    <author>tc={0AAC47BF-EEE1-4C0D-88C8-083CE05B0C5F}</author>
    <author>tc={887CBD17-E8B4-438C-B5BE-8D13BD205ADC}</author>
    <author>tc={CC380110-8B24-44E8-8B19-E63A6CC68785}</author>
    <author>tc={85B327B0-1771-474D-AEE8-5DE79DC150B1}</author>
    <author>tc={027F300E-6E97-45FF-86B6-3F18EFAB46A2}</author>
    <author>tc={5854F59C-9525-4709-AB5A-A3AB3D1B5DFA}</author>
    <author>tc={EC018FDE-D755-4AE2-935E-D3D2F8091AA1}</author>
    <author>tc={46E0E5A7-8DE0-44E8-AE1E-C836F482E70E}</author>
    <author>tc={4A4AFD50-7870-4561-89E5-83C6DE1284BA}</author>
    <author>tc={897D59ED-D46D-40D4-87B0-6A50482FD471}</author>
    <author>tc={508310D2-50F6-40AB-A004-67E089A7FD4A}</author>
    <author>tc={CCC474CC-7979-4232-845E-0422F3F76B76}</author>
    <author>tc={2E1FF9B5-E789-4BF8-B376-B2F179FEABFF}</author>
    <author>tc={F9808BE0-7300-4CB3-A09C-D0AD0FBA3B47}</author>
    <author>tc={9994D719-D624-4F72-A197-35F11D5266FD}</author>
    <author>tc={0C509D20-48AA-41AA-B18F-E1A1236BD76B}</author>
    <author>tc={D6BB7D36-FF4F-46F2-9610-CB442C29A513}</author>
    <author>tc={822952E6-7599-4BA4-A9C2-70DA41629257}</author>
    <author>tc={4D2B4673-55F6-4974-B6F1-E49FFB851005}</author>
    <author>tc={E84CE225-90B2-42D0-9FDA-B12FA219A762}</author>
    <author>tc={19D71B51-75E0-465D-8A26-33EA95B620B0}</author>
    <author>tc={A63CBC18-FBB3-48C0-99C1-037B3B509BFA}</author>
    <author>tc={35B6FCCE-F84F-42C9-871C-6D3B593A9F43}</author>
    <author>tc={679EC186-EF70-4815-9336-A306C192799D}</author>
    <author>tc={4C1BC136-8E28-4073-BBDB-9AAE9AD6866B}</author>
    <author>tc={32CA79E0-CDCA-41A1-80C0-8ABE8E4F3A8E}</author>
    <author>tc={7ABF858C-ADC6-4780-88A2-DA8BF4255ABA}</author>
    <author>tc={61D6D624-4CEA-4FD1-9200-9128D560837C}</author>
    <author>tc={EC347D46-14E2-4693-8351-1BA3D97C8348}</author>
    <author>tc={C8895179-A105-48F6-960F-83D172F364DB}</author>
    <author>tc={C560DC52-879B-4E9E-A655-BB379DC85710}</author>
    <author>tc={4270F02C-3772-4033-B718-3025D6161DF1}</author>
    <author>tc={99FBB8B6-788E-407A-966A-EA8992FDA18D}</author>
    <author>tc={0D6A5646-02F4-4C0E-BA67-BEEB58BAEA00}</author>
    <author>tc={3DB5057D-279B-4688-A552-FF3ADD981FB8}</author>
    <author>tc={B533FFE6-8374-4AD6-A935-5B94573E012A}</author>
    <author>tc={8148B336-F7B3-454C-BAB9-3D4507D5642C}</author>
    <author>tc={EA6FBA90-4EFC-4B91-B468-9A214446B0C4}</author>
    <author>tc={AEF06E81-B59F-484D-90AC-5AB68F74CA26}</author>
    <author>tc={9E645AB2-9AD4-4AD3-A010-581D08935E57}</author>
    <author>tc={8D700EC1-DD44-4761-AEFA-F5B3BD7BE852}</author>
    <author>tc={25F7717D-AA11-4167-ACFF-F0F4DE1C7BB6}</author>
    <author>tc={F507CCDF-B9A3-47BB-B31C-E82215AC38C3}</author>
    <author>tc={FE2C7DD7-4C8A-4491-83A4-5B67DE43FEC4}</author>
    <author>tc={2CA2D487-3F8A-4523-8DAC-C111306E850F}</author>
    <author>tc={CF3B9905-0A47-4552-9A64-41816497AFC6}</author>
    <author>tc={E52A9B96-8006-4B2B-8881-C7578BB3285A}</author>
    <author>tc={3A32CB7C-970C-4D4C-9DB7-18C701B72C18}</author>
    <author>tc={E2E2B648-2C12-4349-BDAE-ECD35FACAFFC}</author>
    <author>tc={CE8AD3AB-77DE-489A-94C7-2E36DE56B081}</author>
    <author>tc={4B5C6C62-634F-4FC8-B349-B0AA764010BD}</author>
    <author>tc={A3166287-FDF7-4B9F-BEFF-A9D5F3A2ABCD}</author>
    <author>tc={AD6441D2-F4EE-4F48-9A80-EEC789408142}</author>
    <author>tc={19D69F11-AD7F-4197-81F0-F6EC543FEA73}</author>
    <author>tc={7DDA0D7B-2A0C-47DD-8909-FB2FC2B84287}</author>
    <author>tc={C3E9C3BA-9192-44E3-AA95-662AD441EA15}</author>
    <author>tc={473A674D-97CE-40DA-AA47-4ADA6B2CE926}</author>
    <author>tc={03CFE2D6-EB19-4E20-A46C-3B5624E15B8B}</author>
    <author>tc={09972E62-DCB6-4B87-AE54-3C799A48E2F5}</author>
    <author>tc={B7AA8B08-83DE-4639-84E2-4186FEAA7931}</author>
    <author>tc={A951D820-7312-48F8-872B-7EBC38C85169}</author>
    <author>tc={E46EDC6E-033E-4BFA-BE80-F61B7938C5D3}</author>
    <author>tc={A975EC77-D2D6-4593-964D-E45725CD7804}</author>
    <author>tc={D25DB493-0F2A-4826-9899-B6A225E8668D}</author>
    <author>tc={6ED0FB02-C45F-41BC-BEED-A291DD9EC587}</author>
    <author>tc={90CDA21B-4396-4295-B437-3C8D84241C8B}</author>
    <author>tc={4599C7C4-3488-4CCA-8ADF-62BACAB352EB}</author>
    <author>tc={B80A358D-4E80-4254-BF26-F1F50D64797B}</author>
    <author>tc={4CBB6114-1BAB-46CA-B9BB-A87B152C3961}</author>
    <author>tc={91C9D2C2-2655-42F6-8F8D-8B7A59D18F75}</author>
    <author>tc={E5CBF223-5659-4DC6-BF1A-5714BF3C6662}</author>
  </authors>
  <commentList>
    <comment ref="C4" authorId="0" shapeId="0" xr:uid="{B41A064D-0D25-45E3-B859-36BE09C717AE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SHKK:  
atp_c + skm_c -&gt; adp_c +h_c + skm5p_c
* added_34dhbz_34dhbald:
34dhbz_c + atp_c + nadph_c + h_c &lt;=&gt; 34dhbald_c + amp_c + nadp_c + ppi_c</t>
      </text>
    </comment>
    <comment ref="D4" authorId="1" shapeId="0" xr:uid="{084A398E-20F6-44E6-A8B9-CD9BEC1F2863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SHKK:  
atp_c + skm_c -&gt; adp_c +h_c + skm5p_c
* added_34dhbz_34dhbald:
34dhbz_c + atp_c + nadph_c + h_c &lt;=&gt; 34dhbald_c + amp_c + nadp_c + ppi_c</t>
      </text>
    </comment>
    <comment ref="E4" authorId="2" shapeId="0" xr:uid="{C9AE3ACC-EEBA-43DF-9B1A-2FB04D9A43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  
atp_c + skm_c -&gt; adp_c +h_c + skm5p_c
* added_4hbz_4hbald:
4hbz_c + atp_c + nadph_c + h_c &lt;=&gt; 4hbald_c + amp_c + nadp_c + ppi_c
</t>
      </text>
    </comment>
    <comment ref="F4" authorId="3" shapeId="0" xr:uid="{89D8C643-4EE9-4296-9DE0-DFDCBB7D61ED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</t>
      </text>
    </comment>
    <comment ref="G4" authorId="4" shapeId="0" xr:uid="{DE57A14A-A89A-4FD7-A581-42ACFE530D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</t>
      </text>
    </comment>
    <comment ref="H4" authorId="5" shapeId="0" xr:uid="{B44BC062-8147-4542-AB9C-04BEDF028F28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added_34dhcinm_caffcoa:
34dhcinm_c + atp_c + coa_c -&gt; caffcoa_c + amp_c + ppi_c</t>
      </text>
    </comment>
    <comment ref="I4" authorId="6" shapeId="0" xr:uid="{DE9AA9B6-3B34-43DE-BB6A-CC6510D7518C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added_T4hcinnm_coucoa:
T4hcinnm_c + atp_c + coa_c -&gt; coucoa_c + amp_c + ppi_c</t>
      </text>
    </comment>
    <comment ref="J4" authorId="7" shapeId="0" xr:uid="{882404B3-B93D-4831-96CC-6FFEEFAE47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added_34dhcinm_caffcoa:
34dhcinm_c + atp_c + coa_c -&gt; caffcoa_c + amp_c + ppi_c
</t>
      </text>
    </comment>
    <comment ref="K4" authorId="8" shapeId="0" xr:uid="{252AAFAF-085D-4935-BBFF-618CB58364D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added_T4hcinnm_coucoa:
T4hcinnm_c + atp_c + coa_c -&gt; coucoa_c + amp_c + ppi_c
</t>
      </text>
    </comment>
    <comment ref="L4" authorId="9" shapeId="0" xr:uid="{DD0D2171-1BE1-42EE-A593-E8E3996988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added_34dhbz_34dhbald: 
34dhbz_c + atp_c + nadph_c + h_c &lt;=&gt; 34dhbald_c + amp_c + nadp_c + ppi_c
* SHKK:  
atp_c + skm_c -&gt; adp_c +h_c + skm5p_c
</t>
      </text>
    </comment>
    <comment ref="M4" authorId="10" shapeId="0" xr:uid="{C2ED0FE1-2FB6-4920-A0B1-E0B0614C567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  
atp_c + skm_c -&gt; adp_c +h_c + skm5p_c
* added_34dhbz_34dhbald:
34dhbz_c + atp_c + nadph_c + h_c &lt;=&gt; 34dhbald_c + amp_c + nadp_c + ppi_c
</t>
      </text>
    </comment>
    <comment ref="N4" authorId="11" shapeId="0" xr:uid="{F1A76898-5BB8-432F-8054-E221DCB82F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  
atp_c + skm_c -&gt; adp_c +h_c + skm5p_c
* added_4hbz_4hbald:
4hbz_c + atp_c + nadph_c + h_c &lt;=&gt; 4hbald_c + amp_c + nadp_c + ppi_c
</t>
      </text>
    </comment>
    <comment ref="O4" authorId="12" shapeId="0" xr:uid="{F9055FDD-FCE4-4313-AC68-56664985A7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</t>
      </text>
    </comment>
    <comment ref="P4" authorId="13" shapeId="0" xr:uid="{E6A7854C-D9F6-4E44-B7BE-B8F8666EC1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</t>
      </text>
    </comment>
    <comment ref="Q4" authorId="14" shapeId="0" xr:uid="{419D6E3F-392C-4509-8FB6-9E772A261E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added_34dhcinm_caffcoa:
34dhcinm_c + atp_c + coa_c -&gt; caffcoa_c + amp_c + ppi_c
</t>
      </text>
    </comment>
    <comment ref="R4" authorId="15" shapeId="0" xr:uid="{C2A81AB8-2020-41C4-B165-DED0CEDDA1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added_T4hcinnm_coucoa:
T4hcinnm_c + atp_c + coa_c -&gt; coucoa_c + amp_c + ppi_c
</t>
      </text>
    </comment>
    <comment ref="S4" authorId="16" shapeId="0" xr:uid="{FAC2F8E4-5AA2-417F-ADEE-803D49884D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added_34dhcinm_caffcoa:
34dhcinm_c + atp_c + coa_c -&gt; caffcoa_c + amp_c + ppi_c
</t>
      </text>
    </comment>
    <comment ref="T4" authorId="17" shapeId="0" xr:uid="{3FF63D5E-510E-48EE-B4BA-BBDF26FB24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SHKK:
atp_c + skm_c -&gt; adp_c +h_c + skm5p_c
* added_T4hcinnm_coucoa:
T4hcinnm_c + atp_c + coa_c -&gt; coucoa_c + amp_c + ppi_c
</t>
      </text>
    </comment>
    <comment ref="C5" authorId="18" shapeId="0" xr:uid="{54D860EC-6854-4023-AE43-9FB9BE246290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PPND:
nad_c + pphn_c -&gt; 34hpp_c + co2_c + nadh_c
* added_34dhbz_34dhbald:
34dhbz_c + atp_c + nadph_c + h_c &lt;=&gt; 34dhbald_c + amp_c + nadp_c + ppi_c
* added_norcrg_norbell:
norcrg_c + nadph_c + h_c -&gt; norbell_c + nadp_c</t>
      </text>
    </comment>
    <comment ref="D5" authorId="19" shapeId="0" xr:uid="{0AAC47BF-EEE1-4C0D-88C8-083CE05B0C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PPND:
nad_c + pphn_c -&gt; 34hpp_c + co2_c + nadh_c
* added_4hbz_34dhbz:
4hbz_c + nadph_c + o2_c + h_c -&gt; 34dhbz_c + nadp_c + h2o_c
* added_34dhbz_34dhbald:
34dhbz_c + atp_c + nadph_c + h_c &lt;=&gt; 34dhbald_c + amp_c + nadp_c + ppi_c
* added_norcrg_norbell:
norcrg_c + nadph_c + h_c -&gt; norbell_c + nadp_c
</t>
      </text>
    </comment>
    <comment ref="E5" authorId="20" shapeId="0" xr:uid="{887CBD17-E8B4-438C-B5BE-8D13BD205A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PPND:
nad_c + pphn_c -&gt; 34hpp_c + co2_c + nadh_c
* added_4hbz_4hbald:
4hbz_c + atp_c + nadph_c + h_c &lt;=&gt; 4hbald_c + amp_c + nadp_c + ppi_c
* added_4hbald_34dhbald:
4hbald_c + nadph_c + o2_c + h_c -&gt; 34dhbald_c + nadp_c + h2o_c
* added_norcrg_norbell:
norcrg_c + nadph_c + h_c -&gt; norbell_c + nadp_c
</t>
      </text>
    </comment>
    <comment ref="F5" authorId="21" shapeId="0" xr:uid="{CC380110-8B24-44E8-8B19-E63A6CC6878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PPND:
nad_c + pphn_c -&gt; 34hpp_c + co2_c + nadh_c
* added_4hbald_34dhbald:
4hbald_c + nadph_c + o2_c + h_c -&gt; 34dhbald_c + nadp_c + h2o_c
* added_norcrg_norbell:
norcrg_c + nadph_c + h_c -&gt; norbell_c + nadp_c
</t>
      </text>
    </comment>
    <comment ref="G5" authorId="22" shapeId="0" xr:uid="{85B327B0-1771-474D-AEE8-5DE79DC150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
</t>
      </text>
    </comment>
    <comment ref="H5" authorId="23" shapeId="0" xr:uid="{027F300E-6E97-45FF-86B6-3F18EFAB46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PPND:
nad_c + pphn_c -&gt; 34hpp_c + co2_c + nadh_c
* added_norcrg_norbell:
norcrg_c + nadph_c + h_c -&gt; norbell_c + nadp_c
</t>
      </text>
    </comment>
    <comment ref="I5" authorId="24" shapeId="0" xr:uid="{5854F59C-9525-4709-AB5A-A3AB3D1B5D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PPND:
nad_c + pphn_c -&gt; 34hpp_c + co2_c + nadh_c
* added_4hbald_34dhbald:
4hbald_c + nadph_c + o2_c + h_c -&gt; 34dhbald_c + nadp_c + h2o_c
* added_norcrg_norbell:
norcrg_c + nadph_c + h_c -&gt; norbell_c + nadp_c
</t>
      </text>
    </comment>
    <comment ref="J5" authorId="25" shapeId="0" xr:uid="{EC018FDE-D755-4AE2-935E-D3D2F8091AA1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PPND:
nad_c + pphn_c -&gt; 34hpp_c + co2_c + nadh_c
* added_norcrg_norbell:
norcrg_c + nadph_c + h_c -&gt; norbell_c + nadp_c</t>
      </text>
    </comment>
    <comment ref="K5" authorId="26" shapeId="0" xr:uid="{46E0E5A7-8DE0-44E8-AE1E-C836F482E70E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</t>
      </text>
    </comment>
    <comment ref="L5" authorId="27" shapeId="0" xr:uid="{4A4AFD50-7870-4561-89E5-83C6DE1284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added_34dhbz_34dhbald:
34dhbz_c + atp_c + nadph_c + h_c &lt;=&gt; 34dhbald_c + amp_c + nadp_c + ppi_c
* added_norcrg_norbell:
norcrg_c + nadph_c + h_c -&gt; norbell_c + nadp_c
</t>
      </text>
    </comment>
    <comment ref="M5" authorId="28" shapeId="0" xr:uid="{897D59ED-D46D-40D4-87B0-6A50482FD471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added_4hbz_34dhbz:
4hbz_c + nadph_c + o2_c + h_c -&gt; 34dhbz_c + nadp_c + h2o_c
* added_34dhbz_34dhbald:
34dhbz_c + atp_c + nadph_c + h_c &lt;=&gt; 34dhbald_c + amp_c + nadp_c + ppi_c
* added_norcrg_norbell:
norcrg_c + nadph_c + h_c -&gt; norbell_c + nadp_c</t>
      </text>
    </comment>
    <comment ref="N5" authorId="29" shapeId="0" xr:uid="{508310D2-50F6-40AB-A004-67E089A7FD4A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added_4hbz_4hbald:
4hbz_c + atp_c + nadph_c + h_c &lt;=&gt; 4hbald_c + amp_c + nadp_c + ppi_c
* added_4hbald_34dhbald:
4hbald_c + nadph_c + o2_c + h_c -&gt; 34dhbald_c + nadp_c + h2o_c
* added_norcrg_norbell:
norcrg_c + nadph_c + h_c -&gt; norbell_c + nadp_c</t>
      </text>
    </comment>
    <comment ref="O5" authorId="30" shapeId="0" xr:uid="{CCC474CC-7979-4232-845E-0422F3F76B76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</t>
      </text>
    </comment>
    <comment ref="P5" authorId="31" shapeId="0" xr:uid="{2E1FF9B5-E789-4BF8-B376-B2F179FEA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added_4hbald_34dhbald:
4hbald_c + nadph_c + o2_c + h_c -&gt; 34dhbald_c + nadp_c + h2o_c
* added_norcrg_norbell:
norcrg_c + nadph_c + h_c -&gt; norbell_c + nadp_c
</t>
      </text>
    </comment>
    <comment ref="Q5" authorId="32" shapeId="0" xr:uid="{F9808BE0-7300-4CB3-A09C-D0AD0FBA3B47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PPND:
nad_c + pphn_c -&gt; 34hpp_c + co2_c + nadh_c
* added_norcrg_norbell:
norcrg_c + nadph_c + h_c -&gt; norbell_c + nadp_c</t>
      </text>
    </comment>
    <comment ref="R5" authorId="33" shapeId="0" xr:uid="{9994D719-D624-4F72-A197-35F11D5266FD}">
      <text>
        <t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</t>
      </text>
    </comment>
    <comment ref="S5" authorId="34" shapeId="0" xr:uid="{0C509D20-48AA-41AA-B18F-E1A1236BD7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added_norcrg_norbell:
norcrg_c + nadph_c + h_c -&gt; norbell_c + nadp_c
</t>
      </text>
    </comment>
    <comment ref="T5" authorId="35" shapeId="0" xr:uid="{D6BB7D36-FF4F-46F2-9610-CB442C29A5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SHK3Dr:
3dhsk_c + h_c + nadph_c -&gt; nadp_c + skm_c
* added_Largn_tyr__L:
Largn_c + nadp_c -&gt; tyr__L_c + co2_c + nadph_c
* added_4hbald_34dhbald:
4hbald_c + nadph_c + o2_c + h_c -&gt; 34dhbald_c + nadp_c + h2o_c
* added_norcrg_norbell:
norcrg_c + nadph_c + h_c -&gt; norbell_c + nadp_c
</t>
      </text>
    </comment>
    <comment ref="H6" authorId="36" shapeId="0" xr:uid="{822952E6-7599-4BA4-A9C2-70DA41629257}">
      <text>
        <t>[Threaded comment]
Your version of Excel allows you to read this threaded comment; however, any edits to it will get removed if the file is opened in a newer version of Excel. Learn more: https://go.microsoft.com/fwlink/?linkid=870924
Comment:
    * added_T4hcinnm_34dhcinm:
T4hcinnm_c + fadh2_c + o2_c -&gt; 34dhcinm_c + fad_c + h2o_c + h_c</t>
      </text>
    </comment>
    <comment ref="J6" authorId="37" shapeId="0" xr:uid="{4D2B4673-55F6-4974-B6F1-E49FFB8510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added_T4hcinnm_34dhcinm:
T4hcinnm_c + fadh2_c + o2_c -&gt; 34dhcinm_c + fad_c + h2o_c + h_c
</t>
      </text>
    </comment>
    <comment ref="Q6" authorId="38" shapeId="0" xr:uid="{E84CE225-90B2-42D0-9FDA-B12FA219A76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added_T4hcinnm_34dhcinm:
T4hcinnm_c + fadh2_c + o2_c -&gt; 34dhcinm_c + fad_c + h2o_c + h_c
</t>
      </text>
    </comment>
    <comment ref="S6" authorId="39" shapeId="0" xr:uid="{19D71B51-75E0-465D-8A26-33EA95B620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added_T4hcinnm_34dhcinm:
T4hcinnm_c + fadh2_c + o2_c -&gt; 34dhcinm_c + fad_c + h2o_c + h_c
</t>
      </text>
    </comment>
    <comment ref="C11" authorId="40" shapeId="0" xr:uid="{A63CBC18-FBB3-48C0-99C1-037B3B509BFA}">
      <text>
        <t>[Threaded comment]
Your version of Excel allows you to read this threaded comment; however, any edits to it will get removed if the file is opened in a newer version of Excel. Learn more: https://go.microsoft.com/fwlink/?linkid=870924
Comment:
    * added_3dhsk_34dhbz:
3dhsk_c -&gt; 34dhbz_c + h2o_c
* added_norbell_4omet:
amet_c + norbell_c -&gt; 4omet_c + ahcys_c + h_c</t>
      </text>
    </comment>
    <comment ref="D11" authorId="41" shapeId="0" xr:uid="{35B6FCCE-F84F-42C9-871C-6D3B593A9F43}">
      <text>
        <t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</t>
      </text>
    </comment>
    <comment ref="E11" authorId="42" shapeId="0" xr:uid="{679EC186-EF70-4815-9336-A306C192799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
</t>
      </text>
    </comment>
    <comment ref="F11" authorId="43" shapeId="0" xr:uid="{4C1BC136-8E28-4073-BBDB-9AAE9AD686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
</t>
      </text>
    </comment>
    <comment ref="G11" authorId="44" shapeId="0" xr:uid="{32CA79E0-CDCA-41A1-80C0-8ABE8E4F3A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
</t>
      </text>
    </comment>
    <comment ref="H11" authorId="45" shapeId="0" xr:uid="{7ABF858C-ADC6-4780-88A2-DA8BF4255A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added_34dhcinm_caffcoa:
34dhcinm_c + atp_c + coa_c -&gt; caffcoa_c + amp_c + ppi_c
* added_norbell_4omet:
amet_c + norbell_c -&gt; 4omet_c + ahcys_c + h_c
</t>
      </text>
    </comment>
    <comment ref="I11" authorId="46" shapeId="0" xr:uid="{61D6D624-4CEA-4FD1-9200-9128D56083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added_T4hcinnm_coucoa:
T4hcinnm_c + atp_c + coa_c -&gt; coucoa_c + amp_c + ppi_c
* added_norbell_4omet:
amet_c + norbell_c -&gt; 4omet_c + ahcys_c + h_c
</t>
      </text>
    </comment>
    <comment ref="J11" authorId="47" shapeId="0" xr:uid="{EC347D46-14E2-4693-8351-1BA3D97C83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added_34dhcinm_caffcoa:
34dhcinm_c + atp_c + coa_c -&gt; caffcoa_c + amp_c + ppi_c
* added_norbell_4omet:
amet_c + norbell_c -&gt; 4omet_c + ahcys_c + h_c
</t>
      </text>
    </comment>
    <comment ref="K11" authorId="48" shapeId="0" xr:uid="{C8895179-A105-48F6-960F-83D172F364D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added_T4hcinnm_coucoa:
T4hcinnm_c + atp_c + coa_c -&gt; coucoa_c + amp_c + ppi_c
* added_norbell_4omet:
amet_c + norbell_c -&gt; 4omet_c + ahcys_c + h_c
</t>
      </text>
    </comment>
    <comment ref="L11" authorId="49" shapeId="0" xr:uid="{C560DC52-879B-4E9E-A655-BB379DC8571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added_3dhsk_34dhbz:
3dhsk_c -&gt; 34dhbz_c + h2o_c
* added_norbell_4omet:
amet_c + norbell_c -&gt; 4omet_c + ahcys_c + h_c
</t>
      </text>
    </comment>
    <comment ref="M11" authorId="50" shapeId="0" xr:uid="{4270F02C-3772-4033-B718-3025D6161D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
</t>
      </text>
    </comment>
    <comment ref="N11" authorId="51" shapeId="0" xr:uid="{99FBB8B6-788E-407A-966A-EA8992FDA1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
</t>
      </text>
    </comment>
    <comment ref="O11" authorId="52" shapeId="0" xr:uid="{0D6A5646-02F4-4C0E-BA67-BEEB58BAEA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
</t>
      </text>
    </comment>
    <comment ref="P11" authorId="53" shapeId="0" xr:uid="{3DB5057D-279B-4688-A552-FF3ADD981F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added_norbell_4omet:
amet_c + norbell_c -&gt; 4omet_c + ahcys_c + h_c
</t>
      </text>
    </comment>
    <comment ref="Q11" authorId="54" shapeId="0" xr:uid="{B533FFE6-8374-4AD6-A935-5B94573E01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added_34dhcinm_caffcoa:
34dhcinm_c + atp_c + coa_c -&gt; caffcoa_c + amp_c + ppi_c
* added_norbell_4omet:
amet_c + norbell_c -&gt; 4omet_c + ahcys_c + h_c
</t>
      </text>
    </comment>
    <comment ref="R11" authorId="55" shapeId="0" xr:uid="{8148B336-F7B3-454C-BAB9-3D4507D564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added_T4hcinnm_coucoa:
T4hcinnm_c + atp_c + coa_c -&gt; coucoa_c + amp_c + ppi_c
* added_norbell_4omet:
amet_c + norbell_c -&gt; 4omet_c + ahcys_c + h_c
</t>
      </text>
    </comment>
    <comment ref="S11" authorId="56" shapeId="0" xr:uid="{EA6FBA90-4EFC-4B91-B468-9A214446B0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added_34dhcinm_caffcoa:
34dhcinm_c + atp_c + coa_c -&gt; caffcoa_c + amp_c + ppi_c
* added_norbell_4omet:
amet_c + norbell_c -&gt; 4omet_c + ahcys_c + h_c
</t>
      </text>
    </comment>
    <comment ref="T11" authorId="57" shapeId="0" xr:uid="{AEF06E81-B59F-484D-90AC-5AB68F74CA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added_T4hcinnm_coucoa:
T4hcinnm_c + atp_c + coa_c -&gt; coucoa_c + amp_c + ppi_c
* added_norbell_4omet:
amet_c + norbell_c -&gt; 4omet_c + ahcys_c + h_c
</t>
      </text>
    </comment>
    <comment ref="C12" authorId="58" shapeId="0" xr:uid="{9E645AB2-9AD4-4AD3-A010-581D08935E57}">
      <text>
        <t>[Threaded comment]
Your version of Excel allows you to read this threaded comment; however, any edits to it will get removed if the file is opened in a newer version of Excel. Learn more: https://go.microsoft.com/fwlink/?linkid=870924
Comment:
    * added_tyr__L_tym:
tyr__L_c + h_c -&gt; tym_c + co2_c</t>
      </text>
    </comment>
    <comment ref="D12" authorId="59" shapeId="0" xr:uid="{8D700EC1-DD44-4761-AEFA-F5B3BD7BE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added_tyr__L_tym:
tyr__L_c + h_c -&gt; tym_c + co2_c
</t>
      </text>
    </comment>
    <comment ref="E12" authorId="60" shapeId="0" xr:uid="{25F7717D-AA11-4167-ACFF-F0F4DE1C7B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added_tyr__L_tym:
tyr__L_c + h_c -&gt; tym_c + co2_c
</t>
      </text>
    </comment>
    <comment ref="F12" authorId="61" shapeId="0" xr:uid="{F507CCDF-B9A3-47BB-B31C-E82215AC38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added_tyr__L_tym:
tyr__L_c + h_c -&gt; tym_c + co2_c
</t>
      </text>
    </comment>
    <comment ref="G12" authorId="62" shapeId="0" xr:uid="{FE2C7DD7-4C8A-4491-83A4-5B67DE43FE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H12" authorId="63" shapeId="0" xr:uid="{2CA2D487-3F8A-4523-8DAC-C111306E850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added_tyr__L_tym:
tyr__L_c + h_c -&gt; tym_c + co2_c
</t>
      </text>
    </comment>
    <comment ref="I12" authorId="64" shapeId="0" xr:uid="{CF3B9905-0A47-4552-9A64-41816497AF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added_tyr__L_tym:
tyr__L_c + h_c -&gt; tym_c + co2_c
</t>
      </text>
    </comment>
    <comment ref="J12" authorId="65" shapeId="0" xr:uid="{E52A9B96-8006-4B2B-8881-C7578BB32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K12" authorId="66" shapeId="0" xr:uid="{3A32CB7C-970C-4D4C-9DB7-18C701B72C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L12" authorId="67" shapeId="0" xr:uid="{E2E2B648-2C12-4349-BDAE-ECD35FACAF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M12" authorId="68" shapeId="0" xr:uid="{CE8AD3AB-77DE-489A-94C7-2E36DE56B0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N12" authorId="69" shapeId="0" xr:uid="{4B5C6C62-634F-4FC8-B349-B0AA764010B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O12" authorId="70" shapeId="0" xr:uid="{A3166287-FDF7-4B9F-BEFF-A9D5F3A2AB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P12" authorId="71" shapeId="0" xr:uid="{AD6441D2-F4EE-4F48-9A80-EEC7894081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Q12" authorId="72" shapeId="0" xr:uid="{19D69F11-AD7F-4197-81F0-F6EC543FEA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R12" authorId="73" shapeId="0" xr:uid="{7DDA0D7B-2A0C-47DD-8909-FB2FC2B842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S12" authorId="74" shapeId="0" xr:uid="{C3E9C3BA-9192-44E3-AA95-662AD441EA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T12" authorId="75" shapeId="0" xr:uid="{473A674D-97CE-40DA-AA47-4ADA6B2CE92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added_pphn_Largn:
pphn_c + glu__L_c &lt;=&gt; Largn_c + akg_c
* added_tyr__L_tym:
tyr__L_c + h_c -&gt; tym_c + co2_c
</t>
      </text>
    </comment>
    <comment ref="B13" authorId="76" shapeId="0" xr:uid="{03CFE2D6-EB19-4E20-A46C-3B5624E15B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3,5-dihydro-5-methylidene-4H-imidazol-4-one </t>
      </text>
    </comment>
    <comment ref="F13" authorId="77" shapeId="0" xr:uid="{09972E62-DCB6-4B87-AE54-3C799A48E2F5}">
      <text>
        <t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</t>
      </text>
    </comment>
    <comment ref="G13" authorId="78" shapeId="0" xr:uid="{B7AA8B08-83DE-4639-84E2-4186FEAA79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H13" authorId="79" shapeId="0" xr:uid="{A951D820-7312-48F8-872B-7EBC38C851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I13" authorId="80" shapeId="0" xr:uid="{E46EDC6E-033E-4BFA-BE80-F61B7938C5D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J13" authorId="81" shapeId="0" xr:uid="{A975EC77-D2D6-4593-964D-E45725CD78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K13" authorId="82" shapeId="0" xr:uid="{D25DB493-0F2A-4826-9899-B6A225E866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O13" authorId="83" shapeId="0" xr:uid="{6ED0FB02-C45F-41BC-BEED-A291DD9EC5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P13" authorId="84" shapeId="0" xr:uid="{90CDA21B-4396-4295-B437-3C8D84241C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Q13" authorId="85" shapeId="0" xr:uid="{4599C7C4-3488-4CCA-8ADF-62BACAB352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R13" authorId="86" shapeId="0" xr:uid="{B80A358D-4E80-4254-BF26-F1F50D6479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S13" authorId="87" shapeId="0" xr:uid="{4CBB6114-1BAB-46CA-B9BB-A87B152C39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T13" authorId="88" shapeId="0" xr:uid="{91C9D2C2-2655-42F6-8F8D-8B7A59D18F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* added_tyr__L_T4hcinnm:
tyr__L_c -&gt; T4hcinnm_c + nh4_c
</t>
      </text>
    </comment>
    <comment ref="B14" authorId="89" shapeId="0" xr:uid="{E5CBF223-5659-4DC6-BF1A-5714BF3C6662}">
      <text>
        <t>[Threaded comment]
Your version of Excel allows you to read this threaded comment; however, any edits to it will get removed if the file is opened in a newer version of Excel. Learn more: https://go.microsoft.com/fwlink/?linkid=870924
Comment:
    Enzima Dehydroshikimate dehydratase puede tener otros iones divalentes como cofactores dependiendo del organismo: Co2+, Mg2+,Ba2+,Mo2+,Mn2+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tc={8EBCDCBB-F524-4D33-BC11-14C1DBCDFA0E}</author>
    <author>tc={D8685C4C-479D-4004-A69F-5D623364155B}</author>
    <author>tc={C3C7EE8B-C6B3-4CC9-BA1C-41F89F5A19D7}</author>
  </authors>
  <commentList>
    <comment ref="C5" authorId="0" shapeId="0" xr:uid="{8EBCDCBB-F524-4D33-BC11-14C1DBCDFA0E}">
      <text>
        <t>[Threaded comment]
Your version of Excel allows you to read this threaded comment; however, any edits to it will get removed if the file is opened in a newer version of Excel. Learn more: https://go.microsoft.com/fwlink/?linkid=870924
Comment:
    Ojo, no es propiamente la que se usará… Revisar los microorganismos de la que se clonará...</t>
      </text>
    </comment>
    <comment ref="D11" authorId="1" shapeId="0" xr:uid="{D8685C4C-479D-4004-A69F-5D623364155B}">
      <text>
        <t>[Threaded comment]
Your version of Excel allows you to read this threaded comment; however, any edits to it will get removed if the file is opened in a newer version of Excel. Learn more: https://go.microsoft.com/fwlink/?linkid=870924
Comment:
    Ec. Basada en modelo de Pseudomonas. Ec dependiente de glutamato en vez de aspartato, sin embargo en modelo de S. aureus es basada en aspartato.
Reply:
    PREGUNTAR. Qué pasa con las reacciones que pueden tener dos metabolitos como co-reactantes en el sistema, por ejemplo para el caso de las moléculas de transporte de energía como el NADP y NAD o el glutamato vs aspartato… debería meter toooodas las ecuaciones o selecciono solo la mejor según lo que vea en literatura?
Reply:
    Adicionalmente: Ecuación en metacyc no incluye el h. Solo BIGG model lo incluye.</t>
      </text>
    </comment>
    <comment ref="D12" authorId="2" shapeId="0" xr:uid="{C3C7EE8B-C6B3-4CC9-BA1C-41F89F5A19D7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Reacción dependiente de NAD basada en reacciones de modelos de E. coli DH5alfa y E. coli C. Sin embargo otras bacterias parecen tener la enzima específica para NADP* que a su vez es más común de plantas pero hay reportes de esta enzima en algunas plantas acepta el NAD...
Reply:
    Mi opinión después de revisar varias veces: modelseed tiene mala información pues dirige a locus TyrA que NO usa la vía del arogenato. Mi intuición me dice que de meter las reacciones estas deben ser dependientes de NADP-NADPH.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tc={2A42BDA0-B999-49B2-AEA0-ED425884F6C6}</author>
    <author>tc={E1BB77AB-C735-470F-B9B1-9DB39982D3DF}</author>
    <author>tc={27098115-D6B9-45FD-892E-4E9394608885}</author>
    <author>tc={1B4FFFAA-83F2-4E5E-8A4A-70C3E2631B06}</author>
    <author>tc={6DD54F65-7C02-4FEC-91BA-4709AF7CB132}</author>
    <author>tc={A39B8595-40F4-4665-BDC6-E1AFC036C741}</author>
    <author>tc={50759E7F-D423-4480-A33C-3D7EF2099B1D}</author>
    <author>tc={867458DB-9FF2-4AE2-B40F-A5D5318ADEAD}</author>
    <author>tc={850EACC3-A120-4BB3-B9A2-EDEEA211ABF7}</author>
    <author>tc={5F6378BA-AA20-47EE-80E8-BE38CE37DEAA}</author>
    <author>tc={0CB7BD98-9342-4BF2-8E2D-F21E3CC645D3}</author>
    <author>tc={5480DAD4-4AF8-43DB-BD69-B2A7817A5C33}</author>
    <author>tc={B4868456-12BB-418E-A0B3-EBED65E308F5}</author>
    <author>tc={818CC439-C9D9-4471-8B4C-82692C91C121}</author>
    <author>tc={F0A2A5EF-44D5-426F-9D35-1AC71F69B746}</author>
    <author>tc={E5BAB592-623F-444B-95B7-B12FBD304EF6}</author>
    <author>tc={C35B60CB-F445-4A5C-87F8-7A1BF3DFAF22}</author>
    <author>tc={4ADBDDC3-EB75-4A87-A9E0-1F865292C0AE}</author>
    <author>tc={7E0D8474-9FF6-4697-98ED-894D5D0D93F0}</author>
    <author>tc={6D637B46-0588-453F-B8C6-55C19E7A5E08}</author>
    <author>tc={9B1F378F-F849-4AE1-90B9-4A22117E13EE}</author>
    <author>tc={D7708300-8802-4C6D-AEA0-70BF564F64D9}</author>
    <author>tc={537E7C01-4EEB-4358-8B57-091CDA20D4AE}</author>
    <author>tc={625CE5BE-2B26-466B-819B-8DBFE0054A39}</author>
    <author>tc={6D9742A7-882D-4D2F-9FA4-DE8960223CE5}</author>
    <author>tc={C15E924B-47B4-46AE-B4C7-4D3B2140932D}</author>
    <author>tc={2623F788-4E95-452B-8E56-1FF06C3619D7}</author>
    <author>tc={401258DB-3ABB-4112-AE1F-DC5FFA9ADC87}</author>
    <author>tc={389C5A8B-412E-4EB2-97F2-9CA26D7C944C}</author>
    <author>tc={E1BB78BD-115F-4BD0-A604-4934F01FC853}</author>
    <author>tc={3D9068ED-3827-40F9-B3F5-41E6FFA9F72A}</author>
    <author>tc={776DCE9C-AFED-48A2-9093-A537070B9935}</author>
    <author>tc={6E7CFC8F-B15B-43CD-B58E-ACA649184D1A}</author>
    <author>tc={5549BA43-3488-444E-B60A-9FC0C8341C81}</author>
    <author>tc={4068E520-CED5-44F6-8EBA-676E06AE074C}</author>
    <author>tc={82E97CB4-082A-4F3E-B431-6C6D6D9E3AE6}</author>
    <author>tc={7CF6A91E-A21B-411D-923B-C7F9B8395C56}</author>
    <author>tc={F10907EE-6A01-4B42-97FE-DF38DB28341B}</author>
    <author>tc={3A670753-29A4-4A52-8313-A1B73F8A31B3}</author>
    <author>tc={2FE5F0EB-D914-45D0-8E85-070D9E7CB437}</author>
    <author>tc={75328CB9-8602-475F-83E3-6D2206E39185}</author>
    <author>tc={93CFAE48-E731-48B3-B7E4-043E90A79C94}</author>
    <author>tc={CB9BF3F2-8904-46A0-A6E6-349888B141E2}</author>
    <author>tc={A11349E3-DDCF-4B73-A99E-0BF8619D302F}</author>
    <author>tc={DEB86E5A-D487-46D6-8CD5-8C5EE2629417}</author>
    <author>tc={DC1771EB-6DEA-465B-B209-34D1995B4549}</author>
    <author>tc={316AA6AE-B6F0-4849-AC61-80B1F419D0E0}</author>
    <author>tc={03AC84A3-11A5-4011-8FA4-C4789944F4F2}</author>
    <author>tc={6323988D-AB59-4F1A-A078-C14770EA6301}</author>
    <author>tc={5D05304B-1BC7-4D43-BE0B-AFBDFA11E77B}</author>
    <author>tc={F2FC14C4-4D6E-445D-8EF4-7155BB2DC861}</author>
    <author>tc={67EAEED9-61D2-4289-819C-130C3C5F807F}</author>
    <author>tc={5F92B41F-4035-4E80-B5B7-71EE354E4B6A}</author>
    <author>tc={5DF11521-1CD8-4AF6-9AD7-9D6CA70AD11E}</author>
    <author>tc={CD7156AC-E8A2-47DA-A647-D9EAC7C3F1DC}</author>
    <author>tc={51EE2C81-16C4-4407-BDDD-6516FCE44ED8}</author>
    <author>tc={C4D76DD7-46E1-4108-B3A9-86FD9B9F6FC3}</author>
    <author>tc={0D63F9B9-6E92-4452-BCE5-364E69E5D3C6}</author>
    <author>tc={A1D1B00E-D4AB-41B2-BF16-0F1DB8D13C90}</author>
    <author>tc={020A0AAA-FA29-4833-AF17-9648CAE06F00}</author>
    <author>tc={C36C6737-6F34-4752-88D2-B9B44325E067}</author>
    <author>tc={56126DF7-74C1-4CB9-947B-910A5A1D80BD}</author>
    <author>tc={515DC91B-6324-4B02-8014-4AEC748654EC}</author>
    <author>tc={71FFEB0E-56E6-48B3-84EE-9BB2E4F180B8}</author>
    <author>tc={B9C7F212-B99B-4B80-9BF0-956021371F6A}</author>
    <author>tc={96B12BEA-54EC-4318-A301-55DB28EE76F1}</author>
    <author>tc={E48688C5-D1A4-4605-8375-100CB417EEB3}</author>
    <author>tc={AA53ECCB-D9A5-435E-9586-CF2964C55E38}</author>
    <author>tc={65743E32-64F7-4AB2-99ED-F9EAA13A7842}</author>
    <author>tc={CAC1E0C0-BAAC-43BB-8BB1-42CF5EDF98CD}</author>
    <author>tc={66C15E83-003C-48F8-8E64-FB1EAF472923}</author>
    <author>tc={E23ECD32-5EAB-418E-A512-77A2C38473E1}</author>
    <author>tc={4E74C919-B7A5-43EA-BC8C-909DE2B35537}</author>
    <author>tc={48A7F7A7-45B0-4435-BF8A-DDADF1D637BE}</author>
    <author>tc={A744564D-65B1-4607-AE70-CD929D0FEE19}</author>
    <author>tc={9E3327A2-8A5C-409F-BA7C-0382C93194D8}</author>
    <author>tc={2A33B78E-4E00-4FD9-BF9F-DD7A07A9FFE3}</author>
    <author>tc={FC48A9AF-6294-4E52-B42C-3CA30767DAE3}</author>
    <author>tc={FE203C81-E569-4ED9-8950-739DC74CBA28}</author>
    <author>tc={DEC96262-834C-4D51-AC5A-393C263A9F6A}</author>
    <author>tc={A6957744-00E9-47CC-8A82-C1B8B714BBA4}</author>
    <author>tc={F378BE08-AB69-40D1-9170-5AA6D4A598AB}</author>
    <author>tc={CA7FF616-9A71-4523-B107-86FB9A877496}</author>
    <author>tc={E69BD3BF-4410-42D8-A525-674B4B150CF6}</author>
    <author>tc={6411FC9F-BA51-445D-B94A-33D07581AE9E}</author>
    <author>tc={DAA0E081-E047-43F5-AF95-1F7F623A4B9E}</author>
    <author>tc={9EDBFC8C-B056-4E4E-9B3D-FFB838C73298}</author>
    <author>tc={C0E56EE2-5F44-431D-813F-9D45AD488CDB}</author>
    <author>tc={09BE52F7-97A3-48D5-BCE7-0405CAE2B178}</author>
    <author>tc={A9B619F5-5C46-4D97-9218-A25FBB402778}</author>
    <author>tc={277E145B-E5BC-4720-83CF-7325E820A625}</author>
    <author>tc={39FF80B2-5B44-41D4-8A15-C211E3FB10FD}</author>
    <author>tc={1316432C-23AA-465B-9E98-4A68630CE8CD}</author>
    <author>tc={949911E8-6946-4688-9569-74775E8658DD}</author>
    <author>tc={9539D194-6606-447E-B8D8-58CE1B67B34C}</author>
    <author>tc={811C9018-DF02-4AC3-AC34-364569DEFE79}</author>
    <author>tc={44A607AD-7824-49A4-9C63-0DE561637794}</author>
    <author>tc={E396863D-B554-46FA-B4A0-EE4E7C42B5EC}</author>
    <author>tc={E0C3E5CD-E2BF-4E0A-9CB6-206B41AE023E}</author>
    <author>tc={37D75B80-052C-49CF-AC7C-392E1171D0D4}</author>
    <author>tc={BC94ED4F-E319-4B60-8A55-7980778B5F5C}</author>
    <author>tc={0B078CB6-C5E8-4AB2-8970-3FE1165F5362}</author>
    <author>tc={0DF24848-0E1B-41FF-82E2-B1FD095A8F15}</author>
    <author>tc={FEEFD030-B19D-4F72-88F2-836B969BA0EF}</author>
    <author>tc={A47B8375-9D03-4307-9B20-AFB91991E812}</author>
    <author>tc={FC2D0521-74C8-4055-9B8F-F37BCD0766DA}</author>
    <author>tc={1656EFBD-2C64-43CC-9BEF-B54BCF89B866}</author>
    <author>tc={5C56DFDF-52C7-4827-AB12-455835AC939D}</author>
    <author>tc={B89A2DC7-BD30-4917-BB10-A9E29206D00B}</author>
  </authors>
  <commentList>
    <comment ref="D3" authorId="0" shapeId="0" xr:uid="{2A42BDA0-B999-49B2-AEA0-ED425884F6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3" authorId="1" shapeId="0" xr:uid="{E1BB77AB-C735-470F-B9B1-9DB39982D3D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4" authorId="2" shapeId="0" xr:uid="{27098115-D6B9-45FD-892E-4E939460888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4" authorId="3" shapeId="0" xr:uid="{1B4FFFAA-83F2-4E5E-8A4A-70C3E2631B0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5" authorId="4" shapeId="0" xr:uid="{6DD54F65-7C02-4FEC-91BA-4709AF7CB13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5" authorId="5" shapeId="0" xr:uid="{A39B8595-40F4-4665-BDC6-E1AFC036C74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7" authorId="6" shapeId="0" xr:uid="{50759E7F-D423-4480-A33C-3D7EF2099B1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7" authorId="7" shapeId="0" xr:uid="{867458DB-9FF2-4AE2-B40F-A5D5318ADEA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8" authorId="8" shapeId="0" xr:uid="{850EACC3-A120-4BB3-B9A2-EDEEA211ABF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8" authorId="9" shapeId="0" xr:uid="{5F6378BA-AA20-47EE-80E8-BE38CE37DEA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9" authorId="10" shapeId="0" xr:uid="{0CB7BD98-9342-4BF2-8E2D-F21E3CC645D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9" authorId="11" shapeId="0" xr:uid="{5480DAD4-4AF8-43DB-BD69-B2A7817A5C3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11" authorId="12" shapeId="0" xr:uid="{B4868456-12BB-418E-A0B3-EBED65E308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11" authorId="13" shapeId="0" xr:uid="{818CC439-C9D9-4471-8B4C-82692C91C12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12" authorId="14" shapeId="0" xr:uid="{F0A2A5EF-44D5-426F-9D35-1AC71F69B7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12" authorId="15" shapeId="0" xr:uid="{E5BAB592-623F-444B-95B7-B12FBD304EF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13" authorId="16" shapeId="0" xr:uid="{C35B60CB-F445-4A5C-87F8-7A1BF3DFAF2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13" authorId="17" shapeId="0" xr:uid="{4ADBDDC3-EB75-4A87-A9E0-1F865292C0A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15" authorId="18" shapeId="0" xr:uid="{7E0D8474-9FF6-4697-98ED-894D5D0D93F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15" authorId="19" shapeId="0" xr:uid="{6D637B46-0588-453F-B8C6-55C19E7A5E0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16" authorId="20" shapeId="0" xr:uid="{9B1F378F-F849-4AE1-90B9-4A22117E13E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16" authorId="21" shapeId="0" xr:uid="{D7708300-8802-4C6D-AEA0-70BF564F64D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17" authorId="22" shapeId="0" xr:uid="{537E7C01-4EEB-4358-8B57-091CDA20D4A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17" authorId="23" shapeId="0" xr:uid="{625CE5BE-2B26-466B-819B-8DBFE0054A3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19" authorId="24" shapeId="0" xr:uid="{6D9742A7-882D-4D2F-9FA4-DE8960223CE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19" authorId="25" shapeId="0" xr:uid="{C15E924B-47B4-46AE-B4C7-4D3B2140932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20" authorId="26" shapeId="0" xr:uid="{2623F788-4E95-452B-8E56-1FF06C3619D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20" authorId="27" shapeId="0" xr:uid="{401258DB-3ABB-4112-AE1F-DC5FFA9ADC8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21" authorId="28" shapeId="0" xr:uid="{389C5A8B-412E-4EB2-97F2-9CA26D7C94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21" authorId="29" shapeId="0" xr:uid="{E1BB78BD-115F-4BD0-A604-4934F01FC85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R21" authorId="30" shapeId="0" xr:uid="{3D9068ED-3827-40F9-B3F5-41E6FFA9F72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MOVER VALORES DE ACÁ. LOS ARRASTRA FÓRMULA Y A PARTIR DE ACÁ LAS DEMÁS MATRICES EN LAS QUE CAMBIA EL X.</t>
      </text>
    </comment>
    <comment ref="D23" authorId="31" shapeId="0" xr:uid="{776DCE9C-AFED-48A2-9093-A537070B993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23" authorId="32" shapeId="0" xr:uid="{6E7CFC8F-B15B-43CD-B58E-ACA649184D1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24" authorId="33" shapeId="0" xr:uid="{5549BA43-3488-444E-B60A-9FC0C8341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24" authorId="34" shapeId="0" xr:uid="{4068E520-CED5-44F6-8EBA-676E06AE07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25" authorId="35" shapeId="0" xr:uid="{82E97CB4-082A-4F3E-B431-6C6D6D9E3AE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25" authorId="36" shapeId="0" xr:uid="{7CF6A91E-A21B-411D-923B-C7F9B8395C5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27" authorId="37" shapeId="0" xr:uid="{F10907EE-6A01-4B42-97FE-DF38DB28341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27" authorId="38" shapeId="0" xr:uid="{3A670753-29A4-4A52-8313-A1B73F8A31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28" authorId="39" shapeId="0" xr:uid="{2FE5F0EB-D914-45D0-8E85-070D9E7CB43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28" authorId="40" shapeId="0" xr:uid="{75328CB9-8602-475F-83E3-6D2206E3918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29" authorId="41" shapeId="0" xr:uid="{93CFAE48-E731-48B3-B7E4-043E90A79C9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29" authorId="42" shapeId="0" xr:uid="{CB9BF3F2-8904-46A0-A6E6-349888B141E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31" authorId="43" shapeId="0" xr:uid="{A11349E3-DDCF-4B73-A99E-0BF8619D302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31" authorId="44" shapeId="0" xr:uid="{DEB86E5A-D487-46D6-8CD5-8C5EE262941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32" authorId="45" shapeId="0" xr:uid="{DC1771EB-6DEA-465B-B209-34D1995B454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32" authorId="46" shapeId="0" xr:uid="{316AA6AE-B6F0-4849-AC61-80B1F419D0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33" authorId="47" shapeId="0" xr:uid="{03AC84A3-11A5-4011-8FA4-C4789944F4F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33" authorId="48" shapeId="0" xr:uid="{6323988D-AB59-4F1A-A078-C14770EA63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35" authorId="49" shapeId="0" xr:uid="{5D05304B-1BC7-4D43-BE0B-AFBDFA11E7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35" authorId="50" shapeId="0" xr:uid="{F2FC14C4-4D6E-445D-8EF4-7155BB2DC8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36" authorId="51" shapeId="0" xr:uid="{67EAEED9-61D2-4289-819C-130C3C5F807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36" authorId="52" shapeId="0" xr:uid="{5F92B41F-4035-4E80-B5B7-71EE354E4B6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37" authorId="53" shapeId="0" xr:uid="{5DF11521-1CD8-4AF6-9AD7-9D6CA70AD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37" authorId="54" shapeId="0" xr:uid="{CD7156AC-E8A2-47DA-A647-D9EAC7C3F1D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48" authorId="55" shapeId="0" xr:uid="{51EE2C81-16C4-4407-BDDD-6516FCE44ED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48" authorId="56" shapeId="0" xr:uid="{C4D76DD7-46E1-4108-B3A9-86FD9B9F6FC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49" authorId="57" shapeId="0" xr:uid="{0D63F9B9-6E92-4452-BCE5-364E69E5D3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49" authorId="58" shapeId="0" xr:uid="{A1D1B00E-D4AB-41B2-BF16-0F1DB8D13C9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50" authorId="59" shapeId="0" xr:uid="{020A0AAA-FA29-4833-AF17-9648CAE06F0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50" authorId="60" shapeId="0" xr:uid="{C36C6737-6F34-4752-88D2-B9B44325E06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52" authorId="61" shapeId="0" xr:uid="{56126DF7-74C1-4CB9-947B-910A5A1D80B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52" authorId="62" shapeId="0" xr:uid="{515DC91B-6324-4B02-8014-4AEC748654E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53" authorId="63" shapeId="0" xr:uid="{71FFEB0E-56E6-48B3-84EE-9BB2E4F180B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53" authorId="64" shapeId="0" xr:uid="{B9C7F212-B99B-4B80-9BF0-956021371F6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54" authorId="65" shapeId="0" xr:uid="{96B12BEA-54EC-4318-A301-55DB28EE76F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54" authorId="66" shapeId="0" xr:uid="{E48688C5-D1A4-4605-8375-100CB417EE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56" authorId="67" shapeId="0" xr:uid="{AA53ECCB-D9A5-435E-9586-CF2964C55E3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56" authorId="68" shapeId="0" xr:uid="{65743E32-64F7-4AB2-99ED-F9EAA13A784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57" authorId="69" shapeId="0" xr:uid="{CAC1E0C0-BAAC-43BB-8BB1-42CF5EDF98C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57" authorId="70" shapeId="0" xr:uid="{66C15E83-003C-48F8-8E64-FB1EAF47292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58" authorId="71" shapeId="0" xr:uid="{E23ECD32-5EAB-418E-A512-77A2C38473E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58" authorId="72" shapeId="0" xr:uid="{4E74C919-B7A5-43EA-BC8C-909DE2B3553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60" authorId="73" shapeId="0" xr:uid="{48A7F7A7-45B0-4435-BF8A-DDADF1D637B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60" authorId="74" shapeId="0" xr:uid="{A744564D-65B1-4607-AE70-CD929D0FEE1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61" authorId="75" shapeId="0" xr:uid="{9E3327A2-8A5C-409F-BA7C-0382C93194D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61" authorId="76" shapeId="0" xr:uid="{2A33B78E-4E00-4FD9-BF9F-DD7A07A9FF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62" authorId="77" shapeId="0" xr:uid="{FC48A9AF-6294-4E52-B42C-3CA30767DA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62" authorId="78" shapeId="0" xr:uid="{FE203C81-E569-4ED9-8950-739DC74CBA2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64" authorId="79" shapeId="0" xr:uid="{DEC96262-834C-4D51-AC5A-393C263A9F6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64" authorId="80" shapeId="0" xr:uid="{A6957744-00E9-47CC-8A82-C1B8B714BBA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65" authorId="81" shapeId="0" xr:uid="{F378BE08-AB69-40D1-9170-5AA6D4A598A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65" authorId="82" shapeId="0" xr:uid="{CA7FF616-9A71-4523-B107-86FB9A87749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66" authorId="83" shapeId="0" xr:uid="{E69BD3BF-4410-42D8-A525-674B4B150CF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66" authorId="84" shapeId="0" xr:uid="{6411FC9F-BA51-445D-B94A-33D07581AE9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68" authorId="85" shapeId="0" xr:uid="{DAA0E081-E047-43F5-AF95-1F7F623A4B9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68" authorId="86" shapeId="0" xr:uid="{9EDBFC8C-B056-4E4E-9B3D-FFB838C7329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69" authorId="87" shapeId="0" xr:uid="{C0E56EE2-5F44-431D-813F-9D45AD488CD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69" authorId="88" shapeId="0" xr:uid="{09BE52F7-97A3-48D5-BCE7-0405CAE2B17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70" authorId="89" shapeId="0" xr:uid="{A9B619F5-5C46-4D97-9218-A25FBB40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70" authorId="90" shapeId="0" xr:uid="{277E145B-E5BC-4720-83CF-7325E820A6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72" authorId="91" shapeId="0" xr:uid="{39FF80B2-5B44-41D4-8A15-C211E3FB10F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72" authorId="92" shapeId="0" xr:uid="{1316432C-23AA-465B-9E98-4A68630CE8C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73" authorId="93" shapeId="0" xr:uid="{949911E8-6946-4688-9569-74775E8658D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73" authorId="94" shapeId="0" xr:uid="{9539D194-6606-447E-B8D8-58CE1B67B34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74" authorId="95" shapeId="0" xr:uid="{811C9018-DF02-4AC3-AC34-364569DEFE7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74" authorId="96" shapeId="0" xr:uid="{44A607AD-7824-49A4-9C63-0DE56163779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76" authorId="97" shapeId="0" xr:uid="{E396863D-B554-46FA-B4A0-EE4E7C42B5E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76" authorId="98" shapeId="0" xr:uid="{E0C3E5CD-E2BF-4E0A-9CB6-206B41AE023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77" authorId="99" shapeId="0" xr:uid="{37D75B80-052C-49CF-AC7C-392E1171D0D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77" authorId="100" shapeId="0" xr:uid="{BC94ED4F-E319-4B60-8A55-7980778B5F5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78" authorId="101" shapeId="0" xr:uid="{0B078CB6-C5E8-4AB2-8970-3FE1165F536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78" authorId="102" shapeId="0" xr:uid="{0DF24848-0E1B-41FF-82E2-B1FD095A8F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  <comment ref="D80" authorId="103" shapeId="0" xr:uid="{FEEFD030-B19D-4F72-88F2-836B969BA0E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https://www.ncbi.nlm.nih.gov/pmc/articles/PMC8006063/</t>
      </text>
    </comment>
    <comment ref="E80" authorId="104" shapeId="0" xr:uid="{A47B8375-9D03-4307-9B20-AFB91991E81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https://linkinghub-elsevier-com.ezproxy.uniandes.edu.co/retrieve/pii/S0734975005000467</t>
      </text>
    </comment>
    <comment ref="D81" authorId="105" shapeId="0" xr:uid="{FC2D0521-74C8-4055-9B8F-F37BCD0766D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https://pubmed.ncbi.nlm.nih.gov/20807680/</t>
      </text>
    </comment>
    <comment ref="E81" authorId="106" shapeId="0" xr:uid="{1656EFBD-2C64-43CC-9BEF-B54BCF89B86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https://onlinelibrary-wiley-com.ezproxy.uniandes.edu.co/doi/10.1002/bit.25474</t>
      </text>
    </comment>
    <comment ref="D82" authorId="107" shapeId="0" xr:uid="{5C56DFDF-52C7-4827-AB12-455835AC939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https://pubmed.ncbi.nlm.nih.gov/12073320/</t>
      </text>
    </comment>
    <comment ref="E82" authorId="108" shapeId="0" xr:uid="{B89A2DC7-BD30-4917-BB10-A9E29206D0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https://doi.org/10.1128/jb.158.2.701-704.1984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<sst xmlns="http://schemas.openxmlformats.org/spreadsheetml/2006/main" count="2361" uniqueCount="506">
  <si>
    <t>E. coli</t>
  </si>
  <si>
    <r>
      <t xml:space="preserve">0.133508 </t>
    </r>
    <r>
      <rPr>
        <sz val="11"/>
        <color rgb="FFFF0000"/>
        <rFont val="Calibri"/>
        <family val="2"/>
        <scheme val="minor"/>
      </rPr>
      <t>ctp_c</t>
    </r>
    <r>
      <rPr>
        <sz val="11"/>
        <color theme="1"/>
        <rFont val="Calibri"/>
        <family val="2"/>
        <scheme val="minor"/>
      </rPr>
      <t xml:space="preserve"> + 48.6015 </t>
    </r>
    <r>
      <rPr>
        <sz val="11"/>
        <color rgb="FFFF0000"/>
        <rFont val="Calibri"/>
        <family val="2"/>
        <scheme val="minor"/>
      </rPr>
      <t>h2o_c</t>
    </r>
    <r>
      <rPr>
        <sz val="11"/>
        <color theme="1"/>
        <rFont val="Calibri"/>
        <family val="2"/>
        <scheme val="minor"/>
      </rPr>
      <t xml:space="preserve"> + 0.215792 </t>
    </r>
    <r>
      <rPr>
        <sz val="11"/>
        <color rgb="FFFF0000"/>
        <rFont val="Calibri"/>
        <family val="2"/>
        <scheme val="minor"/>
      </rPr>
      <t xml:space="preserve">ser__L_c </t>
    </r>
    <r>
      <rPr>
        <sz val="11"/>
        <color theme="1"/>
        <rFont val="Calibri"/>
        <family val="2"/>
        <scheme val="minor"/>
      </rPr>
      <t xml:space="preserve">+ 0.295792 </t>
    </r>
    <r>
      <rPr>
        <sz val="11"/>
        <color rgb="FFFF0000"/>
        <rFont val="Calibri"/>
        <family val="2"/>
        <scheme val="minor"/>
      </rPr>
      <t>arg__L_c</t>
    </r>
    <r>
      <rPr>
        <sz val="11"/>
        <color theme="1"/>
        <rFont val="Calibri"/>
        <family val="2"/>
        <scheme val="minor"/>
      </rPr>
      <t xml:space="preserve"> + 0.005205</t>
    </r>
    <r>
      <rPr>
        <sz val="11"/>
        <color rgb="FFFF0000"/>
        <rFont val="Calibri"/>
        <family val="2"/>
        <scheme val="minor"/>
      </rPr>
      <t xml:space="preserve"> cl_c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>sheme_c</t>
    </r>
    <r>
      <rPr>
        <sz val="11"/>
        <color theme="1"/>
        <rFont val="Calibri"/>
        <family val="2"/>
        <scheme val="minor"/>
      </rPr>
      <t xml:space="preserve"> + 0.000447 </t>
    </r>
    <r>
      <rPr>
        <sz val="11"/>
        <color rgb="FFFF0000"/>
        <rFont val="Calibri"/>
        <family val="2"/>
        <scheme val="minor"/>
      </rPr>
      <t>nadp_c</t>
    </r>
    <r>
      <rPr>
        <sz val="11"/>
        <color theme="1"/>
        <rFont val="Calibri"/>
        <family val="2"/>
        <scheme val="minor"/>
      </rPr>
      <t xml:space="preserve"> + 0.005205 </t>
    </r>
    <r>
      <rPr>
        <sz val="11"/>
        <color rgb="FFFF0000"/>
        <rFont val="Calibri"/>
        <family val="2"/>
        <scheme val="minor"/>
      </rPr>
      <t>ca2_c</t>
    </r>
    <r>
      <rPr>
        <sz val="11"/>
        <color theme="1"/>
        <rFont val="Calibri"/>
        <family val="2"/>
        <scheme val="minor"/>
      </rPr>
      <t xml:space="preserve"> + 0.343161 </t>
    </r>
    <r>
      <rPr>
        <sz val="11"/>
        <color rgb="FFFF0000"/>
        <rFont val="Calibri"/>
        <family val="2"/>
        <scheme val="minor"/>
      </rPr>
      <t>lys__L_c</t>
    </r>
    <r>
      <rPr>
        <sz val="11"/>
        <color theme="1"/>
        <rFont val="Calibri"/>
        <family val="2"/>
        <scheme val="minor"/>
      </rPr>
      <t xml:space="preserve"> + 0.137896</t>
    </r>
    <r>
      <rPr>
        <sz val="11"/>
        <color rgb="FFFF0000"/>
        <rFont val="Calibri"/>
        <family val="2"/>
        <scheme val="minor"/>
      </rPr>
      <t xml:space="preserve"> tyr__L_c</t>
    </r>
    <r>
      <rPr>
        <sz val="11"/>
        <color theme="1"/>
        <rFont val="Calibri"/>
        <family val="2"/>
        <scheme val="minor"/>
      </rPr>
      <t xml:space="preserve"> + 0.26316 </t>
    </r>
    <r>
      <rPr>
        <sz val="11"/>
        <color rgb="FFFF0000"/>
        <rFont val="Calibri"/>
        <family val="2"/>
        <scheme val="minor"/>
      </rPr>
      <t>gln__L_c</t>
    </r>
    <r>
      <rPr>
        <sz val="11"/>
        <color theme="1"/>
        <rFont val="Calibri"/>
        <family val="2"/>
        <scheme val="minor"/>
      </rPr>
      <t xml:space="preserve"> + 0.000709 </t>
    </r>
    <r>
      <rPr>
        <sz val="11"/>
        <color rgb="FFFF0000"/>
        <rFont val="Calibri"/>
        <family val="2"/>
        <scheme val="minor"/>
      </rPr>
      <t xml:space="preserve">cu2_c </t>
    </r>
    <r>
      <rPr>
        <sz val="11"/>
        <color theme="1"/>
        <rFont val="Calibri"/>
        <family val="2"/>
        <scheme val="minor"/>
      </rPr>
      <t xml:space="preserve">+ 2.5e-05 </t>
    </r>
    <r>
      <rPr>
        <sz val="11"/>
        <color rgb="FFFF0000"/>
        <rFont val="Calibri"/>
        <family val="2"/>
        <scheme val="minor"/>
      </rPr>
      <t xml:space="preserve">cobalt2_c </t>
    </r>
    <r>
      <rPr>
        <sz val="11"/>
        <color theme="1"/>
        <rFont val="Calibri"/>
        <family val="2"/>
        <scheme val="minor"/>
      </rPr>
      <t>+ 0.153686</t>
    </r>
    <r>
      <rPr>
        <sz val="11"/>
        <color rgb="FFFF0000"/>
        <rFont val="Calibri"/>
        <family val="2"/>
        <scheme val="minor"/>
      </rPr>
      <t xml:space="preserve"> met__L_c </t>
    </r>
    <r>
      <rPr>
        <sz val="11"/>
        <color theme="1"/>
        <rFont val="Calibri"/>
        <family val="2"/>
        <scheme val="minor"/>
      </rPr>
      <t xml:space="preserve">+ 0.000323 </t>
    </r>
    <r>
      <rPr>
        <sz val="11"/>
        <color rgb="FFFF0000"/>
        <rFont val="Calibri"/>
        <family val="2"/>
        <scheme val="minor"/>
      </rPr>
      <t>ni2_c</t>
    </r>
    <r>
      <rPr>
        <sz val="11"/>
        <color theme="1"/>
        <rFont val="Calibri"/>
        <family val="2"/>
        <scheme val="minor"/>
      </rPr>
      <t xml:space="preserve"> + 0.195193 </t>
    </r>
    <r>
      <rPr>
        <sz val="11"/>
        <color rgb="FFFF0000"/>
        <rFont val="Calibri"/>
        <family val="2"/>
        <scheme val="minor"/>
      </rPr>
      <t xml:space="preserve">k_c </t>
    </r>
    <r>
      <rPr>
        <sz val="11"/>
        <color theme="1"/>
        <rFont val="Calibri"/>
        <family val="2"/>
        <scheme val="minor"/>
      </rPr>
      <t xml:space="preserve">+ 2.6e-05 </t>
    </r>
    <r>
      <rPr>
        <sz val="11"/>
        <color rgb="FFFF0000"/>
        <rFont val="Calibri"/>
        <family val="2"/>
        <scheme val="minor"/>
      </rPr>
      <t>2fe2s_c</t>
    </r>
    <r>
      <rPr>
        <sz val="11"/>
        <color theme="1"/>
        <rFont val="Calibri"/>
        <family val="2"/>
        <scheme val="minor"/>
      </rPr>
      <t xml:space="preserve"> + 7e-06 </t>
    </r>
    <r>
      <rPr>
        <sz val="11"/>
        <color rgb="FFFF0000"/>
        <rFont val="Calibri"/>
        <family val="2"/>
        <scheme val="minor"/>
      </rPr>
      <t xml:space="preserve">mobd_c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pheme_c </t>
    </r>
    <r>
      <rPr>
        <sz val="11"/>
        <color theme="1"/>
        <rFont val="Calibri"/>
        <family val="2"/>
        <scheme val="minor"/>
      </rPr>
      <t xml:space="preserve">+ 0.00026 </t>
    </r>
    <r>
      <rPr>
        <sz val="11"/>
        <color rgb="FFFF0000"/>
        <rFont val="Calibri"/>
        <family val="2"/>
        <scheme val="minor"/>
      </rPr>
      <t xml:space="preserve">4fe4s_c </t>
    </r>
    <r>
      <rPr>
        <sz val="11"/>
        <color theme="1"/>
        <rFont val="Calibri"/>
        <family val="2"/>
        <scheme val="minor"/>
      </rPr>
      <t xml:space="preserve">+ 0.241055 </t>
    </r>
    <r>
      <rPr>
        <sz val="11"/>
        <color rgb="FFFF0000"/>
        <rFont val="Calibri"/>
        <family val="2"/>
        <scheme val="minor"/>
      </rPr>
      <t xml:space="preserve">asp__L_c </t>
    </r>
    <r>
      <rPr>
        <sz val="11"/>
        <color theme="1"/>
        <rFont val="Calibri"/>
        <family val="2"/>
        <scheme val="minor"/>
      </rPr>
      <t xml:space="preserve">+ 0.008675 </t>
    </r>
    <r>
      <rPr>
        <sz val="11"/>
        <color rgb="FFFF0000"/>
        <rFont val="Calibri"/>
        <family val="2"/>
        <scheme val="minor"/>
      </rPr>
      <t xml:space="preserve">mg2_c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thmpp_c </t>
    </r>
    <r>
      <rPr>
        <sz val="11"/>
        <color theme="1"/>
        <rFont val="Calibri"/>
        <family val="2"/>
        <scheme val="minor"/>
      </rPr>
      <t xml:space="preserve">+ 0.001831 </t>
    </r>
    <r>
      <rPr>
        <sz val="11"/>
        <color rgb="FFFF0000"/>
        <rFont val="Calibri"/>
        <family val="2"/>
        <scheme val="minor"/>
      </rPr>
      <t>nad_c</t>
    </r>
    <r>
      <rPr>
        <sz val="11"/>
        <color theme="1"/>
        <rFont val="Calibri"/>
        <family val="2"/>
        <scheme val="minor"/>
      </rPr>
      <t xml:space="preserve"> + 0.094738</t>
    </r>
    <r>
      <rPr>
        <sz val="11"/>
        <color rgb="FFFF0000"/>
        <rFont val="Calibri"/>
        <family val="2"/>
        <scheme val="minor"/>
      </rPr>
      <t xml:space="preserve"> his__L_c</t>
    </r>
    <r>
      <rPr>
        <sz val="11"/>
        <color theme="1"/>
        <rFont val="Calibri"/>
        <family val="2"/>
        <scheme val="minor"/>
      </rPr>
      <t xml:space="preserve"> + 0.017868 </t>
    </r>
    <r>
      <rPr>
        <sz val="11"/>
        <color rgb="FFFF0000"/>
        <rFont val="Calibri"/>
        <family val="2"/>
        <scheme val="minor"/>
      </rPr>
      <t>pe160_c</t>
    </r>
    <r>
      <rPr>
        <sz val="11"/>
        <color theme="1"/>
        <rFont val="Calibri"/>
        <family val="2"/>
        <scheme val="minor"/>
      </rPr>
      <t xml:space="preserve"> + 0.612638 </t>
    </r>
    <r>
      <rPr>
        <sz val="11"/>
        <color rgb="FFFF0000"/>
        <rFont val="Calibri"/>
        <family val="2"/>
        <scheme val="minor"/>
      </rPr>
      <t xml:space="preserve">gly_c </t>
    </r>
    <r>
      <rPr>
        <sz val="11"/>
        <color theme="1"/>
        <rFont val="Calibri"/>
        <family val="2"/>
        <scheme val="minor"/>
      </rPr>
      <t>+ 0.290529</t>
    </r>
    <r>
      <rPr>
        <sz val="11"/>
        <color rgb="FFFF0000"/>
        <rFont val="Calibri"/>
        <family val="2"/>
        <scheme val="minor"/>
      </rPr>
      <t xml:space="preserve"> ile__L_c</t>
    </r>
    <r>
      <rPr>
        <sz val="11"/>
        <color theme="1"/>
        <rFont val="Calibri"/>
        <family val="2"/>
        <scheme val="minor"/>
      </rPr>
      <t xml:space="preserve"> + 0.026166 </t>
    </r>
    <r>
      <rPr>
        <sz val="11"/>
        <color rgb="FFFF0000"/>
        <rFont val="Calibri"/>
        <family val="2"/>
        <scheme val="minor"/>
      </rPr>
      <t xml:space="preserve">datp_c </t>
    </r>
    <r>
      <rPr>
        <sz val="11"/>
        <color theme="1"/>
        <rFont val="Calibri"/>
        <family val="2"/>
        <scheme val="minor"/>
      </rPr>
      <t xml:space="preserve">+ 0.000341 </t>
    </r>
    <r>
      <rPr>
        <sz val="11"/>
        <color rgb="FFFF0000"/>
        <rFont val="Calibri"/>
        <family val="2"/>
        <scheme val="minor"/>
      </rPr>
      <t>zn2_c</t>
    </r>
    <r>
      <rPr>
        <sz val="11"/>
        <color theme="1"/>
        <rFont val="Calibri"/>
        <family val="2"/>
        <scheme val="minor"/>
      </rPr>
      <t xml:space="preserve"> + 0.007808 </t>
    </r>
    <r>
      <rPr>
        <sz val="11"/>
        <color rgb="FFFF0000"/>
        <rFont val="Calibri"/>
        <family val="2"/>
        <scheme val="minor"/>
      </rPr>
      <t>fe3_c</t>
    </r>
    <r>
      <rPr>
        <sz val="11"/>
        <color theme="1"/>
        <rFont val="Calibri"/>
        <family val="2"/>
        <scheme val="minor"/>
      </rPr>
      <t xml:space="preserve"> + 0.185265</t>
    </r>
    <r>
      <rPr>
        <sz val="11"/>
        <color rgb="FFFF0000"/>
        <rFont val="Calibri"/>
        <family val="2"/>
        <scheme val="minor"/>
      </rPr>
      <t xml:space="preserve"> phe__L_c </t>
    </r>
    <r>
      <rPr>
        <sz val="11"/>
        <color theme="1"/>
        <rFont val="Calibri"/>
        <family val="2"/>
        <scheme val="minor"/>
      </rPr>
      <t>+ 0.144104</t>
    </r>
    <r>
      <rPr>
        <sz val="11"/>
        <color rgb="FFFF0000"/>
        <rFont val="Calibri"/>
        <family val="2"/>
        <scheme val="minor"/>
      </rPr>
      <t xml:space="preserve"> utp_c</t>
    </r>
    <r>
      <rPr>
        <sz val="11"/>
        <color theme="1"/>
        <rFont val="Calibri"/>
        <family val="2"/>
        <scheme val="minor"/>
      </rPr>
      <t xml:space="preserve"> + 0.09158 </t>
    </r>
    <r>
      <rPr>
        <sz val="11"/>
        <color rgb="FFFF0000"/>
        <rFont val="Calibri"/>
        <family val="2"/>
        <scheme val="minor"/>
      </rPr>
      <t>cys__L_c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>fad_c</t>
    </r>
    <r>
      <rPr>
        <sz val="11"/>
        <color theme="1"/>
        <rFont val="Calibri"/>
        <family val="2"/>
        <scheme val="minor"/>
      </rPr>
      <t xml:space="preserve"> + 0.026166</t>
    </r>
    <r>
      <rPr>
        <sz val="11"/>
        <color rgb="FFFF0000"/>
        <rFont val="Calibri"/>
        <family val="2"/>
        <scheme val="minor"/>
      </rPr>
      <t xml:space="preserve"> dttp_c </t>
    </r>
    <r>
      <rPr>
        <sz val="11"/>
        <color theme="1"/>
        <rFont val="Calibri"/>
        <family val="2"/>
        <scheme val="minor"/>
      </rPr>
      <t xml:space="preserve">+ 0.221055 </t>
    </r>
    <r>
      <rPr>
        <sz val="11"/>
        <color rgb="FFFF0000"/>
        <rFont val="Calibri"/>
        <family val="2"/>
        <scheme val="minor"/>
      </rPr>
      <t xml:space="preserve">pro__L_c </t>
    </r>
    <r>
      <rPr>
        <sz val="11"/>
        <color theme="1"/>
        <rFont val="Calibri"/>
        <family val="2"/>
        <scheme val="minor"/>
      </rPr>
      <t>+ 0.013013</t>
    </r>
    <r>
      <rPr>
        <sz val="11"/>
        <color rgb="FFFF0000"/>
        <rFont val="Calibri"/>
        <family val="2"/>
        <scheme val="minor"/>
      </rPr>
      <t xml:space="preserve"> nh4_c</t>
    </r>
    <r>
      <rPr>
        <sz val="11"/>
        <color theme="1"/>
        <rFont val="Calibri"/>
        <family val="2"/>
        <scheme val="minor"/>
      </rPr>
      <t xml:space="preserve"> + 0.26316</t>
    </r>
    <r>
      <rPr>
        <sz val="11"/>
        <color rgb="FFFF0000"/>
        <rFont val="Calibri"/>
        <family val="2"/>
        <scheme val="minor"/>
      </rPr>
      <t xml:space="preserve"> glu__L_c </t>
    </r>
    <r>
      <rPr>
        <sz val="11"/>
        <color theme="1"/>
        <rFont val="Calibri"/>
        <family val="2"/>
        <scheme val="minor"/>
      </rPr>
      <t xml:space="preserve">+ 0.006715 </t>
    </r>
    <r>
      <rPr>
        <sz val="11"/>
        <color rgb="FFFF0000"/>
        <rFont val="Calibri"/>
        <family val="2"/>
        <scheme val="minor"/>
      </rPr>
      <t xml:space="preserve">fe2_c </t>
    </r>
    <r>
      <rPr>
        <sz val="11"/>
        <color theme="1"/>
        <rFont val="Calibri"/>
        <family val="2"/>
        <scheme val="minor"/>
      </rPr>
      <t xml:space="preserve">+ 5.5e-05 </t>
    </r>
    <r>
      <rPr>
        <sz val="11"/>
        <color rgb="FFFF0000"/>
        <rFont val="Calibri"/>
        <family val="2"/>
        <scheme val="minor"/>
      </rPr>
      <t xml:space="preserve">udcpdp_c </t>
    </r>
    <r>
      <rPr>
        <sz val="11"/>
        <color theme="1"/>
        <rFont val="Calibri"/>
        <family val="2"/>
        <scheme val="minor"/>
      </rPr>
      <t xml:space="preserve">+ 0.253687 </t>
    </r>
    <r>
      <rPr>
        <sz val="11"/>
        <color rgb="FFFF0000"/>
        <rFont val="Calibri"/>
        <family val="2"/>
        <scheme val="minor"/>
      </rPr>
      <t xml:space="preserve">thr__L_c </t>
    </r>
    <r>
      <rPr>
        <sz val="11"/>
        <color theme="1"/>
        <rFont val="Calibri"/>
        <family val="2"/>
        <scheme val="minor"/>
      </rPr>
      <t>+ 2e-06</t>
    </r>
    <r>
      <rPr>
        <sz val="11"/>
        <color rgb="FFFF0000"/>
        <rFont val="Calibri"/>
        <family val="2"/>
        <scheme val="minor"/>
      </rPr>
      <t xml:space="preserve"> btn_c</t>
    </r>
    <r>
      <rPr>
        <sz val="11"/>
        <color theme="1"/>
        <rFont val="Calibri"/>
        <family val="2"/>
        <scheme val="minor"/>
      </rPr>
      <t xml:space="preserve"> + 0.02106 </t>
    </r>
    <r>
      <rPr>
        <sz val="11"/>
        <color rgb="FFFF0000"/>
        <rFont val="Calibri"/>
        <family val="2"/>
        <scheme val="minor"/>
      </rPr>
      <t xml:space="preserve">pe161_p </t>
    </r>
    <r>
      <rPr>
        <sz val="11"/>
        <color theme="1"/>
        <rFont val="Calibri"/>
        <family val="2"/>
        <scheme val="minor"/>
      </rPr>
      <t xml:space="preserve">+ 0.019456 </t>
    </r>
    <r>
      <rPr>
        <sz val="11"/>
        <color rgb="FFFF0000"/>
        <rFont val="Calibri"/>
        <family val="2"/>
        <scheme val="minor"/>
      </rPr>
      <t xml:space="preserve">kdo2lipid4_e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mlthf_c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2ohph_c </t>
    </r>
    <r>
      <rPr>
        <sz val="11"/>
        <color theme="1"/>
        <rFont val="Calibri"/>
        <family val="2"/>
        <scheme val="minor"/>
      </rPr>
      <t>+ 0.054154</t>
    </r>
    <r>
      <rPr>
        <sz val="11"/>
        <color rgb="FFFF0000"/>
        <rFont val="Calibri"/>
        <family val="2"/>
        <scheme val="minor"/>
      </rPr>
      <t xml:space="preserve"> pe161_c </t>
    </r>
    <r>
      <rPr>
        <sz val="11"/>
        <color theme="1"/>
        <rFont val="Calibri"/>
        <family val="2"/>
        <scheme val="minor"/>
      </rPr>
      <t xml:space="preserve">+ 0.013894 </t>
    </r>
    <r>
      <rPr>
        <sz val="11"/>
        <color rgb="FFFF0000"/>
        <rFont val="Calibri"/>
        <family val="2"/>
        <scheme val="minor"/>
      </rPr>
      <t xml:space="preserve">murein5px4p_p </t>
    </r>
    <r>
      <rPr>
        <sz val="11"/>
        <color theme="1"/>
        <rFont val="Calibri"/>
        <family val="2"/>
        <scheme val="minor"/>
      </rPr>
      <t xml:space="preserve">+ 0.000691 </t>
    </r>
    <r>
      <rPr>
        <sz val="11"/>
        <color rgb="FFFF0000"/>
        <rFont val="Calibri"/>
        <family val="2"/>
        <scheme val="minor"/>
      </rPr>
      <t xml:space="preserve">mn2_c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ribflv_c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pydx5p_c </t>
    </r>
    <r>
      <rPr>
        <sz val="11"/>
        <color theme="1"/>
        <rFont val="Calibri"/>
        <family val="2"/>
        <scheme val="minor"/>
      </rPr>
      <t xml:space="preserve">+ 0.241055 </t>
    </r>
    <r>
      <rPr>
        <sz val="11"/>
        <color rgb="FFFF0000"/>
        <rFont val="Calibri"/>
        <family val="2"/>
        <scheme val="minor"/>
      </rPr>
      <t xml:space="preserve">asn__L_c </t>
    </r>
    <r>
      <rPr>
        <sz val="11"/>
        <color theme="1"/>
        <rFont val="Calibri"/>
        <family val="2"/>
        <scheme val="minor"/>
      </rPr>
      <t xml:space="preserve">+ 0.450531 </t>
    </r>
    <r>
      <rPr>
        <sz val="11"/>
        <color rgb="FFFF0000"/>
        <rFont val="Calibri"/>
        <family val="2"/>
        <scheme val="minor"/>
      </rPr>
      <t>leu__L_c</t>
    </r>
    <r>
      <rPr>
        <sz val="11"/>
        <color theme="1"/>
        <rFont val="Calibri"/>
        <family val="2"/>
        <scheme val="minor"/>
      </rPr>
      <t xml:space="preserve"> + 0.000122 </t>
    </r>
    <r>
      <rPr>
        <sz val="11"/>
        <color rgb="FFFF0000"/>
        <rFont val="Calibri"/>
        <family val="2"/>
        <scheme val="minor"/>
      </rPr>
      <t>bmocogdp_c</t>
    </r>
    <r>
      <rPr>
        <sz val="11"/>
        <color theme="1"/>
        <rFont val="Calibri"/>
        <family val="2"/>
        <scheme val="minor"/>
      </rPr>
      <t xml:space="preserve"> + 0.027017 </t>
    </r>
    <r>
      <rPr>
        <sz val="11"/>
        <color rgb="FFFF0000"/>
        <rFont val="Calibri"/>
        <family val="2"/>
        <scheme val="minor"/>
      </rPr>
      <t xml:space="preserve">dgtp_c </t>
    </r>
    <r>
      <rPr>
        <sz val="11"/>
        <color theme="1"/>
        <rFont val="Calibri"/>
        <family val="2"/>
        <scheme val="minor"/>
      </rPr>
      <t xml:space="preserve">+ 0.045946 </t>
    </r>
    <r>
      <rPr>
        <sz val="11"/>
        <color rgb="FFFF0000"/>
        <rFont val="Calibri"/>
        <family val="2"/>
        <scheme val="minor"/>
      </rPr>
      <t>pe160_p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>thf_c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 xml:space="preserve">amet_c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>10fthf_c</t>
    </r>
    <r>
      <rPr>
        <sz val="11"/>
        <color theme="1"/>
        <rFont val="Calibri"/>
        <family val="2"/>
        <scheme val="minor"/>
      </rPr>
      <t xml:space="preserve"> + 0.513689 </t>
    </r>
    <r>
      <rPr>
        <sz val="11"/>
        <color rgb="FFFF0000"/>
        <rFont val="Calibri"/>
        <family val="2"/>
        <scheme val="minor"/>
      </rPr>
      <t xml:space="preserve">ala__L_c </t>
    </r>
    <r>
      <rPr>
        <sz val="11"/>
        <color theme="1"/>
        <rFont val="Calibri"/>
        <family val="2"/>
        <scheme val="minor"/>
      </rPr>
      <t xml:space="preserve">+ 0.423162 </t>
    </r>
    <r>
      <rPr>
        <sz val="11"/>
        <color rgb="FFFF0000"/>
        <rFont val="Calibri"/>
        <family val="2"/>
        <scheme val="minor"/>
      </rPr>
      <t xml:space="preserve">val__L_c </t>
    </r>
    <r>
      <rPr>
        <sz val="11"/>
        <color theme="1"/>
        <rFont val="Calibri"/>
        <family val="2"/>
        <scheme val="minor"/>
      </rPr>
      <t xml:space="preserve">+ 0.004338 </t>
    </r>
    <r>
      <rPr>
        <sz val="11"/>
        <color rgb="FFFF0000"/>
        <rFont val="Calibri"/>
        <family val="2"/>
        <scheme val="minor"/>
      </rPr>
      <t xml:space="preserve">so4_c </t>
    </r>
    <r>
      <rPr>
        <sz val="11"/>
        <color theme="1"/>
        <rFont val="Calibri"/>
        <family val="2"/>
        <scheme val="minor"/>
      </rPr>
      <t xml:space="preserve">+ 54.1248 </t>
    </r>
    <r>
      <rPr>
        <sz val="11"/>
        <color rgb="FFFF0000"/>
        <rFont val="Calibri"/>
        <family val="2"/>
        <scheme val="minor"/>
      </rPr>
      <t xml:space="preserve">atp_c </t>
    </r>
    <r>
      <rPr>
        <sz val="11"/>
        <color theme="1"/>
        <rFont val="Calibri"/>
        <family val="2"/>
        <scheme val="minor"/>
      </rPr>
      <t xml:space="preserve">+ 0.215096 </t>
    </r>
    <r>
      <rPr>
        <sz val="11"/>
        <color rgb="FFFF0000"/>
        <rFont val="Calibri"/>
        <family val="2"/>
        <scheme val="minor"/>
      </rPr>
      <t>gtp_c</t>
    </r>
    <r>
      <rPr>
        <sz val="11"/>
        <color theme="1"/>
        <rFont val="Calibri"/>
        <family val="2"/>
        <scheme val="minor"/>
      </rPr>
      <t xml:space="preserve"> + 0.000576</t>
    </r>
    <r>
      <rPr>
        <sz val="11"/>
        <color rgb="FFFF0000"/>
        <rFont val="Calibri"/>
        <family val="2"/>
        <scheme val="minor"/>
      </rPr>
      <t xml:space="preserve"> coa_c</t>
    </r>
    <r>
      <rPr>
        <sz val="11"/>
        <color theme="1"/>
        <rFont val="Calibri"/>
        <family val="2"/>
        <scheme val="minor"/>
      </rPr>
      <t xml:space="preserve"> + 0.027017</t>
    </r>
    <r>
      <rPr>
        <sz val="11"/>
        <color rgb="FFFF0000"/>
        <rFont val="Calibri"/>
        <family val="2"/>
        <scheme val="minor"/>
      </rPr>
      <t xml:space="preserve"> dctp_c</t>
    </r>
    <r>
      <rPr>
        <sz val="11"/>
        <color theme="1"/>
        <rFont val="Calibri"/>
        <family val="2"/>
        <scheme val="minor"/>
      </rPr>
      <t xml:space="preserve"> + 0.056843 </t>
    </r>
    <r>
      <rPr>
        <sz val="11"/>
        <color rgb="FFFF0000"/>
        <rFont val="Calibri"/>
        <family val="2"/>
        <scheme val="minor"/>
      </rPr>
      <t xml:space="preserve">trp__L_c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-&gt; </t>
    </r>
    <r>
      <rPr>
        <sz val="11"/>
        <color theme="1"/>
        <rFont val="Calibri"/>
        <family val="2"/>
        <scheme val="minor"/>
      </rPr>
      <t xml:space="preserve">53.95 </t>
    </r>
    <r>
      <rPr>
        <sz val="11"/>
        <color rgb="FFFF0000"/>
        <rFont val="Calibri"/>
        <family val="2"/>
        <scheme val="minor"/>
      </rPr>
      <t xml:space="preserve">adp_c </t>
    </r>
    <r>
      <rPr>
        <sz val="11"/>
        <color theme="1"/>
        <rFont val="Calibri"/>
        <family val="2"/>
        <scheme val="minor"/>
      </rPr>
      <t xml:space="preserve">+ 53.9457 </t>
    </r>
    <r>
      <rPr>
        <sz val="11"/>
        <color rgb="FFFF0000"/>
        <rFont val="Calibri"/>
        <family val="2"/>
        <scheme val="minor"/>
      </rPr>
      <t>pi_c</t>
    </r>
    <r>
      <rPr>
        <sz val="11"/>
        <color theme="1"/>
        <rFont val="Calibri"/>
        <family val="2"/>
        <scheme val="minor"/>
      </rPr>
      <t xml:space="preserve"> + 53.95 </t>
    </r>
    <r>
      <rPr>
        <sz val="11"/>
        <color rgb="FFFF0000"/>
        <rFont val="Calibri"/>
        <family val="2"/>
        <scheme val="minor"/>
      </rPr>
      <t>h_c</t>
    </r>
    <r>
      <rPr>
        <sz val="11"/>
        <color theme="1"/>
        <rFont val="Calibri"/>
        <family val="2"/>
        <scheme val="minor"/>
      </rPr>
      <t xml:space="preserve"> +</t>
    </r>
    <r>
      <rPr>
        <sz val="11"/>
        <rFont val="Calibri"/>
        <family val="2"/>
        <scheme val="minor"/>
      </rPr>
      <t xml:space="preserve"> 0.773903</t>
    </r>
    <r>
      <rPr>
        <sz val="11"/>
        <color rgb="FFFF0000"/>
        <rFont val="Calibri"/>
        <family val="2"/>
        <scheme val="minor"/>
      </rPr>
      <t xml:space="preserve"> ppi_c </t>
    </r>
  </si>
  <si>
    <t>P. putida</t>
  </si>
  <si>
    <r>
      <t xml:space="preserve">0.000223 </t>
    </r>
    <r>
      <rPr>
        <sz val="11"/>
        <color rgb="FFFF0000"/>
        <rFont val="Calibri"/>
        <family val="2"/>
        <scheme val="minor"/>
      </rPr>
      <t xml:space="preserve">10fthf_c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4fe4s_c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2fe2s_c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5mthf_c </t>
    </r>
    <r>
      <rPr>
        <sz val="11"/>
        <color theme="1"/>
        <rFont val="Calibri"/>
        <family val="2"/>
        <scheme val="minor"/>
      </rPr>
      <t xml:space="preserve">+ 0.000279 </t>
    </r>
    <r>
      <rPr>
        <sz val="11"/>
        <color rgb="FFFF0000"/>
        <rFont val="Calibri"/>
        <family val="2"/>
        <scheme val="minor"/>
      </rPr>
      <t xml:space="preserve">accoa_c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adocbl_c </t>
    </r>
    <r>
      <rPr>
        <sz val="11"/>
        <color theme="1"/>
        <rFont val="Calibri"/>
        <family val="2"/>
        <scheme val="minor"/>
      </rPr>
      <t xml:space="preserve">+ 0.598267 </t>
    </r>
    <r>
      <rPr>
        <sz val="11"/>
        <color rgb="FFFF0000"/>
        <rFont val="Calibri"/>
        <family val="2"/>
        <scheme val="minor"/>
      </rPr>
      <t xml:space="preserve">ala__L_c </t>
    </r>
    <r>
      <rPr>
        <sz val="11"/>
        <color theme="1"/>
        <rFont val="Calibri"/>
        <family val="2"/>
        <scheme val="minor"/>
      </rPr>
      <t xml:space="preserve">+ 46.9189 </t>
    </r>
    <r>
      <rPr>
        <sz val="11"/>
        <color rgb="FFFF0000"/>
        <rFont val="Calibri"/>
        <family val="2"/>
        <scheme val="minor"/>
      </rPr>
      <t xml:space="preserve">atp_c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chor_c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amet_c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bmocogdp_c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btamp_c </t>
    </r>
    <r>
      <rPr>
        <sz val="11"/>
        <color theme="1"/>
        <rFont val="Calibri"/>
        <family val="2"/>
        <scheme val="minor"/>
      </rPr>
      <t xml:space="preserve">+ 0.004226 </t>
    </r>
    <r>
      <rPr>
        <sz val="11"/>
        <color rgb="FFFF0000"/>
        <rFont val="Calibri"/>
        <family val="2"/>
        <scheme val="minor"/>
      </rPr>
      <t>cl_c</t>
    </r>
    <r>
      <rPr>
        <sz val="11"/>
        <color theme="1"/>
        <rFont val="Calibri"/>
        <family val="2"/>
        <scheme val="minor"/>
      </rPr>
      <t xml:space="preserve"> + 1.8e-05 </t>
    </r>
    <r>
      <rPr>
        <sz val="11"/>
        <color rgb="FFFF0000"/>
        <rFont val="Calibri"/>
        <family val="2"/>
        <scheme val="minor"/>
      </rPr>
      <t xml:space="preserve">clpn140_p </t>
    </r>
    <r>
      <rPr>
        <sz val="11"/>
        <color theme="1"/>
        <rFont val="Calibri"/>
        <family val="2"/>
        <scheme val="minor"/>
      </rPr>
      <t xml:space="preserve">+ 0.000578 </t>
    </r>
    <r>
      <rPr>
        <sz val="11"/>
        <color rgb="FFFF0000"/>
        <rFont val="Calibri"/>
        <family val="2"/>
        <scheme val="minor"/>
      </rPr>
      <t xml:space="preserve">clpn160_p </t>
    </r>
    <r>
      <rPr>
        <sz val="11"/>
        <color theme="1"/>
        <rFont val="Calibri"/>
        <family val="2"/>
        <scheme val="minor"/>
      </rPr>
      <t xml:space="preserve">+ 0.002873 </t>
    </r>
    <r>
      <rPr>
        <sz val="11"/>
        <color rgb="FFFF0000"/>
        <rFont val="Calibri"/>
        <family val="2"/>
        <scheme val="minor"/>
      </rPr>
      <t>clpn161_p</t>
    </r>
    <r>
      <rPr>
        <sz val="11"/>
        <color theme="1"/>
        <rFont val="Calibri"/>
        <family val="2"/>
        <scheme val="minor"/>
      </rPr>
      <t xml:space="preserve"> + 0.000192 </t>
    </r>
    <r>
      <rPr>
        <sz val="11"/>
        <color rgb="FFFF0000"/>
        <rFont val="Calibri"/>
        <family val="2"/>
        <scheme val="minor"/>
      </rPr>
      <t xml:space="preserve">clpn180_p </t>
    </r>
    <r>
      <rPr>
        <sz val="11"/>
        <color theme="1"/>
        <rFont val="Calibri"/>
        <family val="2"/>
        <scheme val="minor"/>
      </rPr>
      <t xml:space="preserve">+ 0.001309 </t>
    </r>
    <r>
      <rPr>
        <sz val="11"/>
        <color rgb="FFFF0000"/>
        <rFont val="Calibri"/>
        <family val="2"/>
        <scheme val="minor"/>
      </rPr>
      <t xml:space="preserve">clpn181_p </t>
    </r>
    <r>
      <rPr>
        <sz val="11"/>
        <color theme="1"/>
        <rFont val="Calibri"/>
        <family val="2"/>
        <scheme val="minor"/>
      </rPr>
      <t xml:space="preserve">+ 0.354251 </t>
    </r>
    <r>
      <rPr>
        <sz val="11"/>
        <color rgb="FFFF0000"/>
        <rFont val="Calibri"/>
        <family val="2"/>
        <scheme val="minor"/>
      </rPr>
      <t xml:space="preserve">arg__L_c </t>
    </r>
    <r>
      <rPr>
        <sz val="11"/>
        <color theme="1"/>
        <rFont val="Calibri"/>
        <family val="2"/>
        <scheme val="minor"/>
      </rPr>
      <t xml:space="preserve">+ 0.004226 </t>
    </r>
    <r>
      <rPr>
        <sz val="11"/>
        <color rgb="FFFF0000"/>
        <rFont val="Calibri"/>
        <family val="2"/>
        <scheme val="minor"/>
      </rPr>
      <t xml:space="preserve">ca2_c </t>
    </r>
    <r>
      <rPr>
        <sz val="11"/>
        <color theme="1"/>
        <rFont val="Calibri"/>
        <family val="2"/>
        <scheme val="minor"/>
      </rPr>
      <t xml:space="preserve">+ 0.158931 </t>
    </r>
    <r>
      <rPr>
        <sz val="11"/>
        <color rgb="FFFF0000"/>
        <rFont val="Calibri"/>
        <family val="2"/>
        <scheme val="minor"/>
      </rPr>
      <t xml:space="preserve">asn__L_c </t>
    </r>
    <r>
      <rPr>
        <sz val="11"/>
        <color theme="1"/>
        <rFont val="Calibri"/>
        <family val="2"/>
        <scheme val="minor"/>
      </rPr>
      <t>+ 0.000167</t>
    </r>
    <r>
      <rPr>
        <sz val="11"/>
        <color rgb="FFFF0000"/>
        <rFont val="Calibri"/>
        <family val="2"/>
        <scheme val="minor"/>
      </rPr>
      <t xml:space="preserve"> coa_c </t>
    </r>
    <r>
      <rPr>
        <sz val="11"/>
        <color theme="1"/>
        <rFont val="Calibri"/>
        <family val="2"/>
        <scheme val="minor"/>
      </rPr>
      <t>+ 0.002817</t>
    </r>
    <r>
      <rPr>
        <sz val="11"/>
        <color rgb="FFFF0000"/>
        <rFont val="Calibri"/>
        <family val="2"/>
        <scheme val="minor"/>
      </rPr>
      <t xml:space="preserve"> cobalt2_c </t>
    </r>
    <r>
      <rPr>
        <sz val="11"/>
        <color theme="1"/>
        <rFont val="Calibri"/>
        <family val="2"/>
        <scheme val="minor"/>
      </rPr>
      <t xml:space="preserve">+ 0.284685 </t>
    </r>
    <r>
      <rPr>
        <sz val="11"/>
        <color rgb="FFFF0000"/>
        <rFont val="Calibri"/>
        <family val="2"/>
        <scheme val="minor"/>
      </rPr>
      <t xml:space="preserve">asp__L_c </t>
    </r>
    <r>
      <rPr>
        <sz val="11"/>
        <color theme="1"/>
        <rFont val="Calibri"/>
        <family val="2"/>
        <scheme val="minor"/>
      </rPr>
      <t xml:space="preserve">+ 0.00041 </t>
    </r>
    <r>
      <rPr>
        <sz val="11"/>
        <color rgb="FFFF0000"/>
        <rFont val="Calibri"/>
        <family val="2"/>
        <scheme val="minor"/>
      </rPr>
      <t>cpe160_c</t>
    </r>
    <r>
      <rPr>
        <sz val="11"/>
        <color theme="1"/>
        <rFont val="Calibri"/>
        <family val="2"/>
        <scheme val="minor"/>
      </rPr>
      <t xml:space="preserve"> + 0.000226</t>
    </r>
    <r>
      <rPr>
        <sz val="11"/>
        <color rgb="FFFF0000"/>
        <rFont val="Calibri"/>
        <family val="2"/>
        <scheme val="minor"/>
      </rPr>
      <t xml:space="preserve"> cpg160_c</t>
    </r>
    <r>
      <rPr>
        <sz val="11"/>
        <color theme="1"/>
        <rFont val="Calibri"/>
        <family val="2"/>
        <scheme val="minor"/>
      </rPr>
      <t xml:space="preserve"> + 0.055652</t>
    </r>
    <r>
      <rPr>
        <sz val="11"/>
        <color rgb="FFFF0000"/>
        <rFont val="Calibri"/>
        <family val="2"/>
        <scheme val="minor"/>
      </rPr>
      <t xml:space="preserve"> cys__L_c </t>
    </r>
    <r>
      <rPr>
        <sz val="11"/>
        <color theme="1"/>
        <rFont val="Calibri"/>
        <family val="2"/>
        <scheme val="minor"/>
      </rPr>
      <t xml:space="preserve">+ 0.010804 </t>
    </r>
    <r>
      <rPr>
        <sz val="11"/>
        <color rgb="FFFF0000"/>
        <rFont val="Calibri"/>
        <family val="2"/>
        <scheme val="minor"/>
      </rPr>
      <t xml:space="preserve">datp_c </t>
    </r>
    <r>
      <rPr>
        <sz val="11"/>
        <color theme="1"/>
        <rFont val="Calibri"/>
        <family val="2"/>
        <scheme val="minor"/>
      </rPr>
      <t xml:space="preserve">+ 0.159783 </t>
    </r>
    <r>
      <rPr>
        <sz val="11"/>
        <color rgb="FFFF0000"/>
        <rFont val="Calibri"/>
        <family val="2"/>
        <scheme val="minor"/>
      </rPr>
      <t xml:space="preserve">ctp_c </t>
    </r>
    <r>
      <rPr>
        <sz val="11"/>
        <color theme="1"/>
        <rFont val="Calibri"/>
        <family val="2"/>
        <scheme val="minor"/>
      </rPr>
      <t xml:space="preserve">+ 0.002817 </t>
    </r>
    <r>
      <rPr>
        <sz val="11"/>
        <color rgb="FFFF0000"/>
        <rFont val="Calibri"/>
        <family val="2"/>
        <scheme val="minor"/>
      </rPr>
      <t>cu2_c</t>
    </r>
    <r>
      <rPr>
        <sz val="11"/>
        <color theme="1"/>
        <rFont val="Calibri"/>
        <family val="2"/>
        <scheme val="minor"/>
      </rPr>
      <t xml:space="preserve"> + 0.01721 </t>
    </r>
    <r>
      <rPr>
        <sz val="11"/>
        <color rgb="FFFF0000"/>
        <rFont val="Calibri"/>
        <family val="2"/>
        <scheme val="minor"/>
      </rPr>
      <t>dctp_c</t>
    </r>
    <r>
      <rPr>
        <sz val="11"/>
        <color theme="1"/>
        <rFont val="Calibri"/>
        <family val="2"/>
        <scheme val="minor"/>
      </rPr>
      <t xml:space="preserve"> + 0.010854 </t>
    </r>
    <r>
      <rPr>
        <sz val="11"/>
        <color rgb="FFFF0000"/>
        <rFont val="Calibri"/>
        <family val="2"/>
        <scheme val="minor"/>
      </rPr>
      <t>dttp_c</t>
    </r>
    <r>
      <rPr>
        <sz val="11"/>
        <color theme="1"/>
        <rFont val="Calibri"/>
        <family val="2"/>
        <scheme val="minor"/>
      </rPr>
      <t xml:space="preserve"> + 0.017423</t>
    </r>
    <r>
      <rPr>
        <sz val="11"/>
        <color rgb="FFFF0000"/>
        <rFont val="Calibri"/>
        <family val="2"/>
        <scheme val="minor"/>
      </rPr>
      <t xml:space="preserve"> dgtp_c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fad_c </t>
    </r>
    <r>
      <rPr>
        <sz val="11"/>
        <color theme="1"/>
        <rFont val="Calibri"/>
        <family val="2"/>
        <scheme val="minor"/>
      </rPr>
      <t xml:space="preserve">+ 0.00634 </t>
    </r>
    <r>
      <rPr>
        <sz val="11"/>
        <color rgb="FFFF0000"/>
        <rFont val="Calibri"/>
        <family val="2"/>
        <scheme val="minor"/>
      </rPr>
      <t>fe2_c</t>
    </r>
    <r>
      <rPr>
        <sz val="11"/>
        <color theme="1"/>
        <rFont val="Calibri"/>
        <family val="2"/>
        <scheme val="minor"/>
      </rPr>
      <t xml:space="preserve"> + 0.00634</t>
    </r>
    <r>
      <rPr>
        <sz val="11"/>
        <color rgb="FFFF0000"/>
        <rFont val="Calibri"/>
        <family val="2"/>
        <scheme val="minor"/>
      </rPr>
      <t xml:space="preserve"> fe3_c </t>
    </r>
    <r>
      <rPr>
        <sz val="11"/>
        <color theme="1"/>
        <rFont val="Calibri"/>
        <family val="2"/>
        <scheme val="minor"/>
      </rPr>
      <t xml:space="preserve">+ 0.301809 </t>
    </r>
    <r>
      <rPr>
        <sz val="11"/>
        <color rgb="FFFF0000"/>
        <rFont val="Calibri"/>
        <family val="2"/>
        <scheme val="minor"/>
      </rPr>
      <t xml:space="preserve">glu__L_c </t>
    </r>
    <r>
      <rPr>
        <sz val="11"/>
        <color theme="1"/>
        <rFont val="Calibri"/>
        <family val="2"/>
        <scheme val="minor"/>
      </rPr>
      <t xml:space="preserve">+ 0.251507 </t>
    </r>
    <r>
      <rPr>
        <sz val="11"/>
        <color rgb="FFFF0000"/>
        <rFont val="Calibri"/>
        <family val="2"/>
        <scheme val="minor"/>
      </rPr>
      <t>gln__L_c</t>
    </r>
    <r>
      <rPr>
        <sz val="11"/>
        <color theme="1"/>
        <rFont val="Calibri"/>
        <family val="2"/>
        <scheme val="minor"/>
      </rPr>
      <t xml:space="preserve"> + 0.431309 </t>
    </r>
    <r>
      <rPr>
        <sz val="11"/>
        <color rgb="FFFF0000"/>
        <rFont val="Calibri"/>
        <family val="2"/>
        <scheme val="minor"/>
      </rPr>
      <t xml:space="preserve">gly_c </t>
    </r>
    <r>
      <rPr>
        <sz val="11"/>
        <color theme="1"/>
        <rFont val="Calibri"/>
        <family val="2"/>
        <scheme val="minor"/>
      </rPr>
      <t>+ 0.158509</t>
    </r>
    <r>
      <rPr>
        <sz val="11"/>
        <color rgb="FFFF0000"/>
        <rFont val="Calibri"/>
        <family val="2"/>
        <scheme val="minor"/>
      </rPr>
      <t xml:space="preserve"> k_c </t>
    </r>
    <r>
      <rPr>
        <sz val="11"/>
        <color theme="1"/>
        <rFont val="Calibri"/>
        <family val="2"/>
        <scheme val="minor"/>
      </rPr>
      <t xml:space="preserve">+ 0.628769 </t>
    </r>
    <r>
      <rPr>
        <sz val="11"/>
        <color rgb="FFFF0000"/>
        <rFont val="Calibri"/>
        <family val="2"/>
        <scheme val="minor"/>
      </rPr>
      <t xml:space="preserve">leu__L_c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gthrd_c </t>
    </r>
    <r>
      <rPr>
        <sz val="11"/>
        <color theme="1"/>
        <rFont val="Calibri"/>
        <family val="2"/>
        <scheme val="minor"/>
      </rPr>
      <t>+ 0.210704</t>
    </r>
    <r>
      <rPr>
        <sz val="11"/>
        <color rgb="FFFF0000"/>
        <rFont val="Calibri"/>
        <family val="2"/>
        <scheme val="minor"/>
      </rPr>
      <t xml:space="preserve"> gtp_c </t>
    </r>
    <r>
      <rPr>
        <sz val="11"/>
        <color theme="1"/>
        <rFont val="Calibri"/>
        <family val="2"/>
        <scheme val="minor"/>
      </rPr>
      <t>+ 0.000223</t>
    </r>
    <r>
      <rPr>
        <sz val="11"/>
        <color rgb="FFFF0000"/>
        <rFont val="Calibri"/>
        <family val="2"/>
        <scheme val="minor"/>
      </rPr>
      <t xml:space="preserve"> lipopb_c</t>
    </r>
    <r>
      <rPr>
        <sz val="11"/>
        <color theme="1"/>
        <rFont val="Calibri"/>
        <family val="2"/>
        <scheme val="minor"/>
      </rPr>
      <t xml:space="preserve"> + 41.3974 </t>
    </r>
    <r>
      <rPr>
        <sz val="11"/>
        <color rgb="FFFF0000"/>
        <rFont val="Calibri"/>
        <family val="2"/>
        <scheme val="minor"/>
      </rPr>
      <t xml:space="preserve">h2o_c </t>
    </r>
    <r>
      <rPr>
        <sz val="11"/>
        <color theme="1"/>
        <rFont val="Calibri"/>
        <family val="2"/>
        <scheme val="minor"/>
      </rPr>
      <t xml:space="preserve">+ 3.1e-05 </t>
    </r>
    <r>
      <rPr>
        <sz val="11"/>
        <color rgb="FFFF0000"/>
        <rFont val="Calibri"/>
        <family val="2"/>
        <scheme val="minor"/>
      </rPr>
      <t xml:space="preserve">malcoa_c </t>
    </r>
    <r>
      <rPr>
        <sz val="11"/>
        <color theme="1"/>
        <rFont val="Calibri"/>
        <family val="2"/>
        <scheme val="minor"/>
      </rPr>
      <t xml:space="preserve">+ 0.008696 </t>
    </r>
    <r>
      <rPr>
        <sz val="11"/>
        <color rgb="FFFF0000"/>
        <rFont val="Calibri"/>
        <family val="2"/>
        <scheme val="minor"/>
      </rPr>
      <t>lpspput_e</t>
    </r>
    <r>
      <rPr>
        <sz val="11"/>
        <color theme="1"/>
        <rFont val="Calibri"/>
        <family val="2"/>
        <scheme val="minor"/>
      </rPr>
      <t xml:space="preserve"> + 0.180336 </t>
    </r>
    <r>
      <rPr>
        <sz val="11"/>
        <color rgb="FFFF0000"/>
        <rFont val="Calibri"/>
        <family val="2"/>
        <scheme val="minor"/>
      </rPr>
      <t>lys__L_c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>hemeO_c</t>
    </r>
    <r>
      <rPr>
        <sz val="11"/>
        <color theme="1"/>
        <rFont val="Calibri"/>
        <family val="2"/>
        <scheme val="minor"/>
      </rPr>
      <t xml:space="preserve"> + 0.122008 met__L_c + 0.126289 </t>
    </r>
    <r>
      <rPr>
        <sz val="11"/>
        <color rgb="FFFF0000"/>
        <rFont val="Calibri"/>
        <family val="2"/>
        <scheme val="minor"/>
      </rPr>
      <t xml:space="preserve">his__L_c </t>
    </r>
    <r>
      <rPr>
        <sz val="11"/>
        <color theme="1"/>
        <rFont val="Calibri"/>
        <family val="2"/>
        <scheme val="minor"/>
      </rPr>
      <t xml:space="preserve">+ 0.007044 </t>
    </r>
    <r>
      <rPr>
        <sz val="11"/>
        <color rgb="FFFF0000"/>
        <rFont val="Calibri"/>
        <family val="2"/>
        <scheme val="minor"/>
      </rPr>
      <t xml:space="preserve">mg2_c </t>
    </r>
    <r>
      <rPr>
        <sz val="11"/>
        <color theme="1"/>
        <rFont val="Calibri"/>
        <family val="2"/>
        <scheme val="minor"/>
      </rPr>
      <t xml:space="preserve">+ 0.002817 </t>
    </r>
    <r>
      <rPr>
        <sz val="11"/>
        <color rgb="FFFF0000"/>
        <rFont val="Calibri"/>
        <family val="2"/>
        <scheme val="minor"/>
      </rPr>
      <t>ni2_c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>mlthf_c</t>
    </r>
    <r>
      <rPr>
        <sz val="11"/>
        <color theme="1"/>
        <rFont val="Calibri"/>
        <family val="2"/>
        <scheme val="minor"/>
      </rPr>
      <t xml:space="preserve"> + 0.002817 </t>
    </r>
    <r>
      <rPr>
        <sz val="11"/>
        <color rgb="FFFF0000"/>
        <rFont val="Calibri"/>
        <family val="2"/>
        <scheme val="minor"/>
      </rPr>
      <t>mn2_c</t>
    </r>
    <r>
      <rPr>
        <sz val="11"/>
        <color theme="1"/>
        <rFont val="Calibri"/>
        <family val="2"/>
        <scheme val="minor"/>
      </rPr>
      <t xml:space="preserve"> + 0.002817 </t>
    </r>
    <r>
      <rPr>
        <sz val="11"/>
        <color rgb="FFFF0000"/>
        <rFont val="Calibri"/>
        <family val="2"/>
        <scheme val="minor"/>
      </rPr>
      <t xml:space="preserve">mobd_c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mocogdp_c </t>
    </r>
    <r>
      <rPr>
        <sz val="11"/>
        <color theme="1"/>
        <rFont val="Calibri"/>
        <family val="2"/>
        <scheme val="minor"/>
      </rPr>
      <t>+ 0.001979</t>
    </r>
    <r>
      <rPr>
        <sz val="11"/>
        <color rgb="FFFF0000"/>
        <rFont val="Calibri"/>
        <family val="2"/>
        <scheme val="minor"/>
      </rPr>
      <t xml:space="preserve"> murein3p3p_p </t>
    </r>
    <r>
      <rPr>
        <sz val="11"/>
        <color theme="1"/>
        <rFont val="Calibri"/>
        <family val="2"/>
        <scheme val="minor"/>
      </rPr>
      <t xml:space="preserve">+ 0.000326 </t>
    </r>
    <r>
      <rPr>
        <sz val="11"/>
        <color rgb="FFFF0000"/>
        <rFont val="Calibri"/>
        <family val="2"/>
        <scheme val="minor"/>
      </rPr>
      <t xml:space="preserve">murein3px4p_p </t>
    </r>
    <r>
      <rPr>
        <sz val="11"/>
        <color theme="1"/>
        <rFont val="Calibri"/>
        <family val="2"/>
        <scheme val="minor"/>
      </rPr>
      <t>+ 0.007917</t>
    </r>
    <r>
      <rPr>
        <sz val="11"/>
        <color rgb="FFFF0000"/>
        <rFont val="Calibri"/>
        <family val="2"/>
        <scheme val="minor"/>
      </rPr>
      <t xml:space="preserve"> murein4p4p_p </t>
    </r>
    <r>
      <rPr>
        <sz val="11"/>
        <color theme="1"/>
        <rFont val="Calibri"/>
        <family val="2"/>
        <scheme val="minor"/>
      </rPr>
      <t xml:space="preserve">+ 0.002941 </t>
    </r>
    <r>
      <rPr>
        <sz val="11"/>
        <color rgb="FFFF0000"/>
        <rFont val="Calibri"/>
        <family val="2"/>
        <scheme val="minor"/>
      </rPr>
      <t xml:space="preserve">murein4px4p_p </t>
    </r>
    <r>
      <rPr>
        <sz val="11"/>
        <color theme="1"/>
        <rFont val="Calibri"/>
        <family val="2"/>
        <scheme val="minor"/>
      </rPr>
      <t xml:space="preserve">+ 6.6e-05 </t>
    </r>
    <r>
      <rPr>
        <sz val="11"/>
        <color rgb="FFFF0000"/>
        <rFont val="Calibri"/>
        <family val="2"/>
        <scheme val="minor"/>
      </rPr>
      <t xml:space="preserve">murein4px4px4p_p </t>
    </r>
    <r>
      <rPr>
        <sz val="11"/>
        <color theme="1"/>
        <rFont val="Calibri"/>
        <family val="2"/>
        <scheme val="minor"/>
      </rPr>
      <t>+ 0.003522</t>
    </r>
    <r>
      <rPr>
        <sz val="11"/>
        <color rgb="FFFF0000"/>
        <rFont val="Calibri"/>
        <family val="2"/>
        <scheme val="minor"/>
      </rPr>
      <t xml:space="preserve"> na1_c</t>
    </r>
    <r>
      <rPr>
        <sz val="11"/>
        <color theme="1"/>
        <rFont val="Calibri"/>
        <family val="2"/>
        <scheme val="minor"/>
      </rPr>
      <t xml:space="preserve"> + 0.001786 </t>
    </r>
    <r>
      <rPr>
        <sz val="11"/>
        <color rgb="FFFF0000"/>
        <rFont val="Calibri"/>
        <family val="2"/>
        <scheme val="minor"/>
      </rPr>
      <t>nad_c</t>
    </r>
    <r>
      <rPr>
        <sz val="11"/>
        <color theme="1"/>
        <rFont val="Calibri"/>
        <family val="2"/>
        <scheme val="minor"/>
      </rPr>
      <t xml:space="preserve"> + 0.244551</t>
    </r>
    <r>
      <rPr>
        <sz val="11"/>
        <color rgb="FFFF0000"/>
        <rFont val="Calibri"/>
        <family val="2"/>
        <scheme val="minor"/>
      </rPr>
      <t xml:space="preserve"> ile__L_c </t>
    </r>
    <r>
      <rPr>
        <sz val="11"/>
        <color theme="1"/>
        <rFont val="Calibri"/>
        <family val="2"/>
        <scheme val="minor"/>
      </rPr>
      <t xml:space="preserve">+ 4.4e-05 </t>
    </r>
    <r>
      <rPr>
        <sz val="11"/>
        <color rgb="FFFF0000"/>
        <rFont val="Calibri"/>
        <family val="2"/>
        <scheme val="minor"/>
      </rPr>
      <t xml:space="preserve">nadh_c </t>
    </r>
    <r>
      <rPr>
        <sz val="11"/>
        <color theme="1"/>
        <rFont val="Calibri"/>
        <family val="2"/>
        <scheme val="minor"/>
      </rPr>
      <t xml:space="preserve">+ 0.000111 </t>
    </r>
    <r>
      <rPr>
        <sz val="11"/>
        <color rgb="FFFF0000"/>
        <rFont val="Calibri"/>
        <family val="2"/>
        <scheme val="minor"/>
      </rPr>
      <t xml:space="preserve">nadp_c </t>
    </r>
    <r>
      <rPr>
        <sz val="11"/>
        <color theme="1"/>
        <rFont val="Calibri"/>
        <family val="2"/>
        <scheme val="minor"/>
      </rPr>
      <t xml:space="preserve">+ 0.000335 </t>
    </r>
    <r>
      <rPr>
        <sz val="11"/>
        <color rgb="FFFF0000"/>
        <rFont val="Calibri"/>
        <family val="2"/>
        <scheme val="minor"/>
      </rPr>
      <t xml:space="preserve">nadph_c </t>
    </r>
    <r>
      <rPr>
        <sz val="11"/>
        <color theme="1"/>
        <rFont val="Calibri"/>
        <family val="2"/>
        <scheme val="minor"/>
      </rPr>
      <t>+ 0.010567</t>
    </r>
    <r>
      <rPr>
        <sz val="11"/>
        <color rgb="FFFF0000"/>
        <rFont val="Calibri"/>
        <family val="2"/>
        <scheme val="minor"/>
      </rPr>
      <t xml:space="preserve"> nh4_c </t>
    </r>
    <r>
      <rPr>
        <sz val="11"/>
        <color theme="1"/>
        <rFont val="Calibri"/>
        <family val="2"/>
        <scheme val="minor"/>
      </rPr>
      <t xml:space="preserve">+ 0.000251 </t>
    </r>
    <r>
      <rPr>
        <sz val="11"/>
        <color rgb="FFFF0000"/>
        <rFont val="Calibri"/>
        <family val="2"/>
        <scheme val="minor"/>
      </rPr>
      <t xml:space="preserve">pe140_c </t>
    </r>
    <r>
      <rPr>
        <sz val="11"/>
        <color theme="1"/>
        <rFont val="Calibri"/>
        <family val="2"/>
        <scheme val="minor"/>
      </rPr>
      <t xml:space="preserve">+ 0.007882 </t>
    </r>
    <r>
      <rPr>
        <sz val="11"/>
        <color rgb="FFFF0000"/>
        <rFont val="Calibri"/>
        <family val="2"/>
        <scheme val="minor"/>
      </rPr>
      <t xml:space="preserve">pe160_c </t>
    </r>
    <r>
      <rPr>
        <sz val="11"/>
        <color theme="1"/>
        <rFont val="Calibri"/>
        <family val="2"/>
        <scheme val="minor"/>
      </rPr>
      <t xml:space="preserve">+ 0.039155 </t>
    </r>
    <r>
      <rPr>
        <sz val="11"/>
        <color rgb="FFFF0000"/>
        <rFont val="Calibri"/>
        <family val="2"/>
        <scheme val="minor"/>
      </rPr>
      <t>pe161_c</t>
    </r>
    <r>
      <rPr>
        <sz val="11"/>
        <color theme="1"/>
        <rFont val="Calibri"/>
        <family val="2"/>
        <scheme val="minor"/>
      </rPr>
      <t xml:space="preserve"> + 0.002622</t>
    </r>
    <r>
      <rPr>
        <sz val="11"/>
        <color rgb="FFFF0000"/>
        <rFont val="Calibri"/>
        <family val="2"/>
        <scheme val="minor"/>
      </rPr>
      <t xml:space="preserve"> pe180_c</t>
    </r>
    <r>
      <rPr>
        <sz val="11"/>
        <color theme="1"/>
        <rFont val="Calibri"/>
        <family val="2"/>
        <scheme val="minor"/>
      </rPr>
      <t xml:space="preserve"> + 0.017845 </t>
    </r>
    <r>
      <rPr>
        <sz val="11"/>
        <color rgb="FFFF0000"/>
        <rFont val="Calibri"/>
        <family val="2"/>
        <scheme val="minor"/>
      </rPr>
      <t xml:space="preserve">pe181_c </t>
    </r>
    <r>
      <rPr>
        <sz val="11"/>
        <color theme="1"/>
        <rFont val="Calibri"/>
        <family val="2"/>
        <scheme val="minor"/>
      </rPr>
      <t xml:space="preserve">+ 0.000138 </t>
    </r>
    <r>
      <rPr>
        <sz val="11"/>
        <color rgb="FFFF0000"/>
        <rFont val="Calibri"/>
        <family val="2"/>
        <scheme val="minor"/>
      </rPr>
      <t xml:space="preserve">pg140_c </t>
    </r>
    <r>
      <rPr>
        <sz val="11"/>
        <color theme="1"/>
        <rFont val="Calibri"/>
        <family val="2"/>
        <scheme val="minor"/>
      </rPr>
      <t xml:space="preserve">+ 0.004354 </t>
    </r>
    <r>
      <rPr>
        <sz val="11"/>
        <color rgb="FFFF0000"/>
        <rFont val="Calibri"/>
        <family val="2"/>
        <scheme val="minor"/>
      </rPr>
      <t xml:space="preserve">pg160_c </t>
    </r>
    <r>
      <rPr>
        <sz val="11"/>
        <color theme="1"/>
        <rFont val="Calibri"/>
        <family val="2"/>
        <scheme val="minor"/>
      </rPr>
      <t xml:space="preserve">+ 0.021632 </t>
    </r>
    <r>
      <rPr>
        <sz val="11"/>
        <color rgb="FFFF0000"/>
        <rFont val="Calibri"/>
        <family val="2"/>
        <scheme val="minor"/>
      </rPr>
      <t xml:space="preserve">pg161_c </t>
    </r>
    <r>
      <rPr>
        <sz val="11"/>
        <color theme="1"/>
        <rFont val="Calibri"/>
        <family val="2"/>
        <scheme val="minor"/>
      </rPr>
      <t xml:space="preserve">+ 0.001449 </t>
    </r>
    <r>
      <rPr>
        <sz val="11"/>
        <color rgb="FFFF0000"/>
        <rFont val="Calibri"/>
        <family val="2"/>
        <scheme val="minor"/>
      </rPr>
      <t>pg180_c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 xml:space="preserve">pqqh2_c </t>
    </r>
    <r>
      <rPr>
        <sz val="11"/>
        <color theme="1"/>
        <rFont val="Calibri"/>
        <family val="2"/>
        <scheme val="minor"/>
      </rPr>
      <t xml:space="preserve">+ 0.009859 </t>
    </r>
    <r>
      <rPr>
        <sz val="11"/>
        <color rgb="FFFF0000"/>
        <rFont val="Calibri"/>
        <family val="2"/>
        <scheme val="minor"/>
      </rPr>
      <t>pg181_c</t>
    </r>
    <r>
      <rPr>
        <sz val="11"/>
        <color theme="1"/>
        <rFont val="Calibri"/>
        <family val="2"/>
        <scheme val="minor"/>
      </rPr>
      <t xml:space="preserve"> + 0.191038 </t>
    </r>
    <r>
      <rPr>
        <sz val="11"/>
        <color rgb="FFFF0000"/>
        <rFont val="Calibri"/>
        <family val="2"/>
        <scheme val="minor"/>
      </rPr>
      <t>phe__L_c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>pheme_c</t>
    </r>
    <r>
      <rPr>
        <sz val="11"/>
        <color theme="1"/>
        <rFont val="Calibri"/>
        <family val="2"/>
        <scheme val="minor"/>
      </rPr>
      <t xml:space="preserve"> + 0.26328 </t>
    </r>
    <r>
      <rPr>
        <sz val="11"/>
        <color rgb="FFFF0000"/>
        <rFont val="Calibri"/>
        <family val="2"/>
        <scheme val="minor"/>
      </rPr>
      <t xml:space="preserve">pro__L_c </t>
    </r>
    <r>
      <rPr>
        <sz val="11"/>
        <color theme="1"/>
        <rFont val="Calibri"/>
        <family val="2"/>
        <scheme val="minor"/>
      </rPr>
      <t>+ 0.003522</t>
    </r>
    <r>
      <rPr>
        <sz val="11"/>
        <color rgb="FFFF0000"/>
        <rFont val="Calibri"/>
        <family val="2"/>
        <scheme val="minor"/>
      </rPr>
      <t xml:space="preserve"> so4_c </t>
    </r>
    <r>
      <rPr>
        <sz val="11"/>
        <color theme="1"/>
        <rFont val="Calibri"/>
        <family val="2"/>
        <scheme val="minor"/>
      </rPr>
      <t xml:space="preserve">+ 0.03327 </t>
    </r>
    <r>
      <rPr>
        <sz val="11"/>
        <color rgb="FFFF0000"/>
        <rFont val="Calibri"/>
        <family val="2"/>
        <scheme val="minor"/>
      </rPr>
      <t xml:space="preserve">ptrc_c </t>
    </r>
    <r>
      <rPr>
        <sz val="11"/>
        <color theme="1"/>
        <rFont val="Calibri"/>
        <family val="2"/>
        <scheme val="minor"/>
      </rPr>
      <t xml:space="preserve">+ 9.8e-05 </t>
    </r>
    <r>
      <rPr>
        <sz val="11"/>
        <color rgb="FFFF0000"/>
        <rFont val="Calibri"/>
        <family val="2"/>
        <scheme val="minor"/>
      </rPr>
      <t xml:space="preserve">succoa_c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>pydx5p_c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>pyovd_kt_e</t>
    </r>
    <r>
      <rPr>
        <sz val="11"/>
        <color theme="1"/>
        <rFont val="Calibri"/>
        <family val="2"/>
        <scheme val="minor"/>
      </rPr>
      <t xml:space="preserve"> + 0.077592 </t>
    </r>
    <r>
      <rPr>
        <sz val="11"/>
        <color rgb="FFFF0000"/>
        <rFont val="Calibri"/>
        <family val="2"/>
        <scheme val="minor"/>
      </rPr>
      <t>trp__L_c</t>
    </r>
    <r>
      <rPr>
        <sz val="11"/>
        <color theme="1"/>
        <rFont val="Calibri"/>
        <family val="2"/>
        <scheme val="minor"/>
      </rPr>
      <t xml:space="preserve"> + 0.000223 </t>
    </r>
    <r>
      <rPr>
        <sz val="11"/>
        <color rgb="FFFF0000"/>
        <rFont val="Calibri"/>
        <family val="2"/>
        <scheme val="minor"/>
      </rPr>
      <t xml:space="preserve">q8h2_c </t>
    </r>
    <r>
      <rPr>
        <sz val="11"/>
        <color theme="1"/>
        <rFont val="Calibri"/>
        <family val="2"/>
        <scheme val="minor"/>
      </rPr>
      <t>+ 0.000223</t>
    </r>
    <r>
      <rPr>
        <sz val="11"/>
        <color rgb="FFFF0000"/>
        <rFont val="Calibri"/>
        <family val="2"/>
        <scheme val="minor"/>
      </rPr>
      <t xml:space="preserve"> thf_c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>thmnp_c</t>
    </r>
    <r>
      <rPr>
        <sz val="11"/>
        <color theme="1"/>
        <rFont val="Calibri"/>
        <family val="2"/>
        <scheme val="minor"/>
      </rPr>
      <t xml:space="preserve"> + 0.135921 </t>
    </r>
    <r>
      <rPr>
        <sz val="11"/>
        <color rgb="FFFF0000"/>
        <rFont val="Calibri"/>
        <family val="2"/>
        <scheme val="minor"/>
      </rPr>
      <t xml:space="preserve">tyr__L_c </t>
    </r>
    <r>
      <rPr>
        <sz val="11"/>
        <color theme="1"/>
        <rFont val="Calibri"/>
        <family val="2"/>
        <scheme val="minor"/>
      </rPr>
      <t>+ 0.000223</t>
    </r>
    <r>
      <rPr>
        <sz val="11"/>
        <color rgb="FFFF0000"/>
        <rFont val="Calibri"/>
        <family val="2"/>
        <scheme val="minor"/>
      </rPr>
      <t xml:space="preserve"> thmpp_c </t>
    </r>
    <r>
      <rPr>
        <sz val="11"/>
        <color theme="1"/>
        <rFont val="Calibri"/>
        <family val="2"/>
        <scheme val="minor"/>
      </rPr>
      <t xml:space="preserve">+ 0.256324 </t>
    </r>
    <r>
      <rPr>
        <sz val="11"/>
        <color rgb="FFFF0000"/>
        <rFont val="Calibri"/>
        <family val="2"/>
        <scheme val="minor"/>
      </rPr>
      <t xml:space="preserve">thr__L_c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ribflv_c </t>
    </r>
    <r>
      <rPr>
        <sz val="11"/>
        <color theme="1"/>
        <rFont val="Calibri"/>
        <family val="2"/>
        <scheme val="minor"/>
      </rPr>
      <t xml:space="preserve">+ 5.5e-05 </t>
    </r>
    <r>
      <rPr>
        <sz val="11"/>
        <color rgb="FFFF0000"/>
        <rFont val="Calibri"/>
        <family val="2"/>
        <scheme val="minor"/>
      </rPr>
      <t xml:space="preserve">udcpdp_c </t>
    </r>
    <r>
      <rPr>
        <sz val="11"/>
        <color theme="1"/>
        <rFont val="Calibri"/>
        <family val="2"/>
        <scheme val="minor"/>
      </rPr>
      <t xml:space="preserve">+ 0.301274 </t>
    </r>
    <r>
      <rPr>
        <sz val="11"/>
        <color rgb="FFFF0000"/>
        <rFont val="Calibri"/>
        <family val="2"/>
        <scheme val="minor"/>
      </rPr>
      <t xml:space="preserve">ser__L_c </t>
    </r>
    <r>
      <rPr>
        <sz val="11"/>
        <color theme="1"/>
        <rFont val="Calibri"/>
        <family val="2"/>
        <scheme val="minor"/>
      </rPr>
      <t xml:space="preserve">+ 0.000223 </t>
    </r>
    <r>
      <rPr>
        <sz val="11"/>
        <color rgb="FFFF0000"/>
        <rFont val="Calibri"/>
        <family val="2"/>
        <scheme val="minor"/>
      </rPr>
      <t xml:space="preserve">sheme_c </t>
    </r>
    <r>
      <rPr>
        <sz val="11"/>
        <color theme="1"/>
        <rFont val="Calibri"/>
        <family val="2"/>
        <scheme val="minor"/>
      </rPr>
      <t xml:space="preserve">+ 0.143215 </t>
    </r>
    <r>
      <rPr>
        <sz val="11"/>
        <color rgb="FFFF0000"/>
        <rFont val="Calibri"/>
        <family val="2"/>
        <scheme val="minor"/>
      </rPr>
      <t xml:space="preserve">utp_c </t>
    </r>
    <r>
      <rPr>
        <sz val="11"/>
        <color theme="1"/>
        <rFont val="Calibri"/>
        <family val="2"/>
        <scheme val="minor"/>
      </rPr>
      <t>+ 0.389034</t>
    </r>
    <r>
      <rPr>
        <sz val="11"/>
        <color rgb="FFFF0000"/>
        <rFont val="Calibri"/>
        <family val="2"/>
        <scheme val="minor"/>
      </rPr>
      <t xml:space="preserve"> val__L_c</t>
    </r>
    <r>
      <rPr>
        <sz val="11"/>
        <color theme="1"/>
        <rFont val="Calibri"/>
        <family val="2"/>
        <scheme val="minor"/>
      </rPr>
      <t xml:space="preserve"> + 0.002817 </t>
    </r>
    <r>
      <rPr>
        <sz val="11"/>
        <color rgb="FFFF0000"/>
        <rFont val="Calibri"/>
        <family val="2"/>
        <scheme val="minor"/>
      </rPr>
      <t xml:space="preserve">zn2_c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-&gt;</t>
    </r>
    <r>
      <rPr>
        <sz val="11"/>
        <color theme="1"/>
        <rFont val="Calibri"/>
        <family val="2"/>
        <scheme val="minor"/>
      </rPr>
      <t xml:space="preserve"> 46.7502 </t>
    </r>
    <r>
      <rPr>
        <sz val="11"/>
        <color rgb="FFFF0000"/>
        <rFont val="Calibri"/>
        <family val="2"/>
        <scheme val="minor"/>
      </rPr>
      <t xml:space="preserve">adp_c </t>
    </r>
    <r>
      <rPr>
        <sz val="11"/>
        <color theme="1"/>
        <rFont val="Calibri"/>
        <family val="2"/>
        <scheme val="minor"/>
      </rPr>
      <t xml:space="preserve">+ 46.7502 </t>
    </r>
    <r>
      <rPr>
        <sz val="11"/>
        <color rgb="FFFF0000"/>
        <rFont val="Calibri"/>
        <family val="2"/>
        <scheme val="minor"/>
      </rPr>
      <t xml:space="preserve">h_c </t>
    </r>
    <r>
      <rPr>
        <sz val="11"/>
        <color theme="1"/>
        <rFont val="Calibri"/>
        <family val="2"/>
        <scheme val="minor"/>
      </rPr>
      <t xml:space="preserve">+ 46.7467 </t>
    </r>
    <r>
      <rPr>
        <sz val="11"/>
        <color rgb="FFFF0000"/>
        <rFont val="Calibri"/>
        <family val="2"/>
        <scheme val="minor"/>
      </rPr>
      <t xml:space="preserve">pi_c </t>
    </r>
    <r>
      <rPr>
        <sz val="11"/>
        <color theme="1"/>
        <rFont val="Calibri"/>
        <family val="2"/>
        <scheme val="minor"/>
      </rPr>
      <t xml:space="preserve">+ 0.73868 </t>
    </r>
    <r>
      <rPr>
        <sz val="11"/>
        <color rgb="FFFF0000"/>
        <rFont val="Calibri"/>
        <family val="2"/>
        <scheme val="minor"/>
      </rPr>
      <t xml:space="preserve">ppi_c </t>
    </r>
  </si>
  <si>
    <t>S. cerevisiae</t>
  </si>
  <si>
    <r>
      <t xml:space="preserve">1.1348 </t>
    </r>
    <r>
      <rPr>
        <sz val="11"/>
        <color rgb="FFFF0000"/>
        <rFont val="Calibri"/>
        <family val="2"/>
        <scheme val="minor"/>
      </rPr>
      <t>13BDglcn_c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rFont val="Calibri"/>
        <family val="2"/>
        <scheme val="minor"/>
      </rPr>
      <t xml:space="preserve">0.4588 </t>
    </r>
    <r>
      <rPr>
        <sz val="11"/>
        <color rgb="FFFF0000"/>
        <rFont val="Calibri"/>
        <family val="2"/>
        <scheme val="minor"/>
      </rPr>
      <t xml:space="preserve">ala__L_c </t>
    </r>
    <r>
      <rPr>
        <sz val="11"/>
        <color theme="1"/>
        <rFont val="Calibri"/>
        <family val="2"/>
        <scheme val="minor"/>
      </rPr>
      <t xml:space="preserve">+ 0.046 </t>
    </r>
    <r>
      <rPr>
        <sz val="11"/>
        <color rgb="FFFF0000"/>
        <rFont val="Calibri"/>
        <family val="2"/>
        <scheme val="minor"/>
      </rPr>
      <t xml:space="preserve">amp_c </t>
    </r>
    <r>
      <rPr>
        <sz val="11"/>
        <color theme="1"/>
        <rFont val="Calibri"/>
        <family val="2"/>
        <scheme val="minor"/>
      </rPr>
      <t xml:space="preserve">+ 0.1607 </t>
    </r>
    <r>
      <rPr>
        <sz val="11"/>
        <color rgb="FFFF0000"/>
        <rFont val="Calibri"/>
        <family val="2"/>
        <scheme val="minor"/>
      </rPr>
      <t xml:space="preserve">arg__L_c </t>
    </r>
    <r>
      <rPr>
        <sz val="11"/>
        <color theme="1"/>
        <rFont val="Calibri"/>
        <family val="2"/>
        <scheme val="minor"/>
      </rPr>
      <t xml:space="preserve">+ 0.1017 </t>
    </r>
    <r>
      <rPr>
        <sz val="11"/>
        <color rgb="FFFF0000"/>
        <rFont val="Calibri"/>
        <family val="2"/>
        <scheme val="minor"/>
      </rPr>
      <t xml:space="preserve">asn__L_c </t>
    </r>
    <r>
      <rPr>
        <sz val="11"/>
        <color theme="1"/>
        <rFont val="Calibri"/>
        <family val="2"/>
        <scheme val="minor"/>
      </rPr>
      <t xml:space="preserve">+ 0.0024 </t>
    </r>
    <r>
      <rPr>
        <sz val="11"/>
        <color rgb="FFFF0000"/>
        <rFont val="Calibri"/>
        <family val="2"/>
        <scheme val="minor"/>
      </rPr>
      <t xml:space="preserve">dcmp_c </t>
    </r>
    <r>
      <rPr>
        <sz val="11"/>
        <color theme="1"/>
        <rFont val="Calibri"/>
        <family val="2"/>
        <scheme val="minor"/>
      </rPr>
      <t xml:space="preserve">+ 0.2975 </t>
    </r>
    <r>
      <rPr>
        <sz val="11"/>
        <color rgb="FFFF0000"/>
        <rFont val="Calibri"/>
        <family val="2"/>
        <scheme val="minor"/>
      </rPr>
      <t>asp__L_c</t>
    </r>
    <r>
      <rPr>
        <sz val="11"/>
        <color theme="1"/>
        <rFont val="Calibri"/>
        <family val="2"/>
        <scheme val="minor"/>
      </rPr>
      <t xml:space="preserve"> + 0.0447 </t>
    </r>
    <r>
      <rPr>
        <sz val="11"/>
        <color rgb="FFFF0000"/>
        <rFont val="Calibri"/>
        <family val="2"/>
        <scheme val="minor"/>
      </rPr>
      <t xml:space="preserve">cmp_c </t>
    </r>
    <r>
      <rPr>
        <sz val="11"/>
        <color theme="1"/>
        <rFont val="Calibri"/>
        <family val="2"/>
        <scheme val="minor"/>
      </rPr>
      <t xml:space="preserve">+ 0.0024 </t>
    </r>
    <r>
      <rPr>
        <sz val="11"/>
        <color rgb="FFFF0000"/>
        <rFont val="Calibri"/>
        <family val="2"/>
        <scheme val="minor"/>
      </rPr>
      <t xml:space="preserve">dgmp_c </t>
    </r>
    <r>
      <rPr>
        <sz val="11"/>
        <color theme="1"/>
        <rFont val="Calibri"/>
        <family val="2"/>
        <scheme val="minor"/>
      </rPr>
      <t xml:space="preserve">+ 59.276 </t>
    </r>
    <r>
      <rPr>
        <sz val="11"/>
        <color rgb="FFFF0000"/>
        <rFont val="Calibri"/>
        <family val="2"/>
        <scheme val="minor"/>
      </rPr>
      <t xml:space="preserve">atp_c </t>
    </r>
    <r>
      <rPr>
        <sz val="11"/>
        <color theme="1"/>
        <rFont val="Calibri"/>
        <family val="2"/>
        <scheme val="minor"/>
      </rPr>
      <t xml:space="preserve">+ 0.0066 </t>
    </r>
    <r>
      <rPr>
        <sz val="11"/>
        <color rgb="FFFF0000"/>
        <rFont val="Calibri"/>
        <family val="2"/>
        <scheme val="minor"/>
      </rPr>
      <t xml:space="preserve">cys__L_c </t>
    </r>
    <r>
      <rPr>
        <sz val="11"/>
        <color theme="1"/>
        <rFont val="Calibri"/>
        <family val="2"/>
        <scheme val="minor"/>
      </rPr>
      <t>+ 0.0036</t>
    </r>
    <r>
      <rPr>
        <sz val="11"/>
        <color rgb="FFFF0000"/>
        <rFont val="Calibri"/>
        <family val="2"/>
        <scheme val="minor"/>
      </rPr>
      <t xml:space="preserve"> dtmp_c</t>
    </r>
    <r>
      <rPr>
        <sz val="11"/>
        <color theme="1"/>
        <rFont val="Calibri"/>
        <family val="2"/>
        <scheme val="minor"/>
      </rPr>
      <t xml:space="preserve"> + 0.0036 </t>
    </r>
    <r>
      <rPr>
        <sz val="11"/>
        <color rgb="FFFF0000"/>
        <rFont val="Calibri"/>
        <family val="2"/>
        <scheme val="minor"/>
      </rPr>
      <t xml:space="preserve">damp_c </t>
    </r>
    <r>
      <rPr>
        <sz val="11"/>
        <color theme="1"/>
        <rFont val="Calibri"/>
        <family val="2"/>
        <scheme val="minor"/>
      </rPr>
      <t>+ 0.0007</t>
    </r>
    <r>
      <rPr>
        <sz val="11"/>
        <color rgb="FFFF0000"/>
        <rFont val="Calibri"/>
        <family val="2"/>
        <scheme val="minor"/>
      </rPr>
      <t xml:space="preserve"> ergst_c</t>
    </r>
    <r>
      <rPr>
        <sz val="11"/>
        <color theme="1"/>
        <rFont val="Calibri"/>
        <family val="2"/>
        <scheme val="minor"/>
      </rPr>
      <t xml:space="preserve"> + 0.5185 </t>
    </r>
    <r>
      <rPr>
        <sz val="11"/>
        <color rgb="FFFF0000"/>
        <rFont val="Calibri"/>
        <family val="2"/>
        <scheme val="minor"/>
      </rPr>
      <t>glycogen_c</t>
    </r>
    <r>
      <rPr>
        <sz val="11"/>
        <color theme="1"/>
        <rFont val="Calibri"/>
        <family val="2"/>
        <scheme val="minor"/>
      </rPr>
      <t xml:space="preserve"> + 0.046</t>
    </r>
    <r>
      <rPr>
        <sz val="11"/>
        <color rgb="FFFF0000"/>
        <rFont val="Calibri"/>
        <family val="2"/>
        <scheme val="minor"/>
      </rPr>
      <t xml:space="preserve"> gmp_c </t>
    </r>
    <r>
      <rPr>
        <sz val="11"/>
        <color theme="1"/>
        <rFont val="Calibri"/>
        <family val="2"/>
        <scheme val="minor"/>
      </rPr>
      <t>+ 0.1054</t>
    </r>
    <r>
      <rPr>
        <sz val="11"/>
        <color rgb="FFFF0000"/>
        <rFont val="Calibri"/>
        <family val="2"/>
        <scheme val="minor"/>
      </rPr>
      <t xml:space="preserve"> gln__L_c </t>
    </r>
    <r>
      <rPr>
        <sz val="11"/>
        <color theme="1"/>
        <rFont val="Calibri"/>
        <family val="2"/>
        <scheme val="minor"/>
      </rPr>
      <t xml:space="preserve">+ 59.276 </t>
    </r>
    <r>
      <rPr>
        <sz val="11"/>
        <color rgb="FFFF0000"/>
        <rFont val="Calibri"/>
        <family val="2"/>
        <scheme val="minor"/>
      </rPr>
      <t xml:space="preserve">h2o_c </t>
    </r>
    <r>
      <rPr>
        <sz val="11"/>
        <color theme="1"/>
        <rFont val="Calibri"/>
        <family val="2"/>
        <scheme val="minor"/>
      </rPr>
      <t xml:space="preserve">+ 0.3018 </t>
    </r>
    <r>
      <rPr>
        <sz val="11"/>
        <color rgb="FFFF0000"/>
        <rFont val="Calibri"/>
        <family val="2"/>
        <scheme val="minor"/>
      </rPr>
      <t xml:space="preserve">glu__L_c </t>
    </r>
    <r>
      <rPr>
        <sz val="11"/>
        <color theme="1"/>
        <rFont val="Calibri"/>
        <family val="2"/>
        <scheme val="minor"/>
      </rPr>
      <t xml:space="preserve">+ 0.1927 </t>
    </r>
    <r>
      <rPr>
        <sz val="11"/>
        <color rgb="FFFF0000"/>
        <rFont val="Calibri"/>
        <family val="2"/>
        <scheme val="minor"/>
      </rPr>
      <t>ile__L_c</t>
    </r>
    <r>
      <rPr>
        <sz val="11"/>
        <color theme="1"/>
        <rFont val="Calibri"/>
        <family val="2"/>
        <scheme val="minor"/>
      </rPr>
      <t xml:space="preserve"> + 0.2904 </t>
    </r>
    <r>
      <rPr>
        <sz val="11"/>
        <color rgb="FFFF0000"/>
        <rFont val="Calibri"/>
        <family val="2"/>
        <scheme val="minor"/>
      </rPr>
      <t>gly_c</t>
    </r>
    <r>
      <rPr>
        <sz val="11"/>
        <color theme="1"/>
        <rFont val="Calibri"/>
        <family val="2"/>
        <scheme val="minor"/>
      </rPr>
      <t xml:space="preserve"> + 0.8079 </t>
    </r>
    <r>
      <rPr>
        <sz val="11"/>
        <color rgb="FFFF0000"/>
        <rFont val="Calibri"/>
        <family val="2"/>
        <scheme val="minor"/>
      </rPr>
      <t xml:space="preserve">mannan_c </t>
    </r>
    <r>
      <rPr>
        <sz val="11"/>
        <color theme="1"/>
        <rFont val="Calibri"/>
        <family val="2"/>
        <scheme val="minor"/>
      </rPr>
      <t xml:space="preserve">+ 0.0507 </t>
    </r>
    <r>
      <rPr>
        <sz val="11"/>
        <color rgb="FFFF0000"/>
        <rFont val="Calibri"/>
        <family val="2"/>
        <scheme val="minor"/>
      </rPr>
      <t xml:space="preserve">met__L_c </t>
    </r>
    <r>
      <rPr>
        <sz val="11"/>
        <color theme="1"/>
        <rFont val="Calibri"/>
        <family val="2"/>
        <scheme val="minor"/>
      </rPr>
      <t xml:space="preserve">+ 0.2964 </t>
    </r>
    <r>
      <rPr>
        <sz val="11"/>
        <color rgb="FFFF0000"/>
        <rFont val="Calibri"/>
        <family val="2"/>
        <scheme val="minor"/>
      </rPr>
      <t xml:space="preserve">leu__L_c </t>
    </r>
    <r>
      <rPr>
        <sz val="11"/>
        <color theme="1"/>
        <rFont val="Calibri"/>
        <family val="2"/>
        <scheme val="minor"/>
      </rPr>
      <t xml:space="preserve">+ 0.0663 </t>
    </r>
    <r>
      <rPr>
        <sz val="11"/>
        <color rgb="FFFF0000"/>
        <rFont val="Calibri"/>
        <family val="2"/>
        <scheme val="minor"/>
      </rPr>
      <t xml:space="preserve">his__L_c </t>
    </r>
    <r>
      <rPr>
        <sz val="11"/>
        <color theme="1"/>
        <rFont val="Calibri"/>
        <family val="2"/>
        <scheme val="minor"/>
      </rPr>
      <t>+ 0.2862</t>
    </r>
    <r>
      <rPr>
        <sz val="11"/>
        <color rgb="FFFF0000"/>
        <rFont val="Calibri"/>
        <family val="2"/>
        <scheme val="minor"/>
      </rPr>
      <t xml:space="preserve"> lys__L_c </t>
    </r>
    <r>
      <rPr>
        <sz val="11"/>
        <color theme="1"/>
        <rFont val="Calibri"/>
        <family val="2"/>
        <scheme val="minor"/>
      </rPr>
      <t xml:space="preserve">+ 0.1647 </t>
    </r>
    <r>
      <rPr>
        <sz val="11"/>
        <color rgb="FFFF0000"/>
        <rFont val="Calibri"/>
        <family val="2"/>
        <scheme val="minor"/>
      </rPr>
      <t xml:space="preserve">pro__L_c </t>
    </r>
    <r>
      <rPr>
        <sz val="11"/>
        <color theme="1"/>
        <rFont val="Calibri"/>
        <family val="2"/>
        <scheme val="minor"/>
      </rPr>
      <t xml:space="preserve">+ 1.7e-05 </t>
    </r>
    <r>
      <rPr>
        <sz val="11"/>
        <color rgb="FFFF0000"/>
        <rFont val="Calibri"/>
        <family val="2"/>
        <scheme val="minor"/>
      </rPr>
      <t>ps_SC_c</t>
    </r>
    <r>
      <rPr>
        <sz val="11"/>
        <color theme="1"/>
        <rFont val="Calibri"/>
        <family val="2"/>
        <scheme val="minor"/>
      </rPr>
      <t xml:space="preserve"> + 6e-06 </t>
    </r>
    <r>
      <rPr>
        <sz val="11"/>
        <color rgb="FFFF0000"/>
        <rFont val="Calibri"/>
        <family val="2"/>
        <scheme val="minor"/>
      </rPr>
      <t xml:space="preserve">pa_SC_c </t>
    </r>
    <r>
      <rPr>
        <sz val="11"/>
        <color theme="1"/>
        <rFont val="Calibri"/>
        <family val="2"/>
        <scheme val="minor"/>
      </rPr>
      <t xml:space="preserve">+ 0.02 </t>
    </r>
    <r>
      <rPr>
        <sz val="11"/>
        <color rgb="FFFF0000"/>
        <rFont val="Calibri"/>
        <family val="2"/>
        <scheme val="minor"/>
      </rPr>
      <t xml:space="preserve">so4_c </t>
    </r>
    <r>
      <rPr>
        <sz val="11"/>
        <color theme="1"/>
        <rFont val="Calibri"/>
        <family val="2"/>
        <scheme val="minor"/>
      </rPr>
      <t>+ 5.3e-05</t>
    </r>
    <r>
      <rPr>
        <sz val="11"/>
        <color rgb="FFFF0000"/>
        <rFont val="Calibri"/>
        <family val="2"/>
        <scheme val="minor"/>
      </rPr>
      <t xml:space="preserve"> ptd1ino_SC_c </t>
    </r>
    <r>
      <rPr>
        <sz val="11"/>
        <color theme="1"/>
        <rFont val="Calibri"/>
        <family val="2"/>
        <scheme val="minor"/>
      </rPr>
      <t xml:space="preserve">+ 6e-05 </t>
    </r>
    <r>
      <rPr>
        <sz val="11"/>
        <color rgb="FFFF0000"/>
        <rFont val="Calibri"/>
        <family val="2"/>
        <scheme val="minor"/>
      </rPr>
      <t xml:space="preserve">pc_SC_c </t>
    </r>
    <r>
      <rPr>
        <sz val="11"/>
        <color theme="1"/>
        <rFont val="Calibri"/>
        <family val="2"/>
        <scheme val="minor"/>
      </rPr>
      <t xml:space="preserve">+ 4.5e-05 </t>
    </r>
    <r>
      <rPr>
        <sz val="11"/>
        <color rgb="FFFF0000"/>
        <rFont val="Calibri"/>
        <family val="2"/>
        <scheme val="minor"/>
      </rPr>
      <t>pe_SC_c</t>
    </r>
    <r>
      <rPr>
        <sz val="11"/>
        <color theme="1"/>
        <rFont val="Calibri"/>
        <family val="2"/>
        <scheme val="minor"/>
      </rPr>
      <t xml:space="preserve"> + 0.1339 </t>
    </r>
    <r>
      <rPr>
        <sz val="11"/>
        <color rgb="FFFF0000"/>
        <rFont val="Calibri"/>
        <family val="2"/>
        <scheme val="minor"/>
      </rPr>
      <t>phe__L_c</t>
    </r>
    <r>
      <rPr>
        <sz val="11"/>
        <color theme="1"/>
        <rFont val="Calibri"/>
        <family val="2"/>
        <scheme val="minor"/>
      </rPr>
      <t xml:space="preserve"> + 0.00099 </t>
    </r>
    <r>
      <rPr>
        <sz val="11"/>
        <color rgb="FFFF0000"/>
        <rFont val="Calibri"/>
        <family val="2"/>
        <scheme val="minor"/>
      </rPr>
      <t>ribflv_c</t>
    </r>
    <r>
      <rPr>
        <sz val="11"/>
        <color theme="1"/>
        <rFont val="Calibri"/>
        <family val="2"/>
        <scheme val="minor"/>
      </rPr>
      <t xml:space="preserve"> + 0.1914 </t>
    </r>
    <r>
      <rPr>
        <sz val="11"/>
        <color rgb="FFFF0000"/>
        <rFont val="Calibri"/>
        <family val="2"/>
        <scheme val="minor"/>
      </rPr>
      <t>thr__L_c</t>
    </r>
    <r>
      <rPr>
        <sz val="11"/>
        <color theme="1"/>
        <rFont val="Calibri"/>
        <family val="2"/>
        <scheme val="minor"/>
      </rPr>
      <t xml:space="preserve"> + 0.0284 </t>
    </r>
    <r>
      <rPr>
        <sz val="11"/>
        <color rgb="FFFF0000"/>
        <rFont val="Calibri"/>
        <family val="2"/>
        <scheme val="minor"/>
      </rPr>
      <t>trp__L_c</t>
    </r>
    <r>
      <rPr>
        <sz val="11"/>
        <color theme="1"/>
        <rFont val="Calibri"/>
        <family val="2"/>
        <scheme val="minor"/>
      </rPr>
      <t xml:space="preserve"> + 0.1854 </t>
    </r>
    <r>
      <rPr>
        <sz val="11"/>
        <color rgb="FFFF0000"/>
        <rFont val="Calibri"/>
        <family val="2"/>
        <scheme val="minor"/>
      </rPr>
      <t xml:space="preserve">ser__L_c </t>
    </r>
    <r>
      <rPr>
        <sz val="11"/>
        <color theme="1"/>
        <rFont val="Calibri"/>
        <family val="2"/>
        <scheme val="minor"/>
      </rPr>
      <t>+ 0.0234</t>
    </r>
    <r>
      <rPr>
        <sz val="11"/>
        <color rgb="FFFF0000"/>
        <rFont val="Calibri"/>
        <family val="2"/>
        <scheme val="minor"/>
      </rPr>
      <t xml:space="preserve"> tre_c </t>
    </r>
    <r>
      <rPr>
        <sz val="11"/>
        <color theme="1"/>
        <rFont val="Calibri"/>
        <family val="2"/>
        <scheme val="minor"/>
      </rPr>
      <t xml:space="preserve">+ 6.6e-05 </t>
    </r>
    <r>
      <rPr>
        <sz val="11"/>
        <color rgb="FFFF0000"/>
        <rFont val="Calibri"/>
        <family val="2"/>
        <scheme val="minor"/>
      </rPr>
      <t>triglyc_SC_c</t>
    </r>
    <r>
      <rPr>
        <sz val="11"/>
        <color theme="1"/>
        <rFont val="Calibri"/>
        <family val="2"/>
        <scheme val="minor"/>
      </rPr>
      <t xml:space="preserve"> + 0.102</t>
    </r>
    <r>
      <rPr>
        <sz val="11"/>
        <color rgb="FFFF0000"/>
        <rFont val="Calibri"/>
        <family val="2"/>
        <scheme val="minor"/>
      </rPr>
      <t xml:space="preserve"> tyr__L_c </t>
    </r>
    <r>
      <rPr>
        <sz val="11"/>
        <color theme="1"/>
        <rFont val="Calibri"/>
        <family val="2"/>
        <scheme val="minor"/>
      </rPr>
      <t xml:space="preserve">+ 0.0599 </t>
    </r>
    <r>
      <rPr>
        <sz val="11"/>
        <color rgb="FFFF0000"/>
        <rFont val="Calibri"/>
        <family val="2"/>
        <scheme val="minor"/>
      </rPr>
      <t xml:space="preserve">ump_c </t>
    </r>
    <r>
      <rPr>
        <sz val="11"/>
        <color theme="1"/>
        <rFont val="Calibri"/>
        <family val="2"/>
        <scheme val="minor"/>
      </rPr>
      <t xml:space="preserve">+ 0.2646 </t>
    </r>
    <r>
      <rPr>
        <sz val="11"/>
        <color rgb="FFFF0000"/>
        <rFont val="Calibri"/>
        <family val="2"/>
        <scheme val="minor"/>
      </rPr>
      <t>val__L_c</t>
    </r>
    <r>
      <rPr>
        <sz val="11"/>
        <color theme="1"/>
        <rFont val="Calibri"/>
        <family val="2"/>
        <scheme val="minor"/>
      </rPr>
      <t xml:space="preserve"> + 0.0015 </t>
    </r>
    <r>
      <rPr>
        <sz val="11"/>
        <color rgb="FFFF0000"/>
        <rFont val="Calibri"/>
        <family val="2"/>
        <scheme val="minor"/>
      </rPr>
      <t>zymst_c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-&gt; </t>
    </r>
    <r>
      <rPr>
        <sz val="11"/>
        <color theme="1"/>
        <rFont val="Calibri"/>
        <family val="2"/>
        <scheme val="minor"/>
      </rPr>
      <t xml:space="preserve">59.276 </t>
    </r>
    <r>
      <rPr>
        <sz val="11"/>
        <color rgb="FFFF0000"/>
        <rFont val="Calibri"/>
        <family val="2"/>
        <scheme val="minor"/>
      </rPr>
      <t>adp_c</t>
    </r>
    <r>
      <rPr>
        <sz val="11"/>
        <color theme="1"/>
        <rFont val="Calibri"/>
        <family val="2"/>
        <scheme val="minor"/>
      </rPr>
      <t xml:space="preserve"> + 58.7 </t>
    </r>
    <r>
      <rPr>
        <sz val="11"/>
        <color rgb="FFFF0000"/>
        <rFont val="Calibri"/>
        <family val="2"/>
        <scheme val="minor"/>
      </rPr>
      <t xml:space="preserve">h_c </t>
    </r>
    <r>
      <rPr>
        <sz val="11"/>
        <color theme="1"/>
        <rFont val="Calibri"/>
        <family val="2"/>
        <scheme val="minor"/>
      </rPr>
      <t xml:space="preserve">+ 59.305 </t>
    </r>
    <r>
      <rPr>
        <sz val="11"/>
        <color rgb="FFFF0000"/>
        <rFont val="Calibri"/>
        <family val="2"/>
        <scheme val="minor"/>
      </rPr>
      <t xml:space="preserve">pi_c </t>
    </r>
  </si>
  <si>
    <t>Metabolito</t>
  </si>
  <si>
    <t>Descripción</t>
  </si>
  <si>
    <t>Coeficiente E. coli</t>
  </si>
  <si>
    <t>Coeficiente P. putida</t>
  </si>
  <si>
    <t>Coeficiente S. cerevisiae</t>
  </si>
  <si>
    <t>10thf_c</t>
  </si>
  <si>
    <t>13BDglcn_c</t>
  </si>
  <si>
    <t>2fe2s_c</t>
  </si>
  <si>
    <t>2ohph_c</t>
  </si>
  <si>
    <t>4fe4s_c</t>
  </si>
  <si>
    <t>5mthf_c</t>
  </si>
  <si>
    <t>accoa_c</t>
  </si>
  <si>
    <t>adocbl_c</t>
  </si>
  <si>
    <t>ala__L_c</t>
  </si>
  <si>
    <t>amet_c</t>
  </si>
  <si>
    <t>amp_c</t>
  </si>
  <si>
    <t>arg__L_c</t>
  </si>
  <si>
    <t>asn__L_c</t>
  </si>
  <si>
    <t>asp__L_c</t>
  </si>
  <si>
    <t>atp_c</t>
  </si>
  <si>
    <t>bmocogdp_c</t>
  </si>
  <si>
    <t>btamp_c</t>
  </si>
  <si>
    <t>btn_c</t>
  </si>
  <si>
    <t>ca2_c</t>
  </si>
  <si>
    <t>chor_c</t>
  </si>
  <si>
    <t>cl_c</t>
  </si>
  <si>
    <t>clpn140_p</t>
  </si>
  <si>
    <t>clpn160_p</t>
  </si>
  <si>
    <t>clpn161_p</t>
  </si>
  <si>
    <t>clpn180_p</t>
  </si>
  <si>
    <t>clpn181_p</t>
  </si>
  <si>
    <t>cmp_c</t>
  </si>
  <si>
    <t>coa_c</t>
  </si>
  <si>
    <t>cobalt2_c</t>
  </si>
  <si>
    <t>cpe160_c</t>
  </si>
  <si>
    <t>cpg160_c</t>
  </si>
  <si>
    <t>ctp_c</t>
  </si>
  <si>
    <t>cu2_c</t>
  </si>
  <si>
    <t>cys__L_c</t>
  </si>
  <si>
    <t>damp_c</t>
  </si>
  <si>
    <t>datp_c</t>
  </si>
  <si>
    <t>dcmp_c</t>
  </si>
  <si>
    <t>dctp_c</t>
  </si>
  <si>
    <t>dgmp_c</t>
  </si>
  <si>
    <t>dgtp_c</t>
  </si>
  <si>
    <t>dtmp_c</t>
  </si>
  <si>
    <t>dttp_c</t>
  </si>
  <si>
    <t>ergst_c</t>
  </si>
  <si>
    <t>fad_c</t>
  </si>
  <si>
    <t>fe2_c</t>
  </si>
  <si>
    <t>fe3_c</t>
  </si>
  <si>
    <t>gln__L_c</t>
  </si>
  <si>
    <t>glu__L_c</t>
  </si>
  <si>
    <t>gly_c</t>
  </si>
  <si>
    <t>glycogen_c</t>
  </si>
  <si>
    <t>gmp_c</t>
  </si>
  <si>
    <t>gthrd_c</t>
  </si>
  <si>
    <t>gtp_c</t>
  </si>
  <si>
    <t>h2o_c</t>
  </si>
  <si>
    <t>his__L_c</t>
  </si>
  <si>
    <t>ile__L_c</t>
  </si>
  <si>
    <t>k_c</t>
  </si>
  <si>
    <t>kdo2lipid4_e</t>
  </si>
  <si>
    <t>leu__L_c</t>
  </si>
  <si>
    <t>lipopb_c</t>
  </si>
  <si>
    <t>lpspput_e</t>
  </si>
  <si>
    <t>lys__L_c</t>
  </si>
  <si>
    <t>malcoa_c</t>
  </si>
  <si>
    <t>mannan_c</t>
  </si>
  <si>
    <t>met__L_c</t>
  </si>
  <si>
    <t>mg2_c</t>
  </si>
  <si>
    <t>mlthf_c</t>
  </si>
  <si>
    <t>mn2_c</t>
  </si>
  <si>
    <t>mobd_c</t>
  </si>
  <si>
    <t>murein3p3p_p</t>
  </si>
  <si>
    <t>murein3px4p_p</t>
  </si>
  <si>
    <t>murein4p4p_p</t>
  </si>
  <si>
    <t>murein4px4p_p</t>
  </si>
  <si>
    <t>murein4px4px4p_p</t>
  </si>
  <si>
    <t>murein5px4p_p</t>
  </si>
  <si>
    <t>na1_c</t>
  </si>
  <si>
    <t>nad_c</t>
  </si>
  <si>
    <t>nadh_c</t>
  </si>
  <si>
    <t>nadp_c</t>
  </si>
  <si>
    <t>nadph_c</t>
  </si>
  <si>
    <t>nh4_c</t>
  </si>
  <si>
    <t>ni2_c</t>
  </si>
  <si>
    <t>pa_SC_c</t>
  </si>
  <si>
    <t>pc_SC_c</t>
  </si>
  <si>
    <t>pe_SC_c</t>
  </si>
  <si>
    <t>pe140_c</t>
  </si>
  <si>
    <t>pe160_c</t>
  </si>
  <si>
    <t>pe160_p</t>
  </si>
  <si>
    <t>pe161_c</t>
  </si>
  <si>
    <t>pe161_p</t>
  </si>
  <si>
    <t>pe180_c</t>
  </si>
  <si>
    <t>pe181_c</t>
  </si>
  <si>
    <t>pg140_c</t>
  </si>
  <si>
    <t>pg160_c</t>
  </si>
  <si>
    <t>pg161_c</t>
  </si>
  <si>
    <t>pg180_c</t>
  </si>
  <si>
    <t>pg181_c</t>
  </si>
  <si>
    <t>phe__L_c</t>
  </si>
  <si>
    <t>pheme_c</t>
  </si>
  <si>
    <t>pqqh2_c</t>
  </si>
  <si>
    <t>pro__L_c</t>
  </si>
  <si>
    <t>ps_SC_c</t>
  </si>
  <si>
    <t>ptd1ino_SC_c</t>
  </si>
  <si>
    <t>ptrc_c</t>
  </si>
  <si>
    <t>pydx5p_c</t>
  </si>
  <si>
    <t>pyovd_kt_e</t>
  </si>
  <si>
    <t>q8h2_c</t>
  </si>
  <si>
    <t>ribflv_c</t>
  </si>
  <si>
    <t>ser__L_c</t>
  </si>
  <si>
    <t>sheme_c</t>
  </si>
  <si>
    <t>so4_c</t>
  </si>
  <si>
    <t>succoa_c</t>
  </si>
  <si>
    <t>thf_c</t>
  </si>
  <si>
    <t>thmnp_c</t>
  </si>
  <si>
    <t>thmpp_c</t>
  </si>
  <si>
    <t>thr__L_c</t>
  </si>
  <si>
    <t>tre_c</t>
  </si>
  <si>
    <t>triglyc_SC_c</t>
  </si>
  <si>
    <t>trp__L_c</t>
  </si>
  <si>
    <t>tyr__L_c</t>
  </si>
  <si>
    <t>udcpdp_c</t>
  </si>
  <si>
    <t>ump_c</t>
  </si>
  <si>
    <t>utp_c</t>
  </si>
  <si>
    <t>val__L_c</t>
  </si>
  <si>
    <t>zn2_c</t>
  </si>
  <si>
    <t>zymst_c</t>
  </si>
  <si>
    <t>adp_c</t>
  </si>
  <si>
    <t>h_c</t>
  </si>
  <si>
    <t>pi_c</t>
  </si>
  <si>
    <t>ppi_c</t>
  </si>
  <si>
    <t>Compartidos 3</t>
  </si>
  <si>
    <t>Exclusivos E+P</t>
  </si>
  <si>
    <t>Exclusivos E+S</t>
  </si>
  <si>
    <t>Exclusivos P+S</t>
  </si>
  <si>
    <t>Exclusivos E</t>
  </si>
  <si>
    <t>Exclusivos P</t>
  </si>
  <si>
    <t>Exclusivos S</t>
  </si>
  <si>
    <t>Total</t>
  </si>
  <si>
    <t>(Varios elementos)</t>
  </si>
  <si>
    <t>Etiquetas de fila</t>
  </si>
  <si>
    <t>Suma de Coeficiente E. coli</t>
  </si>
  <si>
    <t>Suma de Coeficiente P. putida</t>
  </si>
  <si>
    <t>Suma de Coeficiente S. cerevisiae</t>
  </si>
  <si>
    <t>Total general</t>
  </si>
  <si>
    <t>Escherichia coli</t>
  </si>
  <si>
    <t>Enzima</t>
  </si>
  <si>
    <t>Referencia</t>
  </si>
  <si>
    <t>01_01</t>
  </si>
  <si>
    <t>02_01</t>
  </si>
  <si>
    <t>03_01</t>
  </si>
  <si>
    <t>04_01</t>
  </si>
  <si>
    <t>05_01</t>
  </si>
  <si>
    <t>07_01</t>
  </si>
  <si>
    <t>09_01</t>
  </si>
  <si>
    <t>10_01</t>
  </si>
  <si>
    <t>12_01</t>
  </si>
  <si>
    <t>01_02</t>
  </si>
  <si>
    <t>02_02</t>
  </si>
  <si>
    <t>03_02</t>
  </si>
  <si>
    <t>04_02</t>
  </si>
  <si>
    <t>05_02</t>
  </si>
  <si>
    <t>07_02</t>
  </si>
  <si>
    <t>09_02</t>
  </si>
  <si>
    <t>10_02</t>
  </si>
  <si>
    <t>12_02</t>
  </si>
  <si>
    <t>quiC</t>
  </si>
  <si>
    <r>
      <rPr>
        <sz val="11"/>
        <rFont val="Calibri"/>
        <family val="2"/>
        <scheme val="minor"/>
      </rPr>
      <t>Sí. Varias referencias. Ejemplo:</t>
    </r>
    <r>
      <rPr>
        <u/>
        <sz val="11"/>
        <color theme="8" tint="-0.249977111117893"/>
        <rFont val="Calibri"/>
        <family val="2"/>
        <scheme val="minor"/>
      </rPr>
      <t xml:space="preserve"> https://doi.org/10.1093/bbb/zbac078</t>
    </r>
  </si>
  <si>
    <t>CAR</t>
  </si>
  <si>
    <r>
      <t xml:space="preserve">Sí. Varias referencias. Ejemplo: </t>
    </r>
    <r>
      <rPr>
        <u/>
        <sz val="11"/>
        <color theme="8" tint="-0.249977111117893"/>
        <rFont val="Calibri"/>
        <family val="2"/>
        <scheme val="minor"/>
      </rPr>
      <t>https://pubs.acs.org/doi/10.1021/acssynbio.7b00129</t>
    </r>
  </si>
  <si>
    <t>TYDC</t>
  </si>
  <si>
    <r>
      <t xml:space="preserve">Sí. Ha sido clonada bastante. Ejemplo: </t>
    </r>
    <r>
      <rPr>
        <u/>
        <sz val="11"/>
        <color theme="8" tint="-0.249977111117893"/>
        <rFont val="Calibri"/>
        <family val="2"/>
        <scheme val="minor"/>
      </rPr>
      <t>https://www.nature.com/articles/srep27779</t>
    </r>
  </si>
  <si>
    <t>pobA</t>
  </si>
  <si>
    <r>
      <t xml:space="preserve">Sí. Probado en patente pero en otra reacción: </t>
    </r>
    <r>
      <rPr>
        <u/>
        <sz val="11"/>
        <color theme="8" tint="-0.249977111117893"/>
        <rFont val="Calibri"/>
        <family val="2"/>
        <scheme val="minor"/>
      </rPr>
      <t>https://patents.google.com/patent/CN111647616A/en</t>
    </r>
  </si>
  <si>
    <r>
      <t xml:space="preserve">Sí. Una referencia: </t>
    </r>
    <r>
      <rPr>
        <u/>
        <sz val="11"/>
        <color theme="8" tint="-0.249977111117893"/>
        <rFont val="Calibri"/>
        <family val="2"/>
        <scheme val="minor"/>
      </rPr>
      <t>https://doi-org.ezproxy.uniandes.edu.co/10.1002/anie.202214191</t>
    </r>
  </si>
  <si>
    <t>P450 - MO</t>
  </si>
  <si>
    <r>
      <t xml:space="preserve">Según MetaCyc la referencia está en: </t>
    </r>
    <r>
      <rPr>
        <u/>
        <sz val="11"/>
        <color theme="8" tint="-0.249977111117893"/>
        <rFont val="Calibri"/>
        <family val="2"/>
        <scheme val="minor"/>
      </rPr>
      <t xml:space="preserve">https://www.freepatentsonline.com/y2003/0070188.html </t>
    </r>
    <r>
      <rPr>
        <sz val="11"/>
        <rFont val="Calibri"/>
        <family val="2"/>
        <scheme val="minor"/>
      </rPr>
      <t>pero solo está en dibujo de la patente. No en el texto.</t>
    </r>
  </si>
  <si>
    <t>TAL</t>
  </si>
  <si>
    <r>
      <t xml:space="preserve">Sí. Varias referencias. Ejemplo: </t>
    </r>
    <r>
      <rPr>
        <u/>
        <sz val="11"/>
        <color theme="8" tint="-0.249977111117893"/>
        <rFont val="Calibri"/>
        <family val="2"/>
        <scheme val="minor"/>
      </rPr>
      <t>https://www.ncbi.nlm.nih.gov/pmc/articles/PMC4475877/</t>
    </r>
  </si>
  <si>
    <t>4HBS</t>
  </si>
  <si>
    <r>
      <t xml:space="preserve">Sí. Una referencia: </t>
    </r>
    <r>
      <rPr>
        <u/>
        <sz val="11"/>
        <color theme="8" tint="-0.249977111117893"/>
        <rFont val="Calibri"/>
        <family val="2"/>
        <scheme val="minor"/>
      </rPr>
      <t>https://www.freepatentsonline.com/y2003/0070188.html</t>
    </r>
  </si>
  <si>
    <t>PAT</t>
  </si>
  <si>
    <r>
      <t xml:space="preserve">Sí, varios. Ejemplo: </t>
    </r>
    <r>
      <rPr>
        <u/>
        <sz val="11"/>
        <color theme="8" tint="-0.249977111117893"/>
        <rFont val="Calibri"/>
        <family val="2"/>
        <scheme val="minor"/>
      </rPr>
      <t>https://www.ncbi.nlm.nih.gov/pmc/articles/PMC1133941/</t>
    </r>
  </si>
  <si>
    <t>ADhyg</t>
  </si>
  <si>
    <t>Nativo en DH5alfa y C.</t>
  </si>
  <si>
    <t>HpaB</t>
  </si>
  <si>
    <t>Nativo</t>
  </si>
  <si>
    <t>4CL ó FerA</t>
  </si>
  <si>
    <r>
      <t xml:space="preserve">Sí. </t>
    </r>
    <r>
      <rPr>
        <u/>
        <sz val="11"/>
        <color theme="8" tint="-0.249977111117893"/>
        <rFont val="Calibri"/>
        <family val="2"/>
        <scheme val="minor"/>
      </rPr>
      <t>https://applbiolchem.springeropen.com/articles/10.1186/s13765-021-00643-0</t>
    </r>
  </si>
  <si>
    <t>FerB ó HCHL ó CouA</t>
  </si>
  <si>
    <r>
      <t>Sí.</t>
    </r>
    <r>
      <rPr>
        <u/>
        <sz val="11"/>
        <color theme="8" tint="-0.249977111117893"/>
        <rFont val="Calibri"/>
        <family val="2"/>
        <scheme val="minor"/>
      </rPr>
      <t xml:space="preserve"> https://pubmed.ncbi.nlm.nih.gov/12200295/</t>
    </r>
  </si>
  <si>
    <r>
      <t xml:space="preserve">Sí: </t>
    </r>
    <r>
      <rPr>
        <u/>
        <sz val="11"/>
        <color theme="8" tint="-0.249977111117893"/>
        <rFont val="Calibri"/>
        <family val="2"/>
        <scheme val="minor"/>
      </rPr>
      <t>https://onlinelibrary.wiley.com/doi/10.1002/biot.201700576</t>
    </r>
  </si>
  <si>
    <t>NBS</t>
  </si>
  <si>
    <r>
      <t xml:space="preserve">Sí: </t>
    </r>
    <r>
      <rPr>
        <u/>
        <sz val="11"/>
        <color theme="8" tint="-0.249977111117893"/>
        <rFont val="Calibri"/>
        <family val="2"/>
        <scheme val="minor"/>
      </rPr>
      <t>https://www.biorxiv.org/content/10.1101/2022.07.30.502154v1.full</t>
    </r>
  </si>
  <si>
    <t>NR</t>
  </si>
  <si>
    <t>N4OMT</t>
  </si>
  <si>
    <r>
      <t>Sí.</t>
    </r>
    <r>
      <rPr>
        <u/>
        <sz val="11"/>
        <color theme="8" tint="-0.249977111117893"/>
        <rFont val="Calibri"/>
        <family val="2"/>
        <scheme val="minor"/>
      </rPr>
      <t xml:space="preserve"> https://www.ncbi.nlm.nih.gov/pmc/articles/PMC4111509/</t>
    </r>
  </si>
  <si>
    <t>6|6</t>
  </si>
  <si>
    <t>5|6</t>
  </si>
  <si>
    <t>6|7</t>
  </si>
  <si>
    <t>8|9</t>
  </si>
  <si>
    <t>8|8</t>
  </si>
  <si>
    <t>7|8</t>
  </si>
  <si>
    <t>10|10</t>
  </si>
  <si>
    <t>9|10</t>
  </si>
  <si>
    <t>Pseudomonas putida</t>
  </si>
  <si>
    <t>Nativo.</t>
  </si>
  <si>
    <t>N.D.</t>
  </si>
  <si>
    <r>
      <t xml:space="preserve">Sí existen: </t>
    </r>
    <r>
      <rPr>
        <u/>
        <sz val="11"/>
        <color theme="8" tint="-0.249977111117893"/>
        <rFont val="Calibri"/>
        <family val="2"/>
        <scheme val="minor"/>
      </rPr>
      <t>https://digital.csic.es/bitstream/10261/61424/4/food_bacteria_Marcobal.pdf</t>
    </r>
  </si>
  <si>
    <r>
      <t>Sí existen:</t>
    </r>
    <r>
      <rPr>
        <b/>
        <sz val="11"/>
        <color theme="8" tint="-0.249977111117893"/>
        <rFont val="Calibri"/>
        <family val="2"/>
        <scheme val="minor"/>
      </rPr>
      <t xml:space="preserve"> </t>
    </r>
    <r>
      <rPr>
        <u/>
        <sz val="11"/>
        <color theme="8" tint="-0.249977111117893"/>
        <rFont val="Calibri"/>
        <family val="2"/>
        <scheme val="minor"/>
      </rPr>
      <t>https://europepmc.org/article/pmc/4495716</t>
    </r>
  </si>
  <si>
    <t>Nativo con un error.</t>
  </si>
  <si>
    <r>
      <t xml:space="preserve">Parece que sí pues está en otras cepas de </t>
    </r>
    <r>
      <rPr>
        <i/>
        <sz val="11"/>
        <rFont val="Calibri"/>
        <family val="2"/>
        <scheme val="minor"/>
      </rPr>
      <t>Pseudomonas</t>
    </r>
    <r>
      <rPr>
        <sz val="11"/>
        <rFont val="Calibri"/>
        <family val="2"/>
        <scheme val="minor"/>
      </rPr>
      <t xml:space="preserve">: </t>
    </r>
    <r>
      <rPr>
        <u/>
        <sz val="11"/>
        <color theme="8" tint="-0.249977111117893"/>
        <rFont val="Calibri"/>
        <family val="2"/>
        <scheme val="minor"/>
      </rPr>
      <t>https://www.ncbi.nlm.nih.gov/pmc/articles/PMC1133941/</t>
    </r>
  </si>
  <si>
    <t>2|6</t>
  </si>
  <si>
    <t>1|6</t>
  </si>
  <si>
    <t>2|7</t>
  </si>
  <si>
    <t>4|9</t>
  </si>
  <si>
    <t>5|8</t>
  </si>
  <si>
    <t>4|8</t>
  </si>
  <si>
    <t>7|10</t>
  </si>
  <si>
    <t>6|10</t>
  </si>
  <si>
    <t>3|8</t>
  </si>
  <si>
    <t>Saccharomyces cerevisiae</t>
  </si>
  <si>
    <t>Nat</t>
  </si>
  <si>
    <r>
      <rPr>
        <sz val="11"/>
        <color rgb="FF000000"/>
        <rFont val="Calibri"/>
        <family val="2"/>
      </rPr>
      <t>Sí. Varias referencias. Ejemplo:</t>
    </r>
    <r>
      <rPr>
        <sz val="11"/>
        <color rgb="FF0563C1"/>
        <rFont val="Calibri"/>
        <family val="2"/>
      </rPr>
      <t xml:space="preserve"> https://doi.org/10.1016/j.ymben.2012.10.003</t>
    </r>
  </si>
  <si>
    <r>
      <t>Sí. Varias referencias. Ejemplo:</t>
    </r>
    <r>
      <rPr>
        <u/>
        <sz val="11"/>
        <color theme="8" tint="-0.249977111117893"/>
        <rFont val="Calibri"/>
        <family val="2"/>
        <scheme val="minor"/>
      </rPr>
      <t xml:space="preserve"> https://journals.asm.org/doi/10.1128/AEM.02681-08</t>
    </r>
  </si>
  <si>
    <r>
      <t xml:space="preserve">Sí. Varias referencias. Ejemplo: </t>
    </r>
    <r>
      <rPr>
        <u/>
        <sz val="11"/>
        <color theme="8" tint="-0.249977111117893"/>
        <rFont val="Calibri"/>
        <family val="2"/>
        <scheme val="minor"/>
      </rPr>
      <t>https://www.ncbi.nlm.nih.gov/pmc/articles/PMC4440718/</t>
    </r>
  </si>
  <si>
    <r>
      <t xml:space="preserve">Sí. Varias referencias. Ejemplo: </t>
    </r>
    <r>
      <rPr>
        <u/>
        <sz val="11"/>
        <color theme="8" tint="-0.249977111117893"/>
        <rFont val="Calibri"/>
        <family val="2"/>
        <scheme val="minor"/>
      </rPr>
      <t>https://journals.asm.org/doi/full/10.1128/AEM.00405-15</t>
    </r>
  </si>
  <si>
    <r>
      <t xml:space="preserve">Sí. Ejemplo: </t>
    </r>
    <r>
      <rPr>
        <u/>
        <sz val="11"/>
        <color theme="8" tint="-0.249977111117893"/>
        <rFont val="Calibri"/>
        <family val="2"/>
        <scheme val="minor"/>
      </rPr>
      <t>https://www.sciencedirect.com/science/article/pii/S2095809918302698</t>
    </r>
  </si>
  <si>
    <t>Sí. Ejemplo: https://journals.plos.org/plosone/article?id=10.1371/journal.pone.0257478</t>
  </si>
  <si>
    <r>
      <t xml:space="preserve">Sí. Ejemplo: </t>
    </r>
    <r>
      <rPr>
        <u/>
        <sz val="11"/>
        <color theme="8" tint="-0.249977111117893"/>
        <rFont val="Calibri"/>
        <family val="2"/>
        <scheme val="minor"/>
      </rPr>
      <t>https://www.ncbi.nlm.nih.gov/pmc/articles/PMC1151809/</t>
    </r>
  </si>
  <si>
    <r>
      <rPr>
        <sz val="11"/>
        <color rgb="FF000000"/>
        <rFont val="Calibri"/>
        <family val="2"/>
      </rPr>
      <t xml:space="preserve">Sí: </t>
    </r>
    <r>
      <rPr>
        <u/>
        <sz val="11"/>
        <color rgb="FF2F75B5"/>
        <rFont val="Calibri"/>
        <family val="2"/>
      </rPr>
      <t>https://www.biorxiv.org/content/10.1101/2022.07.30.502154v1.full</t>
    </r>
  </si>
  <si>
    <t>PAL</t>
  </si>
  <si>
    <t>Si: https://www.jbc.org/article/S0021-9258(18)52625-9/fulltext</t>
  </si>
  <si>
    <t>4|6</t>
  </si>
  <si>
    <t>3|6</t>
  </si>
  <si>
    <t>4|7</t>
  </si>
  <si>
    <t>6|8</t>
  </si>
  <si>
    <t>5|10</t>
  </si>
  <si>
    <t>C4H</t>
  </si>
  <si>
    <t>8|10</t>
  </si>
  <si>
    <t>Ruta</t>
  </si>
  <si>
    <t>Kcat/Km máx</t>
  </si>
  <si>
    <t>Kcat/Km mín</t>
  </si>
  <si>
    <t>Normalización</t>
  </si>
  <si>
    <t>Reacción</t>
  </si>
  <si>
    <t>E.C. Number</t>
  </si>
  <si>
    <t>Valor máx enzima (1/(mM*s))</t>
  </si>
  <si>
    <t>01_1</t>
  </si>
  <si>
    <t>added_3dhsk_34dhbz</t>
  </si>
  <si>
    <t>4.2.1.118</t>
  </si>
  <si>
    <t>https://pubmed.ncbi.nlm.nih.gov/27706847/</t>
  </si>
  <si>
    <t>02_1</t>
  </si>
  <si>
    <t>added_34dhbz_34dhbald</t>
  </si>
  <si>
    <t>1.2.1.30</t>
  </si>
  <si>
    <t>03_1</t>
  </si>
  <si>
    <t>added_tyr__L_tym</t>
  </si>
  <si>
    <t>4.1.1.25</t>
  </si>
  <si>
    <t>https://pubmed.ncbi.nlm.nih.gov/27292129/</t>
  </si>
  <si>
    <t>04_1</t>
  </si>
  <si>
    <t>added_4hbz_34dhbz</t>
  </si>
  <si>
    <t>1.14.13.2</t>
  </si>
  <si>
    <t>https://pubmed.ncbi.nlm.nih.gov/30631308/</t>
  </si>
  <si>
    <t>05_1</t>
  </si>
  <si>
    <t>added_4hbz_4hbald</t>
  </si>
  <si>
    <t>07_1</t>
  </si>
  <si>
    <t>added_4hbald_34dhbald</t>
  </si>
  <si>
    <t>09_1</t>
  </si>
  <si>
    <t>added_tyr__L_T4hcinnm</t>
  </si>
  <si>
    <t>4.3.1.23</t>
  </si>
  <si>
    <t>https://pubmed.ncbi.nlm.nih.gov/27401923/</t>
  </si>
  <si>
    <t>10_1</t>
  </si>
  <si>
    <t>added_T4hcinnm_4hbald</t>
  </si>
  <si>
    <t>12_1</t>
  </si>
  <si>
    <t>added_pphn_Largn</t>
  </si>
  <si>
    <t>2.6.1.79</t>
  </si>
  <si>
    <t>https://www.ncbi.nlm.nih.gov/pmc/articles/PMC3916524/#!po=32.1429</t>
  </si>
  <si>
    <t>01_2</t>
  </si>
  <si>
    <t>added_Largn_tyr__L</t>
  </si>
  <si>
    <t>1.3.1.78</t>
  </si>
  <si>
    <t>https://pubmed.ncbi.nlm.nih.gov/29164132/</t>
  </si>
  <si>
    <t>02_2</t>
  </si>
  <si>
    <t>added_T4hcinnm_34dhcinm</t>
  </si>
  <si>
    <t>1.14.14.9</t>
  </si>
  <si>
    <t>https://pubmed.ncbi.nlm.nih.gov/31155821/</t>
  </si>
  <si>
    <t>03_2</t>
  </si>
  <si>
    <t>added_34dhcinm_caffcoa</t>
  </si>
  <si>
    <t>6.2.1.12</t>
  </si>
  <si>
    <t>https://pubmed.ncbi.nlm.nih.gov/26412334/</t>
  </si>
  <si>
    <t>04_2</t>
  </si>
  <si>
    <t>added_caffcoa_34dhbald</t>
  </si>
  <si>
    <t>4.1.2.61</t>
  </si>
  <si>
    <t>05_2</t>
  </si>
  <si>
    <t>added_T4hcinnm_coucoa</t>
  </si>
  <si>
    <t>https://link.springer.com/article/10.1007/s11105-014-0803-4</t>
  </si>
  <si>
    <t>07_2</t>
  </si>
  <si>
    <t>added_coucoa_4hbald</t>
  </si>
  <si>
    <t>09_2</t>
  </si>
  <si>
    <t>added_tym_34dhbald_norcrg</t>
  </si>
  <si>
    <t>10_2</t>
  </si>
  <si>
    <t>added_norcrg_norbell</t>
  </si>
  <si>
    <t>12_2</t>
  </si>
  <si>
    <t>added_norbell_4omet</t>
  </si>
  <si>
    <t>2.1.1.336</t>
  </si>
  <si>
    <t>https://pubmed.ncbi.nlm.nih.gov/25061748/</t>
  </si>
  <si>
    <t>added_phe__L_cinnm</t>
  </si>
  <si>
    <t>4.3.1.24</t>
  </si>
  <si>
    <t>added_cinnm_T4hcinnm</t>
  </si>
  <si>
    <t>1.14.14.91</t>
  </si>
  <si>
    <t>1.1</t>
  </si>
  <si>
    <t>1.2</t>
  </si>
  <si>
    <t>1.3</t>
  </si>
  <si>
    <t>1.4</t>
  </si>
  <si>
    <t>1.5</t>
  </si>
  <si>
    <t>1.7</t>
  </si>
  <si>
    <t>1.9</t>
  </si>
  <si>
    <t>1.10</t>
  </si>
  <si>
    <t>1.12</t>
  </si>
  <si>
    <t>2.1</t>
  </si>
  <si>
    <t>2.2</t>
  </si>
  <si>
    <t>2.3</t>
  </si>
  <si>
    <t>2.4</t>
  </si>
  <si>
    <t>2.5</t>
  </si>
  <si>
    <t>2.7</t>
  </si>
  <si>
    <t>2.9</t>
  </si>
  <si>
    <t>2.10</t>
  </si>
  <si>
    <t>2.12</t>
  </si>
  <si>
    <t>Energéticos</t>
  </si>
  <si>
    <t>ATP</t>
  </si>
  <si>
    <t>NAD(P)H</t>
  </si>
  <si>
    <t>FAD/FADH2</t>
  </si>
  <si>
    <t>FMN</t>
  </si>
  <si>
    <t>TOTAL ENERG</t>
  </si>
  <si>
    <t>No energéticos</t>
  </si>
  <si>
    <t>Iones metálicos (Mg2+)</t>
  </si>
  <si>
    <t>pyridoxal 5'-phosphate</t>
  </si>
  <si>
    <t>MIO</t>
  </si>
  <si>
    <t>Mn2+ (1.1 y 2.1)</t>
  </si>
  <si>
    <t>TOTAL NO ENERG</t>
  </si>
  <si>
    <t>Riesgo total</t>
  </si>
  <si>
    <t>Saccharomyces cerivisiae</t>
  </si>
  <si>
    <t>Pseudomonas aeruginosa</t>
  </si>
  <si>
    <t>ID reacción</t>
  </si>
  <si>
    <t>Gen de enzima a agregar</t>
  </si>
  <si>
    <t>FADH2 (fadh2_m)</t>
  </si>
  <si>
    <t>FAD (fad_c)</t>
  </si>
  <si>
    <t>NAD(P)</t>
  </si>
  <si>
    <t>ADP</t>
  </si>
  <si>
    <t>quiC, asbF, qsuB ó qa-4</t>
  </si>
  <si>
    <r>
      <t xml:space="preserve">3dhsk_c -&gt; </t>
    </r>
    <r>
      <rPr>
        <sz val="11"/>
        <color rgb="FFFF0000"/>
        <rFont val="Calibri"/>
        <family val="2"/>
        <scheme val="minor"/>
      </rPr>
      <t>34dhbz_c</t>
    </r>
    <r>
      <rPr>
        <sz val="11"/>
        <color theme="1"/>
        <rFont val="Calibri"/>
        <family val="2"/>
        <scheme val="minor"/>
      </rPr>
      <t xml:space="preserve"> + h2o_c</t>
    </r>
  </si>
  <si>
    <t>xxxx</t>
  </si>
  <si>
    <t>car</t>
  </si>
  <si>
    <t>34dhbz_c + atp_c + nadph_c + h_c &lt;=&gt; 34dhbald_c + amp_c + nadp_c + ppi_c</t>
  </si>
  <si>
    <t>tydc2</t>
  </si>
  <si>
    <r>
      <t>tyr__L_c + h_c -&gt;</t>
    </r>
    <r>
      <rPr>
        <sz val="11"/>
        <color rgb="FFFF0000"/>
        <rFont val="Calibri"/>
        <family val="2"/>
        <scheme val="minor"/>
      </rPr>
      <t xml:space="preserve"> tym_c</t>
    </r>
    <r>
      <rPr>
        <sz val="11"/>
        <color theme="1"/>
        <rFont val="Calibri"/>
        <family val="2"/>
        <scheme val="minor"/>
      </rPr>
      <t xml:space="preserve"> + co2_c</t>
    </r>
  </si>
  <si>
    <t>bmp12 ó pobA</t>
  </si>
  <si>
    <r>
      <t xml:space="preserve">4hbz_c + nadph_c + o2_c + h_c -&gt; </t>
    </r>
    <r>
      <rPr>
        <sz val="11"/>
        <color rgb="FFFF0000"/>
        <rFont val="Calibri"/>
        <family val="2"/>
        <scheme val="minor"/>
      </rPr>
      <t>34dhbz_c</t>
    </r>
    <r>
      <rPr>
        <sz val="11"/>
        <color theme="1"/>
        <rFont val="Calibri"/>
        <family val="2"/>
        <scheme val="minor"/>
      </rPr>
      <t xml:space="preserve"> + nadp_c + h2o_c</t>
    </r>
  </si>
  <si>
    <t>4hbz_c + atp_c + nadph_c + h_c &lt;=&gt; 4hbald_c + amp_c + nadp_c + ppi_c</t>
  </si>
  <si>
    <r>
      <t xml:space="preserve">Patente P450 monooxigenasa </t>
    </r>
    <r>
      <rPr>
        <b/>
        <i/>
        <sz val="11"/>
        <color rgb="FF00B050"/>
        <rFont val="Calibri"/>
        <family val="2"/>
        <scheme val="minor"/>
      </rPr>
      <t>Vanilla planifolia</t>
    </r>
  </si>
  <si>
    <t>4hbald_c + nadph_c + o2_c + h_c -&gt; 34dhbald_c + nadp_c + h2o_c</t>
  </si>
  <si>
    <t>pal/tal</t>
  </si>
  <si>
    <r>
      <t xml:space="preserve">tyr__L_c -&gt; </t>
    </r>
    <r>
      <rPr>
        <sz val="11"/>
        <color rgb="FFFF0000"/>
        <rFont val="Calibri"/>
        <family val="2"/>
        <scheme val="minor"/>
      </rPr>
      <t>T4hcinnm_c</t>
    </r>
    <r>
      <rPr>
        <sz val="11"/>
        <color theme="1"/>
        <rFont val="Calibri"/>
        <family val="2"/>
        <scheme val="minor"/>
      </rPr>
      <t xml:space="preserve"> + nh4_c</t>
    </r>
  </si>
  <si>
    <r>
      <t xml:space="preserve">Patente sintasa 4HBS </t>
    </r>
    <r>
      <rPr>
        <b/>
        <i/>
        <sz val="11"/>
        <color rgb="FF00B050"/>
        <rFont val="Calibri"/>
        <family val="2"/>
        <scheme val="minor"/>
      </rPr>
      <t>Vanilla planifolia</t>
    </r>
  </si>
  <si>
    <t>T4hcinnm_c + h2o_c -&gt; 4hbald_c + ac_c</t>
  </si>
  <si>
    <r>
      <t xml:space="preserve">pphn_c + glu__L_c &lt;=&gt; akg_c + </t>
    </r>
    <r>
      <rPr>
        <sz val="11"/>
        <color rgb="FFFF0000"/>
        <rFont val="Calibri"/>
        <family val="2"/>
        <scheme val="minor"/>
      </rPr>
      <t>Largn_c</t>
    </r>
  </si>
  <si>
    <t>TyrAAT1 ó tyrAa</t>
  </si>
  <si>
    <r>
      <t xml:space="preserve">Largn_c + nadp_c -&gt; </t>
    </r>
    <r>
      <rPr>
        <sz val="11"/>
        <color rgb="FFFF0000"/>
        <rFont val="Calibri"/>
        <family val="2"/>
        <scheme val="minor"/>
      </rPr>
      <t>tyr__L_c</t>
    </r>
    <r>
      <rPr>
        <sz val="11"/>
        <color theme="1"/>
        <rFont val="Calibri"/>
        <family val="2"/>
        <scheme val="minor"/>
      </rPr>
      <t xml:space="preserve"> + nadph_c + co2_c</t>
    </r>
  </si>
  <si>
    <r>
      <rPr>
        <b/>
        <sz val="11"/>
        <rFont val="Calibri"/>
        <family val="2"/>
        <scheme val="minor"/>
      </rPr>
      <t>HpaB</t>
    </r>
    <r>
      <rPr>
        <b/>
        <sz val="11"/>
        <color rgb="FF00B050"/>
        <rFont val="Calibri"/>
        <family val="2"/>
        <scheme val="minor"/>
      </rPr>
      <t xml:space="preserve"> ó C3H</t>
    </r>
  </si>
  <si>
    <r>
      <t>T4hcinnm_c + fadh2_</t>
    </r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+ o2_c -&gt; </t>
    </r>
    <r>
      <rPr>
        <sz val="11"/>
        <color rgb="FFFF0000"/>
        <rFont val="Calibri"/>
        <family val="2"/>
        <scheme val="minor"/>
      </rPr>
      <t>34dhcinm_c</t>
    </r>
    <r>
      <rPr>
        <sz val="11"/>
        <color theme="1"/>
        <rFont val="Calibri"/>
        <family val="2"/>
        <scheme val="minor"/>
      </rPr>
      <t xml:space="preserve"> + fad_c + h2o_c + h_c</t>
    </r>
  </si>
  <si>
    <t>4CL2, FerA ó CNL</t>
  </si>
  <si>
    <r>
      <t xml:space="preserve">34dhcinm_c + atp_c + coa_c -&gt; </t>
    </r>
    <r>
      <rPr>
        <sz val="11"/>
        <color rgb="FFFF0000"/>
        <rFont val="Calibri"/>
        <family val="2"/>
        <scheme val="minor"/>
      </rPr>
      <t>caffcoa_c</t>
    </r>
    <r>
      <rPr>
        <sz val="11"/>
        <color theme="1"/>
        <rFont val="Calibri"/>
        <family val="2"/>
        <scheme val="minor"/>
      </rPr>
      <t xml:space="preserve"> + amp_c + ppi_c</t>
    </r>
  </si>
  <si>
    <t>FerB ó HCHL</t>
  </si>
  <si>
    <t>caffcoa_c + h2o_c -&gt; 34dhbald_c + accoa_c</t>
  </si>
  <si>
    <t>4CL3, CouA, FerA ó CNL</t>
  </si>
  <si>
    <r>
      <t xml:space="preserve">T4hcinnm_c + atp_c + coa_c -&gt; </t>
    </r>
    <r>
      <rPr>
        <sz val="11"/>
        <color rgb="FFFF0000"/>
        <rFont val="Calibri"/>
        <family val="2"/>
        <scheme val="minor"/>
      </rPr>
      <t>coucoa_c</t>
    </r>
    <r>
      <rPr>
        <sz val="11"/>
        <color theme="1"/>
        <rFont val="Calibri"/>
        <family val="2"/>
        <scheme val="minor"/>
      </rPr>
      <t xml:space="preserve"> + amp_c + ppi</t>
    </r>
    <r>
      <rPr>
        <b/>
        <sz val="11"/>
        <color rgb="FFFF0000"/>
        <rFont val="Calibri"/>
        <family val="2"/>
        <scheme val="minor"/>
      </rPr>
      <t>_c</t>
    </r>
  </si>
  <si>
    <t>FerB ó CouA</t>
  </si>
  <si>
    <t>coucoa_c + h2o_c -&gt; 4hbald_c + accoa_c</t>
  </si>
  <si>
    <t>NBS (No Metacyc)</t>
  </si>
  <si>
    <t>tym_c + 34dhbald_c -&gt; norcrg_c + h2o_c + h_c</t>
  </si>
  <si>
    <r>
      <t xml:space="preserve">norcrg_c + nadph_c + h_c -&gt; </t>
    </r>
    <r>
      <rPr>
        <sz val="11"/>
        <color rgb="FFFF0000"/>
        <rFont val="Calibri"/>
        <family val="2"/>
        <scheme val="minor"/>
      </rPr>
      <t>norbell_c</t>
    </r>
    <r>
      <rPr>
        <sz val="11"/>
        <color theme="1"/>
        <rFont val="Calibri"/>
        <family val="2"/>
        <scheme val="minor"/>
      </rPr>
      <t xml:space="preserve"> + nadp_c</t>
    </r>
  </si>
  <si>
    <r>
      <t xml:space="preserve">norbell_c + amet_c -&gt; </t>
    </r>
    <r>
      <rPr>
        <sz val="11"/>
        <color rgb="FFFF0000"/>
        <rFont val="Calibri"/>
        <family val="2"/>
        <scheme val="minor"/>
      </rPr>
      <t>4omet_c</t>
    </r>
    <r>
      <rPr>
        <sz val="11"/>
        <color theme="1"/>
        <rFont val="Calibri"/>
        <family val="2"/>
        <scheme val="minor"/>
      </rPr>
      <t xml:space="preserve"> + ahcys_c + h_c</t>
    </r>
  </si>
  <si>
    <t>added_aux_4omet</t>
  </si>
  <si>
    <t>4omet_c &lt;=&gt; 4omet_e</t>
  </si>
  <si>
    <t>EX_4omet_e</t>
  </si>
  <si>
    <t>Total Sin Rutas</t>
  </si>
  <si>
    <t>Total Ruta 1_1</t>
  </si>
  <si>
    <t>Total Ruta 2_1</t>
  </si>
  <si>
    <t>Total Ruta 3_1</t>
  </si>
  <si>
    <t>Total Ruta 4_1</t>
  </si>
  <si>
    <t>Total Ruta 5_1</t>
  </si>
  <si>
    <t>Total Ruta 7_1</t>
  </si>
  <si>
    <t>Total Ruta 9_1</t>
  </si>
  <si>
    <t>Total Ruta 10_1</t>
  </si>
  <si>
    <t>Total Ruta 12_1</t>
  </si>
  <si>
    <t>Proporciones</t>
  </si>
  <si>
    <t>Ruta 01_1</t>
  </si>
  <si>
    <t>Riesgo metabólico</t>
  </si>
  <si>
    <t>Max Tasa de crecimiento (h)</t>
  </si>
  <si>
    <t>Max Cell Density (g/L)</t>
  </si>
  <si>
    <t>Riesgo en Bioproceso</t>
  </si>
  <si>
    <t>Riesgo en conocimiento de ruta</t>
  </si>
  <si>
    <t>Score</t>
  </si>
  <si>
    <t>Modelo</t>
  </si>
  <si>
    <r>
      <t xml:space="preserve">Biomasa </t>
    </r>
    <r>
      <rPr>
        <b/>
        <i/>
        <sz val="11"/>
        <color rgb="FF000000"/>
        <rFont val="Calibri"/>
        <family val="2"/>
      </rPr>
      <t>E.coli</t>
    </r>
  </si>
  <si>
    <r>
      <t xml:space="preserve">Biomasa </t>
    </r>
    <r>
      <rPr>
        <b/>
        <i/>
        <sz val="11"/>
        <color rgb="FF000000"/>
        <rFont val="Calibri"/>
        <family val="2"/>
      </rPr>
      <t>P. putida</t>
    </r>
  </si>
  <si>
    <r>
      <t>Biomasa</t>
    </r>
    <r>
      <rPr>
        <b/>
        <i/>
        <sz val="11"/>
        <color rgb="FF000000"/>
        <rFont val="Calibri"/>
        <family val="2"/>
      </rPr>
      <t xml:space="preserve"> S. cerevisiae</t>
    </r>
  </si>
  <si>
    <t>NO EDITAR NINGUNA DE LAS CASILLAS EN GRIS. ÚNICAMENTE DILIGENCIAR CASILLAS EN BLANCO.</t>
  </si>
  <si>
    <t>Tasa Estándar</t>
  </si>
  <si>
    <r>
      <t xml:space="preserve">Ruta </t>
    </r>
    <r>
      <rPr>
        <b/>
        <sz val="11"/>
        <color rgb="FFFF0000"/>
        <rFont val="Calibri"/>
        <family val="2"/>
        <scheme val="minor"/>
      </rPr>
      <t>2_1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</si>
  <si>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3_1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</si>
  <si>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4_1</t>
    </r>
  </si>
  <si>
    <t>E.coli</t>
  </si>
  <si>
    <t>ODmáx Estándar</t>
  </si>
  <si>
    <r>
      <t xml:space="preserve">Ruta </t>
    </r>
    <r>
      <rPr>
        <b/>
        <sz val="11"/>
        <color rgb="FFFF0000"/>
        <rFont val="Calibri"/>
        <family val="2"/>
        <scheme val="minor"/>
      </rPr>
      <t>5_1</t>
    </r>
  </si>
  <si>
    <t>FORMATO PARA ANÁLISIS DE SENSIBILIDAD DE PESO (Score M1)</t>
  </si>
  <si>
    <t>X=X</t>
  </si>
  <si>
    <t>Riesgo por mejor Chasis</t>
  </si>
  <si>
    <t>Riesgo Enzimático</t>
  </si>
  <si>
    <t>Riesgo por Requerimientos NO-Energéticos</t>
  </si>
  <si>
    <r>
      <t xml:space="preserve">Ruta </t>
    </r>
    <r>
      <rPr>
        <b/>
        <sz val="11"/>
        <color rgb="FFFF0000"/>
        <rFont val="Calibri"/>
        <family val="2"/>
        <scheme val="minor"/>
      </rPr>
      <t>7_1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</si>
  <si>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9_1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</si>
  <si>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10_1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</si>
  <si>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12_1</t>
    </r>
  </si>
  <si>
    <t>Prom</t>
  </si>
  <si>
    <t>Desvest</t>
  </si>
  <si>
    <t>Estrategia 1 - Screening iterativo</t>
  </si>
  <si>
    <t>X</t>
  </si>
  <si>
    <t>Score M1</t>
  </si>
  <si>
    <t>Kcat/Km minimo</t>
  </si>
  <si>
    <t>Req. Adicionales</t>
  </si>
  <si>
    <t>Ruta 01_2</t>
  </si>
  <si>
    <r>
      <t xml:space="preserve">Ruta </t>
    </r>
    <r>
      <rPr>
        <b/>
        <sz val="11"/>
        <color rgb="FFFF0000"/>
        <rFont val="Calibri"/>
        <family val="2"/>
        <scheme val="minor"/>
      </rPr>
      <t>2_2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</si>
  <si>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3_2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</si>
  <si>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4_2</t>
    </r>
  </si>
  <si>
    <r>
      <t>X=</t>
    </r>
    <r>
      <rPr>
        <b/>
        <sz val="11"/>
        <color rgb="FFC00000"/>
        <rFont val="Calibri"/>
        <family val="2"/>
        <scheme val="minor"/>
      </rPr>
      <t>0,4</t>
    </r>
  </si>
  <si>
    <t>Score M1 (0,4)</t>
  </si>
  <si>
    <t>Kcat/Km minimo (0,04212)</t>
  </si>
  <si>
    <t>Req. adicionales (0,55788)</t>
  </si>
  <si>
    <r>
      <t>X=</t>
    </r>
    <r>
      <rPr>
        <b/>
        <sz val="11"/>
        <color rgb="FFC00000"/>
        <rFont val="Calibri"/>
        <family val="2"/>
        <scheme val="minor"/>
      </rPr>
      <t>0,6</t>
    </r>
  </si>
  <si>
    <t>Score M1 (0,6)</t>
  </si>
  <si>
    <t>Kcat/Km minimo (0,06317)</t>
  </si>
  <si>
    <t>Req. adicionales (0,33683)</t>
  </si>
  <si>
    <r>
      <t>X=</t>
    </r>
    <r>
      <rPr>
        <b/>
        <sz val="11"/>
        <color rgb="FFC00000"/>
        <rFont val="Calibri"/>
        <family val="2"/>
        <scheme val="minor"/>
      </rPr>
      <t>0,8</t>
    </r>
  </si>
  <si>
    <t>Score M1 (0,8)</t>
  </si>
  <si>
    <t>Kcat/Km minimo (0,08423)</t>
  </si>
  <si>
    <t>Req. adicionales (0,11577)</t>
  </si>
  <si>
    <r>
      <t xml:space="preserve">Ruta </t>
    </r>
    <r>
      <rPr>
        <b/>
        <sz val="11"/>
        <color rgb="FFFF0000"/>
        <rFont val="Calibri"/>
        <family val="2"/>
        <scheme val="minor"/>
      </rPr>
      <t>5_2</t>
    </r>
  </si>
  <si>
    <r>
      <t>Ruta</t>
    </r>
    <r>
      <rPr>
        <b/>
        <sz val="11"/>
        <color rgb="FFFF0000"/>
        <rFont val="Calibri"/>
        <family val="2"/>
        <scheme val="minor"/>
      </rPr>
      <t xml:space="preserve"> 7_2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</si>
  <si>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9_2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</si>
  <si>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10_2</t>
    </r>
  </si>
  <si>
    <r>
      <t xml:space="preserve">Ruta </t>
    </r>
    <r>
      <rPr>
        <b/>
        <sz val="11"/>
        <color rgb="FFFF0000"/>
        <rFont val="Calibri"/>
        <family val="2"/>
        <scheme val="minor"/>
      </rPr>
      <t>12_2</t>
    </r>
  </si>
  <si>
    <r>
      <t>X=</t>
    </r>
    <r>
      <rPr>
        <b/>
        <sz val="11"/>
        <color rgb="FFC00000"/>
        <rFont val="Calibri"/>
        <family val="2"/>
        <scheme val="minor"/>
      </rPr>
      <t>0,5</t>
    </r>
  </si>
  <si>
    <t>Score M1 (0,5)</t>
  </si>
  <si>
    <t>Kcat/Km minimo (0,05265)</t>
  </si>
  <si>
    <t>Req. adicionales (0,44736)</t>
  </si>
  <si>
    <r>
      <t>X=</t>
    </r>
    <r>
      <rPr>
        <b/>
        <sz val="11"/>
        <color rgb="FFC00000"/>
        <rFont val="Calibri"/>
        <family val="2"/>
        <scheme val="minor"/>
      </rPr>
      <t>0,7</t>
    </r>
  </si>
  <si>
    <t>Score M1 (0,7)</t>
  </si>
  <si>
    <t>Kcat/Km minimo (0,07370)</t>
  </si>
  <si>
    <t>Req. adicionales (0,22630)</t>
  </si>
  <si>
    <r>
      <t>X=</t>
    </r>
    <r>
      <rPr>
        <b/>
        <sz val="11"/>
        <color rgb="FFC00000"/>
        <rFont val="Calibri"/>
        <family val="2"/>
        <scheme val="minor"/>
      </rPr>
      <t>0,76705</t>
    </r>
  </si>
  <si>
    <t>Score M1 (0,76705)</t>
  </si>
  <si>
    <t>Kcat/Km minimo (0,10529)</t>
  </si>
  <si>
    <t>Req. adicionales (0,12766)</t>
  </si>
  <si>
    <t>Ranking</t>
  </si>
  <si>
    <t>Chasis</t>
  </si>
  <si>
    <t>Tasa de crecimiento (h)</t>
  </si>
  <si>
    <t>Suma individual</t>
  </si>
  <si>
    <t>SOLVER</t>
  </si>
  <si>
    <t>PESO 1</t>
  </si>
  <si>
    <t>PESO 2</t>
  </si>
  <si>
    <t>PESO 3</t>
  </si>
  <si>
    <t>PESO 4</t>
  </si>
  <si>
    <t>PESO 5</t>
  </si>
  <si>
    <t>Suma</t>
  </si>
  <si>
    <t>Promedio Score</t>
  </si>
  <si>
    <t>Vt</t>
  </si>
  <si>
    <t>K=</t>
  </si>
  <si>
    <t>Suma Vi</t>
  </si>
  <si>
    <t>Var</t>
  </si>
  <si>
    <t>Alfa</t>
  </si>
  <si>
    <t>Riesgo por Requerimientos Adicionales</t>
  </si>
  <si>
    <t>SOLVER Anterior</t>
  </si>
  <si>
    <t>C1</t>
  </si>
  <si>
    <t>C2</t>
  </si>
  <si>
    <t>C3</t>
  </si>
  <si>
    <t>C4</t>
  </si>
  <si>
    <t>C5</t>
  </si>
  <si>
    <t>SOLVER Actual</t>
  </si>
  <si>
    <t>Suma Score</t>
  </si>
  <si>
    <t>Ni</t>
  </si>
  <si>
    <t>Nf</t>
  </si>
  <si>
    <t>horas</t>
  </si>
  <si>
    <t>/h</t>
  </si>
  <si>
    <t>G</t>
  </si>
  <si>
    <t>h</t>
  </si>
  <si>
    <t>min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</si>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</sst>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%"/>
    <numFmt numFmtId="166" formatCode="0.0"/>
  </numFmts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Inherit"/>
    </font>
    <font>
      <sz val="11"/>
      <color rgb="FF000000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11"/>
      <name val="Calibri"/>
      <family val="2"/>
    </font>
    <font>
      <b/>
      <i/>
      <sz val="11"/>
      <color theme="0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sz val="11"/>
      <color rgb="FF0563C1"/>
      <name val="Calibri"/>
      <family val="2"/>
    </font>
    <font>
      <u/>
      <sz val="11"/>
      <color rgb="FF2F75B5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0"/>
      <color rgb="FFAA04F9"/>
      <name val="Menlo"/>
      <charset val="1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darkVertical">
        <fgColor rgb="FF00B0F0"/>
        <bgColor rgb="FFFFFF00"/>
      </patternFill>
    </fill>
    <fill>
      <patternFill patternType="darkVertical">
        <fgColor rgb="FF00B0F0"/>
        <bgColor rgb="FF00B050"/>
      </patternFill>
    </fill>
  </fills>
  <borders count="1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460">
    <xf numFmtId="0" fontId="0" fillId="0" borderId="0" xfId="0"/>
    <xf numFmtId="0" fontId="0" fillId="0" borderId="1" xfId="0" applyBorder="1"/>
    <xf numFmtId="164" fontId="3" fillId="0" borderId="6" xfId="0" applyNumberFormat="1" applyFont="1" applyBorder="1" applyAlignment="1">
      <alignment horizontal="center"/>
    </xf>
    <xf numFmtId="164" fontId="3" fillId="0" borderId="26" xfId="0" applyNumberFormat="1" applyFont="1" applyBorder="1" applyAlignment="1">
      <alignment horizontal="center"/>
    </xf>
    <xf numFmtId="164" fontId="3" fillId="0" borderId="32" xfId="0" applyNumberFormat="1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3" fillId="0" borderId="35" xfId="0" applyNumberFormat="1" applyFont="1" applyBorder="1" applyAlignment="1">
      <alignment horizontal="center"/>
    </xf>
    <xf numFmtId="164" fontId="4" fillId="0" borderId="36" xfId="0" applyNumberFormat="1" applyFont="1" applyBorder="1" applyAlignment="1">
      <alignment horizontal="center"/>
    </xf>
    <xf numFmtId="164" fontId="3" fillId="0" borderId="34" xfId="0" applyNumberFormat="1" applyFont="1" applyBorder="1" applyAlignment="1">
      <alignment horizontal="center"/>
    </xf>
    <xf numFmtId="164" fontId="3" fillId="0" borderId="30" xfId="0" applyNumberFormat="1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164" fontId="0" fillId="0" borderId="50" xfId="0" applyNumberFormat="1" applyBorder="1" applyAlignment="1">
      <alignment horizontal="center"/>
    </xf>
    <xf numFmtId="164" fontId="3" fillId="0" borderId="51" xfId="0" applyNumberFormat="1" applyFont="1" applyBorder="1" applyAlignment="1">
      <alignment horizontal="center"/>
    </xf>
    <xf numFmtId="164" fontId="4" fillId="0" borderId="5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41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0" fontId="0" fillId="3" borderId="48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3" borderId="32" xfId="0" applyFont="1" applyFill="1" applyBorder="1" applyAlignment="1">
      <alignment horizontal="center"/>
    </xf>
    <xf numFmtId="0" fontId="8" fillId="3" borderId="34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3" borderId="18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164" fontId="3" fillId="3" borderId="53" xfId="0" applyNumberFormat="1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164" fontId="0" fillId="3" borderId="56" xfId="0" applyNumberForma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0" fontId="0" fillId="2" borderId="0" xfId="0" applyFill="1"/>
    <xf numFmtId="0" fontId="15" fillId="3" borderId="56" xfId="0" applyFont="1" applyFill="1" applyBorder="1" applyAlignment="1">
      <alignment horizontal="center"/>
    </xf>
    <xf numFmtId="0" fontId="15" fillId="3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7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1" fillId="3" borderId="80" xfId="0" applyFont="1" applyFill="1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32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5" borderId="82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16" fillId="0" borderId="32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0" borderId="82" xfId="0" applyBorder="1" applyAlignment="1">
      <alignment horizontal="center" vertical="center" wrapText="1"/>
    </xf>
    <xf numFmtId="0" fontId="16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0" fillId="0" borderId="50" xfId="0" applyBorder="1" applyAlignment="1">
      <alignment horizontal="center" vertical="center" wrapText="1"/>
    </xf>
    <xf numFmtId="0" fontId="0" fillId="0" borderId="84" xfId="0" applyBorder="1" applyAlignment="1">
      <alignment horizontal="center" vertical="center" wrapText="1"/>
    </xf>
    <xf numFmtId="0" fontId="0" fillId="0" borderId="51" xfId="0" applyBorder="1" applyAlignment="1">
      <alignment horizontal="center"/>
    </xf>
    <xf numFmtId="0" fontId="0" fillId="5" borderId="51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0" fillId="6" borderId="82" xfId="0" applyFill="1" applyBorder="1" applyAlignment="1">
      <alignment horizontal="center"/>
    </xf>
    <xf numFmtId="0" fontId="1" fillId="0" borderId="38" xfId="0" applyFont="1" applyBorder="1" applyAlignment="1">
      <alignment horizontal="center" vertical="center"/>
    </xf>
    <xf numFmtId="0" fontId="0" fillId="5" borderId="50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17" fillId="0" borderId="52" xfId="2" applyBorder="1" applyAlignment="1">
      <alignment horizontal="center"/>
    </xf>
    <xf numFmtId="0" fontId="17" fillId="0" borderId="33" xfId="2" applyBorder="1" applyAlignment="1">
      <alignment horizontal="center"/>
    </xf>
    <xf numFmtId="0" fontId="17" fillId="0" borderId="36" xfId="2" applyBorder="1" applyAlignment="1">
      <alignment horizontal="center"/>
    </xf>
    <xf numFmtId="164" fontId="0" fillId="3" borderId="77" xfId="0" applyNumberFormat="1" applyFill="1" applyBorder="1" applyAlignment="1">
      <alignment horizontal="center"/>
    </xf>
    <xf numFmtId="164" fontId="0" fillId="3" borderId="78" xfId="0" applyNumberFormat="1" applyFill="1" applyBorder="1" applyAlignment="1">
      <alignment horizontal="center"/>
    </xf>
    <xf numFmtId="164" fontId="0" fillId="3" borderId="79" xfId="0" applyNumberFormat="1" applyFill="1" applyBorder="1" applyAlignment="1">
      <alignment horizontal="center"/>
    </xf>
    <xf numFmtId="164" fontId="0" fillId="3" borderId="54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164" fontId="0" fillId="3" borderId="5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6" fillId="10" borderId="56" xfId="0" applyNumberFormat="1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 vertical="center"/>
    </xf>
    <xf numFmtId="0" fontId="1" fillId="3" borderId="85" xfId="0" applyFont="1" applyFill="1" applyBorder="1" applyAlignment="1">
      <alignment horizontal="center" vertical="center"/>
    </xf>
    <xf numFmtId="164" fontId="3" fillId="0" borderId="79" xfId="0" applyNumberFormat="1" applyFont="1" applyBorder="1" applyAlignment="1">
      <alignment horizontal="center"/>
    </xf>
    <xf numFmtId="164" fontId="6" fillId="5" borderId="24" xfId="0" applyNumberFormat="1" applyFont="1" applyFill="1" applyBorder="1" applyAlignment="1">
      <alignment horizontal="center"/>
    </xf>
    <xf numFmtId="0" fontId="0" fillId="3" borderId="86" xfId="0" applyFill="1" applyBorder="1" applyAlignment="1">
      <alignment horizontal="center"/>
    </xf>
    <xf numFmtId="164" fontId="0" fillId="3" borderId="87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3" borderId="88" xfId="0" applyNumberFormat="1" applyFill="1" applyBorder="1" applyAlignment="1">
      <alignment horizontal="center"/>
    </xf>
    <xf numFmtId="164" fontId="0" fillId="3" borderId="89" xfId="0" applyNumberFormat="1" applyFill="1" applyBorder="1" applyAlignment="1">
      <alignment horizontal="center"/>
    </xf>
    <xf numFmtId="164" fontId="0" fillId="3" borderId="90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center"/>
    </xf>
    <xf numFmtId="164" fontId="0" fillId="4" borderId="91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/>
    </xf>
    <xf numFmtId="164" fontId="0" fillId="4" borderId="92" xfId="0" applyNumberFormat="1" applyFill="1" applyBorder="1" applyAlignment="1">
      <alignment horizontal="center"/>
    </xf>
    <xf numFmtId="164" fontId="0" fillId="4" borderId="93" xfId="0" applyNumberFormat="1" applyFill="1" applyBorder="1" applyAlignment="1">
      <alignment horizontal="center"/>
    </xf>
    <xf numFmtId="164" fontId="0" fillId="4" borderId="19" xfId="0" applyNumberFormat="1" applyFill="1" applyBorder="1" applyAlignment="1">
      <alignment horizontal="center"/>
    </xf>
    <xf numFmtId="0" fontId="9" fillId="3" borderId="10" xfId="0" applyFont="1" applyFill="1" applyBorder="1" applyAlignment="1">
      <alignment horizontal="center" vertical="center"/>
    </xf>
    <xf numFmtId="164" fontId="0" fillId="3" borderId="50" xfId="0" applyNumberFormat="1" applyFill="1" applyBorder="1" applyAlignment="1">
      <alignment horizontal="center"/>
    </xf>
    <xf numFmtId="164" fontId="3" fillId="3" borderId="51" xfId="0" applyNumberFormat="1" applyFont="1" applyFill="1" applyBorder="1" applyAlignment="1">
      <alignment horizontal="center"/>
    </xf>
    <xf numFmtId="164" fontId="4" fillId="3" borderId="52" xfId="0" applyNumberFormat="1" applyFont="1" applyFill="1" applyBorder="1" applyAlignment="1">
      <alignment horizontal="center"/>
    </xf>
    <xf numFmtId="0" fontId="15" fillId="2" borderId="68" xfId="0" applyFont="1" applyFill="1" applyBorder="1" applyAlignment="1">
      <alignment horizontal="center"/>
    </xf>
    <xf numFmtId="165" fontId="3" fillId="2" borderId="69" xfId="1" applyNumberFormat="1" applyFont="1" applyFill="1" applyBorder="1" applyAlignment="1">
      <alignment horizontal="center"/>
    </xf>
    <xf numFmtId="165" fontId="3" fillId="2" borderId="0" xfId="1" applyNumberFormat="1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7" fillId="3" borderId="72" xfId="0" applyFont="1" applyFill="1" applyBorder="1" applyAlignment="1">
      <alignment horizontal="center"/>
    </xf>
    <xf numFmtId="165" fontId="6" fillId="2" borderId="58" xfId="1" applyNumberFormat="1" applyFont="1" applyFill="1" applyBorder="1" applyAlignment="1">
      <alignment horizontal="center"/>
    </xf>
    <xf numFmtId="9" fontId="0" fillId="2" borderId="58" xfId="1" applyFont="1" applyFill="1" applyBorder="1" applyAlignment="1">
      <alignment horizontal="center"/>
    </xf>
    <xf numFmtId="164" fontId="6" fillId="9" borderId="10" xfId="0" applyNumberFormat="1" applyFont="1" applyFill="1" applyBorder="1" applyAlignment="1">
      <alignment horizontal="center"/>
    </xf>
    <xf numFmtId="0" fontId="18" fillId="0" borderId="52" xfId="2" applyFont="1" applyBorder="1" applyAlignment="1">
      <alignment horizontal="center"/>
    </xf>
    <xf numFmtId="1" fontId="4" fillId="5" borderId="0" xfId="0" applyNumberFormat="1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4" fontId="0" fillId="5" borderId="0" xfId="0" applyNumberFormat="1" applyFill="1"/>
    <xf numFmtId="0" fontId="1" fillId="3" borderId="9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0" fontId="0" fillId="0" borderId="10" xfId="0" applyBorder="1"/>
    <xf numFmtId="0" fontId="25" fillId="2" borderId="0" xfId="0" applyFont="1" applyFill="1" applyAlignment="1">
      <alignment horizontal="left" vertical="center" indent="1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164" fontId="0" fillId="0" borderId="62" xfId="0" applyNumberFormat="1" applyBorder="1"/>
    <xf numFmtId="164" fontId="0" fillId="0" borderId="0" xfId="0" applyNumberFormat="1" applyAlignment="1">
      <alignment horizontal="center"/>
    </xf>
    <xf numFmtId="0" fontId="0" fillId="9" borderId="82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8" borderId="82" xfId="0" applyFill="1" applyBorder="1" applyAlignment="1">
      <alignment horizontal="center"/>
    </xf>
    <xf numFmtId="0" fontId="18" fillId="0" borderId="33" xfId="2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36" xfId="2" applyFont="1" applyBorder="1" applyAlignment="1">
      <alignment horizontal="center"/>
    </xf>
    <xf numFmtId="0" fontId="0" fillId="0" borderId="0" xfId="0" applyAlignment="1">
      <alignment horizontal="right"/>
    </xf>
    <xf numFmtId="0" fontId="18" fillId="5" borderId="33" xfId="2" applyFont="1" applyFill="1" applyBorder="1" applyAlignment="1">
      <alignment horizontal="center"/>
    </xf>
    <xf numFmtId="0" fontId="18" fillId="5" borderId="33" xfId="0" applyFont="1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18" fillId="0" borderId="97" xfId="2" applyFont="1" applyFill="1" applyBorder="1" applyAlignment="1">
      <alignment horizontal="center"/>
    </xf>
    <xf numFmtId="0" fontId="0" fillId="7" borderId="0" xfId="0" applyFill="1"/>
    <xf numFmtId="164" fontId="3" fillId="3" borderId="20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21" xfId="0" applyNumberFormat="1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 vertical="center"/>
    </xf>
    <xf numFmtId="164" fontId="4" fillId="14" borderId="13" xfId="0" applyNumberFormat="1" applyFont="1" applyFill="1" applyBorder="1" applyAlignment="1">
      <alignment horizontal="center"/>
    </xf>
    <xf numFmtId="164" fontId="3" fillId="14" borderId="13" xfId="0" applyNumberFormat="1" applyFont="1" applyFill="1" applyBorder="1" applyAlignment="1">
      <alignment horizontal="center"/>
    </xf>
    <xf numFmtId="164" fontId="4" fillId="14" borderId="1" xfId="0" applyNumberFormat="1" applyFont="1" applyFill="1" applyBorder="1" applyAlignment="1">
      <alignment horizontal="center"/>
    </xf>
    <xf numFmtId="164" fontId="3" fillId="14" borderId="1" xfId="0" applyNumberFormat="1" applyFont="1" applyFill="1" applyBorder="1" applyAlignment="1">
      <alignment horizontal="center"/>
    </xf>
    <xf numFmtId="164" fontId="4" fillId="14" borderId="18" xfId="0" applyNumberFormat="1" applyFont="1" applyFill="1" applyBorder="1" applyAlignment="1">
      <alignment horizontal="center"/>
    </xf>
    <xf numFmtId="164" fontId="3" fillId="14" borderId="18" xfId="0" applyNumberFormat="1" applyFont="1" applyFill="1" applyBorder="1" applyAlignment="1">
      <alignment horizontal="center"/>
    </xf>
    <xf numFmtId="0" fontId="0" fillId="15" borderId="0" xfId="0" applyFill="1"/>
    <xf numFmtId="164" fontId="26" fillId="14" borderId="23" xfId="0" applyNumberFormat="1" applyFont="1" applyFill="1" applyBorder="1" applyAlignment="1">
      <alignment horizontal="center"/>
    </xf>
    <xf numFmtId="164" fontId="26" fillId="14" borderId="24" xfId="0" applyNumberFormat="1" applyFont="1" applyFill="1" applyBorder="1" applyAlignment="1">
      <alignment horizontal="center"/>
    </xf>
    <xf numFmtId="164" fontId="26" fillId="14" borderId="25" xfId="0" applyNumberFormat="1" applyFont="1" applyFill="1" applyBorder="1" applyAlignment="1">
      <alignment horizontal="center"/>
    </xf>
    <xf numFmtId="0" fontId="3" fillId="2" borderId="68" xfId="0" applyFont="1" applyFill="1" applyBorder="1" applyAlignment="1">
      <alignment horizontal="center"/>
    </xf>
    <xf numFmtId="164" fontId="3" fillId="2" borderId="38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164" fontId="3" fillId="2" borderId="34" xfId="0" applyNumberFormat="1" applyFont="1" applyFill="1" applyBorder="1" applyAlignment="1">
      <alignment horizontal="center"/>
    </xf>
    <xf numFmtId="164" fontId="3" fillId="2" borderId="79" xfId="0" applyNumberFormat="1" applyFont="1" applyFill="1" applyBorder="1" applyAlignment="1">
      <alignment horizontal="center"/>
    </xf>
    <xf numFmtId="0" fontId="15" fillId="2" borderId="42" xfId="0" applyFont="1" applyFill="1" applyBorder="1" applyAlignment="1">
      <alignment horizontal="center"/>
    </xf>
    <xf numFmtId="165" fontId="3" fillId="2" borderId="34" xfId="1" applyNumberFormat="1" applyFont="1" applyFill="1" applyBorder="1" applyAlignment="1">
      <alignment horizontal="center"/>
    </xf>
    <xf numFmtId="165" fontId="19" fillId="2" borderId="34" xfId="1" applyNumberFormat="1" applyFont="1" applyFill="1" applyBorder="1" applyAlignment="1">
      <alignment horizontal="center"/>
    </xf>
    <xf numFmtId="165" fontId="3" fillId="2" borderId="79" xfId="1" applyNumberFormat="1" applyFont="1" applyFill="1" applyBorder="1" applyAlignment="1">
      <alignment horizontal="center"/>
    </xf>
    <xf numFmtId="165" fontId="19" fillId="2" borderId="10" xfId="1" applyNumberFormat="1" applyFont="1" applyFill="1" applyBorder="1" applyAlignment="1">
      <alignment horizontal="center"/>
    </xf>
    <xf numFmtId="165" fontId="0" fillId="2" borderId="58" xfId="1" applyNumberFormat="1" applyFont="1" applyFill="1" applyBorder="1" applyAlignment="1">
      <alignment horizontal="center"/>
    </xf>
    <xf numFmtId="165" fontId="1" fillId="2" borderId="58" xfId="1" applyNumberFormat="1" applyFont="1" applyFill="1" applyBorder="1" applyAlignment="1">
      <alignment horizontal="center"/>
    </xf>
    <xf numFmtId="165" fontId="18" fillId="2" borderId="58" xfId="1" applyNumberFormat="1" applyFont="1" applyFill="1" applyBorder="1" applyAlignment="1">
      <alignment horizontal="center"/>
    </xf>
    <xf numFmtId="165" fontId="18" fillId="2" borderId="10" xfId="1" applyNumberFormat="1" applyFont="1" applyFill="1" applyBorder="1" applyAlignment="1">
      <alignment horizontal="center"/>
    </xf>
    <xf numFmtId="165" fontId="6" fillId="2" borderId="10" xfId="1" applyNumberFormat="1" applyFont="1" applyFill="1" applyBorder="1" applyAlignment="1">
      <alignment horizontal="center"/>
    </xf>
    <xf numFmtId="164" fontId="18" fillId="2" borderId="58" xfId="1" applyNumberFormat="1" applyFont="1" applyFill="1" applyBorder="1" applyAlignment="1">
      <alignment horizontal="center"/>
    </xf>
    <xf numFmtId="164" fontId="14" fillId="2" borderId="58" xfId="1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4" fontId="0" fillId="2" borderId="50" xfId="0" applyNumberFormat="1" applyFill="1" applyBorder="1" applyAlignment="1">
      <alignment horizontal="center"/>
    </xf>
    <xf numFmtId="164" fontId="3" fillId="2" borderId="51" xfId="0" applyNumberFormat="1" applyFont="1" applyFill="1" applyBorder="1" applyAlignment="1">
      <alignment horizontal="center"/>
    </xf>
    <xf numFmtId="164" fontId="4" fillId="2" borderId="5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59" xfId="0" applyBorder="1"/>
    <xf numFmtId="0" fontId="19" fillId="2" borderId="57" xfId="0" applyFont="1" applyFill="1" applyBorder="1" applyAlignment="1">
      <alignment horizontal="center"/>
    </xf>
    <xf numFmtId="165" fontId="0" fillId="2" borderId="85" xfId="1" applyNumberFormat="1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 vertical="center"/>
    </xf>
    <xf numFmtId="0" fontId="8" fillId="4" borderId="96" xfId="0" applyFont="1" applyFill="1" applyBorder="1" applyAlignment="1">
      <alignment horizontal="center" vertical="center"/>
    </xf>
    <xf numFmtId="0" fontId="8" fillId="4" borderId="95" xfId="0" applyFont="1" applyFill="1" applyBorder="1" applyAlignment="1">
      <alignment horizontal="center" vertical="center"/>
    </xf>
    <xf numFmtId="0" fontId="1" fillId="14" borderId="59" xfId="0" applyFont="1" applyFill="1" applyBorder="1" applyAlignment="1">
      <alignment horizontal="center" vertical="center"/>
    </xf>
    <xf numFmtId="164" fontId="26" fillId="4" borderId="22" xfId="0" applyNumberFormat="1" applyFont="1" applyFill="1" applyBorder="1" applyAlignment="1">
      <alignment horizontal="center" vertical="center"/>
    </xf>
    <xf numFmtId="164" fontId="26" fillId="4" borderId="96" xfId="0" applyNumberFormat="1" applyFont="1" applyFill="1" applyBorder="1" applyAlignment="1">
      <alignment horizontal="center" vertical="center"/>
    </xf>
    <xf numFmtId="164" fontId="26" fillId="4" borderId="95" xfId="0" applyNumberFormat="1" applyFont="1" applyFill="1" applyBorder="1" applyAlignment="1">
      <alignment horizontal="center" vertical="center"/>
    </xf>
    <xf numFmtId="164" fontId="3" fillId="0" borderId="77" xfId="0" applyNumberFormat="1" applyFont="1" applyBorder="1" applyAlignment="1">
      <alignment horizontal="center"/>
    </xf>
    <xf numFmtId="164" fontId="3" fillId="0" borderId="78" xfId="0" applyNumberFormat="1" applyFont="1" applyBorder="1" applyAlignment="1">
      <alignment horizontal="center"/>
    </xf>
    <xf numFmtId="164" fontId="0" fillId="0" borderId="99" xfId="0" applyNumberFormat="1" applyBorder="1"/>
    <xf numFmtId="164" fontId="0" fillId="0" borderId="100" xfId="0" applyNumberFormat="1" applyBorder="1"/>
    <xf numFmtId="164" fontId="0" fillId="0" borderId="101" xfId="0" applyNumberFormat="1" applyBorder="1"/>
    <xf numFmtId="164" fontId="1" fillId="0" borderId="0" xfId="0" applyNumberFormat="1" applyFont="1" applyAlignment="1">
      <alignment horizontal="center"/>
    </xf>
    <xf numFmtId="0" fontId="31" fillId="0" borderId="26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/>
    </xf>
    <xf numFmtId="164" fontId="32" fillId="0" borderId="26" xfId="0" applyNumberFormat="1" applyFont="1" applyBorder="1" applyAlignment="1">
      <alignment horizontal="center"/>
    </xf>
    <xf numFmtId="164" fontId="32" fillId="0" borderId="26" xfId="0" applyNumberFormat="1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14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164" fontId="32" fillId="0" borderId="35" xfId="0" applyNumberFormat="1" applyFont="1" applyBorder="1" applyAlignment="1">
      <alignment horizontal="center"/>
    </xf>
    <xf numFmtId="0" fontId="29" fillId="9" borderId="26" xfId="0" applyFont="1" applyFill="1" applyBorder="1" applyAlignment="1">
      <alignment horizontal="center" vertical="center"/>
    </xf>
    <xf numFmtId="0" fontId="29" fillId="9" borderId="26" xfId="0" applyFont="1" applyFill="1" applyBorder="1" applyAlignment="1">
      <alignment horizontal="center"/>
    </xf>
    <xf numFmtId="164" fontId="3" fillId="14" borderId="26" xfId="0" applyNumberFormat="1" applyFont="1" applyFill="1" applyBorder="1" applyAlignment="1">
      <alignment horizontal="center"/>
    </xf>
    <xf numFmtId="0" fontId="29" fillId="11" borderId="26" xfId="0" applyFont="1" applyFill="1" applyBorder="1" applyAlignment="1">
      <alignment horizontal="center" vertical="center"/>
    </xf>
    <xf numFmtId="0" fontId="29" fillId="11" borderId="26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 vertical="center"/>
    </xf>
    <xf numFmtId="0" fontId="30" fillId="12" borderId="26" xfId="0" applyFont="1" applyFill="1" applyBorder="1" applyAlignment="1">
      <alignment horizontal="center" vertical="center"/>
    </xf>
    <xf numFmtId="0" fontId="30" fillId="12" borderId="26" xfId="0" applyFont="1" applyFill="1" applyBorder="1" applyAlignment="1">
      <alignment horizontal="center"/>
    </xf>
    <xf numFmtId="164" fontId="28" fillId="12" borderId="26" xfId="0" applyNumberFormat="1" applyFont="1" applyFill="1" applyBorder="1" applyAlignment="1">
      <alignment horizontal="center"/>
    </xf>
    <xf numFmtId="0" fontId="29" fillId="8" borderId="26" xfId="0" applyFont="1" applyFill="1" applyBorder="1" applyAlignment="1">
      <alignment horizontal="center" vertical="center"/>
    </xf>
    <xf numFmtId="0" fontId="29" fillId="8" borderId="26" xfId="0" applyFont="1" applyFill="1" applyBorder="1" applyAlignment="1">
      <alignment horizontal="center"/>
    </xf>
    <xf numFmtId="164" fontId="19" fillId="8" borderId="26" xfId="0" applyNumberFormat="1" applyFont="1" applyFill="1" applyBorder="1" applyAlignment="1">
      <alignment horizontal="center"/>
    </xf>
    <xf numFmtId="0" fontId="10" fillId="12" borderId="26" xfId="0" applyFont="1" applyFill="1" applyBorder="1" applyAlignment="1">
      <alignment horizontal="center" vertical="center"/>
    </xf>
    <xf numFmtId="0" fontId="29" fillId="5" borderId="26" xfId="0" applyFont="1" applyFill="1" applyBorder="1" applyAlignment="1">
      <alignment horizontal="center" vertical="center"/>
    </xf>
    <xf numFmtId="0" fontId="29" fillId="5" borderId="26" xfId="0" applyFont="1" applyFill="1" applyBorder="1" applyAlignment="1">
      <alignment horizontal="center"/>
    </xf>
    <xf numFmtId="164" fontId="19" fillId="5" borderId="26" xfId="0" applyNumberFormat="1" applyFont="1" applyFill="1" applyBorder="1" applyAlignment="1">
      <alignment horizontal="center"/>
    </xf>
    <xf numFmtId="0" fontId="29" fillId="9" borderId="32" xfId="0" applyFont="1" applyFill="1" applyBorder="1" applyAlignment="1">
      <alignment horizontal="center" vertical="center"/>
    </xf>
    <xf numFmtId="164" fontId="19" fillId="9" borderId="33" xfId="0" applyNumberFormat="1" applyFont="1" applyFill="1" applyBorder="1" applyAlignment="1">
      <alignment horizontal="center" vertical="center"/>
    </xf>
    <xf numFmtId="0" fontId="29" fillId="11" borderId="32" xfId="0" applyFont="1" applyFill="1" applyBorder="1" applyAlignment="1">
      <alignment horizontal="center" vertical="center"/>
    </xf>
    <xf numFmtId="164" fontId="19" fillId="11" borderId="33" xfId="0" applyNumberFormat="1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/>
    </xf>
    <xf numFmtId="0" fontId="30" fillId="12" borderId="32" xfId="0" applyFont="1" applyFill="1" applyBorder="1" applyAlignment="1">
      <alignment horizontal="center" vertical="center"/>
    </xf>
    <xf numFmtId="164" fontId="28" fillId="12" borderId="33" xfId="0" applyNumberFormat="1" applyFont="1" applyFill="1" applyBorder="1" applyAlignment="1">
      <alignment horizontal="center"/>
    </xf>
    <xf numFmtId="0" fontId="29" fillId="8" borderId="32" xfId="0" applyFont="1" applyFill="1" applyBorder="1" applyAlignment="1">
      <alignment horizontal="center" vertical="center"/>
    </xf>
    <xf numFmtId="164" fontId="19" fillId="8" borderId="33" xfId="0" applyNumberFormat="1" applyFont="1" applyFill="1" applyBorder="1" applyAlignment="1">
      <alignment horizontal="center"/>
    </xf>
    <xf numFmtId="0" fontId="10" fillId="12" borderId="32" xfId="0" applyFont="1" applyFill="1" applyBorder="1" applyAlignment="1">
      <alignment horizontal="center" vertical="center"/>
    </xf>
    <xf numFmtId="164" fontId="15" fillId="12" borderId="33" xfId="0" applyNumberFormat="1" applyFont="1" applyFill="1" applyBorder="1" applyAlignment="1">
      <alignment horizontal="center"/>
    </xf>
    <xf numFmtId="0" fontId="29" fillId="5" borderId="32" xfId="0" applyFont="1" applyFill="1" applyBorder="1" applyAlignment="1">
      <alignment horizontal="center" vertical="center"/>
    </xf>
    <xf numFmtId="164" fontId="19" fillId="5" borderId="33" xfId="0" applyNumberFormat="1" applyFont="1" applyFill="1" applyBorder="1" applyAlignment="1">
      <alignment horizontal="center"/>
    </xf>
    <xf numFmtId="0" fontId="29" fillId="5" borderId="34" xfId="0" applyFont="1" applyFill="1" applyBorder="1" applyAlignment="1">
      <alignment horizontal="center" vertical="center"/>
    </xf>
    <xf numFmtId="0" fontId="29" fillId="5" borderId="35" xfId="0" applyFont="1" applyFill="1" applyBorder="1" applyAlignment="1">
      <alignment horizontal="center" vertical="center"/>
    </xf>
    <xf numFmtId="0" fontId="29" fillId="5" borderId="35" xfId="0" applyFont="1" applyFill="1" applyBorder="1" applyAlignment="1">
      <alignment horizontal="center"/>
    </xf>
    <xf numFmtId="164" fontId="3" fillId="14" borderId="35" xfId="0" applyNumberFormat="1" applyFont="1" applyFill="1" applyBorder="1" applyAlignment="1">
      <alignment horizontal="center"/>
    </xf>
    <xf numFmtId="164" fontId="19" fillId="5" borderId="36" xfId="0" applyNumberFormat="1" applyFont="1" applyFill="1" applyBorder="1" applyAlignment="1">
      <alignment horizontal="center"/>
    </xf>
    <xf numFmtId="164" fontId="19" fillId="8" borderId="26" xfId="0" applyNumberFormat="1" applyFont="1" applyFill="1" applyBorder="1" applyAlignment="1">
      <alignment horizontal="center" vertical="center"/>
    </xf>
    <xf numFmtId="164" fontId="19" fillId="9" borderId="26" xfId="0" applyNumberFormat="1" applyFont="1" applyFill="1" applyBorder="1" applyAlignment="1">
      <alignment horizontal="center"/>
    </xf>
    <xf numFmtId="164" fontId="19" fillId="11" borderId="26" xfId="0" applyNumberFormat="1" applyFont="1" applyFill="1" applyBorder="1" applyAlignment="1">
      <alignment horizontal="center"/>
    </xf>
    <xf numFmtId="164" fontId="19" fillId="5" borderId="35" xfId="0" applyNumberFormat="1" applyFont="1" applyFill="1" applyBorder="1" applyAlignment="1">
      <alignment horizontal="center"/>
    </xf>
    <xf numFmtId="164" fontId="26" fillId="3" borderId="12" xfId="0" applyNumberFormat="1" applyFont="1" applyFill="1" applyBorder="1" applyAlignment="1">
      <alignment horizontal="center"/>
    </xf>
    <xf numFmtId="164" fontId="26" fillId="3" borderId="15" xfId="0" applyNumberFormat="1" applyFont="1" applyFill="1" applyBorder="1" applyAlignment="1">
      <alignment horizontal="center"/>
    </xf>
    <xf numFmtId="164" fontId="26" fillId="3" borderId="17" xfId="0" applyNumberFormat="1" applyFont="1" applyFill="1" applyBorder="1" applyAlignment="1">
      <alignment horizontal="center"/>
    </xf>
    <xf numFmtId="164" fontId="26" fillId="3" borderId="29" xfId="0" applyNumberFormat="1" applyFont="1" applyFill="1" applyBorder="1" applyAlignment="1">
      <alignment horizontal="center"/>
    </xf>
    <xf numFmtId="164" fontId="26" fillId="3" borderId="32" xfId="0" applyNumberFormat="1" applyFont="1" applyFill="1" applyBorder="1" applyAlignment="1">
      <alignment horizontal="center"/>
    </xf>
    <xf numFmtId="164" fontId="26" fillId="3" borderId="34" xfId="0" applyNumberFormat="1" applyFont="1" applyFill="1" applyBorder="1" applyAlignment="1">
      <alignment horizontal="center"/>
    </xf>
    <xf numFmtId="164" fontId="32" fillId="0" borderId="35" xfId="0" applyNumberFormat="1" applyFont="1" applyBorder="1" applyAlignment="1">
      <alignment horizontal="center" vertical="center"/>
    </xf>
    <xf numFmtId="0" fontId="32" fillId="0" borderId="52" xfId="2" applyFont="1" applyBorder="1" applyAlignment="1">
      <alignment horizontal="center"/>
    </xf>
    <xf numFmtId="0" fontId="32" fillId="0" borderId="33" xfId="0" applyFont="1" applyBorder="1" applyAlignment="1">
      <alignment horizontal="center"/>
    </xf>
    <xf numFmtId="164" fontId="19" fillId="8" borderId="33" xfId="0" applyNumberFormat="1" applyFont="1" applyFill="1" applyBorder="1" applyAlignment="1">
      <alignment horizontal="center" vertical="center"/>
    </xf>
    <xf numFmtId="164" fontId="28" fillId="12" borderId="33" xfId="0" applyNumberFormat="1" applyFont="1" applyFill="1" applyBorder="1" applyAlignment="1">
      <alignment horizontal="center" vertical="center"/>
    </xf>
    <xf numFmtId="164" fontId="32" fillId="0" borderId="33" xfId="0" applyNumberFormat="1" applyFont="1" applyBorder="1" applyAlignment="1">
      <alignment horizontal="center" vertical="center"/>
    </xf>
    <xf numFmtId="164" fontId="32" fillId="0" borderId="36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26" xfId="0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5" fillId="0" borderId="103" xfId="0" applyFont="1" applyBorder="1" applyAlignment="1">
      <alignment horizontal="right"/>
    </xf>
    <xf numFmtId="0" fontId="0" fillId="0" borderId="32" xfId="0" applyBorder="1"/>
    <xf numFmtId="0" fontId="0" fillId="0" borderId="33" xfId="0" applyBorder="1"/>
    <xf numFmtId="0" fontId="7" fillId="0" borderId="26" xfId="0" applyFont="1" applyBorder="1"/>
    <xf numFmtId="0" fontId="0" fillId="0" borderId="35" xfId="0" applyBorder="1"/>
    <xf numFmtId="0" fontId="0" fillId="0" borderId="36" xfId="0" applyBorder="1"/>
    <xf numFmtId="0" fontId="1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vertical="center" wrapText="1"/>
    </xf>
    <xf numFmtId="0" fontId="35" fillId="0" borderId="26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36" fillId="0" borderId="26" xfId="0" applyFont="1" applyBorder="1" applyAlignment="1">
      <alignment vertical="center" wrapText="1"/>
    </xf>
    <xf numFmtId="0" fontId="0" fillId="12" borderId="26" xfId="0" applyFill="1" applyBorder="1" applyAlignment="1">
      <alignment vertical="center" wrapText="1"/>
    </xf>
    <xf numFmtId="0" fontId="38" fillId="0" borderId="26" xfId="0" applyFont="1" applyBorder="1" applyAlignment="1">
      <alignment vertical="center" wrapText="1"/>
    </xf>
    <xf numFmtId="0" fontId="7" fillId="16" borderId="26" xfId="0" applyFont="1" applyFill="1" applyBorder="1" applyAlignment="1">
      <alignment vertical="center" wrapText="1"/>
    </xf>
    <xf numFmtId="0" fontId="35" fillId="16" borderId="26" xfId="0" applyFont="1" applyFill="1" applyBorder="1" applyAlignment="1">
      <alignment vertical="center" wrapText="1"/>
    </xf>
    <xf numFmtId="0" fontId="0" fillId="16" borderId="26" xfId="0" applyFill="1" applyBorder="1" applyAlignment="1">
      <alignment vertical="center" wrapText="1"/>
    </xf>
    <xf numFmtId="0" fontId="20" fillId="2" borderId="31" xfId="0" applyFont="1" applyFill="1" applyBorder="1" applyAlignment="1">
      <alignment horizontal="center"/>
    </xf>
    <xf numFmtId="0" fontId="7" fillId="0" borderId="32" xfId="0" applyFont="1" applyBorder="1"/>
    <xf numFmtId="0" fontId="0" fillId="0" borderId="34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39" xfId="0" applyBorder="1"/>
    <xf numFmtId="0" fontId="0" fillId="0" borderId="40" xfId="0" applyBorder="1"/>
    <xf numFmtId="0" fontId="1" fillId="0" borderId="38" xfId="0" applyFont="1" applyBorder="1"/>
    <xf numFmtId="11" fontId="0" fillId="0" borderId="26" xfId="0" applyNumberFormat="1" applyBorder="1"/>
    <xf numFmtId="0" fontId="0" fillId="17" borderId="26" xfId="0" applyFill="1" applyBorder="1" applyAlignment="1">
      <alignment vertical="center" wrapText="1"/>
    </xf>
    <xf numFmtId="0" fontId="7" fillId="17" borderId="26" xfId="0" applyFont="1" applyFill="1" applyBorder="1" applyAlignment="1">
      <alignment vertical="center" wrapText="1"/>
    </xf>
    <xf numFmtId="164" fontId="32" fillId="0" borderId="110" xfId="0" applyNumberFormat="1" applyFont="1" applyBorder="1" applyAlignment="1">
      <alignment horizontal="center"/>
    </xf>
    <xf numFmtId="164" fontId="32" fillId="0" borderId="105" xfId="0" applyNumberFormat="1" applyFont="1" applyBorder="1" applyAlignment="1">
      <alignment horizontal="center"/>
    </xf>
    <xf numFmtId="164" fontId="19" fillId="9" borderId="26" xfId="0" applyNumberFormat="1" applyFont="1" applyFill="1" applyBorder="1" applyAlignment="1">
      <alignment horizontal="center" vertical="center"/>
    </xf>
    <xf numFmtId="164" fontId="19" fillId="11" borderId="26" xfId="0" applyNumberFormat="1" applyFont="1" applyFill="1" applyBorder="1" applyAlignment="1">
      <alignment horizontal="center" vertical="center"/>
    </xf>
    <xf numFmtId="164" fontId="28" fillId="12" borderId="26" xfId="0" applyNumberFormat="1" applyFont="1" applyFill="1" applyBorder="1" applyAlignment="1">
      <alignment horizontal="center" vertical="center"/>
    </xf>
    <xf numFmtId="164" fontId="19" fillId="5" borderId="26" xfId="0" applyNumberFormat="1" applyFont="1" applyFill="1" applyBorder="1" applyAlignment="1">
      <alignment horizontal="center" vertical="center"/>
    </xf>
    <xf numFmtId="0" fontId="1" fillId="18" borderId="37" xfId="0" applyFont="1" applyFill="1" applyBorder="1" applyAlignment="1">
      <alignment horizontal="right"/>
    </xf>
    <xf numFmtId="166" fontId="0" fillId="0" borderId="61" xfId="0" applyNumberFormat="1" applyBorder="1"/>
    <xf numFmtId="166" fontId="39" fillId="0" borderId="61" xfId="0" applyNumberFormat="1" applyFont="1" applyBorder="1"/>
    <xf numFmtId="166" fontId="7" fillId="0" borderId="61" xfId="0" applyNumberFormat="1" applyFont="1" applyBorder="1"/>
    <xf numFmtId="0" fontId="40" fillId="0" borderId="32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164" fontId="28" fillId="19" borderId="26" xfId="0" applyNumberFormat="1" applyFont="1" applyFill="1" applyBorder="1" applyAlignment="1">
      <alignment horizontal="center" vertical="center"/>
    </xf>
    <xf numFmtId="0" fontId="30" fillId="19" borderId="32" xfId="0" applyFont="1" applyFill="1" applyBorder="1" applyAlignment="1">
      <alignment horizontal="center" vertical="center"/>
    </xf>
    <xf numFmtId="0" fontId="30" fillId="19" borderId="26" xfId="0" applyFont="1" applyFill="1" applyBorder="1" applyAlignment="1">
      <alignment horizontal="center" vertical="center"/>
    </xf>
    <xf numFmtId="0" fontId="29" fillId="20" borderId="32" xfId="0" applyFont="1" applyFill="1" applyBorder="1" applyAlignment="1">
      <alignment horizontal="center" vertical="center"/>
    </xf>
    <xf numFmtId="0" fontId="29" fillId="20" borderId="26" xfId="0" applyFont="1" applyFill="1" applyBorder="1" applyAlignment="1">
      <alignment horizontal="center" vertical="center"/>
    </xf>
    <xf numFmtId="164" fontId="19" fillId="20" borderId="26" xfId="0" applyNumberFormat="1" applyFont="1" applyFill="1" applyBorder="1" applyAlignment="1">
      <alignment horizontal="center" vertical="center"/>
    </xf>
    <xf numFmtId="0" fontId="31" fillId="0" borderId="68" xfId="0" applyFont="1" applyBorder="1" applyAlignment="1">
      <alignment horizontal="center" vertical="center"/>
    </xf>
    <xf numFmtId="0" fontId="31" fillId="0" borderId="69" xfId="0" applyFont="1" applyBorder="1" applyAlignment="1">
      <alignment horizontal="center" vertical="center"/>
    </xf>
    <xf numFmtId="164" fontId="32" fillId="0" borderId="70" xfId="0" applyNumberFormat="1" applyFont="1" applyBorder="1" applyAlignment="1">
      <alignment horizontal="center" vertical="center"/>
    </xf>
    <xf numFmtId="1" fontId="32" fillId="0" borderId="0" xfId="0" applyNumberFormat="1" applyFont="1" applyAlignment="1">
      <alignment horizontal="right"/>
    </xf>
    <xf numFmtId="11" fontId="0" fillId="0" borderId="39" xfId="0" applyNumberFormat="1" applyBorder="1"/>
    <xf numFmtId="0" fontId="41" fillId="2" borderId="78" xfId="0" applyFont="1" applyFill="1" applyBorder="1" applyAlignment="1">
      <alignment horizontal="center"/>
    </xf>
    <xf numFmtId="164" fontId="41" fillId="2" borderId="100" xfId="0" applyNumberFormat="1" applyFont="1" applyFill="1" applyBorder="1"/>
    <xf numFmtId="0" fontId="29" fillId="8" borderId="34" xfId="0" applyFont="1" applyFill="1" applyBorder="1" applyAlignment="1">
      <alignment horizontal="center" vertical="center"/>
    </xf>
    <xf numFmtId="0" fontId="29" fillId="8" borderId="35" xfId="0" applyFont="1" applyFill="1" applyBorder="1" applyAlignment="1">
      <alignment horizontal="center" vertical="center"/>
    </xf>
    <xf numFmtId="164" fontId="19" fillId="8" borderId="35" xfId="0" applyNumberFormat="1" applyFont="1" applyFill="1" applyBorder="1" applyAlignment="1">
      <alignment horizontal="center" vertical="center"/>
    </xf>
    <xf numFmtId="0" fontId="1" fillId="3" borderId="95" xfId="0" applyFont="1" applyFill="1" applyBorder="1" applyAlignment="1">
      <alignment horizontal="center" vertical="center"/>
    </xf>
    <xf numFmtId="0" fontId="1" fillId="3" borderId="111" xfId="0" applyFont="1" applyFill="1" applyBorder="1" applyAlignment="1">
      <alignment horizontal="center" vertical="center"/>
    </xf>
    <xf numFmtId="0" fontId="1" fillId="14" borderId="112" xfId="0" applyFont="1" applyFill="1" applyBorder="1" applyAlignment="1">
      <alignment horizontal="center" vertical="center"/>
    </xf>
    <xf numFmtId="0" fontId="1" fillId="3" borderId="113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164" fontId="32" fillId="0" borderId="1" xfId="0" applyNumberFormat="1" applyFont="1" applyBorder="1" applyAlignment="1">
      <alignment horizontal="center"/>
    </xf>
    <xf numFmtId="164" fontId="3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6" xfId="0" applyBorder="1"/>
    <xf numFmtId="0" fontId="0" fillId="0" borderId="60" xfId="0" applyBorder="1"/>
    <xf numFmtId="0" fontId="0" fillId="0" borderId="114" xfId="0" applyBorder="1"/>
    <xf numFmtId="0" fontId="0" fillId="0" borderId="116" xfId="0" applyBorder="1"/>
    <xf numFmtId="166" fontId="7" fillId="0" borderId="117" xfId="0" applyNumberFormat="1" applyFont="1" applyBorder="1"/>
    <xf numFmtId="0" fontId="1" fillId="0" borderId="115" xfId="0" applyFont="1" applyBorder="1" applyAlignment="1">
      <alignment horizontal="center"/>
    </xf>
    <xf numFmtId="0" fontId="0" fillId="7" borderId="116" xfId="0" applyFill="1" applyBorder="1"/>
    <xf numFmtId="0" fontId="42" fillId="0" borderId="0" xfId="0" applyFont="1"/>
    <xf numFmtId="0" fontId="43" fillId="0" borderId="0" xfId="3" applyFont="1" applyAlignment="1">
      <alignment horizontal="center"/>
    </xf>
    <xf numFmtId="0" fontId="43" fillId="0" borderId="0" xfId="0" applyFont="1" applyAlignment="1">
      <alignment horizontal="center"/>
    </xf>
    <xf numFmtId="0" fontId="0" fillId="5" borderId="1" xfId="0" applyFill="1" applyBorder="1"/>
    <xf numFmtId="0" fontId="0" fillId="8" borderId="105" xfId="0" applyFill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20" fillId="2" borderId="37" xfId="0" applyFont="1" applyFill="1" applyBorder="1" applyAlignment="1">
      <alignment horizontal="center"/>
    </xf>
    <xf numFmtId="0" fontId="20" fillId="2" borderId="62" xfId="0" applyFont="1" applyFill="1" applyBorder="1" applyAlignment="1">
      <alignment horizontal="center"/>
    </xf>
    <xf numFmtId="0" fontId="1" fillId="13" borderId="48" xfId="0" applyFont="1" applyFill="1" applyBorder="1" applyAlignment="1">
      <alignment horizontal="center"/>
    </xf>
    <xf numFmtId="0" fontId="1" fillId="13" borderId="98" xfId="0" applyFont="1" applyFill="1" applyBorder="1" applyAlignment="1">
      <alignment horizontal="center"/>
    </xf>
    <xf numFmtId="0" fontId="1" fillId="7" borderId="41" xfId="0" applyFont="1" applyFill="1" applyBorder="1" applyAlignment="1">
      <alignment horizontal="center"/>
    </xf>
    <xf numFmtId="0" fontId="1" fillId="7" borderId="102" xfId="0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99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20" fillId="2" borderId="107" xfId="0" applyFont="1" applyFill="1" applyBorder="1" applyAlignment="1">
      <alignment horizontal="center"/>
    </xf>
    <xf numFmtId="0" fontId="20" fillId="2" borderId="109" xfId="0" applyFont="1" applyFill="1" applyBorder="1" applyAlignment="1">
      <alignment horizontal="center"/>
    </xf>
    <xf numFmtId="0" fontId="20" fillId="2" borderId="81" xfId="0" applyFont="1" applyFill="1" applyBorder="1" applyAlignment="1">
      <alignment horizontal="center"/>
    </xf>
    <xf numFmtId="0" fontId="20" fillId="2" borderId="61" xfId="0" applyFont="1" applyFill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1" fillId="0" borderId="100" xfId="0" applyFont="1" applyBorder="1" applyAlignment="1">
      <alignment horizontal="center"/>
    </xf>
    <xf numFmtId="0" fontId="23" fillId="2" borderId="63" xfId="0" applyFont="1" applyFill="1" applyBorder="1" applyAlignment="1">
      <alignment horizontal="center" vertical="center" wrapText="1"/>
    </xf>
    <xf numFmtId="0" fontId="23" fillId="2" borderId="64" xfId="0" applyFont="1" applyFill="1" applyBorder="1" applyAlignment="1">
      <alignment horizontal="center" vertical="center" wrapText="1"/>
    </xf>
    <xf numFmtId="0" fontId="23" fillId="2" borderId="65" xfId="0" applyFont="1" applyFill="1" applyBorder="1" applyAlignment="1">
      <alignment horizontal="center" vertical="center" wrapText="1"/>
    </xf>
    <xf numFmtId="0" fontId="23" fillId="2" borderId="66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3" fillId="2" borderId="67" xfId="0" applyFont="1" applyFill="1" applyBorder="1" applyAlignment="1">
      <alignment horizontal="center" vertical="center" wrapText="1"/>
    </xf>
    <xf numFmtId="0" fontId="23" fillId="2" borderId="68" xfId="0" applyFont="1" applyFill="1" applyBorder="1" applyAlignment="1">
      <alignment horizontal="center" vertical="center" wrapText="1"/>
    </xf>
    <xf numFmtId="0" fontId="23" fillId="2" borderId="69" xfId="0" applyFont="1" applyFill="1" applyBorder="1" applyAlignment="1">
      <alignment horizontal="center" vertical="center" wrapText="1"/>
    </xf>
    <xf numFmtId="0" fontId="23" fillId="2" borderId="70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/>
    </xf>
    <xf numFmtId="0" fontId="11" fillId="3" borderId="61" xfId="0" applyFont="1" applyFill="1" applyBorder="1" applyAlignment="1">
      <alignment horizontal="center" vertical="center"/>
    </xf>
    <xf numFmtId="0" fontId="11" fillId="3" borderId="62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61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9" fillId="2" borderId="61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/>
    </xf>
    <xf numFmtId="0" fontId="1" fillId="0" borderId="65" xfId="0" applyFont="1" applyBorder="1" applyAlignment="1">
      <alignment horizontal="center"/>
    </xf>
  </cellXfs>
  <cellStyles count="4">
    <cellStyle name="Hipervínculo" xfId="2" builtinId="8"/>
    <cellStyle name="Hyperlink" xfId="3" xr:uid="{00000000-000B-0000-0000-000008000000}"/>
    <cellStyle name="Normal" xfId="0" builtinId="0"/>
    <cellStyle name="Porcentaje" xfId="1" builtinId="5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Metabolic Risk</cx:v>
        </cx:txData>
      </cx:tx>
    </cx:title>
    <cx:plotArea>
      <cx:plotAreaRegion>
        <cx:series layoutId="clusteredColumn" uniqueId="{A81272BD-14B5-4FC7-90AA-71D2800EA853}">
          <cx:tx>
            <cx:txData>
              <cx:f>_xlchart.v1.0</cx:f>
              <cx:v>Riesgo metabólico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Knowledge Risk</cx:v>
        </cx:txData>
      </cx:tx>
    </cx:title>
    <cx:plotArea>
      <cx:plotAreaRegion>
        <cx:series layoutId="clusteredColumn" uniqueId="{3D1D5B05-3006-4705-91C4-0AC9D07AA7D3}">
          <cx:tx>
            <cx:txData>
              <cx:f>_xlchart.v1.2</cx:f>
              <cx:v>Riesgo en conocimiento de ruta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Enzymatic Risk</cx:v>
        </cx:txData>
      </cx:tx>
    </cx:title>
    <cx:plotArea>
      <cx:plotAreaRegion>
        <cx:series layoutId="clusteredColumn" uniqueId="{C4C6409C-4322-4E12-9CA9-D23FF0F12442}">
          <cx:tx>
            <cx:txData>
              <cx:f>_xlchart.v1.4</cx:f>
              <cx:v>Riesgo Enzimático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Additional Requirements Risk</cx:v>
        </cx:txData>
      </cx:tx>
    </cx:title>
    <cx:plotArea>
      <cx:plotAreaRegion>
        <cx:series layoutId="clusteredColumn" uniqueId="{85CDFDB6-71AC-4C7E-AD74-D5F221438543}">
          <cx:tx>
            <cx:txData>
              <cx:f>_xlchart.v1.6</cx:f>
              <cx:v>Riesgo por Requerimientos Adicionales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685800</xdr:colOff>
      <xdr:row>124</xdr:row>
      <xdr:rowOff>38100</xdr:rowOff>
    </xdr:from>
    <xdr:to>
      <xdr:col>9</xdr:col>
      <xdr:colOff>998439</xdr:colOff>
      <xdr:row>128</xdr:row>
      <xdr:rowOff>106749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41BA9C-F631-3477-4D32-CA694FC73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1200" y="22920960"/>
          <a:ext cx="2530059" cy="8001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46</xdr:row>
      <xdr:rowOff>85725</xdr:rowOff>
    </xdr:from>
    <xdr:to>
      <xdr:col>7</xdr:col>
      <xdr:colOff>371475</xdr:colOff>
      <xdr:row>61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F5C759C3-88F3-D1E0-02C6-8258B06DAC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  <xdr:twoCellAnchor>
    <xdr:from>
      <xdr:col>7</xdr:col>
      <xdr:colOff>371475</xdr:colOff>
      <xdr:row>46</xdr:row>
      <xdr:rowOff>85725</xdr:rowOff>
    </xdr:from>
    <xdr:to>
      <xdr:col>9</xdr:col>
      <xdr:colOff>1419225</xdr:colOff>
      <xdr:row>61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1FCF1FAA-FC71-24E3-3DF8-4F476055556D}"/>
                </a:ext>
                <a:ext uri="{147F2762-F138-4A5C-976F-8EAC2B608ADB}">
                  <a16:predDERef xmlns:a16="http://schemas.microsoft.com/office/drawing/2014/main" pred="{F5C759C3-88F3-D1E0-02C6-8258B06DAC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  <xdr:twoCellAnchor>
    <xdr:from>
      <xdr:col>7</xdr:col>
      <xdr:colOff>352425</xdr:colOff>
      <xdr:row>61</xdr:row>
      <xdr:rowOff>114300</xdr:rowOff>
    </xdr:from>
    <xdr:to>
      <xdr:col>9</xdr:col>
      <xdr:colOff>1400175</xdr:colOff>
      <xdr:row>76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B700B9E4-7FDC-7AFA-32F4-5810F09A8916}"/>
                </a:ext>
                <a:ext uri="{147F2762-F138-4A5C-976F-8EAC2B608ADB}">
                  <a16:predDERef xmlns:a16="http://schemas.microsoft.com/office/drawing/2014/main" pred="{1FCF1FAA-FC71-24E3-3DF8-4F47605555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  <xdr:twoCellAnchor>
    <xdr:from>
      <xdr:col>4</xdr:col>
      <xdr:colOff>466725</xdr:colOff>
      <xdr:row>61</xdr:row>
      <xdr:rowOff>114300</xdr:rowOff>
    </xdr:from>
    <xdr:to>
      <xdr:col>7</xdr:col>
      <xdr:colOff>381000</xdr:colOff>
      <xdr:row>76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F41CB5A7-FF71-3075-8FAA-9E68839921D2}"/>
                </a:ext>
                <a:ext uri="{147F2762-F138-4A5C-976F-8EAC2B608ADB}">
                  <a16:predDERef xmlns:a16="http://schemas.microsoft.com/office/drawing/2014/main" pred="{B700B9E4-7FDC-7AFA-32F4-5810F09A89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 David Vega" id="{31219FE4-881C-4882-B287-47BFA4390192}" userId="J David Vega" providerId="None"/>
  <person displayName="Ricardo Andres Angel Villadiego" id="{FEC578E4-9223-48D0-B5BF-208173C9BB1E}" userId="S::ra.angel10@uniandes.edu.co::c13932a1-3a34-4fe8-b076-d76f4a9022ed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 David Vega" refreshedDate="45007.104816319443" createdVersion="8" refreshedVersion="8" minRefreshableVersion="3" recordCount="130" xr:uid="{4E9F316A-007D-42FF-B974-42F3FDDAEF76}">
  <cacheSource type="worksheet">
    <worksheetSource ref="C26:G156" sheet="Rxns Biomasa"/>
  </cacheSource>
  <cacheFields count="5">
    <cacheField name="Metabolito" numFmtId="0">
      <sharedItems count="130">
        <s v="pa_SC_c"/>
        <s v="ps_SC_c"/>
        <s v="pe_SC_c"/>
        <s v="ptd1ino_SC_c"/>
        <s v="pc_SC_c"/>
        <s v="triglyc_SC_c"/>
        <s v="ergst_c"/>
        <s v="zymst_c"/>
        <s v="dcmp_c"/>
        <s v="dgmp_c"/>
        <s v="damp_c"/>
        <s v="dtmp_c"/>
        <s v="tre_c"/>
        <s v="cmp_c"/>
        <s v="amp_c"/>
        <s v="gmp_c"/>
        <s v="ump_c"/>
        <s v="13BDglcn_c"/>
        <s v="glycogen_c"/>
        <s v="mannan_c"/>
        <s v="clpn140_p"/>
        <s v="malcoa_c"/>
        <s v="nadh_c"/>
        <s v="murein4px4px4p_p"/>
        <s v="succoa_c"/>
        <s v="pg140_c"/>
        <s v="clpn180_p"/>
        <s v="5mthf_c"/>
        <s v="adocbl_c"/>
        <s v="btamp_c"/>
        <s v="chor_c"/>
        <s v="gthrd_c"/>
        <s v="lipopb_c"/>
        <s v="pqqh2_c"/>
        <s v="pyovd_kt_e"/>
        <s v="q8h2_c"/>
        <s v="thmnp_c"/>
        <s v="cpg160_c"/>
        <s v="pe140_c"/>
        <s v="accoa_c"/>
        <s v="murein3px4p_p"/>
        <s v="nadph_c"/>
        <s v="cpe160_c"/>
        <s v="clpn160_p"/>
        <s v="clpn181_p"/>
        <s v="pg180_c"/>
        <s v="murein3p3p_p"/>
        <s v="pe180_c"/>
        <s v="clpn161_p"/>
        <s v="murein4px4p_p"/>
        <s v="na1_c"/>
        <s v="pg160_c"/>
        <s v="murein4p4p_p"/>
        <s v="lpspput_e"/>
        <s v="pg181_c"/>
        <s v="pe181_c"/>
        <s v="pg161_c"/>
        <s v="ptrc_c"/>
        <s v="btn_c"/>
        <s v="mobd_c"/>
        <s v="cobalt2_c"/>
        <s v="2fe2s_c"/>
        <s v="udcpdp_c"/>
        <s v="bmocogdp_c"/>
        <s v="2ohph_c"/>
        <s v="10thf_c"/>
        <s v="amet_c"/>
        <s v="fad_c"/>
        <s v="mlthf_c"/>
        <s v="pheme_c"/>
        <s v="pydx5p_c"/>
        <s v="sheme_c"/>
        <s v="thf_c"/>
        <s v="thmpp_c"/>
        <s v="4fe4s_c"/>
        <s v="ni2_c"/>
        <s v="zn2_c"/>
        <s v="nadp_c"/>
        <s v="coa_c"/>
        <s v="mn2_c"/>
        <s v="cu2_c"/>
        <s v="nad_c"/>
        <s v="ca2_c"/>
        <s v="cl_c"/>
        <s v="fe2_c"/>
        <s v="fe3_c"/>
        <s v="mg2_c"/>
        <s v="nh4_c"/>
        <s v="pe160_c"/>
        <s v="datp_c"/>
        <s v="murein5px4p_p"/>
        <s v="dttp_c"/>
        <s v="kdo2lipid4_e"/>
        <s v="pe161_p"/>
        <s v="dctp_c"/>
        <s v="dgtp_c"/>
        <s v="pe161_c"/>
        <s v="ctp_c"/>
        <s v="pe160_p"/>
        <s v="utp_c"/>
        <s v="k_c"/>
        <s v="gtp_c"/>
        <s v="ppi_c"/>
        <s v="ribflv_c"/>
        <s v="cys__L_c"/>
        <s v="so4_c"/>
        <s v="trp__L_c"/>
        <s v="met__L_c"/>
        <s v="his__L_c"/>
        <s v="asn__L_c"/>
        <s v="tyr__L_c"/>
        <s v="gln__L_c"/>
        <s v="phe__L_c"/>
        <s v="arg__L_c"/>
        <s v="pro__L_c"/>
        <s v="ser__L_c"/>
        <s v="thr__L_c"/>
        <s v="ile__L_c"/>
        <s v="val__L_c"/>
        <s v="lys__L_c"/>
        <s v="gly_c"/>
        <s v="leu__L_c"/>
        <s v="asp__L_c"/>
        <s v="glu__L_c"/>
        <s v="ala__L_c"/>
        <s v="h_c"/>
        <s v="h2o_c"/>
        <s v="adp_c"/>
        <s v="atp_c"/>
        <s v="pi_c"/>
      </sharedItems>
    </cacheField>
    <cacheField name="Descripción" numFmtId="0">
      <sharedItems containsNonDate="0" containsString="0" containsBlank="1"/>
    </cacheField>
    <cacheField name="Coeficiente E. coli" numFmtId="0">
      <sharedItems containsSemiMixedTypes="0" containsString="0" containsNumber="1" minValue="0" maxValue="54.1248" count="57">
        <n v="0"/>
        <n v="1.9999999999999999E-6"/>
        <n v="6.9999999999999999E-6"/>
        <n v="2.5000000000000001E-5"/>
        <n v="2.5999999999999998E-5"/>
        <n v="5.5000000000000002E-5"/>
        <n v="1.22E-4"/>
        <n v="2.23E-4"/>
        <n v="2.5999999999999998E-4"/>
        <n v="3.2299999999999999E-4"/>
        <n v="3.4099999999999999E-4"/>
        <n v="4.4700000000000002E-4"/>
        <n v="5.7600000000000001E-4"/>
        <n v="6.9099999999999999E-4"/>
        <n v="7.0899999999999999E-4"/>
        <n v="1.8309999999999999E-3"/>
        <n v="5.2050000000000004E-3"/>
        <n v="6.7149999999999996E-3"/>
        <n v="7.8079999999999998E-3"/>
        <n v="8.6750000000000004E-3"/>
        <n v="1.3013E-2"/>
        <n v="1.7867999999999998E-2"/>
        <n v="2.6165999999999998E-2"/>
        <n v="1.3894E-2"/>
        <n v="1.9456000000000001E-2"/>
        <n v="2.1059999999999999E-2"/>
        <n v="2.7016999999999999E-2"/>
        <n v="5.4154000000000001E-2"/>
        <n v="0.13350799999999999"/>
        <n v="4.5946000000000001E-2"/>
        <n v="0.14410400000000001"/>
        <n v="0.19519300000000001"/>
        <n v="0.21509600000000001"/>
        <n v="0.77390300000000001"/>
        <n v="9.1579999999999995E-2"/>
        <n v="4.3379999999999998E-3"/>
        <n v="5.6842999999999998E-2"/>
        <n v="0.15368599999999999"/>
        <n v="9.4738000000000003E-2"/>
        <n v="0.24105499999999999"/>
        <n v="0.13789599999999999"/>
        <n v="0.26316000000000001"/>
        <n v="0.18526500000000001"/>
        <n v="0.295792"/>
        <n v="0.221055"/>
        <n v="0.21579200000000001"/>
        <n v="0.253687"/>
        <n v="0.29052899999999998"/>
        <n v="0.48316199999999998"/>
        <n v="0.34316099999999999"/>
        <n v="0.61263800000000002"/>
        <n v="0.45053100000000001"/>
        <n v="0.51368899999999995"/>
        <n v="53.95"/>
        <n v="48.601500000000001"/>
        <n v="54.1248"/>
        <n v="53.945700000000002"/>
      </sharedItems>
    </cacheField>
    <cacheField name="Coeficiente P. putida" numFmtId="0">
      <sharedItems containsSemiMixedTypes="0" containsString="0" containsNumber="1" minValue="0" maxValue="46.918900000000001" count="74">
        <n v="0"/>
        <n v="1.8E-5"/>
        <n v="3.1000000000000001E-5"/>
        <n v="4.3999999999999999E-5"/>
        <n v="6.6000000000000005E-5"/>
        <n v="9.7999999999999997E-5"/>
        <n v="1.3799999999999999E-4"/>
        <n v="1.92E-4"/>
        <n v="2.23E-4"/>
        <n v="2.2599999999999999E-4"/>
        <n v="2.5099999999999998E-4"/>
        <n v="2.7900000000000001E-4"/>
        <n v="3.2600000000000001E-4"/>
        <n v="3.3500000000000001E-4"/>
        <n v="4.0999999999999999E-4"/>
        <n v="5.7799999999999995E-4"/>
        <n v="1.3090000000000001E-3"/>
        <n v="1.449E-3"/>
        <n v="1.9789999999999999E-3"/>
        <n v="2.6220000000000002E-3"/>
        <n v="2.8730000000000001E-3"/>
        <n v="2.941E-3"/>
        <n v="3.522E-3"/>
        <n v="4.3540000000000002E-3"/>
        <n v="7.9170000000000004E-3"/>
        <n v="8.6960000000000006E-3"/>
        <n v="9.8589999999999997E-3"/>
        <n v="1.7845E-2"/>
        <n v="2.1631999999999998E-2"/>
        <n v="3.3270000000000001E-2"/>
        <n v="2.8170000000000001E-3"/>
        <n v="5.5000000000000002E-5"/>
        <n v="1.11E-4"/>
        <n v="1.6699999999999999E-4"/>
        <n v="1.786E-3"/>
        <n v="4.2259999999999997E-3"/>
        <n v="6.3400000000000001E-3"/>
        <n v="7.0439999999999999E-3"/>
        <n v="1.0567E-2"/>
        <n v="7.8820000000000001E-3"/>
        <n v="1.0803999999999999E-2"/>
        <n v="1.0854000000000001E-2"/>
        <n v="1.721E-2"/>
        <n v="1.7423000000000001E-2"/>
        <n v="3.9155000000000002E-2"/>
        <n v="0.15978300000000001"/>
        <n v="0.14321500000000001"/>
        <n v="0.15850900000000001"/>
        <n v="0.210704"/>
        <n v="0.73868"/>
        <n v="5.5652E-2"/>
        <n v="7.7591999999999994E-2"/>
        <n v="0.12200800000000001"/>
        <n v="0.12628900000000001"/>
        <n v="0.15893099999999999"/>
        <n v="0.13592099999999999"/>
        <n v="0.25150699999999998"/>
        <n v="0.19103800000000001"/>
        <n v="0.35425099999999998"/>
        <n v="0.26328000000000001"/>
        <n v="0.30127399999999999"/>
        <n v="0.256324"/>
        <n v="0.24455099999999999"/>
        <n v="0.38903399999999999"/>
        <n v="0.180336"/>
        <n v="0.431309"/>
        <n v="0.62876900000000002"/>
        <n v="0.28468500000000002"/>
        <n v="0.30180899999999999"/>
        <n v="0.59826699999999999"/>
        <n v="46.7502"/>
        <n v="41.397399999999998"/>
        <n v="46.918900000000001"/>
        <n v="46.746699999999997"/>
      </sharedItems>
    </cacheField>
    <cacheField name="Coeficiente S. cerevisiae" numFmtId="0">
      <sharedItems containsSemiMixedTypes="0" containsString="0" containsNumber="1" minValue="0" maxValue="59.305" count="43">
        <n v="6.0000000000000002E-6"/>
        <n v="1.7E-5"/>
        <n v="4.5000000000000003E-5"/>
        <n v="5.3000000000000001E-5"/>
        <n v="6.0000000000000002E-5"/>
        <n v="6.6000000000000005E-5"/>
        <n v="6.9999999999999999E-4"/>
        <n v="1.5E-3"/>
        <n v="2.3999999999999998E-3"/>
        <n v="3.5999999999999999E-3"/>
        <n v="2.3400000000000001E-2"/>
        <n v="4.4699999999999997E-2"/>
        <n v="4.5999999999999999E-2"/>
        <n v="5.9900000000000002E-2"/>
        <n v="0.1348"/>
        <n v="0.51849999999999996"/>
        <n v="0.80789999999999995"/>
        <n v="0"/>
        <n v="9.8999999999999999E-4"/>
        <n v="6.6E-3"/>
        <n v="0.02"/>
        <n v="2.8400000000000002E-2"/>
        <n v="5.0700000000000002E-2"/>
        <n v="6.6299999999999998E-2"/>
        <n v="0.1017"/>
        <n v="0.10199999999999999"/>
        <n v="0.10539999999999999"/>
        <n v="0.13389999999999999"/>
        <n v="0.16070000000000001"/>
        <n v="0.16470000000000001"/>
        <n v="0.18540000000000001"/>
        <n v="0.19139999999999999"/>
        <n v="0.19270000000000001"/>
        <n v="0.2646"/>
        <n v="0.28620000000000001"/>
        <n v="0.29039999999999999"/>
        <n v="0.2964"/>
        <n v="0.29749999999999999"/>
        <n v="0.30180000000000001"/>
        <n v="0.45879999999999999"/>
        <n v="58.7"/>
        <n v="59.276000000000003"/>
        <n v="59.3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x v="0"/>
    <m/>
    <x v="0"/>
    <x v="0"/>
    <x v="0"/>
  </r>
  <r>
    <x v="1"/>
    <m/>
    <x v="0"/>
    <x v="0"/>
    <x v="1"/>
  </r>
  <r>
    <x v="2"/>
    <m/>
    <x v="0"/>
    <x v="0"/>
    <x v="2"/>
  </r>
  <r>
    <x v="3"/>
    <m/>
    <x v="0"/>
    <x v="0"/>
    <x v="3"/>
  </r>
  <r>
    <x v="4"/>
    <m/>
    <x v="0"/>
    <x v="0"/>
    <x v="4"/>
  </r>
  <r>
    <x v="5"/>
    <m/>
    <x v="0"/>
    <x v="0"/>
    <x v="5"/>
  </r>
  <r>
    <x v="6"/>
    <m/>
    <x v="0"/>
    <x v="0"/>
    <x v="6"/>
  </r>
  <r>
    <x v="7"/>
    <m/>
    <x v="0"/>
    <x v="0"/>
    <x v="7"/>
  </r>
  <r>
    <x v="8"/>
    <m/>
    <x v="0"/>
    <x v="0"/>
    <x v="8"/>
  </r>
  <r>
    <x v="9"/>
    <m/>
    <x v="0"/>
    <x v="0"/>
    <x v="8"/>
  </r>
  <r>
    <x v="10"/>
    <m/>
    <x v="0"/>
    <x v="0"/>
    <x v="9"/>
  </r>
  <r>
    <x v="11"/>
    <m/>
    <x v="0"/>
    <x v="0"/>
    <x v="9"/>
  </r>
  <r>
    <x v="12"/>
    <m/>
    <x v="0"/>
    <x v="0"/>
    <x v="10"/>
  </r>
  <r>
    <x v="13"/>
    <m/>
    <x v="0"/>
    <x v="0"/>
    <x v="11"/>
  </r>
  <r>
    <x v="14"/>
    <m/>
    <x v="0"/>
    <x v="0"/>
    <x v="12"/>
  </r>
  <r>
    <x v="15"/>
    <m/>
    <x v="0"/>
    <x v="0"/>
    <x v="12"/>
  </r>
  <r>
    <x v="16"/>
    <m/>
    <x v="0"/>
    <x v="0"/>
    <x v="13"/>
  </r>
  <r>
    <x v="17"/>
    <m/>
    <x v="0"/>
    <x v="0"/>
    <x v="14"/>
  </r>
  <r>
    <x v="18"/>
    <m/>
    <x v="0"/>
    <x v="0"/>
    <x v="15"/>
  </r>
  <r>
    <x v="19"/>
    <m/>
    <x v="0"/>
    <x v="0"/>
    <x v="16"/>
  </r>
  <r>
    <x v="20"/>
    <m/>
    <x v="0"/>
    <x v="1"/>
    <x v="17"/>
  </r>
  <r>
    <x v="21"/>
    <m/>
    <x v="0"/>
    <x v="2"/>
    <x v="17"/>
  </r>
  <r>
    <x v="22"/>
    <m/>
    <x v="0"/>
    <x v="3"/>
    <x v="17"/>
  </r>
  <r>
    <x v="23"/>
    <m/>
    <x v="0"/>
    <x v="4"/>
    <x v="17"/>
  </r>
  <r>
    <x v="24"/>
    <m/>
    <x v="0"/>
    <x v="5"/>
    <x v="17"/>
  </r>
  <r>
    <x v="25"/>
    <m/>
    <x v="0"/>
    <x v="6"/>
    <x v="17"/>
  </r>
  <r>
    <x v="26"/>
    <m/>
    <x v="0"/>
    <x v="7"/>
    <x v="17"/>
  </r>
  <r>
    <x v="27"/>
    <m/>
    <x v="0"/>
    <x v="8"/>
    <x v="17"/>
  </r>
  <r>
    <x v="28"/>
    <m/>
    <x v="0"/>
    <x v="8"/>
    <x v="17"/>
  </r>
  <r>
    <x v="29"/>
    <m/>
    <x v="0"/>
    <x v="8"/>
    <x v="17"/>
  </r>
  <r>
    <x v="30"/>
    <m/>
    <x v="0"/>
    <x v="8"/>
    <x v="17"/>
  </r>
  <r>
    <x v="31"/>
    <m/>
    <x v="0"/>
    <x v="8"/>
    <x v="17"/>
  </r>
  <r>
    <x v="32"/>
    <m/>
    <x v="0"/>
    <x v="8"/>
    <x v="17"/>
  </r>
  <r>
    <x v="33"/>
    <m/>
    <x v="0"/>
    <x v="8"/>
    <x v="17"/>
  </r>
  <r>
    <x v="34"/>
    <m/>
    <x v="0"/>
    <x v="8"/>
    <x v="17"/>
  </r>
  <r>
    <x v="35"/>
    <m/>
    <x v="0"/>
    <x v="8"/>
    <x v="17"/>
  </r>
  <r>
    <x v="36"/>
    <m/>
    <x v="0"/>
    <x v="8"/>
    <x v="17"/>
  </r>
  <r>
    <x v="37"/>
    <m/>
    <x v="0"/>
    <x v="9"/>
    <x v="17"/>
  </r>
  <r>
    <x v="38"/>
    <m/>
    <x v="0"/>
    <x v="10"/>
    <x v="17"/>
  </r>
  <r>
    <x v="39"/>
    <m/>
    <x v="0"/>
    <x v="11"/>
    <x v="17"/>
  </r>
  <r>
    <x v="40"/>
    <m/>
    <x v="0"/>
    <x v="12"/>
    <x v="17"/>
  </r>
  <r>
    <x v="41"/>
    <m/>
    <x v="0"/>
    <x v="13"/>
    <x v="17"/>
  </r>
  <r>
    <x v="42"/>
    <m/>
    <x v="0"/>
    <x v="14"/>
    <x v="17"/>
  </r>
  <r>
    <x v="43"/>
    <m/>
    <x v="0"/>
    <x v="15"/>
    <x v="17"/>
  </r>
  <r>
    <x v="44"/>
    <m/>
    <x v="0"/>
    <x v="16"/>
    <x v="17"/>
  </r>
  <r>
    <x v="45"/>
    <m/>
    <x v="0"/>
    <x v="17"/>
    <x v="17"/>
  </r>
  <r>
    <x v="46"/>
    <m/>
    <x v="0"/>
    <x v="18"/>
    <x v="17"/>
  </r>
  <r>
    <x v="47"/>
    <m/>
    <x v="0"/>
    <x v="19"/>
    <x v="17"/>
  </r>
  <r>
    <x v="48"/>
    <m/>
    <x v="0"/>
    <x v="20"/>
    <x v="17"/>
  </r>
  <r>
    <x v="49"/>
    <m/>
    <x v="0"/>
    <x v="21"/>
    <x v="17"/>
  </r>
  <r>
    <x v="50"/>
    <m/>
    <x v="0"/>
    <x v="22"/>
    <x v="17"/>
  </r>
  <r>
    <x v="51"/>
    <m/>
    <x v="0"/>
    <x v="23"/>
    <x v="17"/>
  </r>
  <r>
    <x v="52"/>
    <m/>
    <x v="0"/>
    <x v="24"/>
    <x v="17"/>
  </r>
  <r>
    <x v="53"/>
    <m/>
    <x v="0"/>
    <x v="25"/>
    <x v="17"/>
  </r>
  <r>
    <x v="54"/>
    <m/>
    <x v="0"/>
    <x v="26"/>
    <x v="17"/>
  </r>
  <r>
    <x v="55"/>
    <m/>
    <x v="0"/>
    <x v="27"/>
    <x v="17"/>
  </r>
  <r>
    <x v="56"/>
    <m/>
    <x v="0"/>
    <x v="28"/>
    <x v="17"/>
  </r>
  <r>
    <x v="57"/>
    <m/>
    <x v="0"/>
    <x v="29"/>
    <x v="17"/>
  </r>
  <r>
    <x v="58"/>
    <m/>
    <x v="1"/>
    <x v="0"/>
    <x v="17"/>
  </r>
  <r>
    <x v="59"/>
    <m/>
    <x v="2"/>
    <x v="30"/>
    <x v="17"/>
  </r>
  <r>
    <x v="60"/>
    <m/>
    <x v="3"/>
    <x v="30"/>
    <x v="17"/>
  </r>
  <r>
    <x v="61"/>
    <m/>
    <x v="4"/>
    <x v="8"/>
    <x v="17"/>
  </r>
  <r>
    <x v="62"/>
    <m/>
    <x v="5"/>
    <x v="31"/>
    <x v="17"/>
  </r>
  <r>
    <x v="63"/>
    <m/>
    <x v="6"/>
    <x v="8"/>
    <x v="17"/>
  </r>
  <r>
    <x v="64"/>
    <m/>
    <x v="7"/>
    <x v="0"/>
    <x v="17"/>
  </r>
  <r>
    <x v="65"/>
    <m/>
    <x v="7"/>
    <x v="8"/>
    <x v="17"/>
  </r>
  <r>
    <x v="66"/>
    <m/>
    <x v="7"/>
    <x v="8"/>
    <x v="17"/>
  </r>
  <r>
    <x v="67"/>
    <m/>
    <x v="7"/>
    <x v="8"/>
    <x v="17"/>
  </r>
  <r>
    <x v="68"/>
    <m/>
    <x v="7"/>
    <x v="8"/>
    <x v="17"/>
  </r>
  <r>
    <x v="69"/>
    <m/>
    <x v="7"/>
    <x v="8"/>
    <x v="17"/>
  </r>
  <r>
    <x v="70"/>
    <m/>
    <x v="7"/>
    <x v="8"/>
    <x v="17"/>
  </r>
  <r>
    <x v="71"/>
    <m/>
    <x v="7"/>
    <x v="8"/>
    <x v="17"/>
  </r>
  <r>
    <x v="72"/>
    <m/>
    <x v="7"/>
    <x v="8"/>
    <x v="17"/>
  </r>
  <r>
    <x v="73"/>
    <m/>
    <x v="7"/>
    <x v="8"/>
    <x v="17"/>
  </r>
  <r>
    <x v="74"/>
    <m/>
    <x v="8"/>
    <x v="8"/>
    <x v="17"/>
  </r>
  <r>
    <x v="75"/>
    <m/>
    <x v="9"/>
    <x v="30"/>
    <x v="17"/>
  </r>
  <r>
    <x v="76"/>
    <m/>
    <x v="10"/>
    <x v="30"/>
    <x v="17"/>
  </r>
  <r>
    <x v="77"/>
    <m/>
    <x v="11"/>
    <x v="32"/>
    <x v="17"/>
  </r>
  <r>
    <x v="78"/>
    <m/>
    <x v="12"/>
    <x v="33"/>
    <x v="17"/>
  </r>
  <r>
    <x v="79"/>
    <m/>
    <x v="13"/>
    <x v="30"/>
    <x v="17"/>
  </r>
  <r>
    <x v="80"/>
    <m/>
    <x v="14"/>
    <x v="30"/>
    <x v="17"/>
  </r>
  <r>
    <x v="81"/>
    <m/>
    <x v="15"/>
    <x v="34"/>
    <x v="17"/>
  </r>
  <r>
    <x v="82"/>
    <m/>
    <x v="16"/>
    <x v="35"/>
    <x v="17"/>
  </r>
  <r>
    <x v="83"/>
    <m/>
    <x v="16"/>
    <x v="35"/>
    <x v="17"/>
  </r>
  <r>
    <x v="84"/>
    <m/>
    <x v="17"/>
    <x v="36"/>
    <x v="17"/>
  </r>
  <r>
    <x v="85"/>
    <m/>
    <x v="18"/>
    <x v="36"/>
    <x v="17"/>
  </r>
  <r>
    <x v="86"/>
    <m/>
    <x v="19"/>
    <x v="37"/>
    <x v="17"/>
  </r>
  <r>
    <x v="87"/>
    <m/>
    <x v="20"/>
    <x v="38"/>
    <x v="17"/>
  </r>
  <r>
    <x v="88"/>
    <m/>
    <x v="21"/>
    <x v="39"/>
    <x v="17"/>
  </r>
  <r>
    <x v="89"/>
    <m/>
    <x v="22"/>
    <x v="40"/>
    <x v="17"/>
  </r>
  <r>
    <x v="90"/>
    <m/>
    <x v="23"/>
    <x v="0"/>
    <x v="17"/>
  </r>
  <r>
    <x v="91"/>
    <m/>
    <x v="22"/>
    <x v="41"/>
    <x v="17"/>
  </r>
  <r>
    <x v="92"/>
    <m/>
    <x v="24"/>
    <x v="0"/>
    <x v="17"/>
  </r>
  <r>
    <x v="93"/>
    <m/>
    <x v="25"/>
    <x v="0"/>
    <x v="17"/>
  </r>
  <r>
    <x v="94"/>
    <m/>
    <x v="26"/>
    <x v="42"/>
    <x v="17"/>
  </r>
  <r>
    <x v="95"/>
    <m/>
    <x v="26"/>
    <x v="43"/>
    <x v="17"/>
  </r>
  <r>
    <x v="96"/>
    <m/>
    <x v="27"/>
    <x v="44"/>
    <x v="17"/>
  </r>
  <r>
    <x v="97"/>
    <m/>
    <x v="28"/>
    <x v="45"/>
    <x v="17"/>
  </r>
  <r>
    <x v="98"/>
    <m/>
    <x v="29"/>
    <x v="0"/>
    <x v="17"/>
  </r>
  <r>
    <x v="99"/>
    <m/>
    <x v="30"/>
    <x v="46"/>
    <x v="17"/>
  </r>
  <r>
    <x v="100"/>
    <m/>
    <x v="31"/>
    <x v="47"/>
    <x v="17"/>
  </r>
  <r>
    <x v="101"/>
    <m/>
    <x v="32"/>
    <x v="48"/>
    <x v="17"/>
  </r>
  <r>
    <x v="102"/>
    <m/>
    <x v="33"/>
    <x v="49"/>
    <x v="17"/>
  </r>
  <r>
    <x v="103"/>
    <m/>
    <x v="7"/>
    <x v="8"/>
    <x v="18"/>
  </r>
  <r>
    <x v="104"/>
    <m/>
    <x v="34"/>
    <x v="50"/>
    <x v="19"/>
  </r>
  <r>
    <x v="105"/>
    <m/>
    <x v="35"/>
    <x v="22"/>
    <x v="20"/>
  </r>
  <r>
    <x v="106"/>
    <m/>
    <x v="36"/>
    <x v="51"/>
    <x v="21"/>
  </r>
  <r>
    <x v="107"/>
    <m/>
    <x v="37"/>
    <x v="52"/>
    <x v="22"/>
  </r>
  <r>
    <x v="108"/>
    <m/>
    <x v="38"/>
    <x v="53"/>
    <x v="23"/>
  </r>
  <r>
    <x v="109"/>
    <m/>
    <x v="39"/>
    <x v="54"/>
    <x v="24"/>
  </r>
  <r>
    <x v="110"/>
    <m/>
    <x v="40"/>
    <x v="55"/>
    <x v="25"/>
  </r>
  <r>
    <x v="111"/>
    <m/>
    <x v="41"/>
    <x v="56"/>
    <x v="26"/>
  </r>
  <r>
    <x v="112"/>
    <m/>
    <x v="42"/>
    <x v="57"/>
    <x v="27"/>
  </r>
  <r>
    <x v="113"/>
    <m/>
    <x v="43"/>
    <x v="58"/>
    <x v="28"/>
  </r>
  <r>
    <x v="114"/>
    <m/>
    <x v="44"/>
    <x v="59"/>
    <x v="29"/>
  </r>
  <r>
    <x v="115"/>
    <m/>
    <x v="45"/>
    <x v="60"/>
    <x v="30"/>
  </r>
  <r>
    <x v="116"/>
    <m/>
    <x v="46"/>
    <x v="61"/>
    <x v="31"/>
  </r>
  <r>
    <x v="117"/>
    <m/>
    <x v="47"/>
    <x v="62"/>
    <x v="32"/>
  </r>
  <r>
    <x v="118"/>
    <m/>
    <x v="48"/>
    <x v="63"/>
    <x v="33"/>
  </r>
  <r>
    <x v="119"/>
    <m/>
    <x v="49"/>
    <x v="64"/>
    <x v="34"/>
  </r>
  <r>
    <x v="120"/>
    <m/>
    <x v="50"/>
    <x v="65"/>
    <x v="35"/>
  </r>
  <r>
    <x v="121"/>
    <m/>
    <x v="51"/>
    <x v="66"/>
    <x v="36"/>
  </r>
  <r>
    <x v="122"/>
    <m/>
    <x v="39"/>
    <x v="67"/>
    <x v="37"/>
  </r>
  <r>
    <x v="123"/>
    <m/>
    <x v="41"/>
    <x v="68"/>
    <x v="38"/>
  </r>
  <r>
    <x v="124"/>
    <m/>
    <x v="52"/>
    <x v="69"/>
    <x v="39"/>
  </r>
  <r>
    <x v="125"/>
    <m/>
    <x v="53"/>
    <x v="70"/>
    <x v="40"/>
  </r>
  <r>
    <x v="126"/>
    <m/>
    <x v="54"/>
    <x v="71"/>
    <x v="41"/>
  </r>
  <r>
    <x v="127"/>
    <m/>
    <x v="53"/>
    <x v="70"/>
    <x v="41"/>
  </r>
  <r>
    <x v="128"/>
    <m/>
    <x v="55"/>
    <x v="72"/>
    <x v="41"/>
  </r>
  <r>
    <x v="129"/>
    <m/>
    <x v="56"/>
    <x v="73"/>
    <x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B2594B-DD10-4D95-A7E2-FAA81EF454B0}" name="TablaDinámica1" cacheId="90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5:D26" firstHeaderRow="0" firstDataRow="1" firstDataCol="1" rowPageCount="3" colPageCount="1"/>
  <pivotFields count="5">
    <pivotField axis="axisRow" showAll="0">
      <items count="131">
        <item x="65"/>
        <item x="17"/>
        <item x="61"/>
        <item x="64"/>
        <item x="74"/>
        <item x="27"/>
        <item x="39"/>
        <item x="28"/>
        <item x="127"/>
        <item x="124"/>
        <item x="66"/>
        <item x="14"/>
        <item x="113"/>
        <item x="109"/>
        <item x="122"/>
        <item x="128"/>
        <item x="63"/>
        <item x="29"/>
        <item x="58"/>
        <item x="82"/>
        <item x="30"/>
        <item x="83"/>
        <item x="20"/>
        <item x="43"/>
        <item x="48"/>
        <item x="26"/>
        <item x="44"/>
        <item x="13"/>
        <item x="78"/>
        <item x="60"/>
        <item x="42"/>
        <item x="37"/>
        <item x="97"/>
        <item x="80"/>
        <item x="104"/>
        <item x="10"/>
        <item x="89"/>
        <item x="8"/>
        <item x="94"/>
        <item x="9"/>
        <item x="95"/>
        <item x="11"/>
        <item x="91"/>
        <item x="6"/>
        <item x="67"/>
        <item x="84"/>
        <item x="85"/>
        <item x="111"/>
        <item x="123"/>
        <item x="120"/>
        <item x="18"/>
        <item x="15"/>
        <item x="31"/>
        <item x="101"/>
        <item x="125"/>
        <item x="126"/>
        <item x="108"/>
        <item x="117"/>
        <item x="100"/>
        <item x="92"/>
        <item x="121"/>
        <item x="32"/>
        <item x="53"/>
        <item x="119"/>
        <item x="21"/>
        <item x="19"/>
        <item x="107"/>
        <item x="86"/>
        <item x="68"/>
        <item x="79"/>
        <item x="59"/>
        <item x="46"/>
        <item x="40"/>
        <item x="52"/>
        <item x="49"/>
        <item x="23"/>
        <item x="90"/>
        <item x="50"/>
        <item x="81"/>
        <item x="22"/>
        <item x="77"/>
        <item x="41"/>
        <item x="87"/>
        <item x="75"/>
        <item x="0"/>
        <item x="4"/>
        <item x="2"/>
        <item x="38"/>
        <item x="88"/>
        <item x="98"/>
        <item x="96"/>
        <item x="93"/>
        <item x="47"/>
        <item x="55"/>
        <item x="25"/>
        <item x="51"/>
        <item x="56"/>
        <item x="45"/>
        <item x="54"/>
        <item x="112"/>
        <item x="69"/>
        <item x="129"/>
        <item x="102"/>
        <item x="33"/>
        <item x="114"/>
        <item x="1"/>
        <item x="3"/>
        <item x="57"/>
        <item x="70"/>
        <item x="34"/>
        <item x="35"/>
        <item x="103"/>
        <item x="115"/>
        <item x="71"/>
        <item x="105"/>
        <item x="24"/>
        <item x="72"/>
        <item x="36"/>
        <item x="73"/>
        <item x="116"/>
        <item x="12"/>
        <item x="5"/>
        <item x="106"/>
        <item x="110"/>
        <item x="62"/>
        <item x="16"/>
        <item x="99"/>
        <item x="118"/>
        <item x="76"/>
        <item x="7"/>
        <item t="default"/>
      </items>
    </pivotField>
    <pivotField showAll="0"/>
    <pivotField axis="axisPage" dataField="1" multipleItemSelectionAllowed="1" showAll="0">
      <items count="58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35"/>
        <item h="1" x="16"/>
        <item h="1" x="17"/>
        <item h="1" x="18"/>
        <item h="1" x="19"/>
        <item h="1" x="20"/>
        <item h="1" x="23"/>
        <item h="1" x="21"/>
        <item h="1" x="24"/>
        <item h="1" x="25"/>
        <item h="1" x="22"/>
        <item h="1" x="26"/>
        <item h="1" x="29"/>
        <item h="1" x="27"/>
        <item h="1" x="36"/>
        <item h="1" x="34"/>
        <item h="1" x="38"/>
        <item h="1" x="28"/>
        <item h="1" x="40"/>
        <item h="1" x="30"/>
        <item h="1" x="37"/>
        <item h="1" x="42"/>
        <item h="1" x="31"/>
        <item h="1" x="32"/>
        <item h="1" x="45"/>
        <item h="1" x="44"/>
        <item h="1" x="39"/>
        <item h="1" x="46"/>
        <item h="1" x="41"/>
        <item h="1" x="47"/>
        <item h="1" x="43"/>
        <item h="1" x="49"/>
        <item h="1" x="51"/>
        <item h="1" x="48"/>
        <item h="1" x="52"/>
        <item h="1" x="50"/>
        <item h="1" x="33"/>
        <item h="1" x="54"/>
        <item h="1" x="56"/>
        <item h="1" x="53"/>
        <item h="1" x="55"/>
        <item t="default"/>
      </items>
    </pivotField>
    <pivotField axis="axisPage" dataField="1" multipleItemSelectionAllowed="1" showAll="0">
      <items count="75">
        <item x="0"/>
        <item h="1" x="1"/>
        <item h="1" x="2"/>
        <item h="1" x="3"/>
        <item h="1" x="31"/>
        <item h="1" x="4"/>
        <item h="1" x="5"/>
        <item h="1" x="32"/>
        <item h="1" x="6"/>
        <item h="1" x="33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34"/>
        <item h="1" x="18"/>
        <item h="1" x="19"/>
        <item h="1" x="30"/>
        <item h="1" x="20"/>
        <item h="1" x="21"/>
        <item h="1" x="22"/>
        <item h="1" x="35"/>
        <item h="1" x="23"/>
        <item h="1" x="36"/>
        <item h="1" x="37"/>
        <item h="1" x="39"/>
        <item h="1" x="24"/>
        <item h="1" x="25"/>
        <item h="1" x="26"/>
        <item h="1" x="38"/>
        <item h="1" x="40"/>
        <item h="1" x="41"/>
        <item h="1" x="42"/>
        <item h="1" x="43"/>
        <item h="1" x="27"/>
        <item h="1" x="28"/>
        <item h="1" x="29"/>
        <item h="1" x="44"/>
        <item h="1" x="50"/>
        <item h="1" x="51"/>
        <item h="1" x="52"/>
        <item h="1" x="53"/>
        <item h="1" x="55"/>
        <item h="1" x="46"/>
        <item h="1" x="47"/>
        <item h="1" x="54"/>
        <item h="1" x="45"/>
        <item h="1" x="64"/>
        <item h="1" x="57"/>
        <item h="1" x="48"/>
        <item h="1" x="62"/>
        <item h="1" x="56"/>
        <item h="1" x="61"/>
        <item h="1" x="59"/>
        <item h="1" x="67"/>
        <item h="1" x="60"/>
        <item h="1" x="68"/>
        <item h="1" x="58"/>
        <item h="1" x="63"/>
        <item h="1" x="65"/>
        <item h="1" x="69"/>
        <item h="1" x="66"/>
        <item h="1" x="49"/>
        <item h="1" x="71"/>
        <item h="1" x="73"/>
        <item h="1" x="70"/>
        <item h="1" x="72"/>
        <item t="default"/>
      </items>
    </pivotField>
    <pivotField axis="axisPage" dataField="1" multipleItemSelectionAllowed="1" showAll="0">
      <items count="44">
        <item h="1" x="17"/>
        <item x="0"/>
        <item x="1"/>
        <item x="2"/>
        <item x="3"/>
        <item x="4"/>
        <item x="5"/>
        <item x="6"/>
        <item x="18"/>
        <item x="7"/>
        <item x="8"/>
        <item x="9"/>
        <item x="19"/>
        <item x="20"/>
        <item x="10"/>
        <item x="21"/>
        <item x="11"/>
        <item x="12"/>
        <item x="22"/>
        <item x="13"/>
        <item x="23"/>
        <item x="24"/>
        <item x="25"/>
        <item x="26"/>
        <item x="27"/>
        <item x="14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15"/>
        <item x="16"/>
        <item x="40"/>
        <item x="41"/>
        <item x="42"/>
        <item t="default"/>
      </items>
    </pivotField>
  </pivotFields>
  <rowFields count="1">
    <field x="0"/>
  </rowFields>
  <rowItems count="21">
    <i>
      <x v="1"/>
    </i>
    <i>
      <x v="11"/>
    </i>
    <i>
      <x v="27"/>
    </i>
    <i>
      <x v="35"/>
    </i>
    <i>
      <x v="37"/>
    </i>
    <i>
      <x v="39"/>
    </i>
    <i>
      <x v="41"/>
    </i>
    <i>
      <x v="43"/>
    </i>
    <i>
      <x v="50"/>
    </i>
    <i>
      <x v="51"/>
    </i>
    <i>
      <x v="65"/>
    </i>
    <i>
      <x v="84"/>
    </i>
    <i>
      <x v="85"/>
    </i>
    <i>
      <x v="86"/>
    </i>
    <i>
      <x v="105"/>
    </i>
    <i>
      <x v="106"/>
    </i>
    <i>
      <x v="120"/>
    </i>
    <i>
      <x v="121"/>
    </i>
    <i>
      <x v="125"/>
    </i>
    <i>
      <x v="12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" hier="-1"/>
    <pageField fld="3" hier="-1"/>
    <pageField fld="4" hier="-1"/>
  </pageFields>
  <dataFields count="3">
    <dataField name="Suma de Coeficiente E. coli" fld="2" baseField="0" baseItem="0"/>
    <dataField name="Suma de Coeficiente P. putida" fld="3" baseField="0" baseItem="0"/>
    <dataField name="Suma de Coeficiente S. cerevisiae" fld="4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3-03-12T05:20:30.89" personId="{31219FE4-881C-4882-B287-47BFA4390192}" id="{F5B4B635-B05E-44C2-B269-551E09F1F152}">
    <text>Patente Vanilina</text>
  </threadedComment>
  <threadedComment ref="B11" dT="2023-03-12T05:21:12.35" personId="{31219FE4-881C-4882-B287-47BFA4390192}" id="{58A5AF3D-F19A-4BC2-AF65-730BD0D53B41}">
    <text>Patente Vanilina</text>
  </threadedComment>
  <threadedComment ref="B30" dT="2023-03-12T05:20:30.89" personId="{31219FE4-881C-4882-B287-47BFA4390192}" id="{D76C57E2-12B1-4FC7-8DAC-C98F80C06D12}">
    <text>Patente Vanilina</text>
  </threadedComment>
  <threadedComment ref="B32" dT="2023-03-12T05:21:12.35" personId="{31219FE4-881C-4882-B287-47BFA4390192}" id="{D9143BCB-FFC0-42DA-92D3-8D6EAF810F8F}">
    <text>Patente Vanilina</text>
  </threadedComment>
  <threadedComment ref="B51" dT="2023-03-12T05:20:30.89" personId="{31219FE4-881C-4882-B287-47BFA4390192}" id="{582856FC-B45F-471A-B692-42FB2849321B}">
    <text>Patente Vanilina</text>
  </threadedComment>
  <threadedComment ref="B53" dT="2023-03-12T05:21:12.35" personId="{31219FE4-881C-4882-B287-47BFA4390192}" id="{D6BAD2B4-103F-4493-BE46-2DB67371DCBC}">
    <text>Patente Vanilina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03-17T21:38:51.27" personId="{31219FE4-881C-4882-B287-47BFA4390192}" id="{58BC6973-350D-480E-8850-C32B69B0BF5C}">
    <text>Modificar con % de conocimiento</text>
  </threadedComment>
  <threadedComment ref="J3" dT="2023-03-12T06:32:30.18" personId="{31219FE4-881C-4882-B287-47BFA4390192}" id="{3F50E183-327D-4389-ADBC-26F55E57B040}">
    <text xml:space="preserve">&gt;|3-dehydroshikimate dehydratase|EC 4.2.1.118||
MALRPEPEVTTTRLSGNRIWANSQDIRRCQAGGSCVPGQRTGAIVFGVPAQAHALYVGSR
GVGADLPKQDQALICNAKGEPKPCQPLPNHNQPAPRLLALEGNVLRGEVQGPASSLLRVE
FFGNAQADATEAEHYLGEVQVNSDVQGQARFAQALDDIAGLRSFTATVTTADGATSELSL
PLRR
</text>
  </threadedComment>
  <threadedComment ref="J5" dT="2023-03-12T06:24:21.21" personId="{31219FE4-881C-4882-B287-47BFA4390192}" id="{25E2D7F2-EDF7-4AA7-8E36-D4BDC4D900DA}">
    <text xml:space="preserve">Secuencia más óptima no reportada pero la segunda más óptima (583) sí: &gt;|tyrosine 
decarboxylase|EC 4.1.1.25||
MEKSNRSLKDLDLNALFIGDKAENGQLYKDLLNKLVDEHLGWRKNYIPSDPNMIGPEDQN
SPAFKKTVGHMKTVLDQLSERIRTESVPWHSAGRYWGHMNSETLMPALLAYNYAMLWNGN
NVAYESSPATSQMEEEVGQEFARLMGYDYGWGHIVADGSLANLEGLWYARNIKSLPFAMK
EVNPELVAGKSDWELLNMPTKEIMDLLENAGSQIDEVKKRSARSGKNLQRLGKWLVPQTK
HYSWMKAADIIGIGLDQVVPVPIDSNYRMDIQALESIIRKYAAEKTPILGVVGVAGSTEE
GAVDGIDKIVALRQKLQKEGIYFYLHVDAAYGGYARALFLDEDDQFIPYKNLQKVHAENH
VFTEDKEYIKPEVYAAYKAFDQAESITIDPHKMGYVPYSAGGIVIQDIRMRDTISYFATY
VFEKGADIPALLGAYILEGSKAGATAASVWAAHHTLPLNVTGYGKLEGASIEGAHRYYDF
LKNLKFEVAGKRISVHPLISPDFNMVDYVLKEDGNDDLIEMNRLNHAFYEQASYVKGSLY
GKEYIVSHTDFAIPDYGDSPLAFVESLGFSEVEWRHAGKVTIIRASVMTPYMNQRENFDY
FAPRIKKAIQADLEKVYASVNQKENV
</text>
  </threadedComment>
  <threadedComment ref="J6" dT="2023-03-12T06:20:59.12" personId="{31219FE4-881C-4882-B287-47BFA4390192}" id="{6399A6F6-AEA8-4E0C-990A-DE89E3E2B3DC}">
    <text xml:space="preserve">&gt;|4-hydroxybenzoate 3-monooxygenase|EC 1.14.13.2||
MRTRVAIIGAGPAGLLLGHLLQRAGIDSVILEDCTQAHVEARIRAGVLEQGTVDLLEEAG
VAARLREQGMVHHGIDLLFDGQRHRIDLSGLTGGRAITVYGQHEVVRDLIAARQACGAPL
LFEVSQVALHGLDTQSPSLSFEHGGQRHVLACDFIAGCDGSHGVSRHAVPAGALQVFERS
YPFAWLGILASAAPAAQELIYASHARGFALFSMRSPEITRLYLQCRPDEDLAGWTDRRIW
DELHARLETGDGWHLNEGPVLQKGITPMRSLVTEPMQYGRLFLAGDAAHIVPPTGAKGMN
LAVADVRNLAHALVTHYRHGRDDLLAGYSSACLARVWRAEHFSWWMTSLLHRFDDHTPFT
ARLQHAELAYVCASQAASRMLAENYVGLPFAPLPA
</text>
  </threadedComment>
  <threadedComment ref="H8" dT="2023-03-12T05:20:30.89" personId="{31219FE4-881C-4882-B287-47BFA4390192}" id="{2B7085BF-D3D3-496C-8072-B878C0E5DF32}">
    <text>Patente Vanilina</text>
  </threadedComment>
  <threadedComment ref="J9" dT="2023-03-12T07:24:05.17" personId="{31219FE4-881C-4882-B287-47BFA4390192}" id="{E1246AA3-A565-4993-B1B0-7C88390B63F6}">
    <text xml:space="preserve">WT con valor de 298: &gt;|tyrosine ammonia-lyase|EC 4.3.1.23||
MAPRPTSQSQARTCPTTQVTQVDIVEKMLAAPTDSTLELDGYSLNLGDVVSAARKGRPVR
VKDSDEIRSKIDKSVEFLRSQLSMSVYGVTTGFGGSADTRTEDAISLQKALLEHQLCGVL
PSSFDSFRLGRGLENSLPLEVVRGAMTIRVNSLTRGHSAVRLVVLEALTNFLNHGITPIV
PLRGTISASGDLSPLSYIAAAISGHPDSKVHVVHEGKEKILYAREAMALFNLEPVVLGPK
EGLGLVNGTAVSASMATLALHDAHMLSLLSQSLTAMTVEAMVGHAGSFHPFLHDVTRPHP
TQIEVAGNIRKLLEGSRFAVHHEEEVKVKDDEGILRQDRYPLRTSPQWLGPLVSDLIHAH
AVLTIEAGQSTTDNPLIDVENKTSHHGGNFQAAAVANTMEKTRLGLAQIGKLNFTQLTEM
LNAGMNRGLPSCLAAEDPSLSYHCKGLDIAAAAYTSELGHLANPVTTHVQPAEMANQAVN
SLALISARRTTESNDVLSLLLATHLYCVLQAIDLRAIEFEFKKQFGPAIVSLIDQHFGSA
MTGSNLRDELVEKVNKTLAKRLEQTNSYDLVPRWHDAFSFAAGTVVEVLSSTSLSLAAVN
AWKVAAAESAISLTRQVRETFWSAASTSSPALSYLSPRTQILYAFVREELGVKARRGDVF
LGKQEVTIGSNVSKIYEAIKSGRINNVLLKMLA
</text>
  </threadedComment>
  <threadedComment ref="H10" dT="2023-03-12T05:21:12.35" personId="{31219FE4-881C-4882-B287-47BFA4390192}" id="{C0F7913D-05D1-4B8E-8A32-B69BE3EB405B}">
    <text>Patente Vanilina</text>
  </threadedComment>
  <threadedComment ref="J12" dT="2023-03-13T19:54:46.57" personId="{31219FE4-881C-4882-B287-47BFA4390192}" id="{AC76F09C-4296-4203-9F72-B33151EDE886}">
    <text xml:space="preserve">&gt;|arogenate dehydrogenase [NAD(P)+]|EC 1.3.1.79||
MVEHTVGIYGLGRFGSFWAKSLAASGLKVIGYNRSKRALPEGVVSGSETEVLSCNTLFYC
VAISSFEEVLSRTAAKIGKHTLVFDTCSVKVEPVRTMERLLPQGCTFAGSHPMFGPDSAS
EGMDGLPMVLCPGRDDEGKVDFWRHHFSKMGLRVIEITADRHDKEAAYTQGITHVVGRIL
GELDLHESEIATSGYKRLLQVREQTCNDPLQLFIDLQRYNPYTHGMRMELTSALEQIMTL
FAQADLPPDRP
</text>
  </threadedComment>
  <threadedComment ref="J13" dT="2023-03-12T07:45:55.95" personId="{31219FE4-881C-4882-B287-47BFA4390192}" id="{B544DED9-4AA8-44BD-B786-FA15456D789E}">
    <text xml:space="preserve">WT de otro estudio con valor de 2.8: &gt;|4-hydroxyphenylacetate 3-monooxygenase|EC 1.14.14.9||
MKPEDFRASTQRPFTGEEYLKSLQDGREIYIYGERVKDVTTHPAFRNAAASVAQLYDALH
KPEMQDSLCWNTDTGSGGYTHKFFRVAKSADDLRQQRDAIAEWSRLSYGWMGRTPDYKAA
FGCALGANPGFYGQFEQNARNWYTRIQETGLYFNHAIVNPPIDRHLPTDKVKDVYIKLEK
ETDAGIIVSGAKVVATNSALTHYNMIGFGSAQVMGENPDFALMFVAPMDADGVKLISRAS
YEMVAGATGSPYDYPLSSRFDENDAILVMDNVLIPWENVLIYRDFDRCRRWTMEGGFARM
YPLQACVRLAVKLDFITALLKKSLECTGTLEFRGVQADLGEVVAWRNTFWALSDSMCSEA
TPWVNGAYLPDHAALQTYRVLAPMAYAKIKNIIERNVTSGLIYLPSSARDLNNPQIDQYL
AKYVRGSNGMDHVQRIKILKLMWDAIGSEFGGRHELYEINYSGSQDEIRLQCLRQAQNSG
NMDKMMAMVDRCLSEYDQDGWTVPHLHNNDDINMLDKLLK
</text>
  </threadedComment>
  <threadedComment ref="J14" dT="2023-03-12T07:52:00.74" personId="{31219FE4-881C-4882-B287-47BFA4390192}" id="{610E6807-D8F0-4E83-9694-F2A0BA56D314}">
    <text xml:space="preserve">WT que es igual de eficiente para cumarato y cafeato y la mitad de eficiente para ferulato: &gt;|4-coumarate-CoA ligase|EC 6.2.1.12||
MEKDTKQVDIIFRSKLPDIYIPNHLPLHSYCFENISEFSSRPCLINGANKQIYTYADVEL
NSRKVAAGLHKQGIQPKDTIMILLPNSPEFVFAFIGASYLGAISTMANPLFTPAEVVKQA
KASSAKIIVTQACHVNKVKDYAFENDVKIICIDSAPEGCLHFSVLTQANEHDIPEVEIQP
DDVVALPYSSGTTGLPKGVMLTHKGLVTSVAQQVDGENPNLYIHSEDVMLCVLPLFHIYS
LNSVLLCGLRVGAAILIMQKFDIVSFLELIQRYKVTIGPFVPPIVLAIAKSPMVDDYDLS
SVRTVMSGAAPLGKELEDTVRAKFPNAKLGQGYGMTEAGPVLAMCLAFAKEPFEIKSGAC
GTVVRNAEMKIVDPKTGNSLPRNQSGEICIRGDQIMKGYLNDPEATARTIDKEGWLYTGD
IGYIDDDDELFIVDRLKELIKYKGFQVAPAELEALLLNHPNISDAAVVPMKDEQAGEVPV
AFVVRSNGSTITEDEVKDFISKQVIFYKRIKRVFFVDAIPKSPSGKILRKDLRAKLAAGL
PN
</text>
  </threadedComment>
  <threadedComment ref="J16" dT="2023-03-12T07:59:25.74" personId="{31219FE4-881C-4882-B287-47BFA4390192}" id="{D0318856-7156-4558-94EB-B2D3A1144A82}">
    <text xml:space="preserve">Varias secuencias de Populus tormentosa. Isoforma 4CL4 es la más eficiente transformando cumarato, sin embargo, es aún más eficiente transformando ferulato: &gt;|4-coumarate-CoA ligase|EC 6.2.1.12||
MSVATVEPPKPELSPPQNQNAPSSHETDHIFRSKLPDITISNHLPLHAYCFENLSDFSDR
PCLISGSTGKTYSFAETHLISRKVAAGLSNLGIKKGDVIMTLLQNCPEFVFSFMGASMIG
AVTTTANPFYTQSEIFKQFSASRAKLIITQSQYVNKLGDSDCHENNQKPGEDFIVITIDD
PPENCRHFNVLVEANESEMPTISILPDDPVALPFSSGTTGLPKGVILTHKSLITSVAQQV
DGEIPNLYLKQDDVVLCVLPLFHIFSLNSVLLCSLRAGSAVLLMQKFEIGSLLELIQKHN
VSVAAVVPPLVLALAKNPLVANFDLSSIRVVLSGAAPLGKELEDALRSRVPQAILGQGYG
MTEAGPVLSMCLAFSKQPFPTKSGSCGTVVRNAELKVIDPETGGSLGYNQPGEICIRGSQ
IMKGYLNDAEATANTIDVEGWLHTGDIGYVDDDDEIFIVDRVKEIIKFKGFQVPPAELEA
LLVNHPSIADAAVVPQKDEVAGEVPVAFVVRSDDLDLSEEAVKDYIAKQVVFYKKLHKVF
FVHSIPKSASGKILRKDLRAKLATSTTMS
</text>
  </threadedComment>
  <threadedComment ref="J20" dT="2023-03-12T08:18:05.28" personId="{31219FE4-881C-4882-B287-47BFA4390192}" id="{1B466B97-687B-4BA4-9953-A0EF0B07D5F4}">
    <text xml:space="preserve">Importante: Tiene ligeramente mejor valor con N-methylnorbelladine y valor similar con dopamina: &gt;|norbelladine O-methyltransferase|EC 2.1.1.336||
MGASIDDYSLVHKNILHSEDLLKYILETSAYPREHEQLKGLREVTEKHEWSSALVPADEG
LFLSMLLKLMNAKRTIEIGVYTGYSLLTTALALPEDGKITAIDVNKSYYEIGLPFIQKAG
VEHKINFIESEALPVLDQMLEEMKEEDLYDYAFVDADKSNYANYHERLVKLVRIGGAILY
DNTLWYGSVAYPEYPGLHPEEEVARLSFRNLNTFLAADPRVEISQVSIGDGVTICRRLY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4" dT="2023-03-25T02:28:02.11" personId="{FEC578E4-9223-48D0-B5BF-208173C9BB1E}" id="{B41A064D-0D25-45E3-B859-36BE09C717AE}">
    <text>* SHKK:  
atp_c + skm_c -&gt; adp_c +h_c + skm5p_c
* added_34dhbz_34dhbald:
34dhbz_c + atp_c + nadph_c + h_c &lt;=&gt; 34dhbald_c + amp_c + nadp_c + ppi_c</text>
  </threadedComment>
  <threadedComment ref="D4" dT="2023-03-25T07:42:51.37" personId="{FEC578E4-9223-48D0-B5BF-208173C9BB1E}" id="{084A398E-20F6-44E6-A8B9-CD9BEC1F2863}">
    <text>* SHKK:  
atp_c + skm_c -&gt; adp_c +h_c + skm5p_c
* added_34dhbz_34dhbald:
34dhbz_c + atp_c + nadph_c + h_c &lt;=&gt; 34dhbald_c + amp_c + nadp_c + ppi_c</text>
  </threadedComment>
  <threadedComment ref="E4" dT="2023-03-25T09:28:33.12" personId="{FEC578E4-9223-48D0-B5BF-208173C9BB1E}" id="{C9AE3ACC-EEBA-43DF-9B1A-2FB04D9A437B}">
    <text xml:space="preserve">* SHKK:  
atp_c + skm_c -&gt; adp_c +h_c + skm5p_c
* added_4hbz_4hbald:
4hbz_c + atp_c + nadph_c + h_c &lt;=&gt; 4hbald_c + amp_c + nadp_c + ppi_c
</text>
  </threadedComment>
  <threadedComment ref="F4" dT="2023-03-25T09:31:39.41" personId="{FEC578E4-9223-48D0-B5BF-208173C9BB1E}" id="{89D8C643-4EE9-4296-9DE0-DFDCBB7D61ED}">
    <text>* SHKK:
atp_c + skm_c -&gt; adp_c +h_c + skm5p_c</text>
  </threadedComment>
  <threadedComment ref="G4" dT="2023-03-25T09:32:54.94" personId="{FEC578E4-9223-48D0-B5BF-208173C9BB1E}" id="{DE57A14A-A89A-4FD7-A581-42ACFE530D70}">
    <text xml:space="preserve">* SHKK:
atp_c + skm_c -&gt; adp_c +h_c + skm5p_c
</text>
  </threadedComment>
  <threadedComment ref="H4" dT="2023-03-25T09:36:16.20" personId="{FEC578E4-9223-48D0-B5BF-208173C9BB1E}" id="{B44BC062-8147-4542-AB9C-04BEDF028F28}">
    <text>* SHKK:
atp_c + skm_c -&gt; adp_c +h_c + skm5p_c
* added_34dhcinm_caffcoa:
34dhcinm_c + atp_c + coa_c -&gt; caffcoa_c + amp_c + ppi_c</text>
  </threadedComment>
  <threadedComment ref="I4" dT="2023-03-25T09:38:57.17" personId="{FEC578E4-9223-48D0-B5BF-208173C9BB1E}" id="{DE9AA9B6-3B34-43DE-BB6A-CC6510D7518C}">
    <text>* SHKK:
atp_c + skm_c -&gt; adp_c +h_c + skm5p_c
* added_T4hcinnm_coucoa:
T4hcinnm_c + atp_c + coa_c -&gt; coucoa_c + amp_c + ppi_c</text>
  </threadedComment>
  <threadedComment ref="J4" dT="2023-03-25T09:37:25.06" personId="{FEC578E4-9223-48D0-B5BF-208173C9BB1E}" id="{882404B3-B93D-4831-96CC-6FFEEFAE47D1}">
    <text xml:space="preserve">* SHKK:
atp_c + skm_c -&gt; adp_c +h_c + skm5p_c
* added_34dhcinm_caffcoa:
34dhcinm_c + atp_c + coa_c -&gt; caffcoa_c + amp_c + ppi_c
</text>
  </threadedComment>
  <threadedComment ref="K4" dT="2023-03-25T09:39:08.67" personId="{FEC578E4-9223-48D0-B5BF-208173C9BB1E}" id="{252AAFAF-085D-4935-BBFF-618CB58364D3}">
    <text xml:space="preserve">* SHKK:
atp_c + skm_c -&gt; adp_c +h_c + skm5p_c
* added_T4hcinnm_coucoa:
T4hcinnm_c + atp_c + coa_c -&gt; coucoa_c + amp_c + ppi_c
</text>
  </threadedComment>
  <threadedComment ref="L4" dT="2023-03-25T05:43:57.06" personId="{FEC578E4-9223-48D0-B5BF-208173C9BB1E}" id="{DD0D2171-1BE1-42EE-A593-E8E3996988B3}">
    <text xml:space="preserve">* added_34dhbz_34dhbald: 
34dhbz_c + atp_c + nadph_c + h_c &lt;=&gt; 34dhbald_c + amp_c + nadp_c + ppi_c
* SHKK:  
atp_c + skm_c -&gt; adp_c +h_c + skm5p_c
</text>
  </threadedComment>
  <threadedComment ref="M4" dT="2023-03-25T08:00:15.24" personId="{FEC578E4-9223-48D0-B5BF-208173C9BB1E}" id="{C2ED0FE1-2FB6-4920-A0B1-E0B0614C5671}">
    <text xml:space="preserve">* SHKK:  
atp_c + skm_c -&gt; adp_c +h_c + skm5p_c
* added_34dhbz_34dhbald:
34dhbz_c + atp_c + nadph_c + h_c &lt;=&gt; 34dhbald_c + amp_c + nadp_c + ppi_c
</text>
  </threadedComment>
  <threadedComment ref="N4" dT="2023-03-25T09:28:52.17" personId="{FEC578E4-9223-48D0-B5BF-208173C9BB1E}" id="{F1A76898-5BB8-432F-8054-E221DCB82F39}">
    <text xml:space="preserve">* SHKK:  
atp_c + skm_c -&gt; adp_c +h_c + skm5p_c
* added_4hbz_4hbald:
4hbz_c + atp_c + nadph_c + h_c &lt;=&gt; 4hbald_c + amp_c + nadp_c + ppi_c
</text>
  </threadedComment>
  <threadedComment ref="O4" dT="2023-03-25T09:34:13.23" personId="{FEC578E4-9223-48D0-B5BF-208173C9BB1E}" id="{F9055FDD-FCE4-4313-AC68-56664985A7FE}">
    <text xml:space="preserve">* SHKK:
atp_c + skm_c -&gt; adp_c +h_c + skm5p_c
</text>
  </threadedComment>
  <threadedComment ref="P4" dT="2023-03-25T09:34:17.63" personId="{FEC578E4-9223-48D0-B5BF-208173C9BB1E}" id="{E6A7854C-D9F6-4E44-B7BE-B8F8666EC111}">
    <text xml:space="preserve">* SHKK:
atp_c + skm_c -&gt; adp_c +h_c + skm5p_c
</text>
  </threadedComment>
  <threadedComment ref="Q4" dT="2023-03-25T09:36:36.92" personId="{FEC578E4-9223-48D0-B5BF-208173C9BB1E}" id="{419D6E3F-392C-4509-8FB6-9E772A261EC8}">
    <text xml:space="preserve">* SHKK:
atp_c + skm_c -&gt; adp_c +h_c + skm5p_c
* added_34dhcinm_caffcoa:
34dhcinm_c + atp_c + coa_c -&gt; caffcoa_c + amp_c + ppi_c
</text>
  </threadedComment>
  <threadedComment ref="R4" dT="2023-03-25T09:40:46.03" personId="{FEC578E4-9223-48D0-B5BF-208173C9BB1E}" id="{C2A81AB8-2020-41C4-B165-DED0CEDDA19E}">
    <text xml:space="preserve">* SHKK:
atp_c + skm_c -&gt; adp_c +h_c + skm5p_c
* added_T4hcinnm_coucoa:
T4hcinnm_c + atp_c + coa_c -&gt; coucoa_c + amp_c + ppi_c
</text>
  </threadedComment>
  <threadedComment ref="S4" dT="2023-03-25T09:37:31.26" personId="{FEC578E4-9223-48D0-B5BF-208173C9BB1E}" id="{FAC2F8E4-5AA2-417F-ADEE-803D49884D26}">
    <text xml:space="preserve">* SHKK:
atp_c + skm_c -&gt; adp_c +h_c + skm5p_c
* added_34dhcinm_caffcoa:
34dhcinm_c + atp_c + coa_c -&gt; caffcoa_c + amp_c + ppi_c
</text>
  </threadedComment>
  <threadedComment ref="T4" dT="2023-03-25T09:40:57.50" personId="{FEC578E4-9223-48D0-B5BF-208173C9BB1E}" id="{3FF63D5E-510E-48EE-B4BA-BBDF26FB246D}">
    <text xml:space="preserve">* SHKK:
atp_c + skm_c -&gt; adp_c +h_c + skm5p_c
* added_T4hcinnm_coucoa:
T4hcinnm_c + atp_c + coa_c -&gt; coucoa_c + amp_c + ppi_c
</text>
  </threadedComment>
  <threadedComment ref="C5" dT="2023-03-25T03:23:59.59" personId="{FEC578E4-9223-48D0-B5BF-208173C9BB1E}" id="{54D860EC-6854-4023-AE43-9FB9BE246290}">
    <text>* SHK3Dr:
3dhsk_c + h_c + nadph_c -&gt; nadp_c + skm_c
* PPND:
nad_c + pphn_c -&gt; 34hpp_c + co2_c + nadh_c
* added_34dhbz_34dhbald:
34dhbz_c + atp_c + nadph_c + h_c &lt;=&gt; 34dhbald_c + amp_c + nadp_c + ppi_c
* added_norcrg_norbell:
norcrg_c + nadph_c + h_c -&gt; norbell_c + nadp_c</text>
  </threadedComment>
  <threadedComment ref="D5" dT="2023-03-25T07:44:55.97" personId="{FEC578E4-9223-48D0-B5BF-208173C9BB1E}" id="{0AAC47BF-EEE1-4C0D-88C8-083CE05B0C5F}">
    <text xml:space="preserve">* SHK3Dr:
3dhsk_c + h_c + nadph_c -&gt; nadp_c + skm_c
* PPND:
nad_c + pphn_c -&gt; 34hpp_c + co2_c + nadh_c
* added_4hbz_34dhbz:
4hbz_c + nadph_c + o2_c + h_c -&gt; 34dhbz_c + nadp_c + h2o_c
* added_34dhbz_34dhbald:
34dhbz_c + atp_c + nadph_c + h_c &lt;=&gt; 34dhbald_c + amp_c + nadp_c + ppi_c
* added_norcrg_norbell:
norcrg_c + nadph_c + h_c -&gt; norbell_c + nadp_c
</text>
  </threadedComment>
  <threadedComment ref="E5" dT="2023-03-25T09:59:32.02" personId="{FEC578E4-9223-48D0-B5BF-208173C9BB1E}" id="{887CBD17-E8B4-438C-B5BE-8D13BD205ADC}">
    <text xml:space="preserve">* SHK3Dr:
3dhsk_c + h_c + nadph_c -&gt; nadp_c + skm_c
* PPND:
nad_c + pphn_c -&gt; 34hpp_c + co2_c + nadh_c
* added_4hbz_4hbald:
4hbz_c + atp_c + nadph_c + h_c &lt;=&gt; 4hbald_c + amp_c + nadp_c + ppi_c
* added_4hbald_34dhbald:
4hbald_c + nadph_c + o2_c + h_c -&gt; 34dhbald_c + nadp_c + h2o_c
* added_norcrg_norbell:
norcrg_c + nadph_c + h_c -&gt; norbell_c + nadp_c
</text>
  </threadedComment>
  <threadedComment ref="F5" dT="2023-03-25T10:13:12.33" personId="{FEC578E4-9223-48D0-B5BF-208173C9BB1E}" id="{CC380110-8B24-44E8-8B19-E63A6CC68785}">
    <text xml:space="preserve">* SHK3Dr:
3dhsk_c + h_c + nadph_c -&gt; nadp_c + skm_c
* PPND:
nad_c + pphn_c -&gt; 34hpp_c + co2_c + nadh_c
* added_4hbald_34dhbald:
4hbald_c + nadph_c + o2_c + h_c -&gt; 34dhbald_c + nadp_c + h2o_c
* added_norcrg_norbell:
norcrg_c + nadph_c + h_c -&gt; norbell_c + nadp_c
</text>
  </threadedComment>
  <threadedComment ref="G5" dT="2023-03-25T10:15:05.21" personId="{FEC578E4-9223-48D0-B5BF-208173C9BB1E}" id="{85B327B0-1771-474D-AEE8-5DE79DC150B1}">
    <text xml:space="preserve">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
</text>
  </threadedComment>
  <threadedComment ref="H5" dT="2023-03-25T10:26:40.83" personId="{FEC578E4-9223-48D0-B5BF-208173C9BB1E}" id="{027F300E-6E97-45FF-86B6-3F18EFAB46A2}">
    <text xml:space="preserve">* SHK3Dr:
3dhsk_c + h_c + nadph_c -&gt; nadp_c + skm_c
* PPND:
nad_c + pphn_c -&gt; 34hpp_c + co2_c + nadh_c
* added_norcrg_norbell:
norcrg_c + nadph_c + h_c -&gt; norbell_c + nadp_c
</text>
  </threadedComment>
  <threadedComment ref="I5" dT="2023-03-25T10:32:04.23" personId="{FEC578E4-9223-48D0-B5BF-208173C9BB1E}" id="{5854F59C-9525-4709-AB5A-A3AB3D1B5DFA}">
    <text xml:space="preserve">* SHK3Dr:
3dhsk_c + h_c + nadph_c -&gt; nadp_c + skm_c
* PPND:
nad_c + pphn_c -&gt; 34hpp_c + co2_c + nadh_c
* added_4hbald_34dhbald:
4hbald_c + nadph_c + o2_c + h_c -&gt; 34dhbald_c + nadp_c + h2o_c
* added_norcrg_norbell:
norcrg_c + nadph_c + h_c -&gt; norbell_c + nadp_c
</text>
  </threadedComment>
  <threadedComment ref="J5" dT="2023-03-25T10:28:50.33" personId="{FEC578E4-9223-48D0-B5BF-208173C9BB1E}" id="{EC018FDE-D755-4AE2-935E-D3D2F8091AA1}">
    <text>* SHK3Dr:
3dhsk_c + h_c + nadph_c -&gt; nadp_c + skm_c
* added_Largn_tyr__L:
Largn_c + nadp_c -&gt; tyr__L_c + co2_c + nadph_c
* PPND:
nad_c + pphn_c -&gt; 34hpp_c + co2_c + nadh_c
* added_norcrg_norbell:
norcrg_c + nadph_c + h_c -&gt; norbell_c + nadp_c</text>
  </threadedComment>
  <threadedComment ref="K5" dT="2023-03-25T10:34:20.30" personId="{FEC578E4-9223-48D0-B5BF-208173C9BB1E}" id="{46E0E5A7-8DE0-44E8-AE1E-C836F482E70E}">
    <text>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</text>
  </threadedComment>
  <threadedComment ref="L5" dT="2023-03-25T05:45:49.28" personId="{FEC578E4-9223-48D0-B5BF-208173C9BB1E}" id="{4A4AFD50-7870-4561-89E5-83C6DE1284BA}">
    <text xml:space="preserve">* SHK3Dr:
3dhsk_c + h_c + nadph_c -&gt; nadp_c + skm_c
* added_Largn_tyr__L:
Largn_c + nadp_c -&gt; tyr__L_c + co2_c + nadph_c
* added_34dhbz_34dhbald:
34dhbz_c + atp_c + nadph_c + h_c &lt;=&gt; 34dhbald_c + amp_c + nadp_c + ppi_c
* added_norcrg_norbell:
norcrg_c + nadph_c + h_c -&gt; norbell_c + nadp_c
</text>
  </threadedComment>
  <threadedComment ref="M5" dT="2023-03-25T08:00:31.29" personId="{FEC578E4-9223-48D0-B5BF-208173C9BB1E}" id="{897D59ED-D46D-40D4-87B0-6A50482FD471}">
    <text>* SHK3Dr:
3dhsk_c + h_c + nadph_c -&gt; nadp_c + skm_c
* added_Largn_tyr__L:
Largn_c + nadp_c -&gt; tyr__L_c + co2_c + nadph_c
* added_4hbz_34dhbz:
4hbz_c + nadph_c + o2_c + h_c -&gt; 34dhbz_c + nadp_c + h2o_c
* added_34dhbz_34dhbald:
34dhbz_c + atp_c + nadph_c + h_c &lt;=&gt; 34dhbald_c + amp_c + nadp_c + ppi_c
* added_norcrg_norbell:
norcrg_c + nadph_c + h_c -&gt; norbell_c + nadp_c</text>
  </threadedComment>
  <threadedComment ref="N5" dT="2023-03-25T10:00:32.36" personId="{FEC578E4-9223-48D0-B5BF-208173C9BB1E}" id="{508310D2-50F6-40AB-A004-67E089A7FD4A}">
    <text>* SHK3Dr:
3dhsk_c + h_c + nadph_c -&gt; nadp_c + skm_c
* added_Largn_tyr__L:
Largn_c + nadp_c -&gt; tyr__L_c + co2_c + nadph_c
* added_4hbz_4hbald:
4hbz_c + atp_c + nadph_c + h_c &lt;=&gt; 4hbald_c + amp_c + nadp_c + ppi_c
* added_4hbald_34dhbald:
4hbald_c + nadph_c + o2_c + h_c -&gt; 34dhbald_c + nadp_c + h2o_c
* added_norcrg_norbell:
norcrg_c + nadph_c + h_c -&gt; norbell_c + nadp_c</text>
  </threadedComment>
  <threadedComment ref="O5" dT="2023-03-25T10:13:54.91" personId="{FEC578E4-9223-48D0-B5BF-208173C9BB1E}" id="{CCC474CC-7979-4232-845E-0422F3F76B76}">
    <text>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</text>
  </threadedComment>
  <threadedComment ref="P5" dT="2023-03-25T10:15:32.24" personId="{FEC578E4-9223-48D0-B5BF-208173C9BB1E}" id="{2E1FF9B5-E789-4BF8-B376-B2F179FEABFF}">
    <text xml:space="preserve">* SHK3Dr:
3dhsk_c + h_c + nadph_c -&gt; nadp_c + skm_c
* added_Largn_tyr__L:
Largn_c + nadp_c -&gt; tyr__L_c + co2_c + nadph_c
* added_4hbald_34dhbald:
4hbald_c + nadph_c + o2_c + h_c -&gt; 34dhbald_c + nadp_c + h2o_c
* added_norcrg_norbell:
norcrg_c + nadph_c + h_c -&gt; norbell_c + nadp_c
</text>
  </threadedComment>
  <threadedComment ref="Q5" dT="2023-03-25T10:26:56.75" personId="{FEC578E4-9223-48D0-B5BF-208173C9BB1E}" id="{F9808BE0-7300-4CB3-A09C-D0AD0FBA3B47}">
    <text>* SHK3Dr:
3dhsk_c + h_c + nadph_c -&gt; nadp_c + skm_c
* added_Largn_tyr__L:
Largn_c + nadp_c -&gt; tyr__L_c + co2_c + nadph_c
* PPND:
nad_c + pphn_c -&gt; 34hpp_c + co2_c + nadh_c
* added_norcrg_norbell:
norcrg_c + nadph_c + h_c -&gt; norbell_c + nadp_c</text>
  </threadedComment>
  <threadedComment ref="R5" dT="2023-03-25T10:32:52.14" personId="{FEC578E4-9223-48D0-B5BF-208173C9BB1E}" id="{9994D719-D624-4F72-A197-35F11D5266FD}">
    <text>* SHK3Dr:
3dhsk_c + h_c + nadph_c -&gt; nadp_c + skm_c
* added_Largn_tyr__L:
Largn_c + nadp_c -&gt; tyr__L_c + co2_c + nadph_c
* PPND:
nad_c + pphn_c -&gt; 34hpp_c + co2_c + nadh_c
* added_4hbald_34dhbald:
4hbald_c + nadph_c + o2_c + h_c -&gt; 34dhbald_c + nadp_c + h2o_c
* added_norcrg_norbell:
norcrg_c + nadph_c + h_c -&gt; norbell_c + nadp_c</text>
  </threadedComment>
  <threadedComment ref="S5" dT="2023-03-25T10:29:55.01" personId="{FEC578E4-9223-48D0-B5BF-208173C9BB1E}" id="{0C509D20-48AA-41AA-B18F-E1A1236BD76B}">
    <text xml:space="preserve">* SHK3Dr:
3dhsk_c + h_c + nadph_c -&gt; nadp_c + skm_c
* added_Largn_tyr__L:
Largn_c + nadp_c -&gt; tyr__L_c + co2_c + nadph_c
* added_norcrg_norbell:
norcrg_c + nadph_c + h_c -&gt; norbell_c + nadp_c
</text>
  </threadedComment>
  <threadedComment ref="T5" dT="2023-03-25T10:35:40.10" personId="{FEC578E4-9223-48D0-B5BF-208173C9BB1E}" id="{D6BB7D36-FF4F-46F2-9610-CB442C29A513}">
    <text xml:space="preserve">* SHK3Dr:
3dhsk_c + h_c + nadph_c -&gt; nadp_c + skm_c
* added_Largn_tyr__L:
Largn_c + nadp_c -&gt; tyr__L_c + co2_c + nadph_c
* added_4hbald_34dhbald:
4hbald_c + nadph_c + o2_c + h_c -&gt; 34dhbald_c + nadp_c + h2o_c
* added_norcrg_norbell:
norcrg_c + nadph_c + h_c -&gt; norbell_c + nadp_c
</text>
  </threadedComment>
  <threadedComment ref="H6" dT="2023-03-25T08:47:15.42" personId="{FEC578E4-9223-48D0-B5BF-208173C9BB1E}" id="{822952E6-7599-4BA4-A9C2-70DA41629257}">
    <text>* added_T4hcinnm_34dhcinm:
T4hcinnm_c + fadh2_c + o2_c -&gt; 34dhcinm_c + fad_c + h2o_c + h_c</text>
  </threadedComment>
  <threadedComment ref="J6" dT="2023-03-25T08:47:39.84" personId="{FEC578E4-9223-48D0-B5BF-208173C9BB1E}" id="{4D2B4673-55F6-4974-B6F1-E49FFB851005}">
    <text xml:space="preserve">* added_T4hcinnm_34dhcinm:
T4hcinnm_c + fadh2_c + o2_c -&gt; 34dhcinm_c + fad_c + h2o_c + h_c
</text>
  </threadedComment>
  <threadedComment ref="Q6" dT="2023-03-25T08:47:45.12" personId="{FEC578E4-9223-48D0-B5BF-208173C9BB1E}" id="{E84CE225-90B2-42D0-9FDA-B12FA219A762}">
    <text xml:space="preserve">* added_T4hcinnm_34dhcinm:
T4hcinnm_c + fadh2_c + o2_c -&gt; 34dhcinm_c + fad_c + h2o_c + h_c
</text>
  </threadedComment>
  <threadedComment ref="S6" dT="2023-03-25T08:47:50.67" personId="{FEC578E4-9223-48D0-B5BF-208173C9BB1E}" id="{19D71B51-75E0-465D-8A26-33EA95B620B0}">
    <text xml:space="preserve">* added_T4hcinnm_34dhcinm:
T4hcinnm_c + fadh2_c + o2_c -&gt; 34dhcinm_c + fad_c + h2o_c + h_c
</text>
  </threadedComment>
  <threadedComment ref="C11" dT="2023-03-25T05:33:44.68" personId="{FEC578E4-9223-48D0-B5BF-208173C9BB1E}" id="{A63CBC18-FBB3-48C0-99C1-037B3B509BFA}">
    <text>* added_3dhsk_34dhbz:
3dhsk_c -&gt; 34dhbz_c + h2o_c
* added_norbell_4omet:
amet_c + norbell_c -&gt; 4omet_c + ahcys_c + h_c</text>
  </threadedComment>
  <threadedComment ref="D11" dT="2023-03-25T07:41:23.56" personId="{FEC578E4-9223-48D0-B5BF-208173C9BB1E}" id="{35B6FCCE-F84F-42C9-871C-6D3B593A9F43}">
    <text>* added_norbell_4omet:
amet_c + norbell_c -&gt; 4omet_c + ahcys_c + h_c</text>
  </threadedComment>
  <threadedComment ref="E11" dT="2023-03-25T08:33:56.90" personId="{FEC578E4-9223-48D0-B5BF-208173C9BB1E}" id="{679EC186-EF70-4815-9336-A306C192799D}">
    <text xml:space="preserve">* added_norbell_4omet:
amet_c + norbell_c -&gt; 4omet_c + ahcys_c + h_c
</text>
  </threadedComment>
  <threadedComment ref="F11" dT="2023-03-25T08:34:04.07" personId="{FEC578E4-9223-48D0-B5BF-208173C9BB1E}" id="{4C1BC136-8E28-4073-BBDB-9AAE9AD6866B}">
    <text xml:space="preserve">* added_norbell_4omet:
amet_c + norbell_c -&gt; 4omet_c + ahcys_c + h_c
</text>
  </threadedComment>
  <threadedComment ref="G11" dT="2023-03-25T08:34:13.52" personId="{FEC578E4-9223-48D0-B5BF-208173C9BB1E}" id="{32CA79E0-CDCA-41A1-80C0-8ABE8E4F3A8E}">
    <text xml:space="preserve">* added_norbell_4omet:
amet_c + norbell_c -&gt; 4omet_c + ahcys_c + h_c
</text>
  </threadedComment>
  <threadedComment ref="H11" dT="2023-03-25T08:41:23.98" personId="{FEC578E4-9223-48D0-B5BF-208173C9BB1E}" id="{7ABF858C-ADC6-4780-88A2-DA8BF4255ABA}">
    <text xml:space="preserve">* added_34dhcinm_caffcoa:
34dhcinm_c + atp_c + coa_c -&gt; caffcoa_c + amp_c + ppi_c
* added_norbell_4omet:
amet_c + norbell_c -&gt; 4omet_c + ahcys_c + h_c
</text>
  </threadedComment>
  <threadedComment ref="I11" dT="2023-03-25T08:44:30.87" personId="{FEC578E4-9223-48D0-B5BF-208173C9BB1E}" id="{61D6D624-4CEA-4FD1-9200-9128D560837C}">
    <text xml:space="preserve">* added_T4hcinnm_coucoa:
T4hcinnm_c + atp_c + coa_c -&gt; coucoa_c + amp_c + ppi_c
* added_norbell_4omet:
amet_c + norbell_c -&gt; 4omet_c + ahcys_c + h_c
</text>
  </threadedComment>
  <threadedComment ref="J11" dT="2023-03-25T08:41:50.20" personId="{FEC578E4-9223-48D0-B5BF-208173C9BB1E}" id="{EC347D46-14E2-4693-8351-1BA3D97C8348}">
    <text xml:space="preserve">* added_34dhcinm_caffcoa:
34dhcinm_c + atp_c + coa_c -&gt; caffcoa_c + amp_c + ppi_c
* added_norbell_4omet:
amet_c + norbell_c -&gt; 4omet_c + ahcys_c + h_c
</text>
  </threadedComment>
  <threadedComment ref="K11" dT="2023-03-25T08:45:32.30" personId="{FEC578E4-9223-48D0-B5BF-208173C9BB1E}" id="{C8895179-A105-48F6-960F-83D172F364DB}">
    <text xml:space="preserve">* added_T4hcinnm_coucoa:
T4hcinnm_c + atp_c + coa_c -&gt; coucoa_c + amp_c + ppi_c
* added_norbell_4omet:
amet_c + norbell_c -&gt; 4omet_c + ahcys_c + h_c
</text>
  </threadedComment>
  <threadedComment ref="L11" dT="2023-03-25T05:46:56.58" personId="{FEC578E4-9223-48D0-B5BF-208173C9BB1E}" id="{C560DC52-879B-4E9E-A655-BB379DC85710}">
    <text xml:space="preserve">* added_3dhsk_34dhbz:
3dhsk_c -&gt; 34dhbz_c + h2o_c
* added_norbell_4omet:
amet_c + norbell_c -&gt; 4omet_c + ahcys_c + h_c
</text>
  </threadedComment>
  <threadedComment ref="M11" dT="2023-03-25T08:00:51.43" personId="{FEC578E4-9223-48D0-B5BF-208173C9BB1E}" id="{4270F02C-3772-4033-B718-3025D6161DF1}">
    <text xml:space="preserve">* added_norbell_4omet:
amet_c + norbell_c -&gt; 4omet_c + ahcys_c + h_c
</text>
  </threadedComment>
  <threadedComment ref="N11" dT="2023-03-25T08:34:31.21" personId="{FEC578E4-9223-48D0-B5BF-208173C9BB1E}" id="{99FBB8B6-788E-407A-966A-EA8992FDA18D}">
    <text xml:space="preserve">* added_norbell_4omet:
amet_c + norbell_c -&gt; 4omet_c + ahcys_c + h_c
</text>
  </threadedComment>
  <threadedComment ref="O11" dT="2023-03-25T08:34:45.01" personId="{FEC578E4-9223-48D0-B5BF-208173C9BB1E}" id="{0D6A5646-02F4-4C0E-BA67-BEEB58BAEA00}">
    <text xml:space="preserve">* added_norbell_4omet:
amet_c + norbell_c -&gt; 4omet_c + ahcys_c + h_c
</text>
  </threadedComment>
  <threadedComment ref="P11" dT="2023-03-25T08:35:41.46" personId="{FEC578E4-9223-48D0-B5BF-208173C9BB1E}" id="{3DB5057D-279B-4688-A552-FF3ADD981FB8}">
    <text xml:space="preserve">* added_norbell_4omet:
amet_c + norbell_c -&gt; 4omet_c + ahcys_c + h_c
</text>
  </threadedComment>
  <threadedComment ref="Q11" dT="2023-03-25T08:41:58.42" personId="{FEC578E4-9223-48D0-B5BF-208173C9BB1E}" id="{B533FFE6-8374-4AD6-A935-5B94573E012A}">
    <text xml:space="preserve">* added_34dhcinm_caffcoa:
34dhcinm_c + atp_c + coa_c -&gt; caffcoa_c + amp_c + ppi_c
* added_norbell_4omet:
amet_c + norbell_c -&gt; 4omet_c + ahcys_c + h_c
</text>
  </threadedComment>
  <threadedComment ref="R11" dT="2023-03-25T08:45:45.60" personId="{FEC578E4-9223-48D0-B5BF-208173C9BB1E}" id="{8148B336-F7B3-454C-BAB9-3D4507D5642C}">
    <text xml:space="preserve">* added_T4hcinnm_coucoa:
T4hcinnm_c + atp_c + coa_c -&gt; coucoa_c + amp_c + ppi_c
* added_norbell_4omet:
amet_c + norbell_c -&gt; 4omet_c + ahcys_c + h_c
</text>
  </threadedComment>
  <threadedComment ref="S11" dT="2023-03-25T08:42:05.70" personId="{FEC578E4-9223-48D0-B5BF-208173C9BB1E}" id="{EA6FBA90-4EFC-4B91-B468-9A214446B0C4}">
    <text xml:space="preserve">* added_34dhcinm_caffcoa:
34dhcinm_c + atp_c + coa_c -&gt; caffcoa_c + amp_c + ppi_c
* added_norbell_4omet:
amet_c + norbell_c -&gt; 4omet_c + ahcys_c + h_c
</text>
  </threadedComment>
  <threadedComment ref="T11" dT="2023-03-25T08:45:50.89" personId="{FEC578E4-9223-48D0-B5BF-208173C9BB1E}" id="{AEF06E81-B59F-484D-90AC-5AB68F74CA26}">
    <text xml:space="preserve">* added_T4hcinnm_coucoa:
T4hcinnm_c + atp_c + coa_c -&gt; coucoa_c + amp_c + ppi_c
* added_norbell_4omet:
amet_c + norbell_c -&gt; 4omet_c + ahcys_c + h_c
</text>
  </threadedComment>
  <threadedComment ref="C12" dT="2023-03-25T05:00:19.53" personId="{FEC578E4-9223-48D0-B5BF-208173C9BB1E}" id="{9E645AB2-9AD4-4AD3-A010-581D08935E57}">
    <text>* added_tyr__L_tym:
tyr__L_c + h_c -&gt; tym_c + co2_c</text>
  </threadedComment>
  <threadedComment ref="D12" dT="2023-03-25T07:41:43.07" personId="{FEC578E4-9223-48D0-B5BF-208173C9BB1E}" id="{8D700EC1-DD44-4761-AEFA-F5B3BD7BE852}">
    <text xml:space="preserve">* added_tyr__L_tym:
tyr__L_c + h_c -&gt; tym_c + co2_c
</text>
  </threadedComment>
  <threadedComment ref="E12" dT="2023-03-25T08:22:03.00" personId="{FEC578E4-9223-48D0-B5BF-208173C9BB1E}" id="{25F7717D-AA11-4167-ACFF-F0F4DE1C7BB6}">
    <text xml:space="preserve">* added_tyr__L_tym:
tyr__L_c + h_c -&gt; tym_c + co2_c
</text>
  </threadedComment>
  <threadedComment ref="F12" dT="2023-03-25T08:22:11.86" personId="{FEC578E4-9223-48D0-B5BF-208173C9BB1E}" id="{F507CCDF-B9A3-47BB-B31C-E82215AC38C3}">
    <text xml:space="preserve">* added_tyr__L_tym:
tyr__L_c + h_c -&gt; tym_c + co2_c
</text>
  </threadedComment>
  <threadedComment ref="G12" dT="2023-03-25T08:24:16.09" personId="{FEC578E4-9223-48D0-B5BF-208173C9BB1E}" id="{FE2C7DD7-4C8A-4491-83A4-5B67DE43FEC4}">
    <text xml:space="preserve">* added_pphn_Largn:
pphn_c + glu__L_c &lt;=&gt; Largn_c + akg_c
* added_tyr__L_tym:
tyr__L_c + h_c -&gt; tym_c + co2_c
</text>
  </threadedComment>
  <threadedComment ref="H12" dT="2023-03-25T08:22:20.86" personId="{FEC578E4-9223-48D0-B5BF-208173C9BB1E}" id="{2CA2D487-3F8A-4523-8DAC-C111306E850F}">
    <text xml:space="preserve">* added_tyr__L_tym:
tyr__L_c + h_c -&gt; tym_c + co2_c
</text>
  </threadedComment>
  <threadedComment ref="I12" dT="2023-03-25T08:22:29.03" personId="{FEC578E4-9223-48D0-B5BF-208173C9BB1E}" id="{CF3B9905-0A47-4552-9A64-41816497AFC6}">
    <text xml:space="preserve">* added_tyr__L_tym:
tyr__L_c + h_c -&gt; tym_c + co2_c
</text>
  </threadedComment>
  <threadedComment ref="J12" dT="2023-03-25T08:24:24.03" personId="{FEC578E4-9223-48D0-B5BF-208173C9BB1E}" id="{E52A9B96-8006-4B2B-8881-C7578BB3285A}">
    <text xml:space="preserve">* added_pphn_Largn:
pphn_c + glu__L_c &lt;=&gt; Largn_c + akg_c
* added_tyr__L_tym:
tyr__L_c + h_c -&gt; tym_c + co2_c
</text>
  </threadedComment>
  <threadedComment ref="K12" dT="2023-03-25T08:24:29.72" personId="{FEC578E4-9223-48D0-B5BF-208173C9BB1E}" id="{3A32CB7C-970C-4D4C-9DB7-18C701B72C18}">
    <text xml:space="preserve">* added_pphn_Largn:
pphn_c + glu__L_c &lt;=&gt; Largn_c + akg_c
* added_tyr__L_tym:
tyr__L_c + h_c -&gt; tym_c + co2_c
</text>
  </threadedComment>
  <threadedComment ref="L12" dT="2023-03-25T05:48:34.77" personId="{FEC578E4-9223-48D0-B5BF-208173C9BB1E}" id="{E2E2B648-2C12-4349-BDAE-ECD35FACAFFC}">
    <text xml:space="preserve">* added_pphn_Largn:
pphn_c + glu__L_c &lt;=&gt; Largn_c + akg_c
* added_tyr__L_tym:
tyr__L_c + h_c -&gt; tym_c + co2_c
</text>
  </threadedComment>
  <threadedComment ref="M12" dT="2023-03-25T08:01:14.56" personId="{FEC578E4-9223-48D0-B5BF-208173C9BB1E}" id="{CE8AD3AB-77DE-489A-94C7-2E36DE56B081}">
    <text xml:space="preserve">* added_pphn_Largn:
pphn_c + glu__L_c &lt;=&gt; Largn_c + akg_c
* added_tyr__L_tym:
tyr__L_c + h_c -&gt; tym_c + co2_c
</text>
  </threadedComment>
  <threadedComment ref="N12" dT="2023-03-25T08:24:08.98" personId="{FEC578E4-9223-48D0-B5BF-208173C9BB1E}" id="{4B5C6C62-634F-4FC8-B349-B0AA764010BD}">
    <text xml:space="preserve">* added_pphn_Largn:
pphn_c + glu__L_c &lt;=&gt; Largn_c + akg_c
* added_tyr__L_tym:
tyr__L_c + h_c -&gt; tym_c + co2_c
</text>
  </threadedComment>
  <threadedComment ref="O12" dT="2023-03-25T08:24:39.74" personId="{FEC578E4-9223-48D0-B5BF-208173C9BB1E}" id="{A3166287-FDF7-4B9F-BEFF-A9D5F3A2ABCD}">
    <text xml:space="preserve">* added_pphn_Largn:
pphn_c + glu__L_c &lt;=&gt; Largn_c + akg_c
* added_tyr__L_tym:
tyr__L_c + h_c -&gt; tym_c + co2_c
</text>
  </threadedComment>
  <threadedComment ref="P12" dT="2023-03-25T08:32:03.94" personId="{FEC578E4-9223-48D0-B5BF-208173C9BB1E}" id="{AD6441D2-F4EE-4F48-9A80-EEC789408142}">
    <text xml:space="preserve">* added_pphn_Largn:
pphn_c + glu__L_c &lt;=&gt; Largn_c + akg_c
* added_tyr__L_tym:
tyr__L_c + h_c -&gt; tym_c + co2_c
</text>
  </threadedComment>
  <threadedComment ref="Q12" dT="2023-03-25T08:32:09.89" personId="{FEC578E4-9223-48D0-B5BF-208173C9BB1E}" id="{19D69F11-AD7F-4197-81F0-F6EC543FEA73}">
    <text xml:space="preserve">* added_pphn_Largn:
pphn_c + glu__L_c &lt;=&gt; Largn_c + akg_c
* added_tyr__L_tym:
tyr__L_c + h_c -&gt; tym_c + co2_c
</text>
  </threadedComment>
  <threadedComment ref="R12" dT="2023-03-25T08:32:23.38" personId="{FEC578E4-9223-48D0-B5BF-208173C9BB1E}" id="{7DDA0D7B-2A0C-47DD-8909-FB2FC2B84287}">
    <text xml:space="preserve">* added_pphn_Largn:
pphn_c + glu__L_c &lt;=&gt; Largn_c + akg_c
* added_tyr__L_tym:
tyr__L_c + h_c -&gt; tym_c + co2_c
</text>
  </threadedComment>
  <threadedComment ref="S12" dT="2023-03-25T08:32:28.28" personId="{FEC578E4-9223-48D0-B5BF-208173C9BB1E}" id="{C3E9C3BA-9192-44E3-AA95-662AD441EA15}">
    <text xml:space="preserve">* added_pphn_Largn:
pphn_c + glu__L_c &lt;=&gt; Largn_c + akg_c
* added_tyr__L_tym:
tyr__L_c + h_c -&gt; tym_c + co2_c
</text>
  </threadedComment>
  <threadedComment ref="T12" dT="2023-03-25T08:32:33.32" personId="{FEC578E4-9223-48D0-B5BF-208173C9BB1E}" id="{473A674D-97CE-40DA-AA47-4ADA6B2CE926}">
    <text xml:space="preserve">* added_pphn_Largn:
pphn_c + glu__L_c &lt;=&gt; Largn_c + akg_c
* added_tyr__L_tym:
tyr__L_c + h_c -&gt; tym_c + co2_c
</text>
  </threadedComment>
  <threadedComment ref="B13" dT="2023-03-14T09:56:15.56" personId="{FEC578E4-9223-48D0-B5BF-208173C9BB1E}" id="{03CFE2D6-EB19-4E20-A46C-3B5624E15B8B}">
    <text xml:space="preserve">3,5-dihydro-5-methylidene-4H-imidazol-4-one </text>
  </threadedComment>
  <threadedComment ref="F13" dT="2023-03-25T08:50:01.39" personId="{FEC578E4-9223-48D0-B5BF-208173C9BB1E}" id="{09972E62-DCB6-4B87-AE54-3C799A48E2F5}">
    <text>* added_tyr__L_T4hcinnm:
tyr__L_c -&gt; T4hcinnm_c + nh4_c</text>
  </threadedComment>
  <threadedComment ref="G13" dT="2023-03-25T08:50:18.11" personId="{FEC578E4-9223-48D0-B5BF-208173C9BB1E}" id="{B7AA8B08-83DE-4639-84E2-4186FEAA7931}">
    <text xml:space="preserve">* added_tyr__L_T4hcinnm:
tyr__L_c -&gt; T4hcinnm_c + nh4_c
</text>
  </threadedComment>
  <threadedComment ref="H13" dT="2023-03-25T08:50:23.58" personId="{FEC578E4-9223-48D0-B5BF-208173C9BB1E}" id="{A951D820-7312-48F8-872B-7EBC38C85169}">
    <text xml:space="preserve">* added_tyr__L_T4hcinnm:
tyr__L_c -&gt; T4hcinnm_c + nh4_c
</text>
  </threadedComment>
  <threadedComment ref="I13" dT="2023-03-25T08:50:30.83" personId="{FEC578E4-9223-48D0-B5BF-208173C9BB1E}" id="{E46EDC6E-033E-4BFA-BE80-F61B7938C5D3}">
    <text xml:space="preserve">* added_tyr__L_T4hcinnm:
tyr__L_c -&gt; T4hcinnm_c + nh4_c
</text>
  </threadedComment>
  <threadedComment ref="J13" dT="2023-03-25T08:50:35.77" personId="{FEC578E4-9223-48D0-B5BF-208173C9BB1E}" id="{A975EC77-D2D6-4593-964D-E45725CD7804}">
    <text xml:space="preserve">* added_tyr__L_T4hcinnm:
tyr__L_c -&gt; T4hcinnm_c + nh4_c
</text>
  </threadedComment>
  <threadedComment ref="K13" dT="2023-03-25T08:50:39.82" personId="{FEC578E4-9223-48D0-B5BF-208173C9BB1E}" id="{D25DB493-0F2A-4826-9899-B6A225E8668D}">
    <text xml:space="preserve">* added_tyr__L_T4hcinnm:
tyr__L_c -&gt; T4hcinnm_c + nh4_c
</text>
  </threadedComment>
  <threadedComment ref="O13" dT="2023-03-25T08:50:47.25" personId="{FEC578E4-9223-48D0-B5BF-208173C9BB1E}" id="{6ED0FB02-C45F-41BC-BEED-A291DD9EC587}">
    <text xml:space="preserve">* added_tyr__L_T4hcinnm:
tyr__L_c -&gt; T4hcinnm_c + nh4_c
</text>
  </threadedComment>
  <threadedComment ref="P13" dT="2023-03-25T08:50:52.69" personId="{FEC578E4-9223-48D0-B5BF-208173C9BB1E}" id="{90CDA21B-4396-4295-B437-3C8D84241C8B}">
    <text xml:space="preserve">* added_tyr__L_T4hcinnm:
tyr__L_c -&gt; T4hcinnm_c + nh4_c
</text>
  </threadedComment>
  <threadedComment ref="Q13" dT="2023-03-25T08:50:57.38" personId="{FEC578E4-9223-48D0-B5BF-208173C9BB1E}" id="{4599C7C4-3488-4CCA-8ADF-62BACAB352EB}">
    <text xml:space="preserve">* added_tyr__L_T4hcinnm:
tyr__L_c -&gt; T4hcinnm_c + nh4_c
</text>
  </threadedComment>
  <threadedComment ref="R13" dT="2023-03-25T08:51:01.86" personId="{FEC578E4-9223-48D0-B5BF-208173C9BB1E}" id="{B80A358D-4E80-4254-BF26-F1F50D64797B}">
    <text xml:space="preserve">* added_tyr__L_T4hcinnm:
tyr__L_c -&gt; T4hcinnm_c + nh4_c
</text>
  </threadedComment>
  <threadedComment ref="S13" dT="2023-03-25T08:51:06.35" personId="{FEC578E4-9223-48D0-B5BF-208173C9BB1E}" id="{4CBB6114-1BAB-46CA-B9BB-A87B152C3961}">
    <text xml:space="preserve">* added_tyr__L_T4hcinnm:
tyr__L_c -&gt; T4hcinnm_c + nh4_c
</text>
  </threadedComment>
  <threadedComment ref="T13" dT="2023-03-25T08:51:10.74" personId="{FEC578E4-9223-48D0-B5BF-208173C9BB1E}" id="{91C9D2C2-2655-42F6-8F8D-8B7A59D18F75}">
    <text xml:space="preserve">* added_tyr__L_T4hcinnm:
tyr__L_c -&gt; T4hcinnm_c + nh4_c
</text>
  </threadedComment>
  <threadedComment ref="B14" dT="2023-03-14T09:21:18.63" personId="{FEC578E4-9223-48D0-B5BF-208173C9BB1E}" id="{E5CBF223-5659-4DC6-BF1A-5714BF3C6662}">
    <text>Enzima Dehydroshikimate dehydratase puede tener otros iones divalentes como cofactores dependiendo del organismo: Co2+, Mg2+,Ba2+,Mo2+,Mn2+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5" dT="2023-02-16T21:59:42.95" personId="{31219FE4-881C-4882-B287-47BFA4390192}" id="{8EBCDCBB-F524-4D33-BC11-14C1DBCDFA0E}">
    <text>Ojo, no es propiamente la que se usará… Revisar los microorganismos de la que se clonará...</text>
  </threadedComment>
  <threadedComment ref="D11" dT="2023-02-09T03:48:32.88" personId="{31219FE4-881C-4882-B287-47BFA4390192}" id="{D8685C4C-479D-4004-A69F-5D623364155B}">
    <text>Ec. Basada en modelo de Pseudomonas. Ec dependiente de glutamato en vez de aspartato, sin embargo en modelo de S. aureus es basada en aspartato.</text>
  </threadedComment>
  <threadedComment ref="D11" dT="2023-02-09T04:02:07.94" personId="{31219FE4-881C-4882-B287-47BFA4390192}" id="{954CF329-26B2-4D6D-A5AC-F50DF4E4FC2B}" parentId="{D8685C4C-479D-4004-A69F-5D623364155B}">
    <text>PREGUNTAR. Qué pasa con las reacciones que pueden tener dos metabolitos como co-reactantes en el sistema, por ejemplo para el caso de las moléculas de transporte de energía como el NADP y NAD o el glutamato vs aspartato… debería meter toooodas las ecuaciones o selecciono solo la mejor según lo que vea en literatura?</text>
  </threadedComment>
  <threadedComment ref="D11" dT="2023-02-09T04:08:47.35" personId="{31219FE4-881C-4882-B287-47BFA4390192}" id="{EF7BD6E4-A55F-42FA-9D6C-131631C50729}" parentId="{D8685C4C-479D-4004-A69F-5D623364155B}">
    <text>Adicionalmente: Ecuación en metacyc no incluye el h. Solo BIGG model lo incluye.</text>
  </threadedComment>
  <threadedComment ref="D12" dT="2023-02-09T03:58:22.09" personId="{31219FE4-881C-4882-B287-47BFA4390192}" id="{C3C7EE8B-C6B3-4CC9-BA1C-41F89F5A19D7}">
    <text>Reacción dependiente de NAD basada en reacciones de modelos de E. coli DH5alfa y E. coli C. Sin embargo otras bacterias parecen tener la enzima específica para NADP* que a su vez es más común de plantas pero hay reportes de esta enzima en algunas plantas acepta el NAD...</text>
  </threadedComment>
  <threadedComment ref="D12" dT="2023-02-17T04:13:28.29" personId="{31219FE4-881C-4882-B287-47BFA4390192}" id="{8789CE3B-457C-44E1-8811-DF4AB7896EF9}" parentId="{C3C7EE8B-C6B3-4CC9-BA1C-41F89F5A19D7}">
    <text>Mi opinión después de revisar varias veces: modelseed tiene mala información pues dirige a locus TyrA que NO usa la vía del arogenato. Mi intuición me dice que de meter las reacciones estas deben ser dependientes de NADP-NADPH.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3" dT="2023-03-17T01:51:10.55" personId="{31219FE4-881C-4882-B287-47BFA4390192}" id="{2A42BDA0-B999-49B2-AEA0-ED425884F6C6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3" dT="2023-03-17T02:04:04.51" personId="{31219FE4-881C-4882-B287-47BFA4390192}" id="{E1BB77AB-C735-470F-B9B1-9DB39982D3DF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4" dT="2023-03-17T01:47:30.20" personId="{31219FE4-881C-4882-B287-47BFA4390192}" id="{27098115-D6B9-45FD-892E-4E9394608885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4" dT="2023-03-17T02:01:44.50" personId="{31219FE4-881C-4882-B287-47BFA4390192}" id="{1B4FFFAA-83F2-4E5E-8A4A-70C3E2631B06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5" dT="2023-03-17T01:55:49.23" personId="{31219FE4-881C-4882-B287-47BFA4390192}" id="{6DD54F65-7C02-4FEC-91BA-4709AF7CB132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5" dT="2023-03-17T02:07:18.94" personId="{31219FE4-881C-4882-B287-47BFA4390192}" id="{A39B8595-40F4-4665-BDC6-E1AFC036C741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7" dT="2023-03-17T01:51:10.55" personId="{31219FE4-881C-4882-B287-47BFA4390192}" id="{50759E7F-D423-4480-A33C-3D7EF2099B1D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7" dT="2023-03-17T02:04:04.51" personId="{31219FE4-881C-4882-B287-47BFA4390192}" id="{867458DB-9FF2-4AE2-B40F-A5D5318ADEAD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8" dT="2023-03-17T01:47:30.20" personId="{31219FE4-881C-4882-B287-47BFA4390192}" id="{850EACC3-A120-4BB3-B9A2-EDEEA211ABF7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8" dT="2023-03-17T02:01:44.50" personId="{31219FE4-881C-4882-B287-47BFA4390192}" id="{5F6378BA-AA20-47EE-80E8-BE38CE37DEAA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9" dT="2023-03-17T01:55:49.23" personId="{31219FE4-881C-4882-B287-47BFA4390192}" id="{0CB7BD98-9342-4BF2-8E2D-F21E3CC645D3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9" dT="2023-03-17T02:07:18.94" personId="{31219FE4-881C-4882-B287-47BFA4390192}" id="{5480DAD4-4AF8-43DB-BD69-B2A7817A5C33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11" dT="2023-03-17T01:51:10.55" personId="{31219FE4-881C-4882-B287-47BFA4390192}" id="{B4868456-12BB-418E-A0B3-EBED65E308F5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11" dT="2023-03-17T02:04:04.51" personId="{31219FE4-881C-4882-B287-47BFA4390192}" id="{818CC439-C9D9-4471-8B4C-82692C91C121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12" dT="2023-03-17T01:47:30.20" personId="{31219FE4-881C-4882-B287-47BFA4390192}" id="{F0A2A5EF-44D5-426F-9D35-1AC71F69B746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12" dT="2023-03-17T02:01:44.50" personId="{31219FE4-881C-4882-B287-47BFA4390192}" id="{E5BAB592-623F-444B-95B7-B12FBD304EF6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13" dT="2023-03-17T01:55:49.23" personId="{31219FE4-881C-4882-B287-47BFA4390192}" id="{C35B60CB-F445-4A5C-87F8-7A1BF3DFAF22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13" dT="2023-03-17T02:07:18.94" personId="{31219FE4-881C-4882-B287-47BFA4390192}" id="{4ADBDDC3-EB75-4A87-A9E0-1F865292C0AE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15" dT="2023-03-17T01:51:10.55" personId="{31219FE4-881C-4882-B287-47BFA4390192}" id="{7E0D8474-9FF6-4697-98ED-894D5D0D93F0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15" dT="2023-03-17T02:04:04.51" personId="{31219FE4-881C-4882-B287-47BFA4390192}" id="{6D637B46-0588-453F-B8C6-55C19E7A5E08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16" dT="2023-03-17T01:47:30.20" personId="{31219FE4-881C-4882-B287-47BFA4390192}" id="{9B1F378F-F849-4AE1-90B9-4A22117E13EE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16" dT="2023-03-17T02:01:44.50" personId="{31219FE4-881C-4882-B287-47BFA4390192}" id="{D7708300-8802-4C6D-AEA0-70BF564F64D9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17" dT="2023-03-17T01:55:49.23" personId="{31219FE4-881C-4882-B287-47BFA4390192}" id="{537E7C01-4EEB-4358-8B57-091CDA20D4AE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17" dT="2023-03-17T02:07:18.94" personId="{31219FE4-881C-4882-B287-47BFA4390192}" id="{625CE5BE-2B26-466B-819B-8DBFE0054A39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19" dT="2023-03-17T01:51:10.55" personId="{31219FE4-881C-4882-B287-47BFA4390192}" id="{6D9742A7-882D-4D2F-9FA4-DE8960223CE5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19" dT="2023-03-17T02:04:04.51" personId="{31219FE4-881C-4882-B287-47BFA4390192}" id="{C15E924B-47B4-46AE-B4C7-4D3B2140932D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20" dT="2023-03-17T01:47:30.20" personId="{31219FE4-881C-4882-B287-47BFA4390192}" id="{2623F788-4E95-452B-8E56-1FF06C3619D7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20" dT="2023-03-17T02:01:44.50" personId="{31219FE4-881C-4882-B287-47BFA4390192}" id="{401258DB-3ABB-4112-AE1F-DC5FFA9ADC87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21" dT="2023-03-17T01:55:49.23" personId="{31219FE4-881C-4882-B287-47BFA4390192}" id="{389C5A8B-412E-4EB2-97F2-9CA26D7C944C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21" dT="2023-03-17T02:07:18.94" personId="{31219FE4-881C-4882-B287-47BFA4390192}" id="{E1BB78BD-115F-4BD0-A604-4934F01FC853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R21" dT="2023-03-12T00:18:44.71" personId="{31219FE4-881C-4882-B287-47BFA4390192}" id="{3D9068ED-3827-40F9-B3F5-41E6FFA9F72A}">
    <text>NO MOVER VALORES DE ACÁ. LOS ARRASTRA FÓRMULA Y A PARTIR DE ACÁ LAS DEMÁS MATRICES EN LAS QUE CAMBIA EL X.</text>
  </threadedComment>
  <threadedComment ref="D23" dT="2023-03-17T01:51:10.55" personId="{31219FE4-881C-4882-B287-47BFA4390192}" id="{776DCE9C-AFED-48A2-9093-A537070B9935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23" dT="2023-03-17T02:04:04.51" personId="{31219FE4-881C-4882-B287-47BFA4390192}" id="{6E7CFC8F-B15B-43CD-B58E-ACA649184D1A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24" dT="2023-03-17T01:47:30.20" personId="{31219FE4-881C-4882-B287-47BFA4390192}" id="{5549BA43-3488-444E-B60A-9FC0C8341C81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24" dT="2023-03-17T02:01:44.50" personId="{31219FE4-881C-4882-B287-47BFA4390192}" id="{4068E520-CED5-44F6-8EBA-676E06AE074C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25" dT="2023-03-17T01:55:49.23" personId="{31219FE4-881C-4882-B287-47BFA4390192}" id="{82E97CB4-082A-4F3E-B431-6C6D6D9E3AE6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25" dT="2023-03-17T02:07:18.94" personId="{31219FE4-881C-4882-B287-47BFA4390192}" id="{7CF6A91E-A21B-411D-923B-C7F9B8395C56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27" dT="2023-03-17T01:51:10.55" personId="{31219FE4-881C-4882-B287-47BFA4390192}" id="{F10907EE-6A01-4B42-97FE-DF38DB28341B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27" dT="2023-03-17T02:04:04.51" personId="{31219FE4-881C-4882-B287-47BFA4390192}" id="{3A670753-29A4-4A52-8313-A1B73F8A31B3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28" dT="2023-03-17T01:47:30.20" personId="{31219FE4-881C-4882-B287-47BFA4390192}" id="{2FE5F0EB-D914-45D0-8E85-070D9E7CB437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28" dT="2023-03-17T02:01:44.50" personId="{31219FE4-881C-4882-B287-47BFA4390192}" id="{75328CB9-8602-475F-83E3-6D2206E39185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29" dT="2023-03-17T01:55:49.23" personId="{31219FE4-881C-4882-B287-47BFA4390192}" id="{93CFAE48-E731-48B3-B7E4-043E90A79C94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29" dT="2023-03-17T02:07:18.94" personId="{31219FE4-881C-4882-B287-47BFA4390192}" id="{CB9BF3F2-8904-46A0-A6E6-349888B141E2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31" dT="2023-03-17T01:51:10.55" personId="{31219FE4-881C-4882-B287-47BFA4390192}" id="{A11349E3-DDCF-4B73-A99E-0BF8619D302F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31" dT="2023-03-17T02:04:04.51" personId="{31219FE4-881C-4882-B287-47BFA4390192}" id="{DEB86E5A-D487-46D6-8CD5-8C5EE2629417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32" dT="2023-03-17T01:47:30.20" personId="{31219FE4-881C-4882-B287-47BFA4390192}" id="{DC1771EB-6DEA-465B-B209-34D1995B4549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32" dT="2023-03-17T02:01:44.50" personId="{31219FE4-881C-4882-B287-47BFA4390192}" id="{316AA6AE-B6F0-4849-AC61-80B1F419D0E0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33" dT="2023-03-17T01:55:49.23" personId="{31219FE4-881C-4882-B287-47BFA4390192}" id="{03AC84A3-11A5-4011-8FA4-C4789944F4F2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33" dT="2023-03-17T02:07:18.94" personId="{31219FE4-881C-4882-B287-47BFA4390192}" id="{6323988D-AB59-4F1A-A078-C14770EA6301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35" dT="2023-03-17T01:51:10.55" personId="{31219FE4-881C-4882-B287-47BFA4390192}" id="{5D05304B-1BC7-4D43-BE0B-AFBDFA11E77B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35" dT="2023-03-17T02:04:04.51" personId="{31219FE4-881C-4882-B287-47BFA4390192}" id="{F2FC14C4-4D6E-445D-8EF4-7155BB2DC861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36" dT="2023-03-17T01:47:30.20" personId="{31219FE4-881C-4882-B287-47BFA4390192}" id="{67EAEED9-61D2-4289-819C-130C3C5F807F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36" dT="2023-03-17T02:01:44.50" personId="{31219FE4-881C-4882-B287-47BFA4390192}" id="{5F92B41F-4035-4E80-B5B7-71EE354E4B6A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37" dT="2023-03-17T01:55:49.23" personId="{31219FE4-881C-4882-B287-47BFA4390192}" id="{5DF11521-1CD8-4AF6-9AD7-9D6CA70AD11E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37" dT="2023-03-17T02:07:18.94" personId="{31219FE4-881C-4882-B287-47BFA4390192}" id="{CD7156AC-E8A2-47DA-A647-D9EAC7C3F1DC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48" dT="2023-03-17T01:51:10.55" personId="{31219FE4-881C-4882-B287-47BFA4390192}" id="{51EE2C81-16C4-4407-BDDD-6516FCE44ED8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48" dT="2023-03-17T02:04:04.51" personId="{31219FE4-881C-4882-B287-47BFA4390192}" id="{C4D76DD7-46E1-4108-B3A9-86FD9B9F6FC3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49" dT="2023-03-17T01:47:30.20" personId="{31219FE4-881C-4882-B287-47BFA4390192}" id="{0D63F9B9-6E92-4452-BCE5-364E69E5D3C6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49" dT="2023-03-17T02:01:44.50" personId="{31219FE4-881C-4882-B287-47BFA4390192}" id="{A1D1B00E-D4AB-41B2-BF16-0F1DB8D13C90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50" dT="2023-03-17T01:55:49.23" personId="{31219FE4-881C-4882-B287-47BFA4390192}" id="{020A0AAA-FA29-4833-AF17-9648CAE06F00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50" dT="2023-03-17T02:07:18.94" personId="{31219FE4-881C-4882-B287-47BFA4390192}" id="{C36C6737-6F34-4752-88D2-B9B44325E067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52" dT="2023-03-17T01:51:10.55" personId="{31219FE4-881C-4882-B287-47BFA4390192}" id="{56126DF7-74C1-4CB9-947B-910A5A1D80BD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52" dT="2023-03-17T02:04:04.51" personId="{31219FE4-881C-4882-B287-47BFA4390192}" id="{515DC91B-6324-4B02-8014-4AEC748654EC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53" dT="2023-03-17T01:47:30.20" personId="{31219FE4-881C-4882-B287-47BFA4390192}" id="{71FFEB0E-56E6-48B3-84EE-9BB2E4F180B8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53" dT="2023-03-17T02:01:44.50" personId="{31219FE4-881C-4882-B287-47BFA4390192}" id="{B9C7F212-B99B-4B80-9BF0-956021371F6A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54" dT="2023-03-17T01:55:49.23" personId="{31219FE4-881C-4882-B287-47BFA4390192}" id="{96B12BEA-54EC-4318-A301-55DB28EE76F1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54" dT="2023-03-17T02:07:18.94" personId="{31219FE4-881C-4882-B287-47BFA4390192}" id="{E48688C5-D1A4-4605-8375-100CB417EEB3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56" dT="2023-03-17T01:51:10.55" personId="{31219FE4-881C-4882-B287-47BFA4390192}" id="{AA53ECCB-D9A5-435E-9586-CF2964C55E38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56" dT="2023-03-17T02:04:04.51" personId="{31219FE4-881C-4882-B287-47BFA4390192}" id="{65743E32-64F7-4AB2-99ED-F9EAA13A7842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57" dT="2023-03-17T01:47:30.20" personId="{31219FE4-881C-4882-B287-47BFA4390192}" id="{CAC1E0C0-BAAC-43BB-8BB1-42CF5EDF98CD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57" dT="2023-03-17T02:01:44.50" personId="{31219FE4-881C-4882-B287-47BFA4390192}" id="{66C15E83-003C-48F8-8E64-FB1EAF472923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58" dT="2023-03-17T01:55:49.23" personId="{31219FE4-881C-4882-B287-47BFA4390192}" id="{E23ECD32-5EAB-418E-A512-77A2C38473E1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58" dT="2023-03-17T02:07:18.94" personId="{31219FE4-881C-4882-B287-47BFA4390192}" id="{4E74C919-B7A5-43EA-BC8C-909DE2B35537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60" dT="2023-03-17T01:51:10.55" personId="{31219FE4-881C-4882-B287-47BFA4390192}" id="{48A7F7A7-45B0-4435-BF8A-DDADF1D637BE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60" dT="2023-03-17T02:04:04.51" personId="{31219FE4-881C-4882-B287-47BFA4390192}" id="{A744564D-65B1-4607-AE70-CD929D0FEE19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61" dT="2023-03-17T01:47:30.20" personId="{31219FE4-881C-4882-B287-47BFA4390192}" id="{9E3327A2-8A5C-409F-BA7C-0382C93194D8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61" dT="2023-03-17T02:01:44.50" personId="{31219FE4-881C-4882-B287-47BFA4390192}" id="{2A33B78E-4E00-4FD9-BF9F-DD7A07A9FFE3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62" dT="2023-03-17T01:55:49.23" personId="{31219FE4-881C-4882-B287-47BFA4390192}" id="{FC48A9AF-6294-4E52-B42C-3CA30767DAE3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62" dT="2023-03-17T02:07:18.94" personId="{31219FE4-881C-4882-B287-47BFA4390192}" id="{FE203C81-E569-4ED9-8950-739DC74CBA28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64" dT="2023-03-17T01:51:10.55" personId="{31219FE4-881C-4882-B287-47BFA4390192}" id="{DEC96262-834C-4D51-AC5A-393C263A9F6A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64" dT="2023-03-17T02:04:04.51" personId="{31219FE4-881C-4882-B287-47BFA4390192}" id="{A6957744-00E9-47CC-8A82-C1B8B714BBA4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65" dT="2023-03-17T01:47:30.20" personId="{31219FE4-881C-4882-B287-47BFA4390192}" id="{F378BE08-AB69-40D1-9170-5AA6D4A598AB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65" dT="2023-03-17T02:01:44.50" personId="{31219FE4-881C-4882-B287-47BFA4390192}" id="{CA7FF616-9A71-4523-B107-86FB9A877496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66" dT="2023-03-17T01:55:49.23" personId="{31219FE4-881C-4882-B287-47BFA4390192}" id="{E69BD3BF-4410-42D8-A525-674B4B150CF6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66" dT="2023-03-17T02:07:18.94" personId="{31219FE4-881C-4882-B287-47BFA4390192}" id="{6411FC9F-BA51-445D-B94A-33D07581AE9E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68" dT="2023-03-17T01:51:10.55" personId="{31219FE4-881C-4882-B287-47BFA4390192}" id="{DAA0E081-E047-43F5-AF95-1F7F623A4B9E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68" dT="2023-03-17T02:04:04.51" personId="{31219FE4-881C-4882-B287-47BFA4390192}" id="{9EDBFC8C-B056-4E4E-9B3D-FFB838C73298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69" dT="2023-03-17T01:47:30.20" personId="{31219FE4-881C-4882-B287-47BFA4390192}" id="{C0E56EE2-5F44-431D-813F-9D45AD488CDB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69" dT="2023-03-17T02:01:44.50" personId="{31219FE4-881C-4882-B287-47BFA4390192}" id="{09BE52F7-97A3-48D5-BCE7-0405CAE2B178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70" dT="2023-03-17T01:55:49.23" personId="{31219FE4-881C-4882-B287-47BFA4390192}" id="{A9B619F5-5C46-4D97-9218-A25FBB402778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70" dT="2023-03-17T02:07:18.94" personId="{31219FE4-881C-4882-B287-47BFA4390192}" id="{277E145B-E5BC-4720-83CF-7325E820A625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72" dT="2023-03-17T01:51:10.55" personId="{31219FE4-881C-4882-B287-47BFA4390192}" id="{39FF80B2-5B44-41D4-8A15-C211E3FB10FD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72" dT="2023-03-17T02:04:04.51" personId="{31219FE4-881C-4882-B287-47BFA4390192}" id="{1316432C-23AA-465B-9E98-4A68630CE8CD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73" dT="2023-03-17T01:47:30.20" personId="{31219FE4-881C-4882-B287-47BFA4390192}" id="{949911E8-6946-4688-9569-74775E8658DD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73" dT="2023-03-17T02:01:44.50" personId="{31219FE4-881C-4882-B287-47BFA4390192}" id="{9539D194-6606-447E-B8D8-58CE1B67B34C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74" dT="2023-03-17T01:55:49.23" personId="{31219FE4-881C-4882-B287-47BFA4390192}" id="{811C9018-DF02-4AC3-AC34-364569DEFE79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74" dT="2023-03-17T02:07:18.94" personId="{31219FE4-881C-4882-B287-47BFA4390192}" id="{44A607AD-7824-49A4-9C63-0DE561637794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76" dT="2023-03-17T01:51:10.55" personId="{31219FE4-881C-4882-B287-47BFA4390192}" id="{E396863D-B554-46FA-B4A0-EE4E7C42B5EC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76" dT="2023-03-17T02:04:04.51" personId="{31219FE4-881C-4882-B287-47BFA4390192}" id="{E0C3E5CD-E2BF-4E0A-9CB6-206B41AE023E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77" dT="2023-03-17T01:47:30.20" personId="{31219FE4-881C-4882-B287-47BFA4390192}" id="{37D75B80-052C-49CF-AC7C-392E1171D0D4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77" dT="2023-03-17T02:01:44.50" personId="{31219FE4-881C-4882-B287-47BFA4390192}" id="{BC94ED4F-E319-4B60-8A55-7980778B5F5C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78" dT="2023-03-17T01:55:49.23" personId="{31219FE4-881C-4882-B287-47BFA4390192}" id="{0B078CB6-C5E8-4AB2-8970-3FE1165F5362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78" dT="2023-03-17T02:07:18.94" personId="{31219FE4-881C-4882-B287-47BFA4390192}" id="{0DF24848-0E1B-41FF-82E2-B1FD095A8F15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  <threadedComment ref="D80" dT="2023-03-17T01:51:10.55" personId="{31219FE4-881C-4882-B287-47BFA4390192}" id="{FEEFD030-B19D-4F72-88F2-836B969BA0EF}">
    <text>https://www.ncbi.nlm.nih.gov/pmc/articles/PMC8006063/</text>
    <extLst>
      <x:ext xmlns:xltc2="http://schemas.microsoft.com/office/spreadsheetml/2020/threadedcomments2" uri="{F7C98A9C-CBB3-438F-8F68-D28B6AF4A901}">
        <xltc2:checksum>1378088039</xltc2:checksum>
        <xltc2:hyperlink startIndex="0" length="53" url="https://www.ncbi.nlm.nih.gov/pmc/articles/PMC8006063/"/>
      </x:ext>
    </extLst>
  </threadedComment>
  <threadedComment ref="E80" dT="2023-03-17T02:04:04.51" personId="{31219FE4-881C-4882-B287-47BFA4390192}" id="{A47B8375-9D03-4307-9B20-AFB91991E812}">
    <text>https://linkinghub-elsevier-com.ezproxy.uniandes.edu.co/retrieve/pii/S0734975005000467</text>
    <extLst>
      <x:ext xmlns:xltc2="http://schemas.microsoft.com/office/spreadsheetml/2020/threadedcomments2" uri="{F7C98A9C-CBB3-438F-8F68-D28B6AF4A901}">
        <xltc2:checksum>966711766</xltc2:checksum>
        <xltc2:hyperlink startIndex="0" length="86" url="https://linkinghub-elsevier-com.ezproxy.uniandes.edu.co/retrieve/pii/S0734975005000467"/>
      </x:ext>
    </extLst>
  </threadedComment>
  <threadedComment ref="D81" dT="2023-03-17T01:47:30.20" personId="{31219FE4-881C-4882-B287-47BFA4390192}" id="{FC2D0521-74C8-4055-9B8F-F37BCD0766DA}">
    <text>https://pubmed.ncbi.nlm.nih.gov/20807680/</text>
    <extLst>
      <x:ext xmlns:xltc2="http://schemas.microsoft.com/office/spreadsheetml/2020/threadedcomments2" uri="{F7C98A9C-CBB3-438F-8F68-D28B6AF4A901}">
        <xltc2:checksum>1499423342</xltc2:checksum>
        <xltc2:hyperlink startIndex="0" length="41" url="https://pubmed.ncbi.nlm.nih.gov/20807680/"/>
      </x:ext>
    </extLst>
  </threadedComment>
  <threadedComment ref="E81" dT="2023-03-17T02:01:44.50" personId="{31219FE4-881C-4882-B287-47BFA4390192}" id="{1656EFBD-2C64-43CC-9BEF-B54BCF89B866}">
    <text>https://onlinelibrary-wiley-com.ezproxy.uniandes.edu.co/doi/10.1002/bit.25474</text>
    <extLst>
      <x:ext xmlns:xltc2="http://schemas.microsoft.com/office/spreadsheetml/2020/threadedcomments2" uri="{F7C98A9C-CBB3-438F-8F68-D28B6AF4A901}">
        <xltc2:checksum>3107242138</xltc2:checksum>
        <xltc2:hyperlink startIndex="0" length="77" url="https://onlinelibrary-wiley-com.ezproxy.uniandes.edu.co/doi/10.1002/bit.25474"/>
      </x:ext>
    </extLst>
  </threadedComment>
  <threadedComment ref="D82" dT="2023-03-17T01:55:49.23" personId="{31219FE4-881C-4882-B287-47BFA4390192}" id="{5C56DFDF-52C7-4827-AB12-455835AC939D}">
    <text>https://pubmed.ncbi.nlm.nih.gov/12073320/</text>
    <extLst>
      <x:ext xmlns:xltc2="http://schemas.microsoft.com/office/spreadsheetml/2020/threadedcomments2" uri="{F7C98A9C-CBB3-438F-8F68-D28B6AF4A901}">
        <xltc2:checksum>2943818077</xltc2:checksum>
        <xltc2:hyperlink startIndex="0" length="41" url="https://pubmed.ncbi.nlm.nih.gov/12073320/"/>
      </x:ext>
    </extLst>
  </threadedComment>
  <threadedComment ref="E82" dT="2023-03-17T02:07:18.94" personId="{31219FE4-881C-4882-B287-47BFA4390192}" id="{B89A2DC7-BD30-4917-BB10-A9E29206D00B}">
    <text>https://doi.org/10.1128/jb.158.2.701-704.1984</text>
    <extLst>
      <x:ext xmlns:xltc2="http://schemas.microsoft.com/office/spreadsheetml/2020/threadedcomments2" uri="{F7C98A9C-CBB3-438F-8F68-D28B6AF4A901}">
        <xltc2:checksum>1500140862</xltc2:checksum>
        <xltc2:hyperlink startIndex="0" length="45" url="https://doi.org/10.1128/jb.158.2.701-704.1984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5061748/" TargetMode="External"/><Relationship Id="rId13" Type="http://schemas.openxmlformats.org/officeDocument/2006/relationships/comments" Target="../comments2.xml"/><Relationship Id="rId3" Type="http://schemas.openxmlformats.org/officeDocument/2006/relationships/hyperlink" Target="https://pubmed.ncbi.nlm.nih.gov/30631308/" TargetMode="External"/><Relationship Id="rId7" Type="http://schemas.openxmlformats.org/officeDocument/2006/relationships/hyperlink" Target="https://link.springer.com/article/10.1007/s11105-014-0803-4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https://pubmed.ncbi.nlm.nih.gov/27292129/" TargetMode="External"/><Relationship Id="rId1" Type="http://schemas.openxmlformats.org/officeDocument/2006/relationships/hyperlink" Target="https://pubmed.ncbi.nlm.nih.gov/27706847/" TargetMode="External"/><Relationship Id="rId6" Type="http://schemas.openxmlformats.org/officeDocument/2006/relationships/hyperlink" Target="https://pubmed.ncbi.nlm.nih.gov/26412334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pubmed.ncbi.nlm.nih.gov/31155821/" TargetMode="External"/><Relationship Id="rId10" Type="http://schemas.openxmlformats.org/officeDocument/2006/relationships/hyperlink" Target="https://pubmed.ncbi.nlm.nih.gov/29164132/" TargetMode="External"/><Relationship Id="rId4" Type="http://schemas.openxmlformats.org/officeDocument/2006/relationships/hyperlink" Target="https://pubmed.ncbi.nlm.nih.gov/27401923/" TargetMode="External"/><Relationship Id="rId9" Type="http://schemas.openxmlformats.org/officeDocument/2006/relationships/hyperlink" Target="https://www.ncbi.nlm.nih.gov/pmc/articles/PMC3916524/" TargetMode="External"/><Relationship Id="rId1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F36-C6B5-4250-937A-843A1CB09176}">
  <sheetPr>
    <pageSetUpPr fitToPage="1"/>
  </sheetPr>
  <dimension ref="B2:Q166"/>
  <sheetViews>
    <sheetView topLeftCell="A85" workbookViewId="0">
      <selection activeCell="F163" sqref="F163"/>
    </sheetView>
  </sheetViews>
  <sheetFormatPr defaultColWidth="11.42578125" defaultRowHeight="15"/>
  <cols>
    <col min="1" max="1" width="3.140625" customWidth="1"/>
    <col min="2" max="2" width="11.28515625" bestFit="1" customWidth="1"/>
    <col min="3" max="3" width="16.5703125" bestFit="1" customWidth="1"/>
    <col min="4" max="4" width="12.85546875" bestFit="1" customWidth="1"/>
    <col min="5" max="5" width="18" bestFit="1" customWidth="1"/>
    <col min="6" max="6" width="20.7109375" bestFit="1" customWidth="1"/>
    <col min="7" max="7" width="23.5703125" bestFit="1" customWidth="1"/>
    <col min="8" max="17" width="9.7109375" customWidth="1"/>
  </cols>
  <sheetData>
    <row r="2" spans="2:17" ht="14.45" customHeight="1">
      <c r="B2" s="330" t="s">
        <v>0</v>
      </c>
      <c r="C2" s="419" t="s">
        <v>1</v>
      </c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</row>
    <row r="3" spans="2:17">
      <c r="B3" s="330"/>
      <c r="C3" s="419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</row>
    <row r="4" spans="2:17">
      <c r="B4" s="330"/>
      <c r="C4" s="419"/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</row>
    <row r="5" spans="2:17">
      <c r="B5" s="330"/>
      <c r="C5" s="419"/>
      <c r="D5" s="419"/>
      <c r="E5" s="419"/>
      <c r="F5" s="419"/>
      <c r="G5" s="419"/>
      <c r="H5" s="419"/>
      <c r="I5" s="419"/>
      <c r="J5" s="419"/>
      <c r="K5" s="419"/>
      <c r="L5" s="419"/>
      <c r="M5" s="419"/>
      <c r="N5" s="419"/>
      <c r="O5" s="419"/>
      <c r="P5" s="419"/>
      <c r="Q5" s="419"/>
    </row>
    <row r="6" spans="2:17">
      <c r="B6" s="330"/>
      <c r="C6" s="419"/>
      <c r="D6" s="419"/>
      <c r="E6" s="419"/>
      <c r="F6" s="419"/>
      <c r="G6" s="419"/>
      <c r="H6" s="419"/>
      <c r="I6" s="419"/>
      <c r="J6" s="419"/>
      <c r="K6" s="419"/>
      <c r="L6" s="419"/>
      <c r="M6" s="419"/>
      <c r="N6" s="419"/>
      <c r="O6" s="419"/>
      <c r="P6" s="419"/>
      <c r="Q6" s="419"/>
    </row>
    <row r="7" spans="2:17">
      <c r="B7" s="330"/>
      <c r="C7" s="419"/>
      <c r="D7" s="419"/>
      <c r="E7" s="419"/>
      <c r="F7" s="419"/>
      <c r="G7" s="419"/>
      <c r="H7" s="419"/>
      <c r="I7" s="419"/>
      <c r="J7" s="419"/>
      <c r="K7" s="419"/>
      <c r="L7" s="419"/>
      <c r="M7" s="419"/>
      <c r="N7" s="419"/>
      <c r="O7" s="419"/>
      <c r="P7" s="419"/>
      <c r="Q7" s="419"/>
    </row>
    <row r="8" spans="2:17">
      <c r="B8" s="330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19"/>
      <c r="P8" s="419"/>
      <c r="Q8" s="419"/>
    </row>
    <row r="9" spans="2:17" ht="14.45" customHeight="1">
      <c r="B9" s="330" t="s">
        <v>2</v>
      </c>
      <c r="C9" s="419" t="s">
        <v>3</v>
      </c>
      <c r="D9" s="419"/>
      <c r="E9" s="419"/>
      <c r="F9" s="419"/>
      <c r="G9" s="419"/>
      <c r="H9" s="419"/>
      <c r="I9" s="419"/>
      <c r="J9" s="419"/>
      <c r="K9" s="419"/>
      <c r="L9" s="419"/>
      <c r="M9" s="419"/>
      <c r="N9" s="419"/>
      <c r="O9" s="419"/>
      <c r="P9" s="419"/>
      <c r="Q9" s="419"/>
    </row>
    <row r="10" spans="2:17">
      <c r="B10" s="330"/>
      <c r="C10" s="419"/>
      <c r="D10" s="419"/>
      <c r="E10" s="419"/>
      <c r="F10" s="419"/>
      <c r="G10" s="419"/>
      <c r="H10" s="419"/>
      <c r="I10" s="419"/>
      <c r="J10" s="419"/>
      <c r="K10" s="419"/>
      <c r="L10" s="419"/>
      <c r="M10" s="419"/>
      <c r="N10" s="419"/>
      <c r="O10" s="419"/>
      <c r="P10" s="419"/>
      <c r="Q10" s="419"/>
    </row>
    <row r="11" spans="2:17">
      <c r="B11" s="330"/>
      <c r="C11" s="419"/>
      <c r="D11" s="419"/>
      <c r="E11" s="419"/>
      <c r="F11" s="419"/>
      <c r="G11" s="419"/>
      <c r="H11" s="419"/>
      <c r="I11" s="419"/>
      <c r="J11" s="419"/>
      <c r="K11" s="419"/>
      <c r="L11" s="419"/>
      <c r="M11" s="419"/>
      <c r="N11" s="419"/>
      <c r="O11" s="419"/>
      <c r="P11" s="419"/>
      <c r="Q11" s="419"/>
    </row>
    <row r="12" spans="2:17">
      <c r="B12" s="330"/>
      <c r="C12" s="419"/>
      <c r="D12" s="419"/>
      <c r="E12" s="419"/>
      <c r="F12" s="419"/>
      <c r="G12" s="419"/>
      <c r="H12" s="419"/>
      <c r="I12" s="419"/>
      <c r="J12" s="419"/>
      <c r="K12" s="419"/>
      <c r="L12" s="419"/>
      <c r="M12" s="419"/>
      <c r="N12" s="419"/>
      <c r="O12" s="419"/>
      <c r="P12" s="419"/>
      <c r="Q12" s="419"/>
    </row>
    <row r="13" spans="2:17">
      <c r="B13" s="330"/>
      <c r="C13" s="419"/>
      <c r="D13" s="419"/>
      <c r="E13" s="419"/>
      <c r="F13" s="419"/>
      <c r="G13" s="419"/>
      <c r="H13" s="419"/>
      <c r="I13" s="419"/>
      <c r="J13" s="419"/>
      <c r="K13" s="419"/>
      <c r="L13" s="419"/>
      <c r="M13" s="419"/>
      <c r="N13" s="419"/>
      <c r="O13" s="419"/>
      <c r="P13" s="419"/>
      <c r="Q13" s="419"/>
    </row>
    <row r="14" spans="2:17">
      <c r="B14" s="330"/>
      <c r="C14" s="419"/>
      <c r="D14" s="419"/>
      <c r="E14" s="419"/>
      <c r="F14" s="419"/>
      <c r="G14" s="419"/>
      <c r="H14" s="419"/>
      <c r="I14" s="419"/>
      <c r="J14" s="419"/>
      <c r="K14" s="419"/>
      <c r="L14" s="419"/>
      <c r="M14" s="419"/>
      <c r="N14" s="419"/>
      <c r="O14" s="419"/>
      <c r="P14" s="419"/>
      <c r="Q14" s="419"/>
    </row>
    <row r="15" spans="2:17">
      <c r="B15" s="330"/>
      <c r="C15" s="419"/>
      <c r="D15" s="419"/>
      <c r="E15" s="419"/>
      <c r="F15" s="419"/>
      <c r="G15" s="419"/>
      <c r="H15" s="419"/>
      <c r="I15" s="419"/>
      <c r="J15" s="419"/>
      <c r="K15" s="419"/>
      <c r="L15" s="419"/>
      <c r="M15" s="419"/>
      <c r="N15" s="419"/>
      <c r="O15" s="419"/>
      <c r="P15" s="419"/>
      <c r="Q15" s="419"/>
    </row>
    <row r="16" spans="2:17">
      <c r="B16" s="330"/>
      <c r="C16" s="419"/>
      <c r="D16" s="419"/>
      <c r="E16" s="419"/>
      <c r="F16" s="419"/>
      <c r="G16" s="419"/>
      <c r="H16" s="419"/>
      <c r="I16" s="419"/>
      <c r="J16" s="419"/>
      <c r="K16" s="419"/>
      <c r="L16" s="419"/>
      <c r="M16" s="419"/>
      <c r="N16" s="419"/>
      <c r="O16" s="419"/>
      <c r="P16" s="419"/>
      <c r="Q16" s="419"/>
    </row>
    <row r="17" spans="2:17">
      <c r="B17" s="330"/>
      <c r="C17" s="419"/>
      <c r="D17" s="419"/>
      <c r="E17" s="419"/>
      <c r="F17" s="419"/>
      <c r="G17" s="419"/>
      <c r="H17" s="419"/>
      <c r="I17" s="419"/>
      <c r="J17" s="419"/>
      <c r="K17" s="419"/>
      <c r="L17" s="419"/>
      <c r="M17" s="419"/>
      <c r="N17" s="419"/>
      <c r="O17" s="419"/>
      <c r="P17" s="419"/>
      <c r="Q17" s="419"/>
    </row>
    <row r="18" spans="2:17">
      <c r="B18" s="330"/>
      <c r="C18" s="419"/>
      <c r="D18" s="419"/>
      <c r="E18" s="419"/>
      <c r="F18" s="419"/>
      <c r="G18" s="419"/>
      <c r="H18" s="419"/>
      <c r="I18" s="419"/>
      <c r="J18" s="419"/>
      <c r="K18" s="419"/>
      <c r="L18" s="419"/>
      <c r="M18" s="419"/>
      <c r="N18" s="419"/>
      <c r="O18" s="419"/>
      <c r="P18" s="419"/>
      <c r="Q18" s="419"/>
    </row>
    <row r="19" spans="2:17">
      <c r="B19" s="330"/>
      <c r="C19" s="419"/>
      <c r="D19" s="419"/>
      <c r="E19" s="419"/>
      <c r="F19" s="419"/>
      <c r="G19" s="419"/>
      <c r="H19" s="419"/>
      <c r="I19" s="419"/>
      <c r="J19" s="419"/>
      <c r="K19" s="419"/>
      <c r="L19" s="419"/>
      <c r="M19" s="419"/>
      <c r="N19" s="419"/>
      <c r="O19" s="419"/>
      <c r="P19" s="419"/>
      <c r="Q19" s="419"/>
    </row>
    <row r="20" spans="2:17" ht="14.45" customHeight="1">
      <c r="B20" s="330" t="s">
        <v>4</v>
      </c>
      <c r="C20" s="419" t="s">
        <v>5</v>
      </c>
      <c r="D20" s="419"/>
      <c r="E20" s="419"/>
      <c r="F20" s="419"/>
      <c r="G20" s="419"/>
      <c r="H20" s="419"/>
      <c r="I20" s="419"/>
      <c r="J20" s="419"/>
      <c r="K20" s="419"/>
      <c r="L20" s="419"/>
      <c r="M20" s="419"/>
      <c r="N20" s="419"/>
      <c r="O20" s="419"/>
      <c r="P20" s="419"/>
      <c r="Q20" s="419"/>
    </row>
    <row r="21" spans="2:17">
      <c r="C21" s="419"/>
      <c r="D21" s="419"/>
      <c r="E21" s="419"/>
      <c r="F21" s="419"/>
      <c r="G21" s="419"/>
      <c r="H21" s="419"/>
      <c r="I21" s="419"/>
      <c r="J21" s="419"/>
      <c r="K21" s="419"/>
      <c r="L21" s="419"/>
      <c r="M21" s="419"/>
      <c r="N21" s="419"/>
      <c r="O21" s="419"/>
      <c r="P21" s="419"/>
      <c r="Q21" s="419"/>
    </row>
    <row r="22" spans="2:17">
      <c r="C22" s="419"/>
      <c r="D22" s="419"/>
      <c r="E22" s="419"/>
      <c r="F22" s="419"/>
      <c r="G22" s="419"/>
      <c r="H22" s="419"/>
      <c r="I22" s="419"/>
      <c r="J22" s="419"/>
      <c r="K22" s="419"/>
      <c r="L22" s="419"/>
      <c r="M22" s="419"/>
      <c r="N22" s="419"/>
      <c r="O22" s="419"/>
      <c r="P22" s="419"/>
      <c r="Q22" s="419"/>
    </row>
    <row r="23" spans="2:17">
      <c r="C23" s="419"/>
      <c r="D23" s="419"/>
      <c r="E23" s="419"/>
      <c r="F23" s="419"/>
      <c r="G23" s="419"/>
      <c r="H23" s="419"/>
      <c r="I23" s="419"/>
      <c r="J23" s="419"/>
      <c r="K23" s="419"/>
      <c r="L23" s="419"/>
      <c r="M23" s="419"/>
      <c r="N23" s="419"/>
      <c r="O23" s="419"/>
      <c r="P23" s="419"/>
      <c r="Q23" s="419"/>
    </row>
    <row r="24" spans="2:17">
      <c r="C24" s="419"/>
      <c r="D24" s="419"/>
      <c r="E24" s="419"/>
      <c r="F24" s="419"/>
      <c r="G24" s="419"/>
      <c r="H24" s="419"/>
      <c r="I24" s="419"/>
      <c r="J24" s="419"/>
      <c r="K24" s="419"/>
      <c r="L24" s="419"/>
      <c r="M24" s="419"/>
      <c r="N24" s="419"/>
      <c r="O24" s="419"/>
      <c r="P24" s="419"/>
      <c r="Q24" s="419"/>
    </row>
    <row r="26" spans="2:17">
      <c r="C26" s="330" t="s">
        <v>6</v>
      </c>
      <c r="D26" s="330" t="s">
        <v>7</v>
      </c>
      <c r="E26" s="330" t="s">
        <v>8</v>
      </c>
      <c r="F26" s="330" t="s">
        <v>9</v>
      </c>
      <c r="G26" s="330" t="s">
        <v>10</v>
      </c>
    </row>
    <row r="27" spans="2:17">
      <c r="C27" t="s">
        <v>11</v>
      </c>
      <c r="E27">
        <v>2.23E-4</v>
      </c>
      <c r="F27">
        <v>2.23E-4</v>
      </c>
      <c r="G27">
        <v>0</v>
      </c>
    </row>
    <row r="28" spans="2:17">
      <c r="C28" t="s">
        <v>12</v>
      </c>
      <c r="E28">
        <v>0</v>
      </c>
      <c r="F28">
        <v>0</v>
      </c>
      <c r="G28">
        <v>0.1348</v>
      </c>
    </row>
    <row r="29" spans="2:17">
      <c r="C29" t="s">
        <v>13</v>
      </c>
      <c r="E29">
        <v>2.5999999999999998E-5</v>
      </c>
      <c r="F29">
        <v>2.23E-4</v>
      </c>
      <c r="G29">
        <v>0</v>
      </c>
    </row>
    <row r="30" spans="2:17">
      <c r="C30" t="s">
        <v>14</v>
      </c>
      <c r="E30">
        <v>2.23E-4</v>
      </c>
      <c r="F30">
        <v>0</v>
      </c>
      <c r="G30">
        <v>0</v>
      </c>
    </row>
    <row r="31" spans="2:17">
      <c r="C31" t="s">
        <v>15</v>
      </c>
      <c r="E31">
        <v>2.5999999999999998E-4</v>
      </c>
      <c r="F31">
        <v>2.23E-4</v>
      </c>
      <c r="G31">
        <v>0</v>
      </c>
    </row>
    <row r="32" spans="2:17">
      <c r="C32" t="s">
        <v>16</v>
      </c>
      <c r="E32">
        <v>0</v>
      </c>
      <c r="F32">
        <v>2.23E-4</v>
      </c>
      <c r="G32">
        <v>0</v>
      </c>
    </row>
    <row r="33" spans="3:7">
      <c r="C33" t="s">
        <v>17</v>
      </c>
      <c r="E33">
        <v>0</v>
      </c>
      <c r="F33">
        <v>2.7900000000000001E-4</v>
      </c>
      <c r="G33">
        <v>0</v>
      </c>
    </row>
    <row r="34" spans="3:7">
      <c r="C34" t="s">
        <v>18</v>
      </c>
      <c r="E34">
        <v>0</v>
      </c>
      <c r="F34">
        <v>2.23E-4</v>
      </c>
      <c r="G34">
        <v>0</v>
      </c>
    </row>
    <row r="35" spans="3:7">
      <c r="C35" t="s">
        <v>19</v>
      </c>
      <c r="E35">
        <v>0.51368899999999995</v>
      </c>
      <c r="F35">
        <v>0.59826699999999999</v>
      </c>
      <c r="G35">
        <v>0.45879999999999999</v>
      </c>
    </row>
    <row r="36" spans="3:7">
      <c r="C36" t="s">
        <v>20</v>
      </c>
      <c r="E36">
        <v>2.23E-4</v>
      </c>
      <c r="F36">
        <v>2.23E-4</v>
      </c>
      <c r="G36">
        <v>0</v>
      </c>
    </row>
    <row r="37" spans="3:7">
      <c r="C37" t="s">
        <v>21</v>
      </c>
      <c r="E37">
        <v>0</v>
      </c>
      <c r="F37">
        <v>0</v>
      </c>
      <c r="G37">
        <v>4.5999999999999999E-2</v>
      </c>
    </row>
    <row r="38" spans="3:7">
      <c r="C38" t="s">
        <v>22</v>
      </c>
      <c r="E38">
        <v>0.295792</v>
      </c>
      <c r="F38">
        <v>0.35425099999999998</v>
      </c>
      <c r="G38">
        <v>0.16070000000000001</v>
      </c>
    </row>
    <row r="39" spans="3:7">
      <c r="C39" t="s">
        <v>23</v>
      </c>
      <c r="E39">
        <v>0.24105499999999999</v>
      </c>
      <c r="F39">
        <v>0.15893099999999999</v>
      </c>
      <c r="G39">
        <v>0.1017</v>
      </c>
    </row>
    <row r="40" spans="3:7">
      <c r="C40" t="s">
        <v>24</v>
      </c>
      <c r="E40">
        <v>0.24105499999999999</v>
      </c>
      <c r="F40">
        <v>0.28468500000000002</v>
      </c>
      <c r="G40">
        <v>0.29749999999999999</v>
      </c>
    </row>
    <row r="41" spans="3:7">
      <c r="C41" t="s">
        <v>25</v>
      </c>
      <c r="E41">
        <v>54.1248</v>
      </c>
      <c r="F41">
        <v>46.918900000000001</v>
      </c>
      <c r="G41">
        <v>59.276000000000003</v>
      </c>
    </row>
    <row r="42" spans="3:7">
      <c r="C42" t="s">
        <v>26</v>
      </c>
      <c r="E42">
        <v>1.22E-4</v>
      </c>
      <c r="F42">
        <v>2.23E-4</v>
      </c>
      <c r="G42">
        <v>0</v>
      </c>
    </row>
    <row r="43" spans="3:7">
      <c r="C43" t="s">
        <v>27</v>
      </c>
      <c r="E43">
        <v>0</v>
      </c>
      <c r="F43">
        <v>2.23E-4</v>
      </c>
      <c r="G43">
        <v>0</v>
      </c>
    </row>
    <row r="44" spans="3:7">
      <c r="C44" t="s">
        <v>28</v>
      </c>
      <c r="E44">
        <v>1.9999999999999999E-6</v>
      </c>
      <c r="F44">
        <v>0</v>
      </c>
      <c r="G44">
        <v>0</v>
      </c>
    </row>
    <row r="45" spans="3:7">
      <c r="C45" t="s">
        <v>29</v>
      </c>
      <c r="E45">
        <v>5.2050000000000004E-3</v>
      </c>
      <c r="F45">
        <v>4.2259999999999997E-3</v>
      </c>
      <c r="G45">
        <v>0</v>
      </c>
    </row>
    <row r="46" spans="3:7">
      <c r="C46" t="s">
        <v>30</v>
      </c>
      <c r="E46">
        <v>0</v>
      </c>
      <c r="F46">
        <v>2.23E-4</v>
      </c>
      <c r="G46">
        <v>0</v>
      </c>
    </row>
    <row r="47" spans="3:7">
      <c r="C47" t="s">
        <v>31</v>
      </c>
      <c r="E47">
        <v>5.2050000000000004E-3</v>
      </c>
      <c r="F47">
        <v>4.2259999999999997E-3</v>
      </c>
      <c r="G47">
        <v>0</v>
      </c>
    </row>
    <row r="48" spans="3:7">
      <c r="C48" t="s">
        <v>32</v>
      </c>
      <c r="E48">
        <v>0</v>
      </c>
      <c r="F48">
        <v>1.8E-5</v>
      </c>
      <c r="G48">
        <v>0</v>
      </c>
    </row>
    <row r="49" spans="3:7">
      <c r="C49" t="s">
        <v>33</v>
      </c>
      <c r="E49">
        <v>0</v>
      </c>
      <c r="F49">
        <v>5.7799999999999995E-4</v>
      </c>
      <c r="G49">
        <v>0</v>
      </c>
    </row>
    <row r="50" spans="3:7">
      <c r="C50" t="s">
        <v>34</v>
      </c>
      <c r="E50">
        <v>0</v>
      </c>
      <c r="F50">
        <v>2.8730000000000001E-3</v>
      </c>
      <c r="G50">
        <v>0</v>
      </c>
    </row>
    <row r="51" spans="3:7">
      <c r="C51" t="s">
        <v>35</v>
      </c>
      <c r="E51">
        <v>0</v>
      </c>
      <c r="F51">
        <v>1.92E-4</v>
      </c>
      <c r="G51">
        <v>0</v>
      </c>
    </row>
    <row r="52" spans="3:7">
      <c r="C52" t="s">
        <v>36</v>
      </c>
      <c r="E52">
        <v>0</v>
      </c>
      <c r="F52">
        <v>1.3090000000000001E-3</v>
      </c>
      <c r="G52">
        <v>0</v>
      </c>
    </row>
    <row r="53" spans="3:7">
      <c r="C53" t="s">
        <v>37</v>
      </c>
      <c r="E53">
        <v>0</v>
      </c>
      <c r="F53">
        <v>0</v>
      </c>
      <c r="G53">
        <v>4.4699999999999997E-2</v>
      </c>
    </row>
    <row r="54" spans="3:7">
      <c r="C54" t="s">
        <v>38</v>
      </c>
      <c r="E54">
        <v>5.7600000000000001E-4</v>
      </c>
      <c r="F54">
        <v>1.6699999999999999E-4</v>
      </c>
      <c r="G54">
        <v>0</v>
      </c>
    </row>
    <row r="55" spans="3:7">
      <c r="C55" t="s">
        <v>39</v>
      </c>
      <c r="E55">
        <v>2.5000000000000001E-5</v>
      </c>
      <c r="F55">
        <v>2.8170000000000001E-3</v>
      </c>
      <c r="G55">
        <v>0</v>
      </c>
    </row>
    <row r="56" spans="3:7">
      <c r="C56" t="s">
        <v>40</v>
      </c>
      <c r="E56">
        <v>0</v>
      </c>
      <c r="F56">
        <v>4.0999999999999999E-4</v>
      </c>
      <c r="G56">
        <v>0</v>
      </c>
    </row>
    <row r="57" spans="3:7">
      <c r="C57" t="s">
        <v>41</v>
      </c>
      <c r="E57">
        <v>0</v>
      </c>
      <c r="F57">
        <v>2.2599999999999999E-4</v>
      </c>
      <c r="G57">
        <v>0</v>
      </c>
    </row>
    <row r="58" spans="3:7">
      <c r="C58" t="s">
        <v>42</v>
      </c>
      <c r="E58">
        <v>0.13350799999999999</v>
      </c>
      <c r="F58">
        <v>0.15978300000000001</v>
      </c>
      <c r="G58">
        <v>0</v>
      </c>
    </row>
    <row r="59" spans="3:7">
      <c r="C59" t="s">
        <v>43</v>
      </c>
      <c r="E59">
        <v>7.0899999999999999E-4</v>
      </c>
      <c r="F59">
        <v>2.8170000000000001E-3</v>
      </c>
      <c r="G59">
        <v>0</v>
      </c>
    </row>
    <row r="60" spans="3:7">
      <c r="C60" t="s">
        <v>44</v>
      </c>
      <c r="E60">
        <v>9.1579999999999995E-2</v>
      </c>
      <c r="F60">
        <v>5.5652E-2</v>
      </c>
      <c r="G60">
        <v>6.6E-3</v>
      </c>
    </row>
    <row r="61" spans="3:7">
      <c r="C61" t="s">
        <v>45</v>
      </c>
      <c r="E61">
        <v>0</v>
      </c>
      <c r="F61">
        <v>0</v>
      </c>
      <c r="G61">
        <v>3.5999999999999999E-3</v>
      </c>
    </row>
    <row r="62" spans="3:7">
      <c r="C62" t="s">
        <v>46</v>
      </c>
      <c r="E62">
        <v>2.6165999999999998E-2</v>
      </c>
      <c r="F62">
        <v>1.0803999999999999E-2</v>
      </c>
      <c r="G62">
        <v>0</v>
      </c>
    </row>
    <row r="63" spans="3:7">
      <c r="C63" t="s">
        <v>47</v>
      </c>
      <c r="E63">
        <v>0</v>
      </c>
      <c r="F63">
        <v>0</v>
      </c>
      <c r="G63">
        <v>2.3999999999999998E-3</v>
      </c>
    </row>
    <row r="64" spans="3:7">
      <c r="C64" t="s">
        <v>48</v>
      </c>
      <c r="E64">
        <v>2.7016999999999999E-2</v>
      </c>
      <c r="F64">
        <v>1.721E-2</v>
      </c>
      <c r="G64">
        <v>0</v>
      </c>
    </row>
    <row r="65" spans="3:7">
      <c r="C65" t="s">
        <v>49</v>
      </c>
      <c r="E65">
        <v>0</v>
      </c>
      <c r="F65">
        <v>0</v>
      </c>
      <c r="G65">
        <v>2.3999999999999998E-3</v>
      </c>
    </row>
    <row r="66" spans="3:7">
      <c r="C66" t="s">
        <v>50</v>
      </c>
      <c r="E66">
        <v>2.7016999999999999E-2</v>
      </c>
      <c r="F66">
        <v>1.7423000000000001E-2</v>
      </c>
      <c r="G66">
        <v>0</v>
      </c>
    </row>
    <row r="67" spans="3:7">
      <c r="C67" t="s">
        <v>51</v>
      </c>
      <c r="E67">
        <v>0</v>
      </c>
      <c r="F67">
        <v>0</v>
      </c>
      <c r="G67">
        <v>3.5999999999999999E-3</v>
      </c>
    </row>
    <row r="68" spans="3:7">
      <c r="C68" t="s">
        <v>52</v>
      </c>
      <c r="E68">
        <v>2.6165999999999998E-2</v>
      </c>
      <c r="F68">
        <v>1.0854000000000001E-2</v>
      </c>
      <c r="G68">
        <v>0</v>
      </c>
    </row>
    <row r="69" spans="3:7">
      <c r="C69" t="s">
        <v>53</v>
      </c>
      <c r="E69">
        <v>0</v>
      </c>
      <c r="F69">
        <v>0</v>
      </c>
      <c r="G69">
        <v>6.9999999999999999E-4</v>
      </c>
    </row>
    <row r="70" spans="3:7">
      <c r="C70" t="s">
        <v>54</v>
      </c>
      <c r="E70">
        <v>2.23E-4</v>
      </c>
      <c r="F70">
        <v>2.23E-4</v>
      </c>
      <c r="G70">
        <v>0</v>
      </c>
    </row>
    <row r="71" spans="3:7">
      <c r="C71" t="s">
        <v>55</v>
      </c>
      <c r="E71">
        <v>6.7149999999999996E-3</v>
      </c>
      <c r="F71">
        <v>6.3400000000000001E-3</v>
      </c>
      <c r="G71">
        <v>0</v>
      </c>
    </row>
    <row r="72" spans="3:7">
      <c r="C72" t="s">
        <v>56</v>
      </c>
      <c r="E72">
        <v>7.8079999999999998E-3</v>
      </c>
      <c r="F72">
        <v>6.3400000000000001E-3</v>
      </c>
      <c r="G72">
        <v>0</v>
      </c>
    </row>
    <row r="73" spans="3:7">
      <c r="C73" t="s">
        <v>57</v>
      </c>
      <c r="E73">
        <v>0.26316000000000001</v>
      </c>
      <c r="F73">
        <v>0.25150699999999998</v>
      </c>
      <c r="G73">
        <v>0.10539999999999999</v>
      </c>
    </row>
    <row r="74" spans="3:7">
      <c r="C74" t="s">
        <v>58</v>
      </c>
      <c r="E74">
        <v>0.26316000000000001</v>
      </c>
      <c r="F74">
        <v>0.30180899999999999</v>
      </c>
      <c r="G74">
        <v>0.30180000000000001</v>
      </c>
    </row>
    <row r="75" spans="3:7">
      <c r="C75" t="s">
        <v>59</v>
      </c>
      <c r="E75">
        <v>0.61263800000000002</v>
      </c>
      <c r="F75">
        <v>0.431309</v>
      </c>
      <c r="G75">
        <v>0.29039999999999999</v>
      </c>
    </row>
    <row r="76" spans="3:7">
      <c r="C76" t="s">
        <v>60</v>
      </c>
      <c r="E76">
        <v>0</v>
      </c>
      <c r="F76">
        <v>0</v>
      </c>
      <c r="G76">
        <v>0.51849999999999996</v>
      </c>
    </row>
    <row r="77" spans="3:7">
      <c r="C77" t="s">
        <v>61</v>
      </c>
      <c r="E77">
        <v>0</v>
      </c>
      <c r="F77">
        <v>0</v>
      </c>
      <c r="G77">
        <v>4.5999999999999999E-2</v>
      </c>
    </row>
    <row r="78" spans="3:7">
      <c r="C78" t="s">
        <v>62</v>
      </c>
      <c r="E78">
        <v>0</v>
      </c>
      <c r="F78">
        <v>2.23E-4</v>
      </c>
      <c r="G78">
        <v>0</v>
      </c>
    </row>
    <row r="79" spans="3:7">
      <c r="C79" t="s">
        <v>63</v>
      </c>
      <c r="E79">
        <v>0.21509600000000001</v>
      </c>
      <c r="F79">
        <v>0.210704</v>
      </c>
      <c r="G79">
        <v>0</v>
      </c>
    </row>
    <row r="80" spans="3:7">
      <c r="C80" t="s">
        <v>64</v>
      </c>
      <c r="E80">
        <v>48.601500000000001</v>
      </c>
      <c r="F80">
        <v>41.397399999999998</v>
      </c>
      <c r="G80">
        <v>59.276000000000003</v>
      </c>
    </row>
    <row r="81" spans="3:7">
      <c r="C81" t="s">
        <v>65</v>
      </c>
      <c r="E81">
        <v>9.4738000000000003E-2</v>
      </c>
      <c r="F81">
        <v>0.12628900000000001</v>
      </c>
      <c r="G81">
        <v>6.6299999999999998E-2</v>
      </c>
    </row>
    <row r="82" spans="3:7">
      <c r="C82" t="s">
        <v>66</v>
      </c>
      <c r="E82">
        <v>0.29052899999999998</v>
      </c>
      <c r="F82">
        <v>0.24455099999999999</v>
      </c>
      <c r="G82">
        <v>0.19270000000000001</v>
      </c>
    </row>
    <row r="83" spans="3:7">
      <c r="C83" t="s">
        <v>67</v>
      </c>
      <c r="E83">
        <v>0.19519300000000001</v>
      </c>
      <c r="F83">
        <v>0.15850900000000001</v>
      </c>
      <c r="G83">
        <v>0</v>
      </c>
    </row>
    <row r="84" spans="3:7">
      <c r="C84" t="s">
        <v>68</v>
      </c>
      <c r="E84">
        <v>1.9456000000000001E-2</v>
      </c>
      <c r="F84">
        <v>0</v>
      </c>
      <c r="G84">
        <v>0</v>
      </c>
    </row>
    <row r="85" spans="3:7">
      <c r="C85" t="s">
        <v>69</v>
      </c>
      <c r="E85">
        <v>0.45053100000000001</v>
      </c>
      <c r="F85">
        <v>0.62876900000000002</v>
      </c>
      <c r="G85">
        <v>0.2964</v>
      </c>
    </row>
    <row r="86" spans="3:7">
      <c r="C86" t="s">
        <v>70</v>
      </c>
      <c r="E86">
        <v>0</v>
      </c>
      <c r="F86">
        <v>2.23E-4</v>
      </c>
      <c r="G86">
        <v>0</v>
      </c>
    </row>
    <row r="87" spans="3:7">
      <c r="C87" t="s">
        <v>71</v>
      </c>
      <c r="E87">
        <v>0</v>
      </c>
      <c r="F87">
        <v>8.6960000000000006E-3</v>
      </c>
      <c r="G87">
        <v>0</v>
      </c>
    </row>
    <row r="88" spans="3:7">
      <c r="C88" t="s">
        <v>72</v>
      </c>
      <c r="E88">
        <v>0.34316099999999999</v>
      </c>
      <c r="F88">
        <v>0.180336</v>
      </c>
      <c r="G88">
        <v>0.28620000000000001</v>
      </c>
    </row>
    <row r="89" spans="3:7">
      <c r="C89" t="s">
        <v>73</v>
      </c>
      <c r="E89">
        <v>0</v>
      </c>
      <c r="F89">
        <v>3.1000000000000001E-5</v>
      </c>
      <c r="G89">
        <v>0</v>
      </c>
    </row>
    <row r="90" spans="3:7">
      <c r="C90" t="s">
        <v>74</v>
      </c>
      <c r="E90">
        <v>0</v>
      </c>
      <c r="F90">
        <v>0</v>
      </c>
      <c r="G90">
        <v>0.80789999999999995</v>
      </c>
    </row>
    <row r="91" spans="3:7">
      <c r="C91" t="s">
        <v>75</v>
      </c>
      <c r="E91">
        <v>0.15368599999999999</v>
      </c>
      <c r="F91">
        <v>0.12200800000000001</v>
      </c>
      <c r="G91">
        <v>5.0700000000000002E-2</v>
      </c>
    </row>
    <row r="92" spans="3:7">
      <c r="C92" t="s">
        <v>76</v>
      </c>
      <c r="E92">
        <v>8.6750000000000004E-3</v>
      </c>
      <c r="F92">
        <v>7.0439999999999999E-3</v>
      </c>
      <c r="G92">
        <v>0</v>
      </c>
    </row>
    <row r="93" spans="3:7">
      <c r="C93" t="s">
        <v>77</v>
      </c>
      <c r="E93">
        <v>2.23E-4</v>
      </c>
      <c r="F93">
        <v>2.23E-4</v>
      </c>
      <c r="G93">
        <v>0</v>
      </c>
    </row>
    <row r="94" spans="3:7">
      <c r="C94" t="s">
        <v>78</v>
      </c>
      <c r="E94">
        <v>6.9099999999999999E-4</v>
      </c>
      <c r="F94">
        <v>2.8170000000000001E-3</v>
      </c>
      <c r="G94">
        <v>0</v>
      </c>
    </row>
    <row r="95" spans="3:7">
      <c r="C95" t="s">
        <v>79</v>
      </c>
      <c r="E95">
        <v>6.9999999999999999E-6</v>
      </c>
      <c r="F95">
        <v>2.8170000000000001E-3</v>
      </c>
      <c r="G95">
        <v>0</v>
      </c>
    </row>
    <row r="96" spans="3:7">
      <c r="C96" t="s">
        <v>80</v>
      </c>
      <c r="E96">
        <v>0</v>
      </c>
      <c r="F96">
        <v>1.9789999999999999E-3</v>
      </c>
      <c r="G96">
        <v>0</v>
      </c>
    </row>
    <row r="97" spans="3:7">
      <c r="C97" t="s">
        <v>81</v>
      </c>
      <c r="E97">
        <v>0</v>
      </c>
      <c r="F97">
        <v>3.2600000000000001E-4</v>
      </c>
      <c r="G97">
        <v>0</v>
      </c>
    </row>
    <row r="98" spans="3:7">
      <c r="C98" t="s">
        <v>82</v>
      </c>
      <c r="E98">
        <v>0</v>
      </c>
      <c r="F98">
        <v>7.9170000000000004E-3</v>
      </c>
      <c r="G98">
        <v>0</v>
      </c>
    </row>
    <row r="99" spans="3:7">
      <c r="C99" t="s">
        <v>83</v>
      </c>
      <c r="E99">
        <v>0</v>
      </c>
      <c r="F99">
        <v>2.941E-3</v>
      </c>
      <c r="G99">
        <v>0</v>
      </c>
    </row>
    <row r="100" spans="3:7">
      <c r="C100" t="s">
        <v>84</v>
      </c>
      <c r="E100">
        <v>0</v>
      </c>
      <c r="F100">
        <v>6.6000000000000005E-5</v>
      </c>
      <c r="G100">
        <v>0</v>
      </c>
    </row>
    <row r="101" spans="3:7">
      <c r="C101" t="s">
        <v>85</v>
      </c>
      <c r="E101">
        <v>1.3894E-2</v>
      </c>
      <c r="F101">
        <v>0</v>
      </c>
      <c r="G101">
        <v>0</v>
      </c>
    </row>
    <row r="102" spans="3:7">
      <c r="C102" t="s">
        <v>86</v>
      </c>
      <c r="E102">
        <v>0</v>
      </c>
      <c r="F102">
        <v>3.522E-3</v>
      </c>
      <c r="G102">
        <v>0</v>
      </c>
    </row>
    <row r="103" spans="3:7">
      <c r="C103" t="s">
        <v>87</v>
      </c>
      <c r="E103">
        <v>1.8309999999999999E-3</v>
      </c>
      <c r="F103">
        <v>1.786E-3</v>
      </c>
      <c r="G103">
        <v>0</v>
      </c>
    </row>
    <row r="104" spans="3:7">
      <c r="C104" t="s">
        <v>88</v>
      </c>
      <c r="E104">
        <v>0</v>
      </c>
      <c r="F104">
        <v>4.3999999999999999E-5</v>
      </c>
      <c r="G104">
        <v>0</v>
      </c>
    </row>
    <row r="105" spans="3:7">
      <c r="C105" t="s">
        <v>89</v>
      </c>
      <c r="E105">
        <v>4.4700000000000002E-4</v>
      </c>
      <c r="F105">
        <v>1.11E-4</v>
      </c>
      <c r="G105">
        <v>0</v>
      </c>
    </row>
    <row r="106" spans="3:7">
      <c r="C106" t="s">
        <v>90</v>
      </c>
      <c r="E106">
        <v>0</v>
      </c>
      <c r="F106">
        <v>3.3500000000000001E-4</v>
      </c>
      <c r="G106">
        <v>0</v>
      </c>
    </row>
    <row r="107" spans="3:7">
      <c r="C107" t="s">
        <v>91</v>
      </c>
      <c r="E107">
        <v>1.3013E-2</v>
      </c>
      <c r="F107">
        <v>1.0567E-2</v>
      </c>
      <c r="G107">
        <v>0</v>
      </c>
    </row>
    <row r="108" spans="3:7">
      <c r="C108" t="s">
        <v>92</v>
      </c>
      <c r="E108">
        <v>3.2299999999999999E-4</v>
      </c>
      <c r="F108">
        <v>2.8170000000000001E-3</v>
      </c>
      <c r="G108">
        <v>0</v>
      </c>
    </row>
    <row r="109" spans="3:7">
      <c r="C109" t="s">
        <v>93</v>
      </c>
      <c r="E109">
        <v>0</v>
      </c>
      <c r="F109">
        <v>0</v>
      </c>
      <c r="G109">
        <v>6.0000000000000002E-6</v>
      </c>
    </row>
    <row r="110" spans="3:7">
      <c r="C110" t="s">
        <v>94</v>
      </c>
      <c r="E110">
        <v>0</v>
      </c>
      <c r="F110">
        <v>0</v>
      </c>
      <c r="G110">
        <v>6.0000000000000002E-5</v>
      </c>
    </row>
    <row r="111" spans="3:7">
      <c r="C111" t="s">
        <v>95</v>
      </c>
      <c r="E111">
        <v>0</v>
      </c>
      <c r="F111">
        <v>0</v>
      </c>
      <c r="G111">
        <v>4.5000000000000003E-5</v>
      </c>
    </row>
    <row r="112" spans="3:7">
      <c r="C112" t="s">
        <v>96</v>
      </c>
      <c r="E112">
        <v>0</v>
      </c>
      <c r="F112">
        <v>2.5099999999999998E-4</v>
      </c>
      <c r="G112">
        <v>0</v>
      </c>
    </row>
    <row r="113" spans="3:7">
      <c r="C113" t="s">
        <v>97</v>
      </c>
      <c r="E113">
        <v>1.7867999999999998E-2</v>
      </c>
      <c r="F113">
        <v>7.8820000000000001E-3</v>
      </c>
      <c r="G113">
        <v>0</v>
      </c>
    </row>
    <row r="114" spans="3:7">
      <c r="C114" t="s">
        <v>98</v>
      </c>
      <c r="E114">
        <v>4.5946000000000001E-2</v>
      </c>
      <c r="F114">
        <v>0</v>
      </c>
      <c r="G114">
        <v>0</v>
      </c>
    </row>
    <row r="115" spans="3:7">
      <c r="C115" t="s">
        <v>99</v>
      </c>
      <c r="E115">
        <v>5.4154000000000001E-2</v>
      </c>
      <c r="F115">
        <v>3.9155000000000002E-2</v>
      </c>
      <c r="G115">
        <v>0</v>
      </c>
    </row>
    <row r="116" spans="3:7">
      <c r="C116" t="s">
        <v>100</v>
      </c>
      <c r="E116">
        <v>2.1059999999999999E-2</v>
      </c>
      <c r="F116">
        <v>0</v>
      </c>
      <c r="G116">
        <v>0</v>
      </c>
    </row>
    <row r="117" spans="3:7">
      <c r="C117" t="s">
        <v>101</v>
      </c>
      <c r="E117">
        <v>0</v>
      </c>
      <c r="F117">
        <v>2.6220000000000002E-3</v>
      </c>
      <c r="G117">
        <v>0</v>
      </c>
    </row>
    <row r="118" spans="3:7">
      <c r="C118" t="s">
        <v>102</v>
      </c>
      <c r="E118">
        <v>0</v>
      </c>
      <c r="F118">
        <v>1.7845E-2</v>
      </c>
      <c r="G118">
        <v>0</v>
      </c>
    </row>
    <row r="119" spans="3:7">
      <c r="C119" t="s">
        <v>103</v>
      </c>
      <c r="E119">
        <v>0</v>
      </c>
      <c r="F119">
        <v>1.3799999999999999E-4</v>
      </c>
      <c r="G119">
        <v>0</v>
      </c>
    </row>
    <row r="120" spans="3:7">
      <c r="C120" t="s">
        <v>104</v>
      </c>
      <c r="E120">
        <v>0</v>
      </c>
      <c r="F120">
        <v>4.3540000000000002E-3</v>
      </c>
      <c r="G120">
        <v>0</v>
      </c>
    </row>
    <row r="121" spans="3:7">
      <c r="C121" t="s">
        <v>105</v>
      </c>
      <c r="E121">
        <v>0</v>
      </c>
      <c r="F121">
        <v>2.1631999999999998E-2</v>
      </c>
      <c r="G121">
        <v>0</v>
      </c>
    </row>
    <row r="122" spans="3:7">
      <c r="C122" t="s">
        <v>106</v>
      </c>
      <c r="E122">
        <v>0</v>
      </c>
      <c r="F122">
        <v>1.449E-3</v>
      </c>
      <c r="G122">
        <v>0</v>
      </c>
    </row>
    <row r="123" spans="3:7">
      <c r="C123" t="s">
        <v>107</v>
      </c>
      <c r="E123">
        <v>0</v>
      </c>
      <c r="F123">
        <v>9.8589999999999997E-3</v>
      </c>
      <c r="G123">
        <v>0</v>
      </c>
    </row>
    <row r="124" spans="3:7">
      <c r="C124" t="s">
        <v>108</v>
      </c>
      <c r="E124">
        <v>0.18526500000000001</v>
      </c>
      <c r="F124">
        <v>0.19103800000000001</v>
      </c>
      <c r="G124">
        <v>0.13389999999999999</v>
      </c>
    </row>
    <row r="125" spans="3:7">
      <c r="C125" t="s">
        <v>109</v>
      </c>
      <c r="E125">
        <v>2.23E-4</v>
      </c>
      <c r="F125">
        <v>2.23E-4</v>
      </c>
      <c r="G125">
        <v>0</v>
      </c>
    </row>
    <row r="126" spans="3:7">
      <c r="C126" t="s">
        <v>110</v>
      </c>
      <c r="E126">
        <v>0</v>
      </c>
      <c r="F126">
        <v>2.23E-4</v>
      </c>
      <c r="G126">
        <v>0</v>
      </c>
    </row>
    <row r="127" spans="3:7">
      <c r="C127" t="s">
        <v>111</v>
      </c>
      <c r="E127">
        <v>0.221055</v>
      </c>
      <c r="F127">
        <v>0.26328000000000001</v>
      </c>
      <c r="G127">
        <v>0.16470000000000001</v>
      </c>
    </row>
    <row r="128" spans="3:7">
      <c r="C128" t="s">
        <v>112</v>
      </c>
      <c r="E128">
        <v>0</v>
      </c>
      <c r="F128">
        <v>0</v>
      </c>
      <c r="G128">
        <v>1.7E-5</v>
      </c>
    </row>
    <row r="129" spans="3:7">
      <c r="C129" t="s">
        <v>113</v>
      </c>
      <c r="E129">
        <v>0</v>
      </c>
      <c r="F129">
        <v>0</v>
      </c>
      <c r="G129">
        <v>5.3000000000000001E-5</v>
      </c>
    </row>
    <row r="130" spans="3:7">
      <c r="C130" t="s">
        <v>114</v>
      </c>
      <c r="E130">
        <v>0</v>
      </c>
      <c r="F130">
        <v>3.3270000000000001E-2</v>
      </c>
      <c r="G130">
        <v>0</v>
      </c>
    </row>
    <row r="131" spans="3:7">
      <c r="C131" t="s">
        <v>115</v>
      </c>
      <c r="E131">
        <v>2.23E-4</v>
      </c>
      <c r="F131">
        <v>2.23E-4</v>
      </c>
      <c r="G131">
        <v>0</v>
      </c>
    </row>
    <row r="132" spans="3:7">
      <c r="C132" t="s">
        <v>116</v>
      </c>
      <c r="E132">
        <v>0</v>
      </c>
      <c r="F132">
        <v>2.23E-4</v>
      </c>
      <c r="G132">
        <v>0</v>
      </c>
    </row>
    <row r="133" spans="3:7">
      <c r="C133" t="s">
        <v>117</v>
      </c>
      <c r="E133">
        <v>0</v>
      </c>
      <c r="F133">
        <v>2.23E-4</v>
      </c>
      <c r="G133">
        <v>0</v>
      </c>
    </row>
    <row r="134" spans="3:7">
      <c r="C134" t="s">
        <v>118</v>
      </c>
      <c r="E134">
        <v>2.23E-4</v>
      </c>
      <c r="F134">
        <v>2.23E-4</v>
      </c>
      <c r="G134">
        <v>9.8999999999999999E-4</v>
      </c>
    </row>
    <row r="135" spans="3:7">
      <c r="C135" t="s">
        <v>119</v>
      </c>
      <c r="E135">
        <v>0.21579200000000001</v>
      </c>
      <c r="F135">
        <v>0.30127399999999999</v>
      </c>
      <c r="G135">
        <v>0.18540000000000001</v>
      </c>
    </row>
    <row r="136" spans="3:7">
      <c r="C136" t="s">
        <v>120</v>
      </c>
      <c r="E136">
        <v>2.23E-4</v>
      </c>
      <c r="F136">
        <v>2.23E-4</v>
      </c>
      <c r="G136">
        <v>0</v>
      </c>
    </row>
    <row r="137" spans="3:7">
      <c r="C137" t="s">
        <v>121</v>
      </c>
      <c r="E137">
        <v>4.3379999999999998E-3</v>
      </c>
      <c r="F137">
        <v>3.522E-3</v>
      </c>
      <c r="G137">
        <v>0.02</v>
      </c>
    </row>
    <row r="138" spans="3:7">
      <c r="C138" t="s">
        <v>122</v>
      </c>
      <c r="E138">
        <v>0</v>
      </c>
      <c r="F138">
        <v>9.7999999999999997E-5</v>
      </c>
      <c r="G138">
        <v>0</v>
      </c>
    </row>
    <row r="139" spans="3:7">
      <c r="C139" t="s">
        <v>123</v>
      </c>
      <c r="E139">
        <v>2.23E-4</v>
      </c>
      <c r="F139">
        <v>2.23E-4</v>
      </c>
      <c r="G139">
        <v>0</v>
      </c>
    </row>
    <row r="140" spans="3:7">
      <c r="C140" t="s">
        <v>124</v>
      </c>
      <c r="E140">
        <v>0</v>
      </c>
      <c r="F140">
        <v>2.23E-4</v>
      </c>
      <c r="G140">
        <v>0</v>
      </c>
    </row>
    <row r="141" spans="3:7">
      <c r="C141" t="s">
        <v>125</v>
      </c>
      <c r="E141">
        <v>2.23E-4</v>
      </c>
      <c r="F141">
        <v>2.23E-4</v>
      </c>
      <c r="G141">
        <v>0</v>
      </c>
    </row>
    <row r="142" spans="3:7">
      <c r="C142" t="s">
        <v>126</v>
      </c>
      <c r="E142">
        <v>0.253687</v>
      </c>
      <c r="F142">
        <v>0.256324</v>
      </c>
      <c r="G142">
        <v>0.19139999999999999</v>
      </c>
    </row>
    <row r="143" spans="3:7">
      <c r="C143" t="s">
        <v>127</v>
      </c>
      <c r="E143">
        <v>0</v>
      </c>
      <c r="F143">
        <v>0</v>
      </c>
      <c r="G143">
        <v>2.3400000000000001E-2</v>
      </c>
    </row>
    <row r="144" spans="3:7">
      <c r="C144" t="s">
        <v>128</v>
      </c>
      <c r="E144">
        <v>0</v>
      </c>
      <c r="F144">
        <v>0</v>
      </c>
      <c r="G144">
        <v>6.6000000000000005E-5</v>
      </c>
    </row>
    <row r="145" spans="3:7">
      <c r="C145" t="s">
        <v>129</v>
      </c>
      <c r="E145">
        <v>5.6842999999999998E-2</v>
      </c>
      <c r="F145">
        <v>7.7591999999999994E-2</v>
      </c>
      <c r="G145">
        <v>2.8400000000000002E-2</v>
      </c>
    </row>
    <row r="146" spans="3:7">
      <c r="C146" t="s">
        <v>130</v>
      </c>
      <c r="E146">
        <v>0.13789599999999999</v>
      </c>
      <c r="F146">
        <v>0.13592099999999999</v>
      </c>
      <c r="G146">
        <v>0.10199999999999999</v>
      </c>
    </row>
    <row r="147" spans="3:7">
      <c r="C147" t="s">
        <v>131</v>
      </c>
      <c r="E147">
        <v>5.5000000000000002E-5</v>
      </c>
      <c r="F147">
        <v>5.5000000000000002E-5</v>
      </c>
      <c r="G147">
        <v>0</v>
      </c>
    </row>
    <row r="148" spans="3:7">
      <c r="C148" t="s">
        <v>132</v>
      </c>
      <c r="E148">
        <v>0</v>
      </c>
      <c r="F148">
        <v>0</v>
      </c>
      <c r="G148">
        <v>5.9900000000000002E-2</v>
      </c>
    </row>
    <row r="149" spans="3:7">
      <c r="C149" t="s">
        <v>133</v>
      </c>
      <c r="E149">
        <v>0.14410400000000001</v>
      </c>
      <c r="F149">
        <v>0.14321500000000001</v>
      </c>
      <c r="G149">
        <v>0</v>
      </c>
    </row>
    <row r="150" spans="3:7">
      <c r="C150" t="s">
        <v>134</v>
      </c>
      <c r="E150">
        <v>0.48316199999999998</v>
      </c>
      <c r="F150">
        <v>0.38903399999999999</v>
      </c>
      <c r="G150">
        <v>0.2646</v>
      </c>
    </row>
    <row r="151" spans="3:7">
      <c r="C151" t="s">
        <v>135</v>
      </c>
      <c r="E151">
        <v>3.4099999999999999E-4</v>
      </c>
      <c r="F151">
        <v>2.8170000000000001E-3</v>
      </c>
      <c r="G151">
        <v>0</v>
      </c>
    </row>
    <row r="152" spans="3:7">
      <c r="C152" t="s">
        <v>136</v>
      </c>
      <c r="E152">
        <v>0</v>
      </c>
      <c r="F152">
        <v>0</v>
      </c>
      <c r="G152">
        <v>1.5E-3</v>
      </c>
    </row>
    <row r="153" spans="3:7">
      <c r="C153" s="221" t="s">
        <v>137</v>
      </c>
      <c r="D153" s="221"/>
      <c r="E153" s="221">
        <v>53.95</v>
      </c>
      <c r="F153" s="221">
        <v>46.7502</v>
      </c>
      <c r="G153" s="221">
        <v>59.276000000000003</v>
      </c>
    </row>
    <row r="154" spans="3:7">
      <c r="C154" s="221" t="s">
        <v>138</v>
      </c>
      <c r="D154" s="221"/>
      <c r="E154" s="221">
        <v>53.95</v>
      </c>
      <c r="F154" s="221">
        <v>46.7502</v>
      </c>
      <c r="G154" s="221">
        <v>58.7</v>
      </c>
    </row>
    <row r="155" spans="3:7">
      <c r="C155" s="221" t="s">
        <v>139</v>
      </c>
      <c r="D155" s="221"/>
      <c r="E155" s="221">
        <v>53.945700000000002</v>
      </c>
      <c r="F155" s="221">
        <v>46.746699999999997</v>
      </c>
      <c r="G155" s="221">
        <v>59.305</v>
      </c>
    </row>
    <row r="156" spans="3:7">
      <c r="C156" s="221" t="s">
        <v>140</v>
      </c>
      <c r="D156" s="221"/>
      <c r="E156" s="221">
        <v>0.77390300000000001</v>
      </c>
      <c r="F156" s="221">
        <v>0.73868</v>
      </c>
      <c r="G156" s="221">
        <v>0</v>
      </c>
    </row>
    <row r="158" spans="3:7">
      <c r="C158" s="221" t="s">
        <v>141</v>
      </c>
      <c r="D158">
        <v>27</v>
      </c>
    </row>
    <row r="159" spans="3:7">
      <c r="C159" s="221" t="s">
        <v>142</v>
      </c>
      <c r="D159">
        <f>66-27</f>
        <v>39</v>
      </c>
    </row>
    <row r="160" spans="3:7">
      <c r="C160" s="221" t="s">
        <v>143</v>
      </c>
      <c r="D160">
        <v>0</v>
      </c>
    </row>
    <row r="161" spans="3:6">
      <c r="C161" s="221" t="s">
        <v>144</v>
      </c>
      <c r="D161">
        <v>0</v>
      </c>
    </row>
    <row r="162" spans="3:6">
      <c r="C162" s="221" t="s">
        <v>145</v>
      </c>
      <c r="D162">
        <v>6</v>
      </c>
      <c r="F162">
        <f>D162+D159+D158</f>
        <v>72</v>
      </c>
    </row>
    <row r="163" spans="3:6">
      <c r="C163" s="221" t="s">
        <v>146</v>
      </c>
      <c r="D163">
        <v>38</v>
      </c>
      <c r="F163">
        <f>D163+D159+D158</f>
        <v>104</v>
      </c>
    </row>
    <row r="164" spans="3:6">
      <c r="C164" s="221" t="s">
        <v>147</v>
      </c>
      <c r="D164">
        <v>20</v>
      </c>
      <c r="F164">
        <f>D164+D158</f>
        <v>47</v>
      </c>
    </row>
    <row r="166" spans="3:6">
      <c r="C166" s="221" t="s">
        <v>148</v>
      </c>
      <c r="D166">
        <f>SUM(D158:D164)</f>
        <v>130</v>
      </c>
    </row>
  </sheetData>
  <autoFilter ref="C26:G156" xr:uid="{716A6F36-C6B5-4250-937A-843A1CB09176}">
    <sortState xmlns:xlrd2="http://schemas.microsoft.com/office/spreadsheetml/2017/richdata2" ref="C27:G156">
      <sortCondition sortBy="cellColor" ref="C26:C156" dxfId="0"/>
    </sortState>
  </autoFilter>
  <mergeCells count="3">
    <mergeCell ref="C9:Q19"/>
    <mergeCell ref="C2:Q8"/>
    <mergeCell ref="C20:Q24"/>
  </mergeCells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53DE-FC79-407D-88C8-C3620F0D2519}">
  <dimension ref="A1:D26"/>
  <sheetViews>
    <sheetView workbookViewId="0">
      <selection activeCell="A6" sqref="A6"/>
    </sheetView>
  </sheetViews>
  <sheetFormatPr defaultColWidth="11.42578125" defaultRowHeight="15"/>
  <cols>
    <col min="1" max="1" width="20.85546875" bestFit="1" customWidth="1"/>
    <col min="2" max="2" width="23.7109375" bestFit="1" customWidth="1"/>
    <col min="3" max="3" width="26.5703125" bestFit="1" customWidth="1"/>
    <col min="4" max="4" width="29.28515625" bestFit="1" customWidth="1"/>
    <col min="5" max="9" width="9" bestFit="1" customWidth="1"/>
    <col min="10" max="10" width="8" bestFit="1" customWidth="1"/>
    <col min="11" max="26" width="9" bestFit="1" customWidth="1"/>
    <col min="27" max="27" width="8" bestFit="1" customWidth="1"/>
    <col min="28" max="32" width="9" bestFit="1" customWidth="1"/>
    <col min="33" max="33" width="8" bestFit="1" customWidth="1"/>
    <col min="34" max="45" width="9" bestFit="1" customWidth="1"/>
    <col min="46" max="46" width="8" bestFit="1" customWidth="1"/>
    <col min="47" max="54" width="9" bestFit="1" customWidth="1"/>
    <col min="55" max="58" width="8" bestFit="1" customWidth="1"/>
    <col min="59" max="59" width="11.85546875" bestFit="1" customWidth="1"/>
  </cols>
  <sheetData>
    <row r="1" spans="1:4">
      <c r="A1" s="331" t="s">
        <v>8</v>
      </c>
      <c r="B1" s="332">
        <v>0</v>
      </c>
    </row>
    <row r="2" spans="1:4">
      <c r="A2" s="331" t="s">
        <v>9</v>
      </c>
      <c r="B2" s="332">
        <v>0</v>
      </c>
    </row>
    <row r="3" spans="1:4">
      <c r="A3" s="331" t="s">
        <v>10</v>
      </c>
      <c r="B3" t="s">
        <v>149</v>
      </c>
    </row>
    <row r="5" spans="1:4">
      <c r="A5" s="331" t="s">
        <v>150</v>
      </c>
      <c r="B5" t="s">
        <v>151</v>
      </c>
      <c r="C5" t="s">
        <v>152</v>
      </c>
      <c r="D5" t="s">
        <v>153</v>
      </c>
    </row>
    <row r="6" spans="1:4">
      <c r="A6" s="332" t="s">
        <v>12</v>
      </c>
      <c r="B6">
        <v>0</v>
      </c>
      <c r="C6">
        <v>0</v>
      </c>
      <c r="D6">
        <v>0.1348</v>
      </c>
    </row>
    <row r="7" spans="1:4">
      <c r="A7" s="332" t="s">
        <v>21</v>
      </c>
      <c r="B7">
        <v>0</v>
      </c>
      <c r="C7">
        <v>0</v>
      </c>
      <c r="D7">
        <v>4.5999999999999999E-2</v>
      </c>
    </row>
    <row r="8" spans="1:4">
      <c r="A8" s="332" t="s">
        <v>37</v>
      </c>
      <c r="B8">
        <v>0</v>
      </c>
      <c r="C8">
        <v>0</v>
      </c>
      <c r="D8">
        <v>4.4699999999999997E-2</v>
      </c>
    </row>
    <row r="9" spans="1:4">
      <c r="A9" s="332" t="s">
        <v>45</v>
      </c>
      <c r="B9">
        <v>0</v>
      </c>
      <c r="C9">
        <v>0</v>
      </c>
      <c r="D9">
        <v>3.5999999999999999E-3</v>
      </c>
    </row>
    <row r="10" spans="1:4">
      <c r="A10" s="332" t="s">
        <v>47</v>
      </c>
      <c r="B10">
        <v>0</v>
      </c>
      <c r="C10">
        <v>0</v>
      </c>
      <c r="D10">
        <v>2.3999999999999998E-3</v>
      </c>
    </row>
    <row r="11" spans="1:4">
      <c r="A11" s="332" t="s">
        <v>49</v>
      </c>
      <c r="B11">
        <v>0</v>
      </c>
      <c r="C11">
        <v>0</v>
      </c>
      <c r="D11">
        <v>2.3999999999999998E-3</v>
      </c>
    </row>
    <row r="12" spans="1:4">
      <c r="A12" s="332" t="s">
        <v>51</v>
      </c>
      <c r="B12">
        <v>0</v>
      </c>
      <c r="C12">
        <v>0</v>
      </c>
      <c r="D12">
        <v>3.5999999999999999E-3</v>
      </c>
    </row>
    <row r="13" spans="1:4">
      <c r="A13" s="332" t="s">
        <v>53</v>
      </c>
      <c r="B13">
        <v>0</v>
      </c>
      <c r="C13">
        <v>0</v>
      </c>
      <c r="D13">
        <v>6.9999999999999999E-4</v>
      </c>
    </row>
    <row r="14" spans="1:4">
      <c r="A14" s="332" t="s">
        <v>60</v>
      </c>
      <c r="B14">
        <v>0</v>
      </c>
      <c r="C14">
        <v>0</v>
      </c>
      <c r="D14">
        <v>0.51849999999999996</v>
      </c>
    </row>
    <row r="15" spans="1:4">
      <c r="A15" s="332" t="s">
        <v>61</v>
      </c>
      <c r="B15">
        <v>0</v>
      </c>
      <c r="C15">
        <v>0</v>
      </c>
      <c r="D15">
        <v>4.5999999999999999E-2</v>
      </c>
    </row>
    <row r="16" spans="1:4">
      <c r="A16" s="332" t="s">
        <v>74</v>
      </c>
      <c r="B16">
        <v>0</v>
      </c>
      <c r="C16">
        <v>0</v>
      </c>
      <c r="D16">
        <v>0.80789999999999995</v>
      </c>
    </row>
    <row r="17" spans="1:4">
      <c r="A17" s="332" t="s">
        <v>93</v>
      </c>
      <c r="B17">
        <v>0</v>
      </c>
      <c r="C17">
        <v>0</v>
      </c>
      <c r="D17">
        <v>6.0000000000000002E-6</v>
      </c>
    </row>
    <row r="18" spans="1:4">
      <c r="A18" s="332" t="s">
        <v>94</v>
      </c>
      <c r="B18">
        <v>0</v>
      </c>
      <c r="C18">
        <v>0</v>
      </c>
      <c r="D18">
        <v>6.0000000000000002E-5</v>
      </c>
    </row>
    <row r="19" spans="1:4">
      <c r="A19" s="332" t="s">
        <v>95</v>
      </c>
      <c r="B19">
        <v>0</v>
      </c>
      <c r="C19">
        <v>0</v>
      </c>
      <c r="D19">
        <v>4.5000000000000003E-5</v>
      </c>
    </row>
    <row r="20" spans="1:4">
      <c r="A20" s="332" t="s">
        <v>112</v>
      </c>
      <c r="B20">
        <v>0</v>
      </c>
      <c r="C20">
        <v>0</v>
      </c>
      <c r="D20">
        <v>1.7E-5</v>
      </c>
    </row>
    <row r="21" spans="1:4">
      <c r="A21" s="332" t="s">
        <v>113</v>
      </c>
      <c r="B21">
        <v>0</v>
      </c>
      <c r="C21">
        <v>0</v>
      </c>
      <c r="D21">
        <v>5.3000000000000001E-5</v>
      </c>
    </row>
    <row r="22" spans="1:4">
      <c r="A22" s="332" t="s">
        <v>127</v>
      </c>
      <c r="B22">
        <v>0</v>
      </c>
      <c r="C22">
        <v>0</v>
      </c>
      <c r="D22">
        <v>2.3400000000000001E-2</v>
      </c>
    </row>
    <row r="23" spans="1:4">
      <c r="A23" s="332" t="s">
        <v>128</v>
      </c>
      <c r="B23">
        <v>0</v>
      </c>
      <c r="C23">
        <v>0</v>
      </c>
      <c r="D23">
        <v>6.6000000000000005E-5</v>
      </c>
    </row>
    <row r="24" spans="1:4">
      <c r="A24" s="332" t="s">
        <v>132</v>
      </c>
      <c r="B24">
        <v>0</v>
      </c>
      <c r="C24">
        <v>0</v>
      </c>
      <c r="D24">
        <v>5.9900000000000002E-2</v>
      </c>
    </row>
    <row r="25" spans="1:4">
      <c r="A25" s="332" t="s">
        <v>136</v>
      </c>
      <c r="B25">
        <v>0</v>
      </c>
      <c r="C25">
        <v>0</v>
      </c>
      <c r="D25">
        <v>1.5E-3</v>
      </c>
    </row>
    <row r="26" spans="1:4">
      <c r="A26" s="332" t="s">
        <v>154</v>
      </c>
      <c r="B26">
        <v>0</v>
      </c>
      <c r="C26">
        <v>0</v>
      </c>
      <c r="D26">
        <v>1.6956469999999999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C4D4-1B86-49BA-9DBE-9C13C37BC4BB}">
  <dimension ref="B1:V86"/>
  <sheetViews>
    <sheetView topLeftCell="A25" workbookViewId="0">
      <selection activeCell="V66" sqref="V66"/>
    </sheetView>
  </sheetViews>
  <sheetFormatPr defaultColWidth="11.42578125" defaultRowHeight="15"/>
  <cols>
    <col min="1" max="1" width="3.42578125" customWidth="1"/>
    <col min="2" max="2" width="17.5703125" bestFit="1" customWidth="1"/>
    <col min="3" max="3" width="125.28515625" bestFit="1" customWidth="1"/>
    <col min="4" max="4" width="6.7109375" customWidth="1"/>
    <col min="5" max="21" width="6" bestFit="1" customWidth="1"/>
  </cols>
  <sheetData>
    <row r="1" spans="2:21" ht="15.75" thickBot="1"/>
    <row r="2" spans="2:21" ht="15.75" thickBot="1">
      <c r="B2" s="420" t="s">
        <v>155</v>
      </c>
      <c r="C2" s="421"/>
    </row>
    <row r="3" spans="2:21" ht="15.75" thickBot="1">
      <c r="B3" s="116" t="s">
        <v>156</v>
      </c>
      <c r="C3" s="120" t="s">
        <v>157</v>
      </c>
      <c r="D3" s="122" t="s">
        <v>158</v>
      </c>
      <c r="E3" s="119" t="s">
        <v>159</v>
      </c>
      <c r="F3" s="119" t="s">
        <v>160</v>
      </c>
      <c r="G3" s="119" t="s">
        <v>161</v>
      </c>
      <c r="H3" s="119" t="s">
        <v>162</v>
      </c>
      <c r="I3" s="119" t="s">
        <v>163</v>
      </c>
      <c r="J3" s="119" t="s">
        <v>164</v>
      </c>
      <c r="K3" s="119" t="s">
        <v>165</v>
      </c>
      <c r="L3" s="119" t="s">
        <v>166</v>
      </c>
      <c r="M3" s="118" t="s">
        <v>167</v>
      </c>
      <c r="N3" s="118" t="s">
        <v>168</v>
      </c>
      <c r="O3" s="118" t="s">
        <v>169</v>
      </c>
      <c r="P3" s="118" t="s">
        <v>170</v>
      </c>
      <c r="Q3" s="118" t="s">
        <v>171</v>
      </c>
      <c r="R3" s="118" t="s">
        <v>172</v>
      </c>
      <c r="S3" s="118" t="s">
        <v>173</v>
      </c>
      <c r="T3" s="118" t="s">
        <v>174</v>
      </c>
      <c r="U3" s="120" t="s">
        <v>175</v>
      </c>
    </row>
    <row r="4" spans="2:21">
      <c r="B4" s="111" t="s">
        <v>176</v>
      </c>
      <c r="C4" s="125" t="s">
        <v>177</v>
      </c>
      <c r="D4" s="123"/>
      <c r="E4" s="113"/>
      <c r="F4" s="113"/>
      <c r="G4" s="113"/>
      <c r="H4" s="113"/>
      <c r="I4" s="113"/>
      <c r="J4" s="113"/>
      <c r="K4" s="113"/>
      <c r="L4" s="113"/>
      <c r="M4" s="114"/>
      <c r="N4" s="113"/>
      <c r="O4" s="113"/>
      <c r="P4" s="113"/>
      <c r="Q4" s="113"/>
      <c r="R4" s="113"/>
      <c r="S4" s="113"/>
      <c r="T4" s="113"/>
      <c r="U4" s="115"/>
    </row>
    <row r="5" spans="2:21">
      <c r="B5" s="103" t="s">
        <v>178</v>
      </c>
      <c r="C5" s="77" t="s">
        <v>179</v>
      </c>
      <c r="D5" s="91"/>
      <c r="E5" s="96"/>
      <c r="F5" s="75"/>
      <c r="G5" s="75"/>
      <c r="H5" s="75"/>
      <c r="I5" s="75"/>
      <c r="J5" s="75"/>
      <c r="K5" s="75"/>
      <c r="L5" s="75"/>
      <c r="M5" s="96"/>
      <c r="N5" s="96"/>
      <c r="O5" s="75"/>
      <c r="P5" s="75"/>
      <c r="Q5" s="75"/>
      <c r="R5" s="75"/>
      <c r="S5" s="75"/>
      <c r="T5" s="75"/>
      <c r="U5" s="77"/>
    </row>
    <row r="6" spans="2:21">
      <c r="B6" s="103" t="s">
        <v>180</v>
      </c>
      <c r="C6" s="201" t="s">
        <v>181</v>
      </c>
      <c r="D6" s="92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3"/>
    </row>
    <row r="7" spans="2:21">
      <c r="B7" s="76" t="s">
        <v>182</v>
      </c>
      <c r="C7" s="201" t="s">
        <v>183</v>
      </c>
      <c r="D7" s="76"/>
      <c r="E7" s="96"/>
      <c r="F7" s="75"/>
      <c r="G7" s="75"/>
      <c r="H7" s="75"/>
      <c r="I7" s="75"/>
      <c r="J7" s="75"/>
      <c r="K7" s="75"/>
      <c r="L7" s="75"/>
      <c r="M7" s="75"/>
      <c r="N7" s="96"/>
      <c r="O7" s="75"/>
      <c r="P7" s="75"/>
      <c r="Q7" s="75"/>
      <c r="R7" s="75"/>
      <c r="S7" s="75"/>
      <c r="T7" s="75"/>
      <c r="U7" s="77"/>
    </row>
    <row r="8" spans="2:21">
      <c r="B8" s="76" t="s">
        <v>178</v>
      </c>
      <c r="C8" s="202" t="s">
        <v>184</v>
      </c>
      <c r="D8" s="76"/>
      <c r="E8" s="75"/>
      <c r="F8" s="96"/>
      <c r="G8" s="75"/>
      <c r="H8" s="75"/>
      <c r="I8" s="75"/>
      <c r="J8" s="75"/>
      <c r="K8" s="75"/>
      <c r="L8" s="75"/>
      <c r="M8" s="75"/>
      <c r="N8" s="75"/>
      <c r="O8" s="96"/>
      <c r="P8" s="75"/>
      <c r="Q8" s="75"/>
      <c r="R8" s="75"/>
      <c r="S8" s="75"/>
      <c r="T8" s="75"/>
      <c r="U8" s="77"/>
    </row>
    <row r="9" spans="2:21">
      <c r="B9" s="76" t="s">
        <v>185</v>
      </c>
      <c r="C9" s="206" t="s">
        <v>186</v>
      </c>
      <c r="D9" s="76"/>
      <c r="E9" s="75"/>
      <c r="F9" s="96"/>
      <c r="G9" s="96"/>
      <c r="H9" s="96"/>
      <c r="I9" s="75"/>
      <c r="J9" s="96"/>
      <c r="K9" s="75"/>
      <c r="L9" s="96"/>
      <c r="M9" s="75"/>
      <c r="N9" s="75"/>
      <c r="O9" s="96"/>
      <c r="P9" s="96"/>
      <c r="Q9" s="96"/>
      <c r="R9" s="75"/>
      <c r="S9" s="96"/>
      <c r="T9" s="75"/>
      <c r="U9" s="95"/>
    </row>
    <row r="10" spans="2:21">
      <c r="B10" s="76" t="s">
        <v>187</v>
      </c>
      <c r="C10" s="201" t="s">
        <v>188</v>
      </c>
      <c r="D10" s="76"/>
      <c r="E10" s="75"/>
      <c r="F10" s="75"/>
      <c r="G10" s="96"/>
      <c r="H10" s="96"/>
      <c r="I10" s="96"/>
      <c r="J10" s="96"/>
      <c r="K10" s="96"/>
      <c r="L10" s="96"/>
      <c r="M10" s="75"/>
      <c r="N10" s="75"/>
      <c r="O10" s="75"/>
      <c r="P10" s="96"/>
      <c r="Q10" s="96"/>
      <c r="R10" s="96"/>
      <c r="S10" s="96"/>
      <c r="T10" s="96"/>
      <c r="U10" s="95"/>
    </row>
    <row r="11" spans="2:21">
      <c r="B11" s="76" t="s">
        <v>189</v>
      </c>
      <c r="C11" s="202" t="s">
        <v>190</v>
      </c>
      <c r="D11" s="76"/>
      <c r="E11" s="75"/>
      <c r="F11" s="75"/>
      <c r="G11" s="96"/>
      <c r="H11" s="96"/>
      <c r="I11" s="75"/>
      <c r="J11" s="75"/>
      <c r="K11" s="75"/>
      <c r="L11" s="75"/>
      <c r="M11" s="75"/>
      <c r="N11" s="75"/>
      <c r="O11" s="75"/>
      <c r="P11" s="96"/>
      <c r="Q11" s="96"/>
      <c r="R11" s="75"/>
      <c r="S11" s="75"/>
      <c r="T11" s="75"/>
      <c r="U11" s="77"/>
    </row>
    <row r="12" spans="2:21">
      <c r="B12" s="76" t="s">
        <v>191</v>
      </c>
      <c r="C12" s="202" t="s">
        <v>192</v>
      </c>
      <c r="D12" s="76"/>
      <c r="E12" s="75"/>
      <c r="F12" s="75"/>
      <c r="G12" s="75"/>
      <c r="H12" s="207"/>
      <c r="I12" s="75"/>
      <c r="J12" s="75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8"/>
    </row>
    <row r="13" spans="2:21">
      <c r="B13" s="76" t="s">
        <v>193</v>
      </c>
      <c r="C13" s="202" t="s">
        <v>194</v>
      </c>
      <c r="D13" s="76"/>
      <c r="E13" s="75"/>
      <c r="F13" s="75"/>
      <c r="G13" s="75"/>
      <c r="H13" s="97"/>
      <c r="I13" s="75"/>
      <c r="J13" s="75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102"/>
    </row>
    <row r="14" spans="2:21">
      <c r="B14" s="76" t="s">
        <v>195</v>
      </c>
      <c r="C14" s="201" t="s">
        <v>196</v>
      </c>
      <c r="D14" s="76"/>
      <c r="E14" s="75"/>
      <c r="F14" s="75"/>
      <c r="G14" s="75"/>
      <c r="H14" s="75"/>
      <c r="I14" s="199"/>
      <c r="J14" s="75"/>
      <c r="K14" s="199"/>
      <c r="L14" s="75"/>
      <c r="M14" s="75"/>
      <c r="N14" s="75"/>
      <c r="O14" s="75"/>
      <c r="P14" s="75"/>
      <c r="Q14" s="75"/>
      <c r="R14" s="199"/>
      <c r="S14" s="75"/>
      <c r="T14" s="199"/>
      <c r="U14" s="77"/>
    </row>
    <row r="15" spans="2:21">
      <c r="B15" s="76" t="s">
        <v>197</v>
      </c>
      <c r="C15" s="209" t="s">
        <v>198</v>
      </c>
      <c r="D15" s="76"/>
      <c r="E15" s="75"/>
      <c r="F15" s="75"/>
      <c r="G15" s="75"/>
      <c r="H15" s="75"/>
      <c r="I15" s="96"/>
      <c r="J15" s="75"/>
      <c r="K15" s="96"/>
      <c r="L15" s="75"/>
      <c r="M15" s="75"/>
      <c r="N15" s="75"/>
      <c r="O15" s="75"/>
      <c r="P15" s="75"/>
      <c r="Q15" s="75"/>
      <c r="R15" s="96"/>
      <c r="S15" s="75"/>
      <c r="T15" s="96"/>
      <c r="U15" s="77"/>
    </row>
    <row r="16" spans="2:21">
      <c r="B16" s="76" t="s">
        <v>199</v>
      </c>
      <c r="C16" s="202" t="s">
        <v>200</v>
      </c>
      <c r="D16" s="76"/>
      <c r="E16" s="75"/>
      <c r="F16" s="75"/>
      <c r="G16" s="75"/>
      <c r="H16" s="75"/>
      <c r="I16" s="96"/>
      <c r="J16" s="75"/>
      <c r="K16" s="96"/>
      <c r="L16" s="75"/>
      <c r="M16" s="75"/>
      <c r="N16" s="75"/>
      <c r="O16" s="75"/>
      <c r="P16" s="75"/>
      <c r="Q16" s="75"/>
      <c r="R16" s="96"/>
      <c r="S16" s="75"/>
      <c r="T16" s="96"/>
      <c r="U16" s="77"/>
    </row>
    <row r="17" spans="2:21">
      <c r="B17" s="76" t="s">
        <v>197</v>
      </c>
      <c r="C17" s="201" t="s">
        <v>201</v>
      </c>
      <c r="D17" s="76"/>
      <c r="E17" s="75"/>
      <c r="F17" s="75"/>
      <c r="G17" s="75"/>
      <c r="H17" s="75"/>
      <c r="I17" s="75"/>
      <c r="J17" s="96"/>
      <c r="K17" s="75"/>
      <c r="L17" s="96"/>
      <c r="M17" s="75"/>
      <c r="N17" s="75"/>
      <c r="O17" s="75"/>
      <c r="P17" s="75"/>
      <c r="Q17" s="75"/>
      <c r="R17" s="75"/>
      <c r="S17" s="96"/>
      <c r="T17" s="75"/>
      <c r="U17" s="95"/>
    </row>
    <row r="18" spans="2:21">
      <c r="B18" s="76" t="s">
        <v>199</v>
      </c>
      <c r="C18" s="202" t="s">
        <v>200</v>
      </c>
      <c r="D18" s="76"/>
      <c r="E18" s="75"/>
      <c r="F18" s="75"/>
      <c r="G18" s="75"/>
      <c r="H18" s="75"/>
      <c r="I18" s="75"/>
      <c r="J18" s="96"/>
      <c r="K18" s="75"/>
      <c r="L18" s="96"/>
      <c r="M18" s="75"/>
      <c r="N18" s="75"/>
      <c r="O18" s="75"/>
      <c r="P18" s="75"/>
      <c r="Q18" s="75"/>
      <c r="R18" s="75"/>
      <c r="S18" s="96"/>
      <c r="T18" s="75"/>
      <c r="U18" s="95"/>
    </row>
    <row r="19" spans="2:21">
      <c r="B19" s="104" t="s">
        <v>202</v>
      </c>
      <c r="C19" s="202" t="s">
        <v>203</v>
      </c>
      <c r="D19" s="99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0"/>
    </row>
    <row r="20" spans="2:21">
      <c r="B20" s="104" t="s">
        <v>204</v>
      </c>
      <c r="C20" s="202" t="s">
        <v>203</v>
      </c>
      <c r="D20" s="99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0"/>
    </row>
    <row r="21" spans="2:21" ht="15.75" thickBot="1">
      <c r="B21" s="105" t="s">
        <v>205</v>
      </c>
      <c r="C21" s="203" t="s">
        <v>206</v>
      </c>
      <c r="D21" s="124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7"/>
    </row>
    <row r="22" spans="2:21" ht="15.75" thickBot="1">
      <c r="D22" t="s">
        <v>207</v>
      </c>
      <c r="E22" t="s">
        <v>207</v>
      </c>
      <c r="F22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L22" t="s">
        <v>214</v>
      </c>
      <c r="M22" t="s">
        <v>211</v>
      </c>
      <c r="N22" t="s">
        <v>211</v>
      </c>
      <c r="O22" t="s">
        <v>212</v>
      </c>
      <c r="P22" t="s">
        <v>210</v>
      </c>
      <c r="Q22" t="s">
        <v>210</v>
      </c>
      <c r="R22" t="s">
        <v>213</v>
      </c>
      <c r="S22" t="s">
        <v>214</v>
      </c>
      <c r="T22" t="s">
        <v>213</v>
      </c>
      <c r="U22" t="s">
        <v>214</v>
      </c>
    </row>
    <row r="23" spans="2:21" ht="15.75" thickBot="1">
      <c r="B23" s="420" t="s">
        <v>215</v>
      </c>
      <c r="C23" s="421"/>
    </row>
    <row r="24" spans="2:21" ht="15.75" thickBot="1">
      <c r="B24" s="116" t="s">
        <v>156</v>
      </c>
      <c r="C24" s="120" t="s">
        <v>157</v>
      </c>
      <c r="D24" s="122" t="s">
        <v>158</v>
      </c>
      <c r="E24" s="119" t="s">
        <v>159</v>
      </c>
      <c r="F24" s="119" t="s">
        <v>160</v>
      </c>
      <c r="G24" s="119" t="s">
        <v>161</v>
      </c>
      <c r="H24" s="119" t="s">
        <v>162</v>
      </c>
      <c r="I24" s="119" t="s">
        <v>163</v>
      </c>
      <c r="J24" s="119" t="s">
        <v>164</v>
      </c>
      <c r="K24" s="119" t="s">
        <v>165</v>
      </c>
      <c r="L24" s="119" t="s">
        <v>166</v>
      </c>
      <c r="M24" s="118" t="s">
        <v>167</v>
      </c>
      <c r="N24" s="118" t="s">
        <v>168</v>
      </c>
      <c r="O24" s="118" t="s">
        <v>169</v>
      </c>
      <c r="P24" s="118" t="s">
        <v>170</v>
      </c>
      <c r="Q24" s="118" t="s">
        <v>171</v>
      </c>
      <c r="R24" s="118" t="s">
        <v>172</v>
      </c>
      <c r="S24" s="118" t="s">
        <v>173</v>
      </c>
      <c r="T24" s="118" t="s">
        <v>174</v>
      </c>
      <c r="U24" s="120" t="s">
        <v>175</v>
      </c>
    </row>
    <row r="25" spans="2:21">
      <c r="B25" s="111" t="s">
        <v>176</v>
      </c>
      <c r="C25" s="180" t="s">
        <v>216</v>
      </c>
      <c r="D25" s="198"/>
      <c r="E25" s="75"/>
      <c r="F25" s="75"/>
      <c r="G25" s="75"/>
      <c r="H25" s="75"/>
      <c r="I25" s="75"/>
      <c r="J25" s="75"/>
      <c r="K25" s="75"/>
      <c r="L25" s="75"/>
      <c r="M25" s="199"/>
      <c r="N25" s="75"/>
      <c r="O25" s="75"/>
      <c r="P25" s="75"/>
      <c r="Q25" s="75"/>
      <c r="R25" s="75"/>
      <c r="S25" s="75"/>
      <c r="T25" s="75"/>
      <c r="U25" s="75"/>
    </row>
    <row r="26" spans="2:21">
      <c r="B26" s="103" t="s">
        <v>178</v>
      </c>
      <c r="C26" s="206" t="s">
        <v>217</v>
      </c>
      <c r="D26" s="98"/>
      <c r="E26" s="96"/>
      <c r="F26" s="75"/>
      <c r="G26" s="75"/>
      <c r="H26" s="75"/>
      <c r="I26" s="75"/>
      <c r="J26" s="75"/>
      <c r="K26" s="75"/>
      <c r="L26" s="75"/>
      <c r="M26" s="96"/>
      <c r="N26" s="96"/>
      <c r="O26" s="75"/>
      <c r="P26" s="75"/>
      <c r="Q26" s="75"/>
      <c r="R26" s="75"/>
      <c r="S26" s="75"/>
      <c r="T26" s="75"/>
      <c r="U26" s="75"/>
    </row>
    <row r="27" spans="2:21">
      <c r="B27" s="103" t="s">
        <v>180</v>
      </c>
      <c r="C27" s="201" t="s">
        <v>218</v>
      </c>
      <c r="D27" s="121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</row>
    <row r="28" spans="2:21">
      <c r="B28" s="76" t="s">
        <v>182</v>
      </c>
      <c r="C28" s="201" t="s">
        <v>216</v>
      </c>
      <c r="D28" s="87"/>
      <c r="E28" s="199"/>
      <c r="F28" s="75"/>
      <c r="G28" s="75"/>
      <c r="H28" s="75"/>
      <c r="I28" s="75"/>
      <c r="J28" s="75"/>
      <c r="K28" s="75"/>
      <c r="L28" s="75"/>
      <c r="M28" s="75"/>
      <c r="N28" s="199"/>
      <c r="O28" s="75"/>
      <c r="P28" s="75"/>
      <c r="Q28" s="75"/>
      <c r="R28" s="75"/>
      <c r="S28" s="75"/>
      <c r="T28" s="75"/>
      <c r="U28" s="75"/>
    </row>
    <row r="29" spans="2:21">
      <c r="B29" s="76" t="s">
        <v>178</v>
      </c>
      <c r="C29" s="206" t="s">
        <v>217</v>
      </c>
      <c r="D29" s="87"/>
      <c r="E29" s="75"/>
      <c r="F29" s="96"/>
      <c r="G29" s="75"/>
      <c r="H29" s="75"/>
      <c r="I29" s="75"/>
      <c r="J29" s="75"/>
      <c r="K29" s="75"/>
      <c r="L29" s="75"/>
      <c r="M29" s="75"/>
      <c r="N29" s="75"/>
      <c r="O29" s="96"/>
      <c r="P29" s="75"/>
      <c r="Q29" s="75"/>
      <c r="R29" s="75"/>
      <c r="S29" s="75"/>
      <c r="T29" s="75"/>
      <c r="U29" s="75"/>
    </row>
    <row r="30" spans="2:21">
      <c r="B30" s="76" t="s">
        <v>185</v>
      </c>
      <c r="C30" s="205" t="s">
        <v>217</v>
      </c>
      <c r="D30" s="87"/>
      <c r="E30" s="75"/>
      <c r="F30" s="96"/>
      <c r="G30" s="96"/>
      <c r="H30" s="96"/>
      <c r="I30" s="75"/>
      <c r="J30" s="96"/>
      <c r="K30" s="75"/>
      <c r="L30" s="96"/>
      <c r="M30" s="75"/>
      <c r="N30" s="75"/>
      <c r="O30" s="96"/>
      <c r="P30" s="96"/>
      <c r="Q30" s="96"/>
      <c r="R30" s="75"/>
      <c r="S30" s="96"/>
      <c r="T30" s="75"/>
      <c r="U30" s="96"/>
    </row>
    <row r="31" spans="2:21">
      <c r="B31" s="76" t="s">
        <v>187</v>
      </c>
      <c r="C31" s="201" t="s">
        <v>219</v>
      </c>
      <c r="D31" s="87"/>
      <c r="E31" s="75"/>
      <c r="F31" s="75"/>
      <c r="G31" s="96"/>
      <c r="H31" s="96"/>
      <c r="I31" s="96"/>
      <c r="J31" s="96"/>
      <c r="K31" s="96"/>
      <c r="L31" s="96"/>
      <c r="M31" s="75"/>
      <c r="N31" s="75"/>
      <c r="O31" s="75"/>
      <c r="P31" s="96"/>
      <c r="Q31" s="96"/>
      <c r="R31" s="96"/>
      <c r="S31" s="96"/>
      <c r="T31" s="96"/>
      <c r="U31" s="96"/>
    </row>
    <row r="32" spans="2:21">
      <c r="B32" s="76" t="s">
        <v>189</v>
      </c>
      <c r="C32" s="205" t="s">
        <v>217</v>
      </c>
      <c r="D32" s="87"/>
      <c r="E32" s="75"/>
      <c r="F32" s="75"/>
      <c r="G32" s="96"/>
      <c r="H32" s="96"/>
      <c r="I32" s="75"/>
      <c r="J32" s="75"/>
      <c r="K32" s="75"/>
      <c r="L32" s="75"/>
      <c r="M32" s="75"/>
      <c r="N32" s="75"/>
      <c r="O32" s="75"/>
      <c r="P32" s="96"/>
      <c r="Q32" s="96"/>
      <c r="R32" s="75"/>
      <c r="S32" s="75"/>
      <c r="T32" s="75"/>
      <c r="U32" s="75"/>
    </row>
    <row r="33" spans="2:22">
      <c r="B33" s="76" t="s">
        <v>191</v>
      </c>
      <c r="C33" s="202" t="s">
        <v>220</v>
      </c>
      <c r="D33" s="87"/>
      <c r="E33" s="75"/>
      <c r="F33" s="75"/>
      <c r="G33" s="75"/>
      <c r="H33" s="207"/>
      <c r="I33" s="75"/>
      <c r="J33" s="75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</row>
    <row r="34" spans="2:22">
      <c r="B34" s="76" t="s">
        <v>193</v>
      </c>
      <c r="C34" s="202" t="s">
        <v>221</v>
      </c>
      <c r="D34" s="87"/>
      <c r="E34" s="75"/>
      <c r="F34" s="75"/>
      <c r="G34" s="75"/>
      <c r="H34" s="97"/>
      <c r="I34" s="75"/>
      <c r="J34" s="75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</row>
    <row r="35" spans="2:22">
      <c r="B35" s="76" t="s">
        <v>195</v>
      </c>
      <c r="C35" s="201" t="s">
        <v>216</v>
      </c>
      <c r="D35" s="87"/>
      <c r="E35" s="75"/>
      <c r="F35" s="75"/>
      <c r="G35" s="75"/>
      <c r="H35" s="75"/>
      <c r="I35" s="199"/>
      <c r="J35" s="75"/>
      <c r="K35" s="199"/>
      <c r="L35" s="75"/>
      <c r="M35" s="75"/>
      <c r="N35" s="75"/>
      <c r="O35" s="75"/>
      <c r="P35" s="75"/>
      <c r="Q35" s="75"/>
      <c r="R35" s="199"/>
      <c r="S35" s="75"/>
      <c r="T35" s="199"/>
      <c r="U35" s="75"/>
    </row>
    <row r="36" spans="2:22">
      <c r="B36" s="76" t="s">
        <v>197</v>
      </c>
      <c r="C36" s="201" t="s">
        <v>216</v>
      </c>
      <c r="D36" s="87"/>
      <c r="E36" s="75"/>
      <c r="F36" s="75"/>
      <c r="G36" s="75"/>
      <c r="H36" s="75"/>
      <c r="I36" s="199"/>
      <c r="J36" s="75"/>
      <c r="K36" s="199"/>
      <c r="L36" s="75"/>
      <c r="M36" s="75"/>
      <c r="N36" s="75"/>
      <c r="O36" s="75"/>
      <c r="P36" s="75"/>
      <c r="Q36" s="75"/>
      <c r="R36" s="199"/>
      <c r="S36" s="75"/>
      <c r="T36" s="199"/>
      <c r="U36" s="75"/>
    </row>
    <row r="37" spans="2:22">
      <c r="B37" s="76" t="s">
        <v>199</v>
      </c>
      <c r="C37" s="202" t="s">
        <v>216</v>
      </c>
      <c r="D37" s="87"/>
      <c r="E37" s="75"/>
      <c r="F37" s="75"/>
      <c r="G37" s="75"/>
      <c r="H37" s="75"/>
      <c r="I37" s="199"/>
      <c r="J37" s="75"/>
      <c r="K37" s="199"/>
      <c r="L37" s="75"/>
      <c r="M37" s="75"/>
      <c r="N37" s="75"/>
      <c r="O37" s="75"/>
      <c r="P37" s="75"/>
      <c r="Q37" s="75"/>
      <c r="R37" s="199"/>
      <c r="S37" s="75"/>
      <c r="T37" s="199"/>
      <c r="U37" s="75"/>
    </row>
    <row r="38" spans="2:22">
      <c r="B38" s="76" t="s">
        <v>197</v>
      </c>
      <c r="C38" s="201" t="s">
        <v>216</v>
      </c>
      <c r="D38" s="87"/>
      <c r="E38" s="75"/>
      <c r="F38" s="75"/>
      <c r="G38" s="75"/>
      <c r="H38" s="75"/>
      <c r="I38" s="75"/>
      <c r="J38" s="199"/>
      <c r="K38" s="75"/>
      <c r="L38" s="199"/>
      <c r="M38" s="75"/>
      <c r="N38" s="75"/>
      <c r="O38" s="75"/>
      <c r="P38" s="75"/>
      <c r="Q38" s="75"/>
      <c r="R38" s="75"/>
      <c r="S38" s="199"/>
      <c r="T38" s="75"/>
      <c r="U38" s="199"/>
    </row>
    <row r="39" spans="2:22">
      <c r="B39" s="76" t="s">
        <v>199</v>
      </c>
      <c r="C39" s="202" t="s">
        <v>216</v>
      </c>
      <c r="D39" s="87"/>
      <c r="E39" s="75"/>
      <c r="F39" s="75"/>
      <c r="G39" s="75"/>
      <c r="H39" s="75"/>
      <c r="I39" s="75"/>
      <c r="J39" s="199"/>
      <c r="K39" s="75"/>
      <c r="L39" s="199"/>
      <c r="M39" s="75"/>
      <c r="N39" s="75"/>
      <c r="O39" s="75"/>
      <c r="P39" s="75"/>
      <c r="Q39" s="75"/>
      <c r="R39" s="75"/>
      <c r="S39" s="199"/>
      <c r="T39" s="75"/>
      <c r="U39" s="199"/>
    </row>
    <row r="40" spans="2:22">
      <c r="B40" s="104" t="s">
        <v>202</v>
      </c>
      <c r="C40" s="205" t="s">
        <v>217</v>
      </c>
      <c r="D40" s="200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</row>
    <row r="41" spans="2:22">
      <c r="B41" s="104" t="s">
        <v>204</v>
      </c>
      <c r="C41" s="205" t="s">
        <v>217</v>
      </c>
      <c r="D41" s="200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</row>
    <row r="42" spans="2:22" ht="15.75" thickBot="1">
      <c r="B42" s="105" t="s">
        <v>205</v>
      </c>
      <c r="C42" s="205" t="s">
        <v>217</v>
      </c>
      <c r="D42" s="200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</row>
    <row r="43" spans="2:22" ht="15.75" thickBot="1">
      <c r="D43" t="s">
        <v>222</v>
      </c>
      <c r="E43" t="s">
        <v>222</v>
      </c>
      <c r="F43" t="s">
        <v>223</v>
      </c>
      <c r="G43" t="s">
        <v>224</v>
      </c>
      <c r="H43" t="s">
        <v>225</v>
      </c>
      <c r="I43" t="s">
        <v>226</v>
      </c>
      <c r="J43" t="s">
        <v>227</v>
      </c>
      <c r="K43" t="s">
        <v>228</v>
      </c>
      <c r="L43" t="s">
        <v>229</v>
      </c>
      <c r="M43" t="s">
        <v>227</v>
      </c>
      <c r="N43" t="s">
        <v>227</v>
      </c>
      <c r="O43" t="s">
        <v>230</v>
      </c>
      <c r="P43" t="s">
        <v>225</v>
      </c>
      <c r="Q43" t="s">
        <v>225</v>
      </c>
      <c r="R43" t="s">
        <v>228</v>
      </c>
      <c r="S43" t="s">
        <v>229</v>
      </c>
      <c r="T43" t="s">
        <v>228</v>
      </c>
      <c r="U43" t="s">
        <v>229</v>
      </c>
    </row>
    <row r="44" spans="2:22" ht="15.75" thickBot="1">
      <c r="B44" s="420" t="s">
        <v>231</v>
      </c>
      <c r="C44" s="421"/>
    </row>
    <row r="45" spans="2:22" ht="15.75" thickBot="1">
      <c r="B45" s="116" t="s">
        <v>156</v>
      </c>
      <c r="C45" s="120" t="s">
        <v>157</v>
      </c>
      <c r="D45" s="122" t="s">
        <v>158</v>
      </c>
      <c r="E45" s="119" t="s">
        <v>159</v>
      </c>
      <c r="F45" s="119" t="s">
        <v>160</v>
      </c>
      <c r="G45" s="119" t="s">
        <v>161</v>
      </c>
      <c r="H45" s="119" t="s">
        <v>162</v>
      </c>
      <c r="I45" s="119" t="s">
        <v>163</v>
      </c>
      <c r="J45" s="119" t="s">
        <v>164</v>
      </c>
      <c r="K45" s="119" t="s">
        <v>165</v>
      </c>
      <c r="L45" s="119" t="s">
        <v>166</v>
      </c>
      <c r="M45" s="118" t="s">
        <v>167</v>
      </c>
      <c r="N45" s="118" t="s">
        <v>168</v>
      </c>
      <c r="O45" s="118" t="s">
        <v>169</v>
      </c>
      <c r="P45" s="118" t="s">
        <v>170</v>
      </c>
      <c r="Q45" s="118" t="s">
        <v>171</v>
      </c>
      <c r="R45" s="118" t="s">
        <v>172</v>
      </c>
      <c r="S45" s="118" t="s">
        <v>173</v>
      </c>
      <c r="T45" s="118" t="s">
        <v>174</v>
      </c>
      <c r="U45" s="120" t="s">
        <v>175</v>
      </c>
      <c r="V45" t="s">
        <v>232</v>
      </c>
    </row>
    <row r="46" spans="2:22">
      <c r="B46" s="111" t="s">
        <v>176</v>
      </c>
      <c r="C46" s="322" t="s">
        <v>233</v>
      </c>
      <c r="D46" s="98"/>
      <c r="E46" s="75"/>
      <c r="F46" s="75"/>
      <c r="G46" s="75"/>
      <c r="H46" s="75"/>
      <c r="I46" s="75"/>
      <c r="J46" s="75"/>
      <c r="K46" s="75"/>
      <c r="L46" s="75"/>
      <c r="M46" s="96"/>
      <c r="N46" s="75"/>
      <c r="O46" s="75"/>
      <c r="P46" s="75"/>
      <c r="Q46" s="75"/>
      <c r="R46" s="75"/>
      <c r="S46" s="75"/>
      <c r="T46" s="75"/>
      <c r="U46" s="75"/>
      <c r="V46" s="75"/>
    </row>
    <row r="47" spans="2:22">
      <c r="B47" s="103" t="s">
        <v>178</v>
      </c>
      <c r="C47" s="202" t="s">
        <v>234</v>
      </c>
      <c r="D47" s="98"/>
      <c r="E47" s="96"/>
      <c r="F47" s="75"/>
      <c r="G47" s="75"/>
      <c r="H47" s="75"/>
      <c r="I47" s="75"/>
      <c r="J47" s="75"/>
      <c r="K47" s="75"/>
      <c r="L47" s="75"/>
      <c r="M47" s="96"/>
      <c r="N47" s="96"/>
      <c r="O47" s="75"/>
      <c r="P47" s="75"/>
      <c r="Q47" s="75"/>
      <c r="R47" s="75"/>
      <c r="S47" s="75"/>
      <c r="T47" s="75"/>
      <c r="U47" s="75"/>
      <c r="V47" s="75"/>
    </row>
    <row r="48" spans="2:22">
      <c r="B48" s="103" t="s">
        <v>180</v>
      </c>
      <c r="C48" s="201" t="s">
        <v>235</v>
      </c>
      <c r="D48" s="121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</row>
    <row r="49" spans="2:22">
      <c r="B49" s="76" t="s">
        <v>182</v>
      </c>
      <c r="C49" s="205" t="s">
        <v>217</v>
      </c>
      <c r="D49" s="87"/>
      <c r="E49" s="96"/>
      <c r="F49" s="75"/>
      <c r="G49" s="75"/>
      <c r="H49" s="75"/>
      <c r="I49" s="75"/>
      <c r="J49" s="75"/>
      <c r="K49" s="75"/>
      <c r="L49" s="75"/>
      <c r="M49" s="75"/>
      <c r="N49" s="96"/>
      <c r="O49" s="75"/>
      <c r="P49" s="75"/>
      <c r="Q49" s="75"/>
      <c r="R49" s="75"/>
      <c r="S49" s="75"/>
      <c r="T49" s="75"/>
      <c r="U49" s="75"/>
      <c r="V49" s="75"/>
    </row>
    <row r="50" spans="2:22">
      <c r="B50" s="76" t="s">
        <v>178</v>
      </c>
      <c r="C50" s="205" t="s">
        <v>217</v>
      </c>
      <c r="D50" s="87"/>
      <c r="E50" s="75"/>
      <c r="F50" s="96"/>
      <c r="G50" s="75"/>
      <c r="H50" s="75"/>
      <c r="I50" s="75"/>
      <c r="J50" s="75"/>
      <c r="K50" s="75"/>
      <c r="L50" s="75"/>
      <c r="M50" s="75"/>
      <c r="N50" s="75"/>
      <c r="O50" s="96"/>
      <c r="P50" s="75"/>
      <c r="Q50" s="75"/>
      <c r="R50" s="75"/>
      <c r="S50" s="75"/>
      <c r="T50" s="75"/>
      <c r="U50" s="75"/>
      <c r="V50" s="75"/>
    </row>
    <row r="51" spans="2:22">
      <c r="B51" s="76" t="s">
        <v>185</v>
      </c>
      <c r="C51" s="205" t="s">
        <v>217</v>
      </c>
      <c r="D51" s="87"/>
      <c r="E51" s="75"/>
      <c r="F51" s="96"/>
      <c r="G51" s="96"/>
      <c r="H51" s="96"/>
      <c r="I51" s="75"/>
      <c r="J51" s="96"/>
      <c r="K51" s="75"/>
      <c r="L51" s="96"/>
      <c r="M51" s="75"/>
      <c r="N51" s="75"/>
      <c r="O51" s="96"/>
      <c r="P51" s="96"/>
      <c r="Q51" s="96"/>
      <c r="R51" s="75"/>
      <c r="S51" s="96"/>
      <c r="T51" s="75"/>
      <c r="U51" s="96"/>
      <c r="V51" s="75"/>
    </row>
    <row r="52" spans="2:22">
      <c r="B52" s="76" t="s">
        <v>187</v>
      </c>
      <c r="C52" s="201" t="s">
        <v>236</v>
      </c>
      <c r="D52" s="87"/>
      <c r="E52" s="75"/>
      <c r="F52" s="75"/>
      <c r="G52" s="96"/>
      <c r="H52" s="96"/>
      <c r="I52" s="96"/>
      <c r="J52" s="96"/>
      <c r="K52" s="96"/>
      <c r="L52" s="96"/>
      <c r="M52" s="75"/>
      <c r="N52" s="75"/>
      <c r="O52" s="75"/>
      <c r="P52" s="96"/>
      <c r="Q52" s="96"/>
      <c r="R52" s="96"/>
      <c r="S52" s="96"/>
      <c r="T52" s="96"/>
      <c r="U52" s="96"/>
      <c r="V52" s="96"/>
    </row>
    <row r="53" spans="2:22">
      <c r="B53" s="76" t="s">
        <v>189</v>
      </c>
      <c r="C53" s="205" t="s">
        <v>217</v>
      </c>
      <c r="D53" s="87"/>
      <c r="E53" s="75"/>
      <c r="F53" s="75"/>
      <c r="G53" s="96"/>
      <c r="H53" s="96"/>
      <c r="I53" s="75"/>
      <c r="J53" s="75"/>
      <c r="K53" s="75"/>
      <c r="L53" s="75"/>
      <c r="M53" s="75"/>
      <c r="N53" s="75"/>
      <c r="O53" s="75"/>
      <c r="P53" s="96"/>
      <c r="Q53" s="96"/>
      <c r="R53" s="75"/>
      <c r="S53" s="75"/>
      <c r="T53" s="75"/>
      <c r="U53" s="75"/>
      <c r="V53" s="75"/>
    </row>
    <row r="54" spans="2:22">
      <c r="B54" s="76" t="s">
        <v>191</v>
      </c>
      <c r="C54" s="205" t="s">
        <v>217</v>
      </c>
      <c r="D54" s="87"/>
      <c r="E54" s="75"/>
      <c r="F54" s="75"/>
      <c r="G54" s="75"/>
      <c r="H54" s="97"/>
      <c r="I54" s="75"/>
      <c r="J54" s="75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75"/>
    </row>
    <row r="55" spans="2:22">
      <c r="B55" s="76" t="s">
        <v>193</v>
      </c>
      <c r="C55" s="205" t="s">
        <v>217</v>
      </c>
      <c r="D55" s="87"/>
      <c r="E55" s="75"/>
      <c r="F55" s="75"/>
      <c r="G55" s="75"/>
      <c r="H55" s="97"/>
      <c r="I55" s="75"/>
      <c r="J55" s="75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75"/>
    </row>
    <row r="56" spans="2:22">
      <c r="B56" s="76" t="s">
        <v>195</v>
      </c>
      <c r="C56" s="201" t="s">
        <v>237</v>
      </c>
      <c r="D56" s="87"/>
      <c r="E56" s="75"/>
      <c r="F56" s="75"/>
      <c r="G56" s="75"/>
      <c r="H56" s="75"/>
      <c r="I56" s="96"/>
      <c r="J56" s="75"/>
      <c r="K56" s="96"/>
      <c r="L56" s="75"/>
      <c r="M56" s="75"/>
      <c r="N56" s="75"/>
      <c r="O56" s="75"/>
      <c r="P56" s="75"/>
      <c r="Q56" s="75"/>
      <c r="R56" s="96"/>
      <c r="S56" s="75"/>
      <c r="T56" s="96"/>
      <c r="U56" s="75"/>
      <c r="V56" s="96"/>
    </row>
    <row r="57" spans="2:22">
      <c r="B57" s="76" t="s">
        <v>197</v>
      </c>
      <c r="C57" s="209" t="s">
        <v>238</v>
      </c>
      <c r="D57" s="87"/>
      <c r="E57" s="75"/>
      <c r="F57" s="75"/>
      <c r="G57" s="75"/>
      <c r="H57" s="75"/>
      <c r="I57" s="96"/>
      <c r="J57" s="75"/>
      <c r="K57" s="96"/>
      <c r="L57" s="75"/>
      <c r="M57" s="75"/>
      <c r="N57" s="75"/>
      <c r="O57" s="75"/>
      <c r="P57" s="75"/>
      <c r="Q57" s="75"/>
      <c r="R57" s="96"/>
      <c r="S57" s="75"/>
      <c r="T57" s="96"/>
      <c r="U57" s="75"/>
      <c r="V57" s="96"/>
    </row>
    <row r="58" spans="2:22">
      <c r="B58" s="76" t="s">
        <v>199</v>
      </c>
      <c r="C58" s="205" t="s">
        <v>217</v>
      </c>
      <c r="D58" s="87"/>
      <c r="E58" s="75"/>
      <c r="F58" s="75"/>
      <c r="G58" s="75"/>
      <c r="H58" s="75"/>
      <c r="I58" s="96"/>
      <c r="J58" s="75"/>
      <c r="K58" s="96"/>
      <c r="L58" s="75"/>
      <c r="M58" s="75"/>
      <c r="N58" s="75"/>
      <c r="O58" s="75"/>
      <c r="P58" s="75"/>
      <c r="Q58" s="75"/>
      <c r="R58" s="96"/>
      <c r="S58" s="75"/>
      <c r="T58" s="96"/>
      <c r="U58" s="75"/>
      <c r="V58" s="96"/>
    </row>
    <row r="59" spans="2:22">
      <c r="B59" s="76" t="s">
        <v>197</v>
      </c>
      <c r="C59" s="201" t="s">
        <v>239</v>
      </c>
      <c r="D59" s="87"/>
      <c r="E59" s="75"/>
      <c r="F59" s="75"/>
      <c r="G59" s="75"/>
      <c r="H59" s="75"/>
      <c r="I59" s="75"/>
      <c r="J59" s="96"/>
      <c r="K59" s="75"/>
      <c r="L59" s="96"/>
      <c r="M59" s="75"/>
      <c r="N59" s="75"/>
      <c r="O59" s="75"/>
      <c r="P59" s="75"/>
      <c r="Q59" s="75"/>
      <c r="R59" s="75"/>
      <c r="S59" s="96"/>
      <c r="T59" s="75"/>
      <c r="U59" s="96"/>
      <c r="V59" s="75"/>
    </row>
    <row r="60" spans="2:22">
      <c r="B60" s="76" t="s">
        <v>199</v>
      </c>
      <c r="C60" s="205" t="s">
        <v>217</v>
      </c>
      <c r="D60" s="87"/>
      <c r="E60" s="75"/>
      <c r="F60" s="75"/>
      <c r="G60" s="75"/>
      <c r="H60" s="75"/>
      <c r="I60" s="75"/>
      <c r="J60" s="96"/>
      <c r="K60" s="75"/>
      <c r="L60" s="96"/>
      <c r="M60" s="75"/>
      <c r="N60" s="75"/>
      <c r="O60" s="75"/>
      <c r="P60" s="75"/>
      <c r="Q60" s="75"/>
      <c r="R60" s="75"/>
      <c r="S60" s="96"/>
      <c r="T60" s="75"/>
      <c r="U60" s="96"/>
      <c r="V60" s="75"/>
    </row>
    <row r="61" spans="2:22">
      <c r="B61" s="104" t="s">
        <v>202</v>
      </c>
      <c r="C61" s="323" t="s">
        <v>240</v>
      </c>
      <c r="D61" s="200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</row>
    <row r="62" spans="2:22">
      <c r="B62" s="104" t="s">
        <v>204</v>
      </c>
      <c r="C62" s="202" t="s">
        <v>203</v>
      </c>
      <c r="D62" s="200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</row>
    <row r="63" spans="2:22" ht="15.75" thickBot="1">
      <c r="B63" s="105" t="s">
        <v>205</v>
      </c>
      <c r="C63" s="205" t="s">
        <v>217</v>
      </c>
      <c r="D63" s="200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417"/>
    </row>
    <row r="64" spans="2:22">
      <c r="B64" s="17" t="s">
        <v>241</v>
      </c>
      <c r="C64" s="17" t="s">
        <v>242</v>
      </c>
      <c r="D64" t="s">
        <v>208</v>
      </c>
      <c r="E64" t="s">
        <v>243</v>
      </c>
      <c r="F64" t="s">
        <v>244</v>
      </c>
      <c r="G64" t="s">
        <v>245</v>
      </c>
      <c r="H64" t="s">
        <v>225</v>
      </c>
      <c r="I64" t="s">
        <v>246</v>
      </c>
      <c r="J64" t="s">
        <v>226</v>
      </c>
      <c r="K64" t="s">
        <v>229</v>
      </c>
      <c r="L64" t="s">
        <v>247</v>
      </c>
      <c r="M64" t="s">
        <v>226</v>
      </c>
      <c r="N64" t="s">
        <v>227</v>
      </c>
      <c r="O64" t="s">
        <v>230</v>
      </c>
      <c r="P64" t="s">
        <v>225</v>
      </c>
      <c r="Q64" t="s">
        <v>225</v>
      </c>
      <c r="R64" t="s">
        <v>229</v>
      </c>
      <c r="S64" t="s">
        <v>247</v>
      </c>
      <c r="T64" t="s">
        <v>229</v>
      </c>
      <c r="U64" t="s">
        <v>247</v>
      </c>
      <c r="V64" s="416"/>
    </row>
    <row r="65" spans="2:22">
      <c r="B65" s="17" t="s">
        <v>248</v>
      </c>
      <c r="C65" s="17" t="s">
        <v>242</v>
      </c>
      <c r="D65" t="s">
        <v>244</v>
      </c>
      <c r="E65" t="s">
        <v>222</v>
      </c>
      <c r="F65" t="s">
        <v>244</v>
      </c>
      <c r="V65" s="416"/>
    </row>
    <row r="66" spans="2:22">
      <c r="V66" s="17" t="s">
        <v>249</v>
      </c>
    </row>
    <row r="67" spans="2:22">
      <c r="D67" t="str">
        <f>_xlfn.CONCAT(D22," , ",D43," y ",D64)</f>
        <v>6|6 , 2|6 y 5|6</v>
      </c>
      <c r="E67" t="str">
        <f t="shared" ref="E67:U67" si="0">_xlfn.CONCAT(E22," , ",E43," y ",E64)</f>
        <v>6|6 , 2|6 y 4|6</v>
      </c>
      <c r="F67" t="str">
        <f t="shared" si="0"/>
        <v>5|6 , 1|6 y 3|6</v>
      </c>
      <c r="G67" t="str">
        <f t="shared" si="0"/>
        <v>6|7 , 2|7 y 4|7</v>
      </c>
      <c r="H67" t="str">
        <f t="shared" si="0"/>
        <v>8|9 , 4|9 y 4|9</v>
      </c>
      <c r="I67" t="str">
        <f t="shared" si="0"/>
        <v>8|8 , 5|8 y 6|8</v>
      </c>
      <c r="J67" t="str">
        <f t="shared" si="0"/>
        <v>7|8 , 4|8 y 5|8</v>
      </c>
      <c r="K67" t="str">
        <f t="shared" si="0"/>
        <v>10|10 , 7|10 y 6|10</v>
      </c>
      <c r="L67" t="str">
        <f t="shared" si="0"/>
        <v>9|10 , 6|10 y 5|10</v>
      </c>
      <c r="M67" t="str">
        <f t="shared" si="0"/>
        <v>8|8 , 4|8 y 5|8</v>
      </c>
      <c r="N67" t="str">
        <f t="shared" si="0"/>
        <v>8|8 , 4|8 y 4|8</v>
      </c>
      <c r="O67" t="str">
        <f t="shared" si="0"/>
        <v>7|8 , 3|8 y 3|8</v>
      </c>
      <c r="P67" t="str">
        <f t="shared" si="0"/>
        <v>8|9 , 4|9 y 4|9</v>
      </c>
      <c r="Q67" t="str">
        <f t="shared" si="0"/>
        <v>8|9 , 4|9 y 4|9</v>
      </c>
      <c r="R67" t="str">
        <f t="shared" si="0"/>
        <v>10|10 , 7|10 y 6|10</v>
      </c>
      <c r="S67" t="str">
        <f t="shared" si="0"/>
        <v>9|10 , 6|10 y 5|10</v>
      </c>
      <c r="T67" t="str">
        <f t="shared" si="0"/>
        <v>10|10 , 7|10 y 6|10</v>
      </c>
      <c r="U67" t="str">
        <f t="shared" si="0"/>
        <v>9|10 , 6|10 y 5|10</v>
      </c>
    </row>
    <row r="69" spans="2:22">
      <c r="D69" s="210" t="str" cm="1">
        <f t="array" ref="D69:D86">TRANSPOSE(D67:U67)</f>
        <v>6|6 , 2|6 y 5|6</v>
      </c>
    </row>
    <row r="70" spans="2:22">
      <c r="D70" s="210" t="str">
        <v>6|6 , 2|6 y 4|6</v>
      </c>
    </row>
    <row r="71" spans="2:22">
      <c r="D71" s="210" t="str">
        <v>5|6 , 1|6 y 3|6</v>
      </c>
    </row>
    <row r="72" spans="2:22">
      <c r="D72" s="210" t="str">
        <v>6|7 , 2|7 y 4|7</v>
      </c>
    </row>
    <row r="73" spans="2:22">
      <c r="D73" s="210" t="str">
        <v>8|9 , 4|9 y 4|9</v>
      </c>
    </row>
    <row r="74" spans="2:22">
      <c r="D74" s="210" t="str">
        <v>8|8 , 5|8 y 6|8</v>
      </c>
    </row>
    <row r="75" spans="2:22">
      <c r="D75" s="210" t="str">
        <v>7|8 , 4|8 y 5|8</v>
      </c>
    </row>
    <row r="76" spans="2:22">
      <c r="D76" s="210" t="str">
        <v>10|10 , 7|10 y 6|10</v>
      </c>
    </row>
    <row r="77" spans="2:22">
      <c r="D77" s="210" t="str">
        <v>9|10 , 6|10 y 5|10</v>
      </c>
    </row>
    <row r="78" spans="2:22">
      <c r="D78" s="210" t="str">
        <v>8|8 , 4|8 y 5|8</v>
      </c>
    </row>
    <row r="79" spans="2:22">
      <c r="D79" s="210" t="str">
        <v>8|8 , 4|8 y 4|8</v>
      </c>
    </row>
    <row r="80" spans="2:22">
      <c r="D80" s="210" t="str">
        <v>7|8 , 3|8 y 3|8</v>
      </c>
    </row>
    <row r="81" spans="4:4">
      <c r="D81" s="210" t="str">
        <v>8|9 , 4|9 y 4|9</v>
      </c>
    </row>
    <row r="82" spans="4:4">
      <c r="D82" s="210" t="str">
        <v>8|9 , 4|9 y 4|9</v>
      </c>
    </row>
    <row r="83" spans="4:4">
      <c r="D83" s="210" t="str">
        <v>10|10 , 7|10 y 6|10</v>
      </c>
    </row>
    <row r="84" spans="4:4">
      <c r="D84" s="210" t="str">
        <v>9|10 , 6|10 y 5|10</v>
      </c>
    </row>
    <row r="85" spans="4:4">
      <c r="D85" t="str">
        <v>10|10 , 7|10 y 6|10</v>
      </c>
    </row>
    <row r="86" spans="4:4">
      <c r="D86" t="str">
        <v>9|10 , 6|10 y 5|10</v>
      </c>
    </row>
  </sheetData>
  <mergeCells count="3">
    <mergeCell ref="B2:C2"/>
    <mergeCell ref="B23:C23"/>
    <mergeCell ref="B44:C4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18C-A6A3-47E4-B311-D6235A7F5BE9}">
  <dimension ref="A1:AE23"/>
  <sheetViews>
    <sheetView workbookViewId="0">
      <selection activeCell="D24" sqref="D24"/>
    </sheetView>
  </sheetViews>
  <sheetFormatPr defaultColWidth="0" defaultRowHeight="15"/>
  <cols>
    <col min="1" max="1" width="3" style="17" customWidth="1"/>
    <col min="2" max="2" width="5" style="73" bestFit="1" customWidth="1"/>
    <col min="3" max="3" width="12.28515625" style="17" bestFit="1" customWidth="1"/>
    <col min="4" max="4" width="12" style="17" bestFit="1" customWidth="1"/>
    <col min="5" max="5" width="13" style="17" bestFit="1" customWidth="1"/>
    <col min="6" max="6" width="3.28515625" style="17" customWidth="1"/>
    <col min="7" max="7" width="25" style="17" bestFit="1" customWidth="1"/>
    <col min="8" max="8" width="17.5703125" style="17" bestFit="1" customWidth="1"/>
    <col min="9" max="9" width="11.5703125" style="17" bestFit="1" customWidth="1"/>
    <col min="10" max="10" width="26.42578125" style="17" bestFit="1" customWidth="1"/>
    <col min="11" max="11" width="61" style="17" bestFit="1" customWidth="1"/>
    <col min="12" max="12" width="3.7109375" style="17" customWidth="1"/>
    <col min="13" max="30" width="6" style="17" bestFit="1" customWidth="1"/>
    <col min="31" max="31" width="11.5703125" style="17" customWidth="1"/>
    <col min="32" max="16384" width="11.5703125" style="17" hidden="1"/>
  </cols>
  <sheetData>
    <row r="1" spans="1:31" ht="15.75" thickBot="1">
      <c r="A1" s="89"/>
      <c r="B1" s="90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</row>
    <row r="2" spans="1:31" ht="15.75" thickBot="1">
      <c r="A2" s="89"/>
      <c r="B2" s="49" t="s">
        <v>250</v>
      </c>
      <c r="C2" s="74" t="s">
        <v>251</v>
      </c>
      <c r="D2" s="85" t="s">
        <v>252</v>
      </c>
      <c r="E2" s="49" t="s">
        <v>253</v>
      </c>
      <c r="F2" s="89"/>
      <c r="G2" s="116" t="s">
        <v>254</v>
      </c>
      <c r="H2" s="117" t="s">
        <v>156</v>
      </c>
      <c r="I2" s="117" t="s">
        <v>255</v>
      </c>
      <c r="J2" s="118" t="s">
        <v>256</v>
      </c>
      <c r="K2" s="120" t="s">
        <v>157</v>
      </c>
      <c r="L2" s="90"/>
      <c r="M2" s="122" t="s">
        <v>158</v>
      </c>
      <c r="N2" s="119" t="s">
        <v>159</v>
      </c>
      <c r="O2" s="119" t="s">
        <v>160</v>
      </c>
      <c r="P2" s="119" t="s">
        <v>161</v>
      </c>
      <c r="Q2" s="119" t="s">
        <v>162</v>
      </c>
      <c r="R2" s="119" t="s">
        <v>163</v>
      </c>
      <c r="S2" s="119" t="s">
        <v>164</v>
      </c>
      <c r="T2" s="119" t="s">
        <v>165</v>
      </c>
      <c r="U2" s="119" t="s">
        <v>166</v>
      </c>
      <c r="V2" s="118" t="s">
        <v>167</v>
      </c>
      <c r="W2" s="118" t="s">
        <v>168</v>
      </c>
      <c r="X2" s="118" t="s">
        <v>169</v>
      </c>
      <c r="Y2" s="118" t="s">
        <v>170</v>
      </c>
      <c r="Z2" s="118" t="s">
        <v>171</v>
      </c>
      <c r="AA2" s="118" t="s">
        <v>172</v>
      </c>
      <c r="AB2" s="118" t="s">
        <v>173</v>
      </c>
      <c r="AC2" s="118" t="s">
        <v>174</v>
      </c>
      <c r="AD2" s="120" t="s">
        <v>175</v>
      </c>
      <c r="AE2" s="89"/>
    </row>
    <row r="3" spans="1:31">
      <c r="A3" s="89"/>
      <c r="B3" s="69" t="s">
        <v>257</v>
      </c>
      <c r="C3" s="86">
        <f>J5</f>
        <v>600.4</v>
      </c>
      <c r="D3" s="79">
        <f>J20</f>
        <v>13.3</v>
      </c>
      <c r="E3" s="128">
        <f>D3/C3</f>
        <v>2.2151898734177219E-2</v>
      </c>
      <c r="F3" s="89"/>
      <c r="G3" s="111" t="s">
        <v>258</v>
      </c>
      <c r="H3" s="112" t="s">
        <v>176</v>
      </c>
      <c r="I3" s="112" t="s">
        <v>259</v>
      </c>
      <c r="J3" s="113">
        <v>494.3</v>
      </c>
      <c r="K3" s="125" t="s">
        <v>260</v>
      </c>
      <c r="L3" s="89"/>
      <c r="M3" s="123"/>
      <c r="N3" s="113"/>
      <c r="O3" s="113"/>
      <c r="P3" s="113"/>
      <c r="Q3" s="113"/>
      <c r="R3" s="113"/>
      <c r="S3" s="113"/>
      <c r="T3" s="113"/>
      <c r="U3" s="113"/>
      <c r="V3" s="114"/>
      <c r="W3" s="113"/>
      <c r="X3" s="113"/>
      <c r="Y3" s="113"/>
      <c r="Z3" s="113"/>
      <c r="AA3" s="113"/>
      <c r="AB3" s="113"/>
      <c r="AC3" s="113"/>
      <c r="AD3" s="115"/>
      <c r="AE3" s="89"/>
    </row>
    <row r="4" spans="1:31">
      <c r="A4" s="89"/>
      <c r="B4" s="70" t="s">
        <v>261</v>
      </c>
      <c r="C4" s="87">
        <f>J6</f>
        <v>993.5</v>
      </c>
      <c r="D4" s="80">
        <f>J20</f>
        <v>13.3</v>
      </c>
      <c r="E4" s="129">
        <f>D4/C4</f>
        <v>1.3387015601409161E-2</v>
      </c>
      <c r="F4" s="89"/>
      <c r="G4" s="103" t="s">
        <v>262</v>
      </c>
      <c r="H4" s="108" t="s">
        <v>178</v>
      </c>
      <c r="I4" s="108" t="s">
        <v>263</v>
      </c>
      <c r="J4" s="75" t="s">
        <v>217</v>
      </c>
      <c r="K4" s="77" t="s">
        <v>217</v>
      </c>
      <c r="L4" s="89"/>
      <c r="M4" s="91"/>
      <c r="N4" s="96"/>
      <c r="O4" s="75"/>
      <c r="P4" s="75"/>
      <c r="Q4" s="75"/>
      <c r="R4" s="75"/>
      <c r="S4" s="75"/>
      <c r="T4" s="75"/>
      <c r="U4" s="75"/>
      <c r="V4" s="96"/>
      <c r="W4" s="96"/>
      <c r="X4" s="75"/>
      <c r="Y4" s="75"/>
      <c r="Z4" s="75"/>
      <c r="AA4" s="75"/>
      <c r="AB4" s="75"/>
      <c r="AC4" s="75"/>
      <c r="AD4" s="77"/>
      <c r="AE4" s="89"/>
    </row>
    <row r="5" spans="1:31">
      <c r="A5" s="89"/>
      <c r="B5" s="70" t="s">
        <v>264</v>
      </c>
      <c r="C5" s="87">
        <f>J5</f>
        <v>600.4</v>
      </c>
      <c r="D5" s="80">
        <f>J20</f>
        <v>13.3</v>
      </c>
      <c r="E5" s="129">
        <f t="shared" ref="E5:E19" si="0">D5/C5</f>
        <v>2.2151898734177219E-2</v>
      </c>
      <c r="F5" s="89"/>
      <c r="G5" s="103" t="s">
        <v>265</v>
      </c>
      <c r="H5" s="108" t="s">
        <v>180</v>
      </c>
      <c r="I5" s="108" t="s">
        <v>266</v>
      </c>
      <c r="J5" s="75">
        <v>600.4</v>
      </c>
      <c r="K5" s="126" t="s">
        <v>267</v>
      </c>
      <c r="L5" s="89"/>
      <c r="M5" s="92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3"/>
      <c r="AE5" s="89"/>
    </row>
    <row r="6" spans="1:31">
      <c r="A6" s="89"/>
      <c r="B6" s="70" t="s">
        <v>268</v>
      </c>
      <c r="C6" s="87">
        <f>J5</f>
        <v>600.4</v>
      </c>
      <c r="D6" s="80">
        <f>J20</f>
        <v>13.3</v>
      </c>
      <c r="E6" s="129">
        <f t="shared" si="0"/>
        <v>2.2151898734177219E-2</v>
      </c>
      <c r="F6" s="89"/>
      <c r="G6" s="76" t="s">
        <v>269</v>
      </c>
      <c r="H6" s="87" t="s">
        <v>182</v>
      </c>
      <c r="I6" s="87" t="s">
        <v>270</v>
      </c>
      <c r="J6" s="75">
        <v>993.5</v>
      </c>
      <c r="K6" s="126" t="s">
        <v>271</v>
      </c>
      <c r="L6" s="89"/>
      <c r="M6" s="76"/>
      <c r="N6" s="96"/>
      <c r="O6" s="75"/>
      <c r="P6" s="75"/>
      <c r="Q6" s="75"/>
      <c r="R6" s="75"/>
      <c r="S6" s="75"/>
      <c r="T6" s="75"/>
      <c r="U6" s="75"/>
      <c r="V6" s="75"/>
      <c r="W6" s="96"/>
      <c r="X6" s="75"/>
      <c r="Y6" s="75"/>
      <c r="Z6" s="75"/>
      <c r="AA6" s="75"/>
      <c r="AB6" s="75"/>
      <c r="AC6" s="75"/>
      <c r="AD6" s="77"/>
      <c r="AE6" s="89"/>
    </row>
    <row r="7" spans="1:31">
      <c r="A7" s="89"/>
      <c r="B7" s="70" t="s">
        <v>272</v>
      </c>
      <c r="C7" s="87">
        <f>J5</f>
        <v>600.4</v>
      </c>
      <c r="D7" s="80">
        <v>4</v>
      </c>
      <c r="E7" s="129">
        <f t="shared" si="0"/>
        <v>6.6622251832111927E-3</v>
      </c>
      <c r="F7" s="89"/>
      <c r="G7" s="76" t="s">
        <v>273</v>
      </c>
      <c r="H7" s="87" t="s">
        <v>178</v>
      </c>
      <c r="I7" s="108" t="s">
        <v>263</v>
      </c>
      <c r="J7" s="75" t="s">
        <v>217</v>
      </c>
      <c r="K7" s="77" t="s">
        <v>217</v>
      </c>
      <c r="L7" s="89"/>
      <c r="M7" s="76"/>
      <c r="N7" s="75"/>
      <c r="O7" s="96"/>
      <c r="P7" s="75"/>
      <c r="Q7" s="75"/>
      <c r="R7" s="75"/>
      <c r="S7" s="75"/>
      <c r="T7" s="75"/>
      <c r="U7" s="75"/>
      <c r="V7" s="75"/>
      <c r="W7" s="75"/>
      <c r="X7" s="96"/>
      <c r="Y7" s="75"/>
      <c r="Z7" s="75"/>
      <c r="AA7" s="75"/>
      <c r="AB7" s="75"/>
      <c r="AC7" s="75"/>
      <c r="AD7" s="77"/>
      <c r="AE7" s="89"/>
    </row>
    <row r="8" spans="1:31">
      <c r="A8" s="89"/>
      <c r="B8" s="70" t="s">
        <v>274</v>
      </c>
      <c r="C8" s="87">
        <f>J14</f>
        <v>2652</v>
      </c>
      <c r="D8" s="80">
        <f>J13</f>
        <v>11</v>
      </c>
      <c r="E8" s="129">
        <f t="shared" si="0"/>
        <v>4.1478129713423831E-3</v>
      </c>
      <c r="F8" s="89"/>
      <c r="G8" s="76" t="s">
        <v>275</v>
      </c>
      <c r="H8" s="87" t="s">
        <v>185</v>
      </c>
      <c r="I8" s="75" t="s">
        <v>217</v>
      </c>
      <c r="J8" s="75" t="s">
        <v>217</v>
      </c>
      <c r="K8" s="77" t="s">
        <v>217</v>
      </c>
      <c r="L8" s="89"/>
      <c r="M8" s="76"/>
      <c r="N8" s="75"/>
      <c r="O8" s="96"/>
      <c r="P8" s="96"/>
      <c r="Q8" s="96"/>
      <c r="R8" s="75"/>
      <c r="S8" s="96"/>
      <c r="T8" s="75"/>
      <c r="U8" s="96"/>
      <c r="V8" s="75"/>
      <c r="W8" s="75"/>
      <c r="X8" s="96"/>
      <c r="Y8" s="96"/>
      <c r="Z8" s="96"/>
      <c r="AA8" s="75"/>
      <c r="AB8" s="96"/>
      <c r="AC8" s="75"/>
      <c r="AD8" s="95"/>
      <c r="AE8" s="89"/>
    </row>
    <row r="9" spans="1:31">
      <c r="A9" s="89"/>
      <c r="B9" s="70" t="s">
        <v>276</v>
      </c>
      <c r="C9" s="87">
        <f>J16</f>
        <v>3396.4</v>
      </c>
      <c r="D9" s="80">
        <f>J20</f>
        <v>13.3</v>
      </c>
      <c r="E9" s="129">
        <f t="shared" si="0"/>
        <v>3.9159109645507005E-3</v>
      </c>
      <c r="F9" s="89"/>
      <c r="G9" s="76" t="s">
        <v>277</v>
      </c>
      <c r="H9" s="87" t="s">
        <v>187</v>
      </c>
      <c r="I9" s="87" t="s">
        <v>278</v>
      </c>
      <c r="J9" s="75">
        <v>361</v>
      </c>
      <c r="K9" s="126" t="s">
        <v>279</v>
      </c>
      <c r="L9" s="89"/>
      <c r="M9" s="76"/>
      <c r="N9" s="75"/>
      <c r="O9" s="75"/>
      <c r="P9" s="96"/>
      <c r="Q9" s="96"/>
      <c r="R9" s="96"/>
      <c r="S9" s="96"/>
      <c r="T9" s="96"/>
      <c r="U9" s="96"/>
      <c r="V9" s="75"/>
      <c r="W9" s="75"/>
      <c r="X9" s="75"/>
      <c r="Y9" s="96"/>
      <c r="Z9" s="96"/>
      <c r="AA9" s="96"/>
      <c r="AB9" s="96"/>
      <c r="AC9" s="96"/>
      <c r="AD9" s="95"/>
      <c r="AE9" s="89"/>
    </row>
    <row r="10" spans="1:31">
      <c r="A10" s="89"/>
      <c r="B10" s="71" t="s">
        <v>280</v>
      </c>
      <c r="C10" s="87">
        <f>J14</f>
        <v>2652</v>
      </c>
      <c r="D10" s="80">
        <v>4</v>
      </c>
      <c r="E10" s="129">
        <f t="shared" si="0"/>
        <v>1.5082956259426848E-3</v>
      </c>
      <c r="F10" s="89"/>
      <c r="G10" s="76" t="s">
        <v>281</v>
      </c>
      <c r="H10" s="87" t="s">
        <v>189</v>
      </c>
      <c r="I10" s="75" t="s">
        <v>217</v>
      </c>
      <c r="J10" s="75" t="s">
        <v>217</v>
      </c>
      <c r="K10" s="77" t="s">
        <v>217</v>
      </c>
      <c r="L10" s="89"/>
      <c r="M10" s="76"/>
      <c r="N10" s="75"/>
      <c r="O10" s="75"/>
      <c r="P10" s="96"/>
      <c r="Q10" s="96"/>
      <c r="R10" s="75"/>
      <c r="S10" s="75"/>
      <c r="T10" s="75"/>
      <c r="U10" s="75"/>
      <c r="V10" s="75"/>
      <c r="W10" s="75"/>
      <c r="X10" s="75"/>
      <c r="Y10" s="96"/>
      <c r="Z10" s="96"/>
      <c r="AA10" s="75"/>
      <c r="AB10" s="75"/>
      <c r="AC10" s="75"/>
      <c r="AD10" s="77"/>
      <c r="AE10" s="89"/>
    </row>
    <row r="11" spans="1:31">
      <c r="A11" s="89"/>
      <c r="B11" s="71" t="s">
        <v>282</v>
      </c>
      <c r="C11" s="87">
        <f>J16</f>
        <v>3396.4</v>
      </c>
      <c r="D11" s="80">
        <v>4</v>
      </c>
      <c r="E11" s="129">
        <f t="shared" si="0"/>
        <v>1.177717583323519E-3</v>
      </c>
      <c r="F11" s="89"/>
      <c r="G11" s="76" t="s">
        <v>283</v>
      </c>
      <c r="H11" s="87" t="s">
        <v>191</v>
      </c>
      <c r="I11" s="87" t="s">
        <v>284</v>
      </c>
      <c r="J11" s="75">
        <v>0.43</v>
      </c>
      <c r="K11" s="126" t="s">
        <v>285</v>
      </c>
      <c r="L11" s="89"/>
      <c r="M11" s="76"/>
      <c r="N11" s="75"/>
      <c r="O11" s="75"/>
      <c r="P11" s="75"/>
      <c r="Q11" s="97"/>
      <c r="R11" s="75"/>
      <c r="S11" s="75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102"/>
      <c r="AE11" s="89"/>
    </row>
    <row r="12" spans="1:31">
      <c r="A12" s="89"/>
      <c r="B12" s="71" t="s">
        <v>286</v>
      </c>
      <c r="C12" s="87">
        <v>600.4</v>
      </c>
      <c r="D12" s="80">
        <v>4</v>
      </c>
      <c r="E12" s="129">
        <f t="shared" si="0"/>
        <v>6.6622251832111927E-3</v>
      </c>
      <c r="F12" s="89"/>
      <c r="G12" s="76" t="s">
        <v>287</v>
      </c>
      <c r="H12" s="87" t="s">
        <v>193</v>
      </c>
      <c r="I12" s="87" t="s">
        <v>288</v>
      </c>
      <c r="J12" s="75">
        <v>4</v>
      </c>
      <c r="K12" s="126" t="s">
        <v>289</v>
      </c>
      <c r="L12" s="89"/>
      <c r="M12" s="76"/>
      <c r="N12" s="75"/>
      <c r="O12" s="75"/>
      <c r="P12" s="75"/>
      <c r="Q12" s="97"/>
      <c r="R12" s="75"/>
      <c r="S12" s="75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102"/>
      <c r="AE12" s="89"/>
    </row>
    <row r="13" spans="1:31">
      <c r="A13" s="89"/>
      <c r="B13" s="71" t="s">
        <v>290</v>
      </c>
      <c r="C13" s="87">
        <v>993.5</v>
      </c>
      <c r="D13" s="80">
        <v>4</v>
      </c>
      <c r="E13" s="129">
        <f t="shared" si="0"/>
        <v>4.0261701056869652E-3</v>
      </c>
      <c r="F13" s="89"/>
      <c r="G13" s="76" t="s">
        <v>291</v>
      </c>
      <c r="H13" s="87" t="s">
        <v>195</v>
      </c>
      <c r="I13" s="87" t="s">
        <v>292</v>
      </c>
      <c r="J13" s="75">
        <v>11</v>
      </c>
      <c r="K13" s="126" t="s">
        <v>293</v>
      </c>
      <c r="L13" s="89"/>
      <c r="M13" s="76"/>
      <c r="N13" s="75"/>
      <c r="O13" s="75"/>
      <c r="P13" s="75"/>
      <c r="Q13" s="75"/>
      <c r="R13" s="96"/>
      <c r="S13" s="75"/>
      <c r="T13" s="96"/>
      <c r="U13" s="75"/>
      <c r="V13" s="75"/>
      <c r="W13" s="75"/>
      <c r="X13" s="75"/>
      <c r="Y13" s="75"/>
      <c r="Z13" s="75"/>
      <c r="AA13" s="96"/>
      <c r="AB13" s="75"/>
      <c r="AC13" s="96"/>
      <c r="AD13" s="77"/>
      <c r="AE13" s="89"/>
    </row>
    <row r="14" spans="1:31">
      <c r="A14" s="89"/>
      <c r="B14" s="71" t="s">
        <v>294</v>
      </c>
      <c r="C14" s="87">
        <v>600.4</v>
      </c>
      <c r="D14" s="80">
        <v>4</v>
      </c>
      <c r="E14" s="129">
        <f t="shared" si="0"/>
        <v>6.6622251832111927E-3</v>
      </c>
      <c r="F14" s="89"/>
      <c r="G14" s="76" t="s">
        <v>295</v>
      </c>
      <c r="H14" s="87" t="s">
        <v>197</v>
      </c>
      <c r="I14" s="87" t="s">
        <v>296</v>
      </c>
      <c r="J14" s="75">
        <v>2652</v>
      </c>
      <c r="K14" s="126" t="s">
        <v>297</v>
      </c>
      <c r="L14" s="89"/>
      <c r="M14" s="76"/>
      <c r="N14" s="75"/>
      <c r="O14" s="75"/>
      <c r="P14" s="75"/>
      <c r="Q14" s="75"/>
      <c r="R14" s="96"/>
      <c r="S14" s="75"/>
      <c r="T14" s="96"/>
      <c r="U14" s="75"/>
      <c r="V14" s="75"/>
      <c r="W14" s="75"/>
      <c r="X14" s="75"/>
      <c r="Y14" s="75"/>
      <c r="Z14" s="75"/>
      <c r="AA14" s="96"/>
      <c r="AB14" s="75"/>
      <c r="AC14" s="96"/>
      <c r="AD14" s="77"/>
      <c r="AE14" s="89"/>
    </row>
    <row r="15" spans="1:31">
      <c r="A15" s="89"/>
      <c r="B15" s="71" t="s">
        <v>298</v>
      </c>
      <c r="C15" s="87">
        <v>600.4</v>
      </c>
      <c r="D15" s="80">
        <v>4</v>
      </c>
      <c r="E15" s="129">
        <f t="shared" si="0"/>
        <v>6.6622251832111927E-3</v>
      </c>
      <c r="F15" s="89"/>
      <c r="G15" s="76" t="s">
        <v>299</v>
      </c>
      <c r="H15" s="87" t="s">
        <v>199</v>
      </c>
      <c r="I15" s="87" t="s">
        <v>300</v>
      </c>
      <c r="J15" s="75" t="s">
        <v>217</v>
      </c>
      <c r="K15" s="77" t="s">
        <v>217</v>
      </c>
      <c r="L15" s="89"/>
      <c r="M15" s="76"/>
      <c r="N15" s="75"/>
      <c r="O15" s="75"/>
      <c r="P15" s="75"/>
      <c r="Q15" s="75"/>
      <c r="R15" s="96"/>
      <c r="S15" s="75"/>
      <c r="T15" s="96"/>
      <c r="U15" s="75"/>
      <c r="V15" s="75"/>
      <c r="W15" s="75"/>
      <c r="X15" s="75"/>
      <c r="Y15" s="75"/>
      <c r="Z15" s="75"/>
      <c r="AA15" s="96"/>
      <c r="AB15" s="75"/>
      <c r="AC15" s="96"/>
      <c r="AD15" s="77"/>
      <c r="AE15" s="89"/>
    </row>
    <row r="16" spans="1:31">
      <c r="A16" s="89"/>
      <c r="B16" s="71" t="s">
        <v>301</v>
      </c>
      <c r="C16" s="87">
        <v>600.4</v>
      </c>
      <c r="D16" s="80">
        <v>4</v>
      </c>
      <c r="E16" s="129">
        <f t="shared" si="0"/>
        <v>6.6622251832111927E-3</v>
      </c>
      <c r="F16" s="89"/>
      <c r="G16" s="76" t="s">
        <v>302</v>
      </c>
      <c r="H16" s="87" t="s">
        <v>197</v>
      </c>
      <c r="I16" s="87" t="s">
        <v>296</v>
      </c>
      <c r="J16" s="75">
        <v>3396.4</v>
      </c>
      <c r="K16" s="126" t="s">
        <v>303</v>
      </c>
      <c r="L16" s="89"/>
      <c r="M16" s="76"/>
      <c r="N16" s="75"/>
      <c r="O16" s="75"/>
      <c r="P16" s="75"/>
      <c r="Q16" s="75"/>
      <c r="R16" s="75"/>
      <c r="S16" s="96"/>
      <c r="T16" s="75"/>
      <c r="U16" s="96"/>
      <c r="V16" s="75"/>
      <c r="W16" s="75"/>
      <c r="X16" s="75"/>
      <c r="Y16" s="75"/>
      <c r="Z16" s="75"/>
      <c r="AA16" s="75"/>
      <c r="AB16" s="96"/>
      <c r="AC16" s="75"/>
      <c r="AD16" s="95"/>
      <c r="AE16" s="89"/>
    </row>
    <row r="17" spans="1:31">
      <c r="A17" s="89"/>
      <c r="B17" s="71" t="s">
        <v>304</v>
      </c>
      <c r="C17" s="87">
        <v>2652</v>
      </c>
      <c r="D17" s="80">
        <v>4</v>
      </c>
      <c r="E17" s="129">
        <f t="shared" si="0"/>
        <v>1.5082956259426848E-3</v>
      </c>
      <c r="F17" s="89"/>
      <c r="G17" s="76" t="s">
        <v>305</v>
      </c>
      <c r="H17" s="87" t="s">
        <v>199</v>
      </c>
      <c r="I17" s="87" t="s">
        <v>300</v>
      </c>
      <c r="J17" s="75" t="s">
        <v>217</v>
      </c>
      <c r="K17" s="77" t="s">
        <v>217</v>
      </c>
      <c r="L17" s="89"/>
      <c r="M17" s="76"/>
      <c r="N17" s="75"/>
      <c r="O17" s="75"/>
      <c r="P17" s="75"/>
      <c r="Q17" s="75"/>
      <c r="R17" s="75"/>
      <c r="S17" s="96"/>
      <c r="T17" s="75"/>
      <c r="U17" s="96"/>
      <c r="V17" s="75"/>
      <c r="W17" s="75"/>
      <c r="X17" s="75"/>
      <c r="Y17" s="75"/>
      <c r="Z17" s="75"/>
      <c r="AA17" s="75"/>
      <c r="AB17" s="96"/>
      <c r="AC17" s="75"/>
      <c r="AD17" s="95"/>
      <c r="AE17" s="89"/>
    </row>
    <row r="18" spans="1:31">
      <c r="A18" s="89"/>
      <c r="B18" s="71" t="s">
        <v>306</v>
      </c>
      <c r="C18" s="87">
        <v>3396.4</v>
      </c>
      <c r="D18" s="80">
        <v>4</v>
      </c>
      <c r="E18" s="129">
        <f t="shared" si="0"/>
        <v>1.177717583323519E-3</v>
      </c>
      <c r="F18" s="89"/>
      <c r="G18" s="104" t="s">
        <v>307</v>
      </c>
      <c r="H18" s="109" t="s">
        <v>202</v>
      </c>
      <c r="I18" s="75" t="s">
        <v>217</v>
      </c>
      <c r="J18" s="75" t="s">
        <v>217</v>
      </c>
      <c r="K18" s="77" t="s">
        <v>217</v>
      </c>
      <c r="L18" s="89"/>
      <c r="M18" s="99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0"/>
      <c r="AE18" s="89"/>
    </row>
    <row r="19" spans="1:31">
      <c r="A19" s="89"/>
      <c r="B19" s="71" t="s">
        <v>308</v>
      </c>
      <c r="C19" s="87">
        <v>2652</v>
      </c>
      <c r="D19" s="80">
        <v>4</v>
      </c>
      <c r="E19" s="129">
        <f t="shared" si="0"/>
        <v>1.5082956259426848E-3</v>
      </c>
      <c r="F19" s="89"/>
      <c r="G19" s="104" t="s">
        <v>309</v>
      </c>
      <c r="H19" s="109" t="s">
        <v>204</v>
      </c>
      <c r="I19" s="75" t="s">
        <v>217</v>
      </c>
      <c r="J19" s="75" t="s">
        <v>217</v>
      </c>
      <c r="K19" s="77" t="s">
        <v>217</v>
      </c>
      <c r="L19" s="89"/>
      <c r="M19" s="99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0"/>
      <c r="AE19" s="89"/>
    </row>
    <row r="20" spans="1:31" ht="15.75" thickBot="1">
      <c r="A20" s="89"/>
      <c r="B20" s="72" t="s">
        <v>310</v>
      </c>
      <c r="C20" s="88">
        <v>3396.4</v>
      </c>
      <c r="D20" s="81">
        <v>4</v>
      </c>
      <c r="E20" s="130">
        <f>D20/C20</f>
        <v>1.177717583323519E-3</v>
      </c>
      <c r="F20" s="89"/>
      <c r="G20" s="105" t="s">
        <v>311</v>
      </c>
      <c r="H20" s="110" t="s">
        <v>205</v>
      </c>
      <c r="I20" s="110" t="s">
        <v>312</v>
      </c>
      <c r="J20" s="78">
        <v>13.3</v>
      </c>
      <c r="K20" s="127" t="s">
        <v>313</v>
      </c>
      <c r="L20" s="89"/>
      <c r="M20" s="124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7"/>
      <c r="AE20" s="89"/>
    </row>
    <row r="21" spans="1:31">
      <c r="A21" s="89"/>
      <c r="B21" s="90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</row>
    <row r="22" spans="1:31">
      <c r="B22" s="73" t="s">
        <v>232</v>
      </c>
      <c r="C22" s="17">
        <v>2652</v>
      </c>
      <c r="D22" s="17">
        <v>4</v>
      </c>
      <c r="E22" s="197">
        <f>D22/C22</f>
        <v>1.5082956259426848E-3</v>
      </c>
      <c r="G22" s="413" t="s">
        <v>314</v>
      </c>
      <c r="H22" s="17" t="s">
        <v>241</v>
      </c>
      <c r="I22" s="414" t="s">
        <v>315</v>
      </c>
    </row>
    <row r="23" spans="1:31">
      <c r="G23" s="413" t="s">
        <v>316</v>
      </c>
      <c r="H23" s="17" t="s">
        <v>248</v>
      </c>
      <c r="I23" s="415" t="s">
        <v>317</v>
      </c>
      <c r="J23" s="17" t="s">
        <v>217</v>
      </c>
    </row>
  </sheetData>
  <hyperlinks>
    <hyperlink ref="K3" r:id="rId1" xr:uid="{857EA15E-181B-47C7-954B-C4450169C62C}"/>
    <hyperlink ref="K5" r:id="rId2" xr:uid="{DAC4587E-4A7C-472F-B017-F2DAF808C837}"/>
    <hyperlink ref="K6" r:id="rId3" xr:uid="{2B854375-ED2F-43BE-A579-51FD21912D92}"/>
    <hyperlink ref="K9" r:id="rId4" xr:uid="{4783C746-1D74-4486-8DCA-3F2AFC115030}"/>
    <hyperlink ref="K13" r:id="rId5" xr:uid="{D5BE9F35-DE72-418A-8E56-D2C019CC43F4}"/>
    <hyperlink ref="K14" r:id="rId6" xr:uid="{922E47EA-0CCC-4E9A-9A05-152B94BB2E2D}"/>
    <hyperlink ref="K16" r:id="rId7" xr:uid="{A760A82E-9A06-425D-BC53-A1799475C863}"/>
    <hyperlink ref="K20" r:id="rId8" xr:uid="{59A72B36-CB96-4252-9622-B993AA4709B1}"/>
    <hyperlink ref="K11" r:id="rId9" location="!po=32.1429" xr:uid="{BE3C6665-F601-4BB3-8C96-B076439BDEBC}"/>
    <hyperlink ref="K12" r:id="rId10" xr:uid="{6D6CD286-8DB0-4623-B02D-75304490C27D}"/>
  </hyperlinks>
  <pageMargins left="0.7" right="0.7" top="0.75" bottom="0.75" header="0.3" footer="0.3"/>
  <pageSetup paperSize="9" orientation="portrait" r:id="rId11"/>
  <legacy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4002-8A65-4F44-AD9C-4753E1549760}">
  <dimension ref="B2:U36"/>
  <sheetViews>
    <sheetView workbookViewId="0">
      <selection activeCell="U4" sqref="U4"/>
    </sheetView>
  </sheetViews>
  <sheetFormatPr defaultColWidth="4.7109375" defaultRowHeight="15"/>
  <cols>
    <col min="1" max="1" width="3.140625" customWidth="1"/>
    <col min="2" max="2" width="21.85546875" customWidth="1"/>
    <col min="3" max="20" width="6.42578125" customWidth="1"/>
    <col min="21" max="22" width="5.85546875" customWidth="1"/>
  </cols>
  <sheetData>
    <row r="2" spans="2:21">
      <c r="B2" s="334" t="s">
        <v>250</v>
      </c>
      <c r="C2" s="335" t="s">
        <v>318</v>
      </c>
      <c r="D2" s="335" t="s">
        <v>319</v>
      </c>
      <c r="E2" s="335" t="s">
        <v>320</v>
      </c>
      <c r="F2" s="335" t="s">
        <v>321</v>
      </c>
      <c r="G2" s="335" t="s">
        <v>322</v>
      </c>
      <c r="H2" s="335" t="s">
        <v>323</v>
      </c>
      <c r="I2" s="335" t="s">
        <v>324</v>
      </c>
      <c r="J2" s="335" t="s">
        <v>325</v>
      </c>
      <c r="K2" s="335" t="s">
        <v>326</v>
      </c>
      <c r="L2" s="335" t="s">
        <v>327</v>
      </c>
      <c r="M2" s="335" t="s">
        <v>328</v>
      </c>
      <c r="N2" s="335" t="s">
        <v>329</v>
      </c>
      <c r="O2" s="335" t="s">
        <v>330</v>
      </c>
      <c r="P2" s="335" t="s">
        <v>331</v>
      </c>
      <c r="Q2" s="335" t="s">
        <v>332</v>
      </c>
      <c r="R2" s="335" t="s">
        <v>333</v>
      </c>
      <c r="S2" s="335" t="s">
        <v>334</v>
      </c>
      <c r="T2" s="405" t="s">
        <v>335</v>
      </c>
      <c r="U2" s="411" t="s">
        <v>232</v>
      </c>
    </row>
    <row r="3" spans="2:21">
      <c r="B3" s="422" t="s">
        <v>336</v>
      </c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09"/>
    </row>
    <row r="4" spans="2:21">
      <c r="B4" s="336" t="s">
        <v>337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406">
        <v>1</v>
      </c>
      <c r="U4" s="409">
        <v>1</v>
      </c>
    </row>
    <row r="5" spans="2:21">
      <c r="B5" s="336" t="s">
        <v>338</v>
      </c>
      <c r="C5" s="1">
        <v>2</v>
      </c>
      <c r="D5" s="1">
        <v>3</v>
      </c>
      <c r="E5" s="1">
        <v>3</v>
      </c>
      <c r="F5" s="1">
        <v>2</v>
      </c>
      <c r="G5" s="1">
        <v>3</v>
      </c>
      <c r="H5" s="1">
        <v>1</v>
      </c>
      <c r="I5" s="1">
        <v>2</v>
      </c>
      <c r="J5" s="1">
        <v>2</v>
      </c>
      <c r="K5" s="1">
        <v>3</v>
      </c>
      <c r="L5" s="1">
        <v>3</v>
      </c>
      <c r="M5" s="1">
        <v>4</v>
      </c>
      <c r="N5" s="1">
        <v>4</v>
      </c>
      <c r="O5" s="1">
        <v>3</v>
      </c>
      <c r="P5" s="1">
        <v>3</v>
      </c>
      <c r="Q5" s="1">
        <v>2</v>
      </c>
      <c r="R5" s="1">
        <v>3</v>
      </c>
      <c r="S5" s="1">
        <v>2</v>
      </c>
      <c r="T5" s="406">
        <v>3</v>
      </c>
      <c r="U5" s="409">
        <v>2</v>
      </c>
    </row>
    <row r="6" spans="2:21">
      <c r="B6" s="336" t="s">
        <v>339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1</v>
      </c>
      <c r="T6" s="406">
        <v>0</v>
      </c>
      <c r="U6" s="409">
        <v>1</v>
      </c>
    </row>
    <row r="7" spans="2:21">
      <c r="B7" s="336" t="s">
        <v>340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406">
        <v>0</v>
      </c>
      <c r="U7" s="409">
        <v>0</v>
      </c>
    </row>
    <row r="8" spans="2:21">
      <c r="B8" s="249" t="s">
        <v>341</v>
      </c>
      <c r="C8" s="248">
        <f>SUM(C4:C7)</f>
        <v>3</v>
      </c>
      <c r="D8" s="248">
        <f t="shared" ref="D8" si="0">SUM(D4:D7)</f>
        <v>4</v>
      </c>
      <c r="E8" s="248">
        <f t="shared" ref="E8" si="1">SUM(E4:E7)</f>
        <v>4</v>
      </c>
      <c r="F8" s="248">
        <f t="shared" ref="F8" si="2">SUM(F4:F7)</f>
        <v>2</v>
      </c>
      <c r="G8" s="248">
        <f t="shared" ref="G8" si="3">SUM(G4:G7)</f>
        <v>3</v>
      </c>
      <c r="H8" s="248">
        <f t="shared" ref="H8" si="4">SUM(H4:H7)</f>
        <v>3</v>
      </c>
      <c r="I8" s="248">
        <f t="shared" ref="I8" si="5">SUM(I4:I7)</f>
        <v>3</v>
      </c>
      <c r="J8" s="248">
        <f t="shared" ref="J8" si="6">SUM(J4:J7)</f>
        <v>4</v>
      </c>
      <c r="K8" s="248">
        <f t="shared" ref="K8" si="7">SUM(K4:K7)</f>
        <v>4</v>
      </c>
      <c r="L8" s="248">
        <f t="shared" ref="L8" si="8">SUM(L4:L7)</f>
        <v>4</v>
      </c>
      <c r="M8" s="248">
        <f t="shared" ref="M8" si="9">SUM(M4:M7)</f>
        <v>5</v>
      </c>
      <c r="N8" s="248">
        <f t="shared" ref="N8" si="10">SUM(N4:N7)</f>
        <v>5</v>
      </c>
      <c r="O8" s="248">
        <f t="shared" ref="O8" si="11">SUM(O4:O7)</f>
        <v>3</v>
      </c>
      <c r="P8" s="248">
        <f t="shared" ref="P8" si="12">SUM(P4:P7)</f>
        <v>3</v>
      </c>
      <c r="Q8" s="248">
        <f t="shared" ref="Q8" si="13">SUM(Q4:Q7)</f>
        <v>4</v>
      </c>
      <c r="R8" s="248">
        <f t="shared" ref="R8" si="14">SUM(R4:R7)</f>
        <v>4</v>
      </c>
      <c r="S8" s="248">
        <f t="shared" ref="S8" si="15">SUM(S4:S7)</f>
        <v>4</v>
      </c>
      <c r="T8" s="407">
        <f t="shared" ref="T8:U8" si="16">SUM(T4:T7)</f>
        <v>4</v>
      </c>
      <c r="U8" s="409">
        <f t="shared" si="16"/>
        <v>4</v>
      </c>
    </row>
    <row r="9" spans="2:21">
      <c r="B9" s="333"/>
      <c r="C9">
        <f>C8/(MAX($C$8:$T$8))</f>
        <v>0.6</v>
      </c>
      <c r="D9">
        <f t="shared" ref="D9:U9" si="17">D8/(MAX($C$8:$T$8))</f>
        <v>0.8</v>
      </c>
      <c r="E9">
        <f t="shared" si="17"/>
        <v>0.8</v>
      </c>
      <c r="F9">
        <f t="shared" si="17"/>
        <v>0.4</v>
      </c>
      <c r="G9">
        <f t="shared" si="17"/>
        <v>0.6</v>
      </c>
      <c r="H9">
        <f t="shared" si="17"/>
        <v>0.6</v>
      </c>
      <c r="I9">
        <f t="shared" si="17"/>
        <v>0.6</v>
      </c>
      <c r="J9">
        <f t="shared" si="17"/>
        <v>0.8</v>
      </c>
      <c r="K9">
        <f>K8/(MAX($C$8:$T$8))</f>
        <v>0.8</v>
      </c>
      <c r="L9">
        <f t="shared" si="17"/>
        <v>0.8</v>
      </c>
      <c r="M9">
        <f t="shared" si="17"/>
        <v>1</v>
      </c>
      <c r="N9">
        <f t="shared" si="17"/>
        <v>1</v>
      </c>
      <c r="O9">
        <f t="shared" si="17"/>
        <v>0.6</v>
      </c>
      <c r="P9">
        <f t="shared" si="17"/>
        <v>0.6</v>
      </c>
      <c r="Q9">
        <f t="shared" si="17"/>
        <v>0.8</v>
      </c>
      <c r="R9">
        <f t="shared" si="17"/>
        <v>0.8</v>
      </c>
      <c r="S9">
        <f t="shared" si="17"/>
        <v>0.8</v>
      </c>
      <c r="T9">
        <f t="shared" si="17"/>
        <v>0.8</v>
      </c>
      <c r="U9" s="409">
        <f t="shared" si="17"/>
        <v>0.8</v>
      </c>
    </row>
    <row r="10" spans="2:21">
      <c r="B10" s="424" t="s">
        <v>342</v>
      </c>
      <c r="C10" s="425"/>
      <c r="D10" s="425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12"/>
    </row>
    <row r="11" spans="2:21">
      <c r="B11" s="336" t="s">
        <v>343</v>
      </c>
      <c r="C11" s="1">
        <v>2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2</v>
      </c>
      <c r="S11" s="1">
        <v>2</v>
      </c>
      <c r="T11" s="406">
        <v>2</v>
      </c>
      <c r="U11" s="409">
        <v>2</v>
      </c>
    </row>
    <row r="12" spans="2:21">
      <c r="B12" s="336" t="s">
        <v>344</v>
      </c>
      <c r="C12" s="1">
        <v>1</v>
      </c>
      <c r="D12" s="1">
        <v>1</v>
      </c>
      <c r="E12" s="1">
        <v>1</v>
      </c>
      <c r="F12" s="1">
        <v>1</v>
      </c>
      <c r="G12" s="1">
        <v>2</v>
      </c>
      <c r="H12" s="1">
        <v>1</v>
      </c>
      <c r="I12" s="1">
        <v>1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406">
        <v>2</v>
      </c>
      <c r="U12" s="409">
        <v>1</v>
      </c>
    </row>
    <row r="13" spans="2:21">
      <c r="B13" s="336" t="s">
        <v>345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406">
        <v>1</v>
      </c>
      <c r="U13" s="409">
        <v>2</v>
      </c>
    </row>
    <row r="14" spans="2:21">
      <c r="B14" s="337" t="s">
        <v>346</v>
      </c>
      <c r="C14" s="247">
        <v>0</v>
      </c>
      <c r="D14" s="247">
        <v>0</v>
      </c>
      <c r="E14" s="247">
        <v>0</v>
      </c>
      <c r="F14" s="247">
        <v>0</v>
      </c>
      <c r="G14" s="247">
        <v>0</v>
      </c>
      <c r="H14" s="247">
        <v>0</v>
      </c>
      <c r="I14" s="247">
        <v>0</v>
      </c>
      <c r="J14" s="247">
        <v>0</v>
      </c>
      <c r="K14" s="247">
        <v>0</v>
      </c>
      <c r="L14" s="247">
        <v>0</v>
      </c>
      <c r="M14" s="247">
        <v>0</v>
      </c>
      <c r="N14" s="247">
        <v>0</v>
      </c>
      <c r="O14" s="247">
        <v>0</v>
      </c>
      <c r="P14" s="247">
        <v>0</v>
      </c>
      <c r="Q14" s="247">
        <v>0</v>
      </c>
      <c r="R14" s="247">
        <v>0</v>
      </c>
      <c r="S14" s="247">
        <v>0</v>
      </c>
      <c r="T14" s="408">
        <v>0</v>
      </c>
      <c r="U14" s="409">
        <v>0</v>
      </c>
    </row>
    <row r="15" spans="2:21">
      <c r="B15" s="249" t="s">
        <v>347</v>
      </c>
      <c r="C15" s="248">
        <f>SUM(C11:C14)</f>
        <v>3</v>
      </c>
      <c r="D15" s="248">
        <f t="shared" ref="D15:U15" si="18">SUM(D11:D14)</f>
        <v>2</v>
      </c>
      <c r="E15" s="248">
        <f t="shared" si="18"/>
        <v>2</v>
      </c>
      <c r="F15" s="248">
        <f t="shared" si="18"/>
        <v>3</v>
      </c>
      <c r="G15" s="248">
        <f t="shared" si="18"/>
        <v>4</v>
      </c>
      <c r="H15" s="248">
        <f t="shared" si="18"/>
        <v>4</v>
      </c>
      <c r="I15" s="248">
        <f t="shared" si="18"/>
        <v>4</v>
      </c>
      <c r="J15" s="248">
        <f t="shared" si="18"/>
        <v>5</v>
      </c>
      <c r="K15" s="248">
        <f t="shared" si="18"/>
        <v>5</v>
      </c>
      <c r="L15" s="248">
        <f t="shared" si="18"/>
        <v>4</v>
      </c>
      <c r="M15" s="248">
        <f t="shared" si="18"/>
        <v>3</v>
      </c>
      <c r="N15" s="248">
        <f t="shared" si="18"/>
        <v>3</v>
      </c>
      <c r="O15" s="248">
        <f t="shared" si="18"/>
        <v>4</v>
      </c>
      <c r="P15" s="248">
        <f t="shared" si="18"/>
        <v>4</v>
      </c>
      <c r="Q15" s="248">
        <f t="shared" si="18"/>
        <v>5</v>
      </c>
      <c r="R15" s="248">
        <f t="shared" si="18"/>
        <v>5</v>
      </c>
      <c r="S15" s="248">
        <f t="shared" si="18"/>
        <v>5</v>
      </c>
      <c r="T15" s="407">
        <f t="shared" si="18"/>
        <v>5</v>
      </c>
      <c r="U15" s="409">
        <f t="shared" si="18"/>
        <v>5</v>
      </c>
    </row>
    <row r="16" spans="2:21">
      <c r="B16" s="204"/>
      <c r="C16">
        <f>C15/(MAX($C$15:$T$15))</f>
        <v>0.6</v>
      </c>
      <c r="D16">
        <f>D15/(MAX($C$15:$T$15))</f>
        <v>0.4</v>
      </c>
      <c r="E16">
        <f t="shared" ref="E16:U16" si="19">E15/(MAX($C$15:$T$15))</f>
        <v>0.4</v>
      </c>
      <c r="F16">
        <f t="shared" si="19"/>
        <v>0.6</v>
      </c>
      <c r="G16">
        <f t="shared" si="19"/>
        <v>0.8</v>
      </c>
      <c r="H16">
        <f t="shared" si="19"/>
        <v>0.8</v>
      </c>
      <c r="I16">
        <f t="shared" si="19"/>
        <v>0.8</v>
      </c>
      <c r="J16">
        <f t="shared" si="19"/>
        <v>1</v>
      </c>
      <c r="K16">
        <f t="shared" si="19"/>
        <v>1</v>
      </c>
      <c r="L16">
        <f t="shared" si="19"/>
        <v>0.8</v>
      </c>
      <c r="M16">
        <f t="shared" si="19"/>
        <v>0.6</v>
      </c>
      <c r="N16">
        <f t="shared" si="19"/>
        <v>0.6</v>
      </c>
      <c r="O16">
        <f t="shared" si="19"/>
        <v>0.8</v>
      </c>
      <c r="P16">
        <f t="shared" si="19"/>
        <v>0.8</v>
      </c>
      <c r="Q16">
        <f t="shared" si="19"/>
        <v>1</v>
      </c>
      <c r="R16">
        <f t="shared" si="19"/>
        <v>1</v>
      </c>
      <c r="S16">
        <f t="shared" si="19"/>
        <v>1</v>
      </c>
      <c r="T16">
        <f t="shared" si="19"/>
        <v>1</v>
      </c>
      <c r="U16" s="409">
        <f t="shared" si="19"/>
        <v>1</v>
      </c>
    </row>
    <row r="17" spans="2:21">
      <c r="B17" s="371" t="s">
        <v>348</v>
      </c>
      <c r="C17" s="372">
        <f>C16*0.5+C9*0.5</f>
        <v>0.6</v>
      </c>
      <c r="D17" s="372">
        <f t="shared" ref="D17:U17" si="20">D16*0.5+D9*0.5</f>
        <v>0.60000000000000009</v>
      </c>
      <c r="E17" s="372">
        <f t="shared" si="20"/>
        <v>0.60000000000000009</v>
      </c>
      <c r="F17" s="373">
        <f t="shared" si="20"/>
        <v>0.5</v>
      </c>
      <c r="G17" s="372">
        <f t="shared" si="20"/>
        <v>0.7</v>
      </c>
      <c r="H17" s="372">
        <f t="shared" si="20"/>
        <v>0.7</v>
      </c>
      <c r="I17" s="372">
        <f t="shared" si="20"/>
        <v>0.7</v>
      </c>
      <c r="J17" s="374">
        <f t="shared" si="20"/>
        <v>0.9</v>
      </c>
      <c r="K17" s="374">
        <f t="shared" si="20"/>
        <v>0.9</v>
      </c>
      <c r="L17" s="372">
        <f t="shared" si="20"/>
        <v>0.8</v>
      </c>
      <c r="M17" s="372">
        <f>M16*0.5+M9*0.5</f>
        <v>0.8</v>
      </c>
      <c r="N17" s="372">
        <f t="shared" si="20"/>
        <v>0.8</v>
      </c>
      <c r="O17" s="372">
        <f t="shared" si="20"/>
        <v>0.7</v>
      </c>
      <c r="P17" s="372">
        <f t="shared" si="20"/>
        <v>0.7</v>
      </c>
      <c r="Q17" s="374">
        <f t="shared" si="20"/>
        <v>0.9</v>
      </c>
      <c r="R17" s="374">
        <f t="shared" si="20"/>
        <v>0.9</v>
      </c>
      <c r="S17" s="374">
        <f t="shared" si="20"/>
        <v>0.9</v>
      </c>
      <c r="T17" s="374">
        <f t="shared" si="20"/>
        <v>0.9</v>
      </c>
      <c r="U17" s="410">
        <f t="shared" si="20"/>
        <v>0.9</v>
      </c>
    </row>
    <row r="18" spans="2:21">
      <c r="B18" s="204"/>
    </row>
    <row r="19" spans="2:21">
      <c r="C19" cm="1">
        <f t="array" ref="C19:C36">TRANSPOSE(C9:T9)</f>
        <v>0.6</v>
      </c>
      <c r="E19" cm="1">
        <f t="array" ref="E19:E36">TRANSPOSE(C16:T16)</f>
        <v>0.6</v>
      </c>
      <c r="G19" cm="1">
        <f t="array" ref="G19:G36">TRANSPOSE(C17:T17)</f>
        <v>0.6</v>
      </c>
    </row>
    <row r="20" spans="2:21">
      <c r="C20">
        <v>0.8</v>
      </c>
      <c r="E20">
        <v>0.4</v>
      </c>
      <c r="G20">
        <v>0.60000000000000009</v>
      </c>
    </row>
    <row r="21" spans="2:21">
      <c r="C21">
        <v>0.8</v>
      </c>
      <c r="E21">
        <v>0.4</v>
      </c>
      <c r="G21">
        <v>0.60000000000000009</v>
      </c>
    </row>
    <row r="22" spans="2:21">
      <c r="C22">
        <v>0.4</v>
      </c>
      <c r="E22">
        <v>0.6</v>
      </c>
      <c r="G22">
        <v>0.5</v>
      </c>
    </row>
    <row r="23" spans="2:21">
      <c r="C23">
        <v>0.6</v>
      </c>
      <c r="E23">
        <v>0.8</v>
      </c>
      <c r="G23">
        <v>0.7</v>
      </c>
    </row>
    <row r="24" spans="2:21">
      <c r="C24">
        <v>0.6</v>
      </c>
      <c r="E24">
        <v>0.8</v>
      </c>
      <c r="G24">
        <v>0.7</v>
      </c>
    </row>
    <row r="25" spans="2:21">
      <c r="C25">
        <v>0.6</v>
      </c>
      <c r="E25">
        <v>0.8</v>
      </c>
      <c r="G25">
        <v>0.7</v>
      </c>
    </row>
    <row r="26" spans="2:21">
      <c r="C26">
        <v>0.8</v>
      </c>
      <c r="E26">
        <v>1</v>
      </c>
      <c r="G26">
        <v>0.9</v>
      </c>
    </row>
    <row r="27" spans="2:21">
      <c r="C27">
        <v>0.8</v>
      </c>
      <c r="E27">
        <v>1</v>
      </c>
      <c r="G27">
        <v>0.9</v>
      </c>
    </row>
    <row r="28" spans="2:21">
      <c r="C28">
        <v>0.8</v>
      </c>
      <c r="E28">
        <v>0.8</v>
      </c>
      <c r="G28">
        <v>0.8</v>
      </c>
    </row>
    <row r="29" spans="2:21">
      <c r="C29">
        <v>1</v>
      </c>
      <c r="E29">
        <v>0.6</v>
      </c>
      <c r="G29">
        <v>0.8</v>
      </c>
    </row>
    <row r="30" spans="2:21">
      <c r="C30">
        <v>1</v>
      </c>
      <c r="E30">
        <v>0.6</v>
      </c>
      <c r="G30">
        <v>0.8</v>
      </c>
    </row>
    <row r="31" spans="2:21">
      <c r="C31">
        <v>0.6</v>
      </c>
      <c r="E31">
        <v>0.8</v>
      </c>
      <c r="G31">
        <v>0.7</v>
      </c>
    </row>
    <row r="32" spans="2:21">
      <c r="C32">
        <v>0.6</v>
      </c>
      <c r="E32">
        <v>0.8</v>
      </c>
      <c r="G32">
        <v>0.7</v>
      </c>
    </row>
    <row r="33" spans="3:7">
      <c r="C33">
        <v>0.8</v>
      </c>
      <c r="E33">
        <v>1</v>
      </c>
      <c r="G33">
        <v>0.9</v>
      </c>
    </row>
    <row r="34" spans="3:7">
      <c r="C34">
        <v>0.8</v>
      </c>
      <c r="E34">
        <v>1</v>
      </c>
      <c r="G34">
        <v>0.9</v>
      </c>
    </row>
    <row r="35" spans="3:7">
      <c r="C35">
        <v>0.8</v>
      </c>
      <c r="E35">
        <v>1</v>
      </c>
      <c r="G35">
        <v>0.9</v>
      </c>
    </row>
    <row r="36" spans="3:7">
      <c r="C36">
        <v>0.8</v>
      </c>
      <c r="E36">
        <v>1</v>
      </c>
      <c r="G36">
        <v>0.9</v>
      </c>
    </row>
  </sheetData>
  <mergeCells count="2">
    <mergeCell ref="B3:T3"/>
    <mergeCell ref="B10:T10"/>
  </mergeCells>
  <phoneticPr fontId="24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FB0F-EE8D-4A4E-BA44-E0EA14C19048}">
  <dimension ref="B1:AQ238"/>
  <sheetViews>
    <sheetView workbookViewId="0">
      <selection activeCell="F2" sqref="F2:G2"/>
    </sheetView>
  </sheetViews>
  <sheetFormatPr defaultColWidth="4.7109375" defaultRowHeight="15"/>
  <cols>
    <col min="1" max="1" width="3.140625" customWidth="1"/>
    <col min="2" max="2" width="25" bestFit="1" customWidth="1"/>
    <col min="3" max="3" width="41.7109375" bestFit="1" customWidth="1"/>
    <col min="4" max="4" width="64.28515625" bestFit="1" customWidth="1"/>
    <col min="5" max="5" width="4" bestFit="1" customWidth="1"/>
    <col min="6" max="6" width="14" bestFit="1" customWidth="1"/>
    <col min="7" max="7" width="11.7109375" bestFit="1" customWidth="1"/>
    <col min="8" max="8" width="5" bestFit="1" customWidth="1"/>
    <col min="9" max="9" width="11.7109375" bestFit="1" customWidth="1"/>
    <col min="10" max="10" width="5" bestFit="1" customWidth="1"/>
    <col min="11" max="11" width="8" bestFit="1" customWidth="1"/>
    <col min="12" max="12" width="5" bestFit="1" customWidth="1"/>
    <col min="13" max="13" width="8" bestFit="1" customWidth="1"/>
    <col min="14" max="14" width="5" bestFit="1" customWidth="1"/>
    <col min="15" max="15" width="8" bestFit="1" customWidth="1"/>
    <col min="16" max="16" width="5" bestFit="1" customWidth="1"/>
    <col min="17" max="17" width="8" bestFit="1" customWidth="1"/>
    <col min="19" max="19" width="14" bestFit="1" customWidth="1"/>
    <col min="20" max="20" width="8" bestFit="1" customWidth="1"/>
    <col min="21" max="21" width="4.5703125" bestFit="1" customWidth="1"/>
    <col min="22" max="22" width="8" bestFit="1" customWidth="1"/>
    <col min="23" max="23" width="4.5703125" bestFit="1" customWidth="1"/>
    <col min="24" max="24" width="8" bestFit="1" customWidth="1"/>
    <col min="25" max="25" width="4.5703125" bestFit="1" customWidth="1"/>
    <col min="26" max="26" width="8" bestFit="1" customWidth="1"/>
    <col min="27" max="27" width="4.5703125" bestFit="1" customWidth="1"/>
    <col min="28" max="28" width="8" bestFit="1" customWidth="1"/>
    <col min="29" max="29" width="4.5703125" bestFit="1" customWidth="1"/>
    <col min="30" max="30" width="8" bestFit="1" customWidth="1"/>
    <col min="32" max="32" width="14" bestFit="1" customWidth="1"/>
    <col min="33" max="33" width="8" bestFit="1" customWidth="1"/>
    <col min="34" max="34" width="4.5703125" bestFit="1" customWidth="1"/>
    <col min="35" max="35" width="8" bestFit="1" customWidth="1"/>
    <col min="36" max="36" width="4.5703125" bestFit="1" customWidth="1"/>
    <col min="37" max="37" width="8" bestFit="1" customWidth="1"/>
    <col min="38" max="38" width="4.5703125" bestFit="1" customWidth="1"/>
    <col min="39" max="39" width="8" bestFit="1" customWidth="1"/>
    <col min="40" max="40" width="4.5703125" bestFit="1" customWidth="1"/>
    <col min="41" max="41" width="8" bestFit="1" customWidth="1"/>
    <col min="42" max="42" width="4.5703125" bestFit="1" customWidth="1"/>
    <col min="43" max="43" width="8" bestFit="1" customWidth="1"/>
  </cols>
  <sheetData>
    <row r="1" spans="2:43" ht="15.75" thickBot="1">
      <c r="F1" s="433" t="s">
        <v>349</v>
      </c>
      <c r="G1" s="434"/>
      <c r="H1" s="434"/>
      <c r="I1" s="434"/>
      <c r="J1" s="434"/>
      <c r="K1" s="434"/>
      <c r="L1" s="434"/>
      <c r="M1" s="434"/>
      <c r="N1" s="434"/>
      <c r="O1" s="434"/>
      <c r="P1" s="435"/>
      <c r="Q1" s="353"/>
      <c r="S1" s="420" t="s">
        <v>350</v>
      </c>
      <c r="T1" s="436"/>
      <c r="U1" s="436"/>
      <c r="V1" s="436"/>
      <c r="W1" s="436"/>
      <c r="X1" s="436"/>
      <c r="Y1" s="436"/>
      <c r="Z1" s="436"/>
      <c r="AA1" s="436"/>
      <c r="AB1" s="436"/>
      <c r="AC1" s="436"/>
      <c r="AD1" s="421"/>
      <c r="AF1" s="420" t="s">
        <v>155</v>
      </c>
      <c r="AG1" s="436"/>
      <c r="AH1" s="436"/>
      <c r="AI1" s="436"/>
      <c r="AJ1" s="436"/>
      <c r="AK1" s="436"/>
      <c r="AL1" s="436"/>
      <c r="AM1" s="436"/>
      <c r="AN1" s="436"/>
      <c r="AO1" s="436"/>
      <c r="AP1" s="436"/>
      <c r="AQ1" s="421"/>
    </row>
    <row r="2" spans="2:43">
      <c r="B2" s="343" t="s">
        <v>351</v>
      </c>
      <c r="C2" s="343" t="s">
        <v>352</v>
      </c>
      <c r="D2" s="343" t="s">
        <v>254</v>
      </c>
      <c r="F2" s="437" t="s">
        <v>353</v>
      </c>
      <c r="G2" s="438"/>
      <c r="H2" s="439" t="s">
        <v>354</v>
      </c>
      <c r="I2" s="438"/>
      <c r="J2" s="439" t="s">
        <v>338</v>
      </c>
      <c r="K2" s="438"/>
      <c r="L2" s="439" t="s">
        <v>355</v>
      </c>
      <c r="M2" s="438"/>
      <c r="N2" s="439" t="s">
        <v>337</v>
      </c>
      <c r="O2" s="438"/>
      <c r="P2" s="439" t="s">
        <v>356</v>
      </c>
      <c r="Q2" s="440"/>
      <c r="S2" s="432" t="s">
        <v>353</v>
      </c>
      <c r="T2" s="430"/>
      <c r="U2" s="429" t="s">
        <v>354</v>
      </c>
      <c r="V2" s="430"/>
      <c r="W2" s="429" t="s">
        <v>338</v>
      </c>
      <c r="X2" s="430"/>
      <c r="Y2" s="429" t="s">
        <v>355</v>
      </c>
      <c r="Z2" s="430"/>
      <c r="AA2" s="429" t="s">
        <v>337</v>
      </c>
      <c r="AB2" s="430"/>
      <c r="AC2" s="429" t="s">
        <v>356</v>
      </c>
      <c r="AD2" s="431"/>
      <c r="AF2" s="432" t="s">
        <v>353</v>
      </c>
      <c r="AG2" s="430"/>
      <c r="AH2" s="429" t="s">
        <v>354</v>
      </c>
      <c r="AI2" s="430"/>
      <c r="AJ2" s="429" t="s">
        <v>338</v>
      </c>
      <c r="AK2" s="430"/>
      <c r="AL2" s="429" t="s">
        <v>355</v>
      </c>
      <c r="AM2" s="430"/>
      <c r="AN2" s="429" t="s">
        <v>337</v>
      </c>
      <c r="AO2" s="430"/>
      <c r="AP2" s="429" t="s">
        <v>356</v>
      </c>
      <c r="AQ2" s="431"/>
    </row>
    <row r="3" spans="2:43">
      <c r="B3" s="344" t="s">
        <v>258</v>
      </c>
      <c r="C3" s="345" t="s">
        <v>357</v>
      </c>
      <c r="D3" s="346" t="s">
        <v>358</v>
      </c>
      <c r="F3" s="338">
        <v>233</v>
      </c>
      <c r="G3" s="329">
        <v>0</v>
      </c>
      <c r="H3" s="340">
        <v>233</v>
      </c>
      <c r="I3" s="340">
        <v>0</v>
      </c>
      <c r="J3" s="329">
        <v>10</v>
      </c>
      <c r="K3" s="329"/>
      <c r="L3" s="329">
        <v>10</v>
      </c>
      <c r="M3" s="329"/>
      <c r="N3" s="329">
        <v>31</v>
      </c>
      <c r="O3" s="329"/>
      <c r="P3" s="329">
        <v>31</v>
      </c>
      <c r="Q3" s="339"/>
      <c r="S3" s="338" t="s">
        <v>359</v>
      </c>
      <c r="T3" s="329"/>
      <c r="U3" s="329" t="s">
        <v>359</v>
      </c>
      <c r="V3" s="329"/>
      <c r="W3" s="329" t="s">
        <v>359</v>
      </c>
      <c r="X3" s="329"/>
      <c r="Y3" s="329" t="s">
        <v>359</v>
      </c>
      <c r="Z3" s="340"/>
      <c r="AA3" s="329" t="s">
        <v>359</v>
      </c>
      <c r="AB3" s="329"/>
      <c r="AC3" s="329" t="s">
        <v>359</v>
      </c>
      <c r="AD3" s="339"/>
      <c r="AF3" s="338" t="s">
        <v>359</v>
      </c>
      <c r="AG3" s="329"/>
      <c r="AH3" s="329" t="s">
        <v>359</v>
      </c>
      <c r="AI3" s="329"/>
      <c r="AJ3" s="329" t="s">
        <v>359</v>
      </c>
      <c r="AK3" s="329"/>
      <c r="AL3" s="329" t="s">
        <v>359</v>
      </c>
      <c r="AM3" s="340"/>
      <c r="AN3" s="329" t="s">
        <v>359</v>
      </c>
      <c r="AO3" s="329"/>
      <c r="AP3" s="329" t="s">
        <v>359</v>
      </c>
      <c r="AQ3" s="339"/>
    </row>
    <row r="4" spans="2:43" ht="30">
      <c r="B4" s="344" t="s">
        <v>262</v>
      </c>
      <c r="C4" s="345" t="s">
        <v>360</v>
      </c>
      <c r="D4" s="346" t="s">
        <v>361</v>
      </c>
      <c r="F4" s="338">
        <v>725</v>
      </c>
      <c r="G4" s="329">
        <v>0</v>
      </c>
      <c r="H4" s="329">
        <v>664</v>
      </c>
      <c r="I4" s="329">
        <v>0</v>
      </c>
      <c r="J4" s="329">
        <v>34</v>
      </c>
      <c r="K4" s="329"/>
      <c r="L4" s="329">
        <v>34</v>
      </c>
      <c r="M4" s="329"/>
      <c r="N4" s="329">
        <v>32</v>
      </c>
      <c r="O4" s="329"/>
      <c r="P4" s="329">
        <v>32</v>
      </c>
      <c r="Q4" s="339"/>
      <c r="S4" s="338"/>
      <c r="T4" s="329"/>
      <c r="U4" s="329"/>
      <c r="V4" s="329"/>
      <c r="W4" s="329"/>
      <c r="X4" s="329"/>
      <c r="Y4" s="329"/>
      <c r="Z4" s="329"/>
      <c r="AA4" s="329"/>
      <c r="AB4" s="329"/>
      <c r="AC4" s="329"/>
      <c r="AD4" s="339"/>
      <c r="AF4" s="338"/>
      <c r="AG4" s="329"/>
      <c r="AH4" s="329"/>
      <c r="AI4" s="329"/>
      <c r="AJ4" s="329"/>
      <c r="AK4" s="329"/>
      <c r="AL4" s="329"/>
      <c r="AM4" s="329"/>
      <c r="AN4" s="329"/>
      <c r="AO4" s="329"/>
      <c r="AP4" s="329"/>
      <c r="AQ4" s="339"/>
    </row>
    <row r="5" spans="2:43">
      <c r="B5" s="344" t="s">
        <v>265</v>
      </c>
      <c r="C5" s="347" t="s">
        <v>362</v>
      </c>
      <c r="D5" s="346" t="s">
        <v>363</v>
      </c>
      <c r="F5" s="354">
        <v>1014</v>
      </c>
      <c r="G5" s="340">
        <v>0</v>
      </c>
      <c r="H5" s="340">
        <v>725</v>
      </c>
      <c r="I5" s="340">
        <v>0</v>
      </c>
      <c r="J5" s="329">
        <v>58</v>
      </c>
      <c r="K5" s="329"/>
      <c r="L5" s="329">
        <v>58</v>
      </c>
      <c r="M5" s="329"/>
      <c r="N5" s="329">
        <v>46</v>
      </c>
      <c r="O5" s="329"/>
      <c r="P5" s="329">
        <v>46</v>
      </c>
      <c r="Q5" s="339"/>
      <c r="S5" s="354"/>
      <c r="T5" s="340"/>
      <c r="U5" s="340"/>
      <c r="V5" s="340"/>
      <c r="W5" s="340"/>
      <c r="X5" s="340"/>
      <c r="Y5" s="340"/>
      <c r="Z5" s="340"/>
      <c r="AA5" s="329"/>
      <c r="AB5" s="329"/>
      <c r="AC5" s="329"/>
      <c r="AD5" s="339"/>
      <c r="AF5" s="354"/>
      <c r="AG5" s="340"/>
      <c r="AH5" s="340"/>
      <c r="AI5" s="340"/>
      <c r="AJ5" s="340"/>
      <c r="AK5" s="340"/>
      <c r="AL5" s="340"/>
      <c r="AM5" s="340"/>
      <c r="AN5" s="329"/>
      <c r="AO5" s="329"/>
      <c r="AP5" s="329"/>
      <c r="AQ5" s="339"/>
    </row>
    <row r="6" spans="2:43">
      <c r="B6" s="344" t="s">
        <v>269</v>
      </c>
      <c r="C6" s="345" t="s">
        <v>364</v>
      </c>
      <c r="D6" s="346" t="s">
        <v>365</v>
      </c>
      <c r="F6" s="354">
        <v>1033</v>
      </c>
      <c r="G6" s="340">
        <v>0</v>
      </c>
      <c r="H6" s="329">
        <v>929</v>
      </c>
      <c r="I6" s="329">
        <v>0</v>
      </c>
      <c r="J6" s="329">
        <v>89</v>
      </c>
      <c r="K6" s="329"/>
      <c r="L6" s="329">
        <v>89</v>
      </c>
      <c r="M6" s="329"/>
      <c r="N6" s="329">
        <v>81</v>
      </c>
      <c r="O6" s="329"/>
      <c r="P6" s="329">
        <v>81</v>
      </c>
      <c r="Q6" s="339"/>
      <c r="S6" s="354"/>
      <c r="T6" s="340"/>
      <c r="U6" s="340"/>
      <c r="V6" s="340"/>
      <c r="W6" s="340"/>
      <c r="X6" s="340"/>
      <c r="Y6" s="340"/>
      <c r="Z6" s="329"/>
      <c r="AA6" s="329"/>
      <c r="AB6" s="329"/>
      <c r="AC6" s="329"/>
      <c r="AD6" s="339"/>
      <c r="AF6" s="354"/>
      <c r="AG6" s="340"/>
      <c r="AH6" s="340"/>
      <c r="AI6" s="340"/>
      <c r="AJ6" s="340"/>
      <c r="AK6" s="340"/>
      <c r="AL6" s="340"/>
      <c r="AM6" s="329"/>
      <c r="AN6" s="329"/>
      <c r="AO6" s="329"/>
      <c r="AP6" s="329"/>
      <c r="AQ6" s="339"/>
    </row>
    <row r="7" spans="2:43">
      <c r="B7" s="344" t="s">
        <v>273</v>
      </c>
      <c r="C7" s="345" t="s">
        <v>360</v>
      </c>
      <c r="D7" s="346" t="s">
        <v>366</v>
      </c>
      <c r="F7" s="338">
        <v>1390</v>
      </c>
      <c r="G7" s="362">
        <v>-999920</v>
      </c>
      <c r="H7" s="329">
        <v>1014</v>
      </c>
      <c r="I7">
        <v>0</v>
      </c>
      <c r="J7" s="329">
        <v>90</v>
      </c>
      <c r="K7" s="329"/>
      <c r="L7" s="329">
        <v>90</v>
      </c>
      <c r="M7" s="329"/>
      <c r="N7" s="329">
        <v>103</v>
      </c>
      <c r="O7" s="329"/>
      <c r="P7" s="329">
        <v>103</v>
      </c>
      <c r="Q7" s="339"/>
      <c r="S7" s="338"/>
      <c r="T7" s="329"/>
      <c r="U7" s="329"/>
      <c r="V7" s="329"/>
      <c r="W7" s="329"/>
      <c r="X7" s="329"/>
      <c r="Y7" s="329"/>
      <c r="Z7" s="329"/>
      <c r="AA7" s="329"/>
      <c r="AB7" s="329"/>
      <c r="AC7" s="329"/>
      <c r="AD7" s="339"/>
      <c r="AF7" s="338"/>
      <c r="AG7" s="329"/>
      <c r="AH7" s="329"/>
      <c r="AI7" s="329"/>
      <c r="AJ7" s="329"/>
      <c r="AK7" s="329"/>
      <c r="AL7" s="329"/>
      <c r="AM7" s="329"/>
      <c r="AN7" s="329"/>
      <c r="AO7" s="329"/>
      <c r="AP7" s="329"/>
      <c r="AQ7" s="339"/>
    </row>
    <row r="8" spans="2:43" ht="30">
      <c r="B8" s="344" t="s">
        <v>275</v>
      </c>
      <c r="C8" s="345" t="s">
        <v>367</v>
      </c>
      <c r="D8" s="346" t="s">
        <v>368</v>
      </c>
      <c r="F8" s="354">
        <v>1392</v>
      </c>
      <c r="G8" s="362">
        <v>999920</v>
      </c>
      <c r="H8" s="329">
        <v>1033</v>
      </c>
      <c r="I8" s="329">
        <v>0</v>
      </c>
      <c r="J8" s="329">
        <v>91</v>
      </c>
      <c r="K8" s="329"/>
      <c r="L8" s="329">
        <v>91</v>
      </c>
      <c r="M8" s="329"/>
      <c r="N8" s="329">
        <v>104</v>
      </c>
      <c r="O8" s="329"/>
      <c r="P8" s="329">
        <v>104</v>
      </c>
      <c r="Q8" s="339"/>
      <c r="S8" s="354"/>
      <c r="T8" s="340"/>
      <c r="U8" s="340"/>
      <c r="V8" s="340"/>
      <c r="W8" s="340"/>
      <c r="X8" s="340"/>
      <c r="Y8" s="340"/>
      <c r="Z8" s="329"/>
      <c r="AA8" s="329"/>
      <c r="AB8" s="329"/>
      <c r="AC8" s="329"/>
      <c r="AD8" s="339"/>
      <c r="AF8" s="354"/>
      <c r="AG8" s="340"/>
      <c r="AH8" s="340"/>
      <c r="AI8" s="340"/>
      <c r="AJ8" s="340"/>
      <c r="AK8" s="340"/>
      <c r="AL8" s="340"/>
      <c r="AM8" s="329"/>
      <c r="AN8" s="329"/>
      <c r="AO8" s="329"/>
      <c r="AP8" s="329"/>
      <c r="AQ8" s="339"/>
    </row>
    <row r="9" spans="2:43">
      <c r="B9" s="344" t="s">
        <v>277</v>
      </c>
      <c r="C9" s="345" t="s">
        <v>369</v>
      </c>
      <c r="D9" s="346" t="s">
        <v>370</v>
      </c>
      <c r="F9" s="338"/>
      <c r="G9" s="329"/>
      <c r="H9" s="340">
        <v>1390</v>
      </c>
      <c r="I9" s="362">
        <v>999920</v>
      </c>
      <c r="J9" s="329">
        <v>93</v>
      </c>
      <c r="K9" s="329"/>
      <c r="L9" s="329">
        <v>93</v>
      </c>
      <c r="M9" s="329"/>
      <c r="N9" s="329">
        <v>105</v>
      </c>
      <c r="O9" s="329"/>
      <c r="P9" s="329">
        <v>105</v>
      </c>
      <c r="Q9" s="339"/>
      <c r="S9" s="338"/>
      <c r="T9" s="329"/>
      <c r="U9" s="329"/>
      <c r="V9" s="329"/>
      <c r="W9" s="329"/>
      <c r="X9" s="329"/>
      <c r="Y9" s="329"/>
      <c r="Z9" s="340"/>
      <c r="AA9" s="329"/>
      <c r="AB9" s="329"/>
      <c r="AC9" s="329"/>
      <c r="AD9" s="339"/>
      <c r="AF9" s="338"/>
      <c r="AG9" s="329"/>
      <c r="AH9" s="329"/>
      <c r="AI9" s="329"/>
      <c r="AJ9" s="329"/>
      <c r="AK9" s="329"/>
      <c r="AL9" s="329"/>
      <c r="AM9" s="340"/>
      <c r="AN9" s="329"/>
      <c r="AO9" s="329"/>
      <c r="AP9" s="329"/>
      <c r="AQ9" s="339"/>
    </row>
    <row r="10" spans="2:43">
      <c r="B10" s="344" t="s">
        <v>281</v>
      </c>
      <c r="C10" s="345" t="s">
        <v>371</v>
      </c>
      <c r="D10" s="346" t="s">
        <v>372</v>
      </c>
      <c r="F10" s="338"/>
      <c r="G10" s="329"/>
      <c r="H10" s="329">
        <v>1392</v>
      </c>
      <c r="I10" s="362">
        <v>-999920</v>
      </c>
      <c r="J10" s="329">
        <v>94</v>
      </c>
      <c r="K10" s="329"/>
      <c r="L10" s="329">
        <v>94</v>
      </c>
      <c r="M10" s="329"/>
      <c r="N10" s="329">
        <v>128</v>
      </c>
      <c r="O10" s="329"/>
      <c r="P10" s="329">
        <v>128</v>
      </c>
      <c r="Q10" s="339"/>
      <c r="S10" s="338"/>
      <c r="T10" s="329"/>
      <c r="U10" s="329"/>
      <c r="V10" s="329"/>
      <c r="W10" s="329"/>
      <c r="X10" s="329"/>
      <c r="Y10" s="329"/>
      <c r="Z10" s="329"/>
      <c r="AA10" s="329"/>
      <c r="AB10" s="329"/>
      <c r="AC10" s="329"/>
      <c r="AD10" s="339"/>
      <c r="AF10" s="338"/>
      <c r="AG10" s="329"/>
      <c r="AH10" s="329"/>
      <c r="AI10" s="329"/>
      <c r="AJ10" s="329"/>
      <c r="AK10" s="329"/>
      <c r="AL10" s="329"/>
      <c r="AM10" s="329"/>
      <c r="AN10" s="329"/>
      <c r="AO10" s="329"/>
      <c r="AP10" s="329"/>
      <c r="AQ10" s="339"/>
    </row>
    <row r="11" spans="2:43">
      <c r="B11" s="344" t="s">
        <v>283</v>
      </c>
      <c r="C11" s="345" t="s">
        <v>191</v>
      </c>
      <c r="D11" s="348" t="s">
        <v>373</v>
      </c>
      <c r="F11" s="338"/>
      <c r="G11" s="329"/>
      <c r="H11" s="329"/>
      <c r="I11" s="329"/>
      <c r="J11" s="329">
        <v>95</v>
      </c>
      <c r="K11" s="329"/>
      <c r="L11" s="329">
        <v>95</v>
      </c>
      <c r="M11" s="329"/>
      <c r="N11" s="329">
        <v>129</v>
      </c>
      <c r="O11" s="329"/>
      <c r="P11" s="329">
        <v>129</v>
      </c>
      <c r="Q11" s="339"/>
      <c r="S11" s="338"/>
      <c r="T11" s="329"/>
      <c r="U11" s="329"/>
      <c r="V11" s="329"/>
      <c r="W11" s="329"/>
      <c r="X11" s="329"/>
      <c r="Y11" s="329"/>
      <c r="Z11" s="329"/>
      <c r="AA11" s="329"/>
      <c r="AB11" s="329"/>
      <c r="AC11" s="329"/>
      <c r="AD11" s="339"/>
      <c r="AF11" s="338"/>
      <c r="AG11" s="329"/>
      <c r="AH11" s="329"/>
      <c r="AI11" s="329"/>
      <c r="AJ11" s="329"/>
      <c r="AK11" s="329"/>
      <c r="AL11" s="329"/>
      <c r="AM11" s="329"/>
      <c r="AN11" s="329"/>
      <c r="AO11" s="329"/>
      <c r="AP11" s="329"/>
      <c r="AQ11" s="339"/>
    </row>
    <row r="12" spans="2:43">
      <c r="B12" s="344" t="s">
        <v>287</v>
      </c>
      <c r="C12" s="345" t="s">
        <v>374</v>
      </c>
      <c r="D12" s="348" t="s">
        <v>375</v>
      </c>
      <c r="F12" s="338"/>
      <c r="G12" s="329"/>
      <c r="H12" s="329"/>
      <c r="I12" s="329"/>
      <c r="J12" s="329">
        <v>96</v>
      </c>
      <c r="K12" s="329"/>
      <c r="L12" s="329">
        <v>96</v>
      </c>
      <c r="M12" s="329"/>
      <c r="N12" s="329">
        <v>144</v>
      </c>
      <c r="O12" s="329"/>
      <c r="P12" s="329">
        <v>144</v>
      </c>
      <c r="Q12" s="339"/>
      <c r="S12" s="338"/>
      <c r="T12" s="329"/>
      <c r="U12" s="329"/>
      <c r="V12" s="329"/>
      <c r="W12" s="329"/>
      <c r="X12" s="329"/>
      <c r="Y12" s="329"/>
      <c r="Z12" s="329"/>
      <c r="AA12" s="329"/>
      <c r="AB12" s="329"/>
      <c r="AC12" s="329"/>
      <c r="AD12" s="339"/>
      <c r="AF12" s="338"/>
      <c r="AG12" s="329"/>
      <c r="AH12" s="329"/>
      <c r="AI12" s="329"/>
      <c r="AJ12" s="329"/>
      <c r="AK12" s="329"/>
      <c r="AL12" s="329"/>
      <c r="AM12" s="329"/>
      <c r="AN12" s="329"/>
      <c r="AO12" s="329"/>
      <c r="AP12" s="329"/>
      <c r="AQ12" s="339"/>
    </row>
    <row r="13" spans="2:43" ht="30">
      <c r="B13" s="364" t="s">
        <v>291</v>
      </c>
      <c r="C13" s="345" t="s">
        <v>376</v>
      </c>
      <c r="D13" s="363" t="s">
        <v>377</v>
      </c>
      <c r="F13" s="338"/>
      <c r="G13" s="329"/>
      <c r="H13" s="329"/>
      <c r="I13" s="329"/>
      <c r="J13" s="329">
        <v>97</v>
      </c>
      <c r="K13" s="329"/>
      <c r="L13" s="329">
        <v>97</v>
      </c>
      <c r="M13" s="329"/>
      <c r="N13" s="329">
        <v>145</v>
      </c>
      <c r="O13" s="329"/>
      <c r="P13" s="329">
        <v>145</v>
      </c>
      <c r="Q13" s="339"/>
      <c r="S13" s="338"/>
      <c r="T13" s="329"/>
      <c r="U13" s="329"/>
      <c r="V13" s="329"/>
      <c r="W13" s="329"/>
      <c r="X13" s="329"/>
      <c r="Y13" s="329"/>
      <c r="Z13" s="329"/>
      <c r="AA13" s="329"/>
      <c r="AB13" s="329"/>
      <c r="AC13" s="329"/>
      <c r="AD13" s="339"/>
      <c r="AF13" s="338"/>
      <c r="AG13" s="329"/>
      <c r="AH13" s="329"/>
      <c r="AI13" s="329"/>
      <c r="AJ13" s="329"/>
      <c r="AK13" s="329"/>
      <c r="AL13" s="329"/>
      <c r="AM13" s="329"/>
      <c r="AN13" s="329"/>
      <c r="AO13" s="329"/>
      <c r="AP13" s="329"/>
      <c r="AQ13" s="339"/>
    </row>
    <row r="14" spans="2:43">
      <c r="B14" s="344" t="s">
        <v>295</v>
      </c>
      <c r="C14" s="345" t="s">
        <v>378</v>
      </c>
      <c r="D14" s="346" t="s">
        <v>379</v>
      </c>
      <c r="F14" s="338"/>
      <c r="G14" s="329"/>
      <c r="H14" s="329"/>
      <c r="I14" s="329"/>
      <c r="J14" s="329">
        <v>98</v>
      </c>
      <c r="K14" s="329"/>
      <c r="L14" s="329">
        <v>98</v>
      </c>
      <c r="M14" s="329"/>
      <c r="N14" s="329">
        <v>154</v>
      </c>
      <c r="O14" s="329"/>
      <c r="P14" s="329">
        <v>154</v>
      </c>
      <c r="Q14" s="339"/>
      <c r="S14" s="338"/>
      <c r="T14" s="329"/>
      <c r="U14" s="329"/>
      <c r="V14" s="329"/>
      <c r="W14" s="329"/>
      <c r="X14" s="329"/>
      <c r="Y14" s="329"/>
      <c r="Z14" s="329"/>
      <c r="AA14" s="329"/>
      <c r="AB14" s="329"/>
      <c r="AC14" s="329"/>
      <c r="AD14" s="339"/>
      <c r="AF14" s="338"/>
      <c r="AG14" s="329"/>
      <c r="AH14" s="329"/>
      <c r="AI14" s="329"/>
      <c r="AJ14" s="329"/>
      <c r="AK14" s="329"/>
      <c r="AL14" s="329"/>
      <c r="AM14" s="329"/>
      <c r="AN14" s="329"/>
      <c r="AO14" s="329"/>
      <c r="AP14" s="329"/>
      <c r="AQ14" s="339"/>
    </row>
    <row r="15" spans="2:43">
      <c r="B15" s="344" t="s">
        <v>299</v>
      </c>
      <c r="C15" s="345" t="s">
        <v>380</v>
      </c>
      <c r="D15" s="346" t="s">
        <v>381</v>
      </c>
      <c r="F15" s="338"/>
      <c r="G15" s="329"/>
      <c r="H15" s="329"/>
      <c r="I15" s="329"/>
      <c r="J15" s="329">
        <v>107</v>
      </c>
      <c r="K15" s="329"/>
      <c r="L15" s="329">
        <v>107</v>
      </c>
      <c r="M15" s="329"/>
      <c r="N15" s="329">
        <v>171</v>
      </c>
      <c r="O15" s="329"/>
      <c r="P15" s="329">
        <v>171</v>
      </c>
      <c r="Q15" s="339"/>
      <c r="S15" s="338"/>
      <c r="T15" s="329"/>
      <c r="U15" s="329"/>
      <c r="V15" s="329"/>
      <c r="W15" s="329"/>
      <c r="X15" s="329"/>
      <c r="Y15" s="329"/>
      <c r="Z15" s="329"/>
      <c r="AA15" s="329"/>
      <c r="AB15" s="329"/>
      <c r="AC15" s="329"/>
      <c r="AD15" s="339"/>
      <c r="AF15" s="338"/>
      <c r="AG15" s="329"/>
      <c r="AH15" s="329"/>
      <c r="AI15" s="329"/>
      <c r="AJ15" s="329"/>
      <c r="AK15" s="329"/>
      <c r="AL15" s="329"/>
      <c r="AM15" s="329"/>
      <c r="AN15" s="329"/>
      <c r="AO15" s="329"/>
      <c r="AP15" s="329"/>
      <c r="AQ15" s="339"/>
    </row>
    <row r="16" spans="2:43">
      <c r="B16" s="344" t="s">
        <v>302</v>
      </c>
      <c r="C16" s="345" t="s">
        <v>382</v>
      </c>
      <c r="D16" s="346" t="s">
        <v>383</v>
      </c>
      <c r="F16" s="338"/>
      <c r="G16" s="329"/>
      <c r="H16" s="329"/>
      <c r="I16" s="329"/>
      <c r="J16" s="329">
        <v>108</v>
      </c>
      <c r="K16" s="329"/>
      <c r="L16" s="329">
        <v>108</v>
      </c>
      <c r="M16" s="329"/>
      <c r="N16" s="329">
        <v>173</v>
      </c>
      <c r="O16" s="329"/>
      <c r="P16" s="329">
        <v>173</v>
      </c>
      <c r="Q16" s="339"/>
      <c r="S16" s="338"/>
      <c r="T16" s="329"/>
      <c r="U16" s="329"/>
      <c r="V16" s="329"/>
      <c r="W16" s="329"/>
      <c r="X16" s="329"/>
      <c r="Y16" s="329"/>
      <c r="Z16" s="329"/>
      <c r="AA16" s="329"/>
      <c r="AB16" s="329"/>
      <c r="AC16" s="329"/>
      <c r="AD16" s="339"/>
      <c r="AF16" s="338"/>
      <c r="AG16" s="329"/>
      <c r="AH16" s="329"/>
      <c r="AI16" s="329"/>
      <c r="AJ16" s="329"/>
      <c r="AK16" s="329"/>
      <c r="AL16" s="329"/>
      <c r="AM16" s="329"/>
      <c r="AN16" s="329"/>
      <c r="AO16" s="329"/>
      <c r="AP16" s="329"/>
      <c r="AQ16" s="339"/>
    </row>
    <row r="17" spans="2:43">
      <c r="B17" s="344" t="s">
        <v>305</v>
      </c>
      <c r="C17" s="345" t="s">
        <v>384</v>
      </c>
      <c r="D17" s="346" t="s">
        <v>385</v>
      </c>
      <c r="F17" s="338"/>
      <c r="G17" s="329"/>
      <c r="H17" s="329"/>
      <c r="I17" s="329"/>
      <c r="J17" s="329">
        <v>109</v>
      </c>
      <c r="K17" s="329"/>
      <c r="L17" s="329">
        <v>109</v>
      </c>
      <c r="M17" s="329"/>
      <c r="N17" s="329">
        <v>174</v>
      </c>
      <c r="O17" s="329"/>
      <c r="P17" s="329">
        <v>174</v>
      </c>
      <c r="Q17" s="339"/>
      <c r="S17" s="338"/>
      <c r="T17" s="329"/>
      <c r="U17" s="329"/>
      <c r="V17" s="329"/>
      <c r="W17" s="329"/>
      <c r="X17" s="329"/>
      <c r="Y17" s="329"/>
      <c r="Z17" s="329"/>
      <c r="AA17" s="329"/>
      <c r="AB17" s="329"/>
      <c r="AC17" s="329"/>
      <c r="AD17" s="339"/>
      <c r="AF17" s="338"/>
      <c r="AG17" s="329"/>
      <c r="AH17" s="329"/>
      <c r="AI17" s="329"/>
      <c r="AJ17" s="329"/>
      <c r="AK17" s="329"/>
      <c r="AL17" s="329"/>
      <c r="AM17" s="329"/>
      <c r="AN17" s="329"/>
      <c r="AO17" s="329"/>
      <c r="AP17" s="329"/>
      <c r="AQ17" s="339"/>
    </row>
    <row r="18" spans="2:43" ht="30">
      <c r="B18" s="344" t="s">
        <v>307</v>
      </c>
      <c r="C18" s="349" t="s">
        <v>386</v>
      </c>
      <c r="D18" s="346" t="s">
        <v>387</v>
      </c>
      <c r="F18" s="338"/>
      <c r="G18" s="329"/>
      <c r="H18" s="329"/>
      <c r="I18" s="329"/>
      <c r="J18" s="329">
        <v>110</v>
      </c>
      <c r="K18" s="329"/>
      <c r="L18" s="329">
        <v>110</v>
      </c>
      <c r="M18" s="329"/>
      <c r="N18" s="329">
        <v>180</v>
      </c>
      <c r="O18" s="329"/>
      <c r="P18" s="329">
        <v>180</v>
      </c>
      <c r="Q18" s="339"/>
      <c r="S18" s="338"/>
      <c r="T18" s="329"/>
      <c r="U18" s="329"/>
      <c r="V18" s="329"/>
      <c r="W18" s="329"/>
      <c r="X18" s="329"/>
      <c r="Y18" s="329"/>
      <c r="Z18" s="329"/>
      <c r="AA18" s="329"/>
      <c r="AB18" s="329"/>
      <c r="AC18" s="329"/>
      <c r="AD18" s="339"/>
      <c r="AF18" s="338"/>
      <c r="AG18" s="329"/>
      <c r="AH18" s="329"/>
      <c r="AI18" s="329"/>
      <c r="AJ18" s="329"/>
      <c r="AK18" s="329"/>
      <c r="AL18" s="329"/>
      <c r="AM18" s="329"/>
      <c r="AN18" s="329"/>
      <c r="AO18" s="329"/>
      <c r="AP18" s="329"/>
      <c r="AQ18" s="339"/>
    </row>
    <row r="19" spans="2:43">
      <c r="B19" s="344" t="s">
        <v>309</v>
      </c>
      <c r="C19" s="349" t="s">
        <v>204</v>
      </c>
      <c r="D19" s="346" t="s">
        <v>388</v>
      </c>
      <c r="F19" s="338"/>
      <c r="G19" s="329"/>
      <c r="H19" s="329"/>
      <c r="I19" s="329"/>
      <c r="J19" s="329">
        <v>117</v>
      </c>
      <c r="K19" s="329"/>
      <c r="L19" s="329">
        <v>117</v>
      </c>
      <c r="M19" s="329"/>
      <c r="N19" s="329">
        <v>200</v>
      </c>
      <c r="O19" s="329"/>
      <c r="P19" s="329">
        <v>200</v>
      </c>
      <c r="Q19" s="339"/>
      <c r="S19" s="338"/>
      <c r="T19" s="329"/>
      <c r="U19" s="329"/>
      <c r="V19" s="329"/>
      <c r="W19" s="329"/>
      <c r="X19" s="329"/>
      <c r="Y19" s="329"/>
      <c r="Z19" s="329"/>
      <c r="AA19" s="329"/>
      <c r="AB19" s="329"/>
      <c r="AC19" s="329"/>
      <c r="AD19" s="339"/>
      <c r="AF19" s="338"/>
      <c r="AG19" s="329"/>
      <c r="AH19" s="329"/>
      <c r="AI19" s="329"/>
      <c r="AJ19" s="329"/>
      <c r="AK19" s="329"/>
      <c r="AL19" s="329"/>
      <c r="AM19" s="329"/>
      <c r="AN19" s="329"/>
      <c r="AO19" s="329"/>
      <c r="AP19" s="329"/>
      <c r="AQ19" s="339"/>
    </row>
    <row r="20" spans="2:43">
      <c r="B20" s="344" t="s">
        <v>311</v>
      </c>
      <c r="C20" s="349" t="s">
        <v>205</v>
      </c>
      <c r="D20" s="346" t="s">
        <v>389</v>
      </c>
      <c r="F20" s="338"/>
      <c r="G20" s="329"/>
      <c r="H20" s="329"/>
      <c r="I20" s="329"/>
      <c r="J20" s="329">
        <v>118</v>
      </c>
      <c r="K20" s="329"/>
      <c r="L20" s="329">
        <v>118</v>
      </c>
      <c r="M20" s="329"/>
      <c r="N20" s="329">
        <v>201</v>
      </c>
      <c r="O20" s="329"/>
      <c r="P20" s="329">
        <v>201</v>
      </c>
      <c r="Q20" s="339"/>
      <c r="S20" s="338"/>
      <c r="T20" s="329"/>
      <c r="U20" s="329"/>
      <c r="V20" s="329"/>
      <c r="W20" s="329"/>
      <c r="X20" s="329"/>
      <c r="Y20" s="329"/>
      <c r="Z20" s="329"/>
      <c r="AA20" s="329"/>
      <c r="AB20" s="329"/>
      <c r="AC20" s="329"/>
      <c r="AD20" s="339"/>
      <c r="AF20" s="338"/>
      <c r="AG20" s="329"/>
      <c r="AH20" s="329"/>
      <c r="AI20" s="329"/>
      <c r="AJ20" s="329"/>
      <c r="AK20" s="329"/>
      <c r="AL20" s="329"/>
      <c r="AM20" s="329"/>
      <c r="AN20" s="329"/>
      <c r="AO20" s="329"/>
      <c r="AP20" s="329"/>
      <c r="AQ20" s="339"/>
    </row>
    <row r="21" spans="2:43">
      <c r="B21" s="350" t="s">
        <v>390</v>
      </c>
      <c r="C21" s="351"/>
      <c r="D21" s="352" t="s">
        <v>391</v>
      </c>
      <c r="F21" s="338"/>
      <c r="G21" s="329"/>
      <c r="H21" s="329"/>
      <c r="I21" s="329"/>
      <c r="J21" s="329">
        <v>119</v>
      </c>
      <c r="K21" s="329"/>
      <c r="L21" s="329">
        <v>119</v>
      </c>
      <c r="M21" s="329"/>
      <c r="N21" s="329">
        <v>202</v>
      </c>
      <c r="O21" s="329"/>
      <c r="P21" s="329">
        <v>202</v>
      </c>
      <c r="Q21" s="339"/>
      <c r="S21" s="338"/>
      <c r="T21" s="329"/>
      <c r="U21" s="329"/>
      <c r="V21" s="329"/>
      <c r="W21" s="329"/>
      <c r="X21" s="329"/>
      <c r="Y21" s="329"/>
      <c r="Z21" s="329"/>
      <c r="AA21" s="329"/>
      <c r="AB21" s="329"/>
      <c r="AC21" s="329"/>
      <c r="AD21" s="339"/>
      <c r="AF21" s="338"/>
      <c r="AG21" s="329"/>
      <c r="AH21" s="329"/>
      <c r="AI21" s="329"/>
      <c r="AJ21" s="329"/>
      <c r="AK21" s="329"/>
      <c r="AL21" s="329"/>
      <c r="AM21" s="329"/>
      <c r="AN21" s="329"/>
      <c r="AO21" s="329"/>
      <c r="AP21" s="329"/>
      <c r="AQ21" s="339"/>
    </row>
    <row r="22" spans="2:43">
      <c r="B22" s="350" t="s">
        <v>392</v>
      </c>
      <c r="C22" s="351"/>
      <c r="D22" s="352"/>
      <c r="F22" s="338"/>
      <c r="G22" s="329"/>
      <c r="H22" s="329"/>
      <c r="I22" s="329"/>
      <c r="J22" s="329">
        <v>120</v>
      </c>
      <c r="K22" s="329"/>
      <c r="L22" s="329">
        <v>120</v>
      </c>
      <c r="M22" s="329"/>
      <c r="N22" s="329">
        <v>215</v>
      </c>
      <c r="O22" s="329"/>
      <c r="P22" s="329">
        <v>215</v>
      </c>
      <c r="Q22" s="339"/>
      <c r="S22" s="338"/>
      <c r="T22" s="329"/>
      <c r="U22" s="329"/>
      <c r="V22" s="329"/>
      <c r="W22" s="329"/>
      <c r="X22" s="329"/>
      <c r="Y22" s="329"/>
      <c r="Z22" s="329"/>
      <c r="AA22" s="329"/>
      <c r="AB22" s="329"/>
      <c r="AC22" s="329"/>
      <c r="AD22" s="339"/>
      <c r="AF22" s="338"/>
      <c r="AG22" s="329"/>
      <c r="AH22" s="329"/>
      <c r="AI22" s="329"/>
      <c r="AJ22" s="329"/>
      <c r="AK22" s="329"/>
      <c r="AL22" s="329"/>
      <c r="AM22" s="329"/>
      <c r="AN22" s="329"/>
      <c r="AO22" s="329"/>
      <c r="AP22" s="329"/>
      <c r="AQ22" s="339"/>
    </row>
    <row r="23" spans="2:43">
      <c r="F23" s="338"/>
      <c r="G23" s="329"/>
      <c r="H23" s="329"/>
      <c r="I23" s="329"/>
      <c r="J23" s="329">
        <v>121</v>
      </c>
      <c r="K23" s="329"/>
      <c r="L23" s="329">
        <v>121</v>
      </c>
      <c r="M23" s="329"/>
      <c r="N23" s="329">
        <v>217</v>
      </c>
      <c r="O23" s="329"/>
      <c r="P23" s="329">
        <v>217</v>
      </c>
      <c r="Q23" s="339"/>
      <c r="S23" s="338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339"/>
      <c r="AF23" s="338"/>
      <c r="AG23" s="329"/>
      <c r="AH23" s="329"/>
      <c r="AI23" s="329"/>
      <c r="AJ23" s="329"/>
      <c r="AK23" s="329"/>
      <c r="AL23" s="329"/>
      <c r="AM23" s="329"/>
      <c r="AN23" s="329"/>
      <c r="AO23" s="329"/>
      <c r="AP23" s="329"/>
      <c r="AQ23" s="339"/>
    </row>
    <row r="24" spans="2:43">
      <c r="F24" s="338"/>
      <c r="G24" s="329"/>
      <c r="H24" s="329"/>
      <c r="I24" s="329"/>
      <c r="J24" s="329">
        <v>127</v>
      </c>
      <c r="K24" s="329"/>
      <c r="L24" s="329">
        <v>127</v>
      </c>
      <c r="M24" s="329"/>
      <c r="N24" s="329">
        <v>218</v>
      </c>
      <c r="O24" s="329"/>
      <c r="P24" s="329">
        <v>218</v>
      </c>
      <c r="Q24" s="339"/>
      <c r="S24" s="338"/>
      <c r="T24" s="329"/>
      <c r="U24" s="329"/>
      <c r="V24" s="329"/>
      <c r="W24" s="329"/>
      <c r="X24" s="329"/>
      <c r="Y24" s="329"/>
      <c r="Z24" s="329"/>
      <c r="AA24" s="329"/>
      <c r="AB24" s="329"/>
      <c r="AC24" s="329"/>
      <c r="AD24" s="339"/>
      <c r="AF24" s="338"/>
      <c r="AG24" s="329"/>
      <c r="AH24" s="329"/>
      <c r="AI24" s="329"/>
      <c r="AJ24" s="329"/>
      <c r="AK24" s="329"/>
      <c r="AL24" s="329"/>
      <c r="AM24" s="329"/>
      <c r="AN24" s="329"/>
      <c r="AO24" s="329"/>
      <c r="AP24" s="329"/>
      <c r="AQ24" s="339"/>
    </row>
    <row r="25" spans="2:43">
      <c r="F25" s="338"/>
      <c r="G25" s="329"/>
      <c r="H25" s="329"/>
      <c r="I25" s="329"/>
      <c r="J25" s="329">
        <v>131</v>
      </c>
      <c r="K25" s="329"/>
      <c r="L25" s="329">
        <v>131</v>
      </c>
      <c r="M25" s="329"/>
      <c r="N25" s="329">
        <v>232</v>
      </c>
      <c r="O25" s="329"/>
      <c r="P25" s="329">
        <v>232</v>
      </c>
      <c r="Q25" s="339"/>
      <c r="S25" s="338"/>
      <c r="T25" s="329"/>
      <c r="U25" s="329"/>
      <c r="V25" s="329"/>
      <c r="W25" s="329"/>
      <c r="X25" s="329"/>
      <c r="Y25" s="329"/>
      <c r="Z25" s="329"/>
      <c r="AA25" s="329"/>
      <c r="AB25" s="329"/>
      <c r="AC25" s="329"/>
      <c r="AD25" s="339"/>
      <c r="AF25" s="338"/>
      <c r="AG25" s="329"/>
      <c r="AH25" s="329"/>
      <c r="AI25" s="329"/>
      <c r="AJ25" s="329"/>
      <c r="AK25" s="329"/>
      <c r="AL25" s="329"/>
      <c r="AM25" s="329"/>
      <c r="AN25" s="329"/>
      <c r="AO25" s="329"/>
      <c r="AP25" s="329"/>
      <c r="AQ25" s="339"/>
    </row>
    <row r="26" spans="2:43">
      <c r="F26" s="338"/>
      <c r="G26" s="329"/>
      <c r="H26" s="329"/>
      <c r="I26" s="329"/>
      <c r="J26" s="329">
        <v>132</v>
      </c>
      <c r="K26" s="329"/>
      <c r="L26" s="329">
        <v>132</v>
      </c>
      <c r="M26" s="329"/>
      <c r="N26" s="329">
        <v>235</v>
      </c>
      <c r="O26" s="329"/>
      <c r="P26" s="329">
        <v>235</v>
      </c>
      <c r="Q26" s="339"/>
      <c r="S26" s="338"/>
      <c r="T26" s="329"/>
      <c r="U26" s="329"/>
      <c r="V26" s="329"/>
      <c r="W26" s="329"/>
      <c r="X26" s="329"/>
      <c r="Y26" s="329"/>
      <c r="Z26" s="329"/>
      <c r="AA26" s="329"/>
      <c r="AB26" s="329"/>
      <c r="AC26" s="329"/>
      <c r="AD26" s="339"/>
      <c r="AF26" s="338"/>
      <c r="AG26" s="329"/>
      <c r="AH26" s="329"/>
      <c r="AI26" s="329"/>
      <c r="AJ26" s="329"/>
      <c r="AK26" s="329"/>
      <c r="AL26" s="329"/>
      <c r="AM26" s="329"/>
      <c r="AN26" s="329"/>
      <c r="AO26" s="329"/>
      <c r="AP26" s="329"/>
      <c r="AQ26" s="339"/>
    </row>
    <row r="27" spans="2:43">
      <c r="F27" s="338"/>
      <c r="G27" s="329"/>
      <c r="H27" s="329"/>
      <c r="I27" s="329"/>
      <c r="J27" s="329">
        <v>133</v>
      </c>
      <c r="K27" s="329"/>
      <c r="L27" s="329">
        <v>133</v>
      </c>
      <c r="M27" s="329"/>
      <c r="N27" s="329">
        <v>243</v>
      </c>
      <c r="O27" s="329"/>
      <c r="P27" s="329">
        <v>243</v>
      </c>
      <c r="Q27" s="339"/>
      <c r="S27" s="338"/>
      <c r="T27" s="329"/>
      <c r="U27" s="329"/>
      <c r="V27" s="329"/>
      <c r="W27" s="329"/>
      <c r="X27" s="329"/>
      <c r="Y27" s="329"/>
      <c r="Z27" s="329"/>
      <c r="AA27" s="329"/>
      <c r="AB27" s="329"/>
      <c r="AC27" s="329"/>
      <c r="AD27" s="339"/>
      <c r="AF27" s="338"/>
      <c r="AG27" s="329"/>
      <c r="AH27" s="329"/>
      <c r="AI27" s="329"/>
      <c r="AJ27" s="329"/>
      <c r="AK27" s="329"/>
      <c r="AL27" s="329"/>
      <c r="AM27" s="329"/>
      <c r="AN27" s="329"/>
      <c r="AO27" s="329"/>
      <c r="AP27" s="329"/>
      <c r="AQ27" s="339"/>
    </row>
    <row r="28" spans="2:43">
      <c r="F28" s="338"/>
      <c r="G28" s="329"/>
      <c r="H28" s="329"/>
      <c r="I28" s="329"/>
      <c r="J28" s="329">
        <v>134</v>
      </c>
      <c r="K28" s="329"/>
      <c r="L28" s="329">
        <v>134</v>
      </c>
      <c r="M28" s="329"/>
      <c r="N28" s="329">
        <v>244</v>
      </c>
      <c r="O28" s="329"/>
      <c r="P28" s="329">
        <v>244</v>
      </c>
      <c r="Q28" s="339"/>
      <c r="S28" s="338"/>
      <c r="T28" s="329"/>
      <c r="U28" s="329"/>
      <c r="V28" s="329"/>
      <c r="W28" s="329"/>
      <c r="X28" s="329"/>
      <c r="Y28" s="329"/>
      <c r="Z28" s="329"/>
      <c r="AA28" s="329"/>
      <c r="AB28" s="329"/>
      <c r="AC28" s="329"/>
      <c r="AD28" s="339"/>
      <c r="AF28" s="338"/>
      <c r="AG28" s="329"/>
      <c r="AH28" s="329"/>
      <c r="AI28" s="329"/>
      <c r="AJ28" s="329"/>
      <c r="AK28" s="329"/>
      <c r="AL28" s="329"/>
      <c r="AM28" s="329"/>
      <c r="AN28" s="329"/>
      <c r="AO28" s="329"/>
      <c r="AP28" s="329"/>
      <c r="AQ28" s="339"/>
    </row>
    <row r="29" spans="2:43">
      <c r="F29" s="338"/>
      <c r="G29" s="329"/>
      <c r="H29" s="329"/>
      <c r="I29" s="329"/>
      <c r="J29" s="329">
        <v>135</v>
      </c>
      <c r="K29" s="329"/>
      <c r="L29" s="329">
        <v>135</v>
      </c>
      <c r="M29" s="329"/>
      <c r="N29" s="329">
        <v>262</v>
      </c>
      <c r="O29" s="329"/>
      <c r="P29" s="329">
        <v>262</v>
      </c>
      <c r="Q29" s="339"/>
      <c r="S29" s="338"/>
      <c r="T29" s="329"/>
      <c r="U29" s="329"/>
      <c r="V29" s="329"/>
      <c r="W29" s="329"/>
      <c r="X29" s="329"/>
      <c r="Y29" s="329"/>
      <c r="Z29" s="329"/>
      <c r="AA29" s="329"/>
      <c r="AB29" s="329"/>
      <c r="AC29" s="329"/>
      <c r="AD29" s="339"/>
      <c r="AF29" s="338"/>
      <c r="AG29" s="329"/>
      <c r="AH29" s="329"/>
      <c r="AI29" s="329"/>
      <c r="AJ29" s="329"/>
      <c r="AK29" s="329"/>
      <c r="AL29" s="329"/>
      <c r="AM29" s="329"/>
      <c r="AN29" s="329"/>
      <c r="AO29" s="329"/>
      <c r="AP29" s="329"/>
      <c r="AQ29" s="339"/>
    </row>
    <row r="30" spans="2:43">
      <c r="F30" s="338"/>
      <c r="G30" s="329"/>
      <c r="H30" s="329"/>
      <c r="I30" s="329"/>
      <c r="J30" s="329">
        <v>136</v>
      </c>
      <c r="K30" s="329"/>
      <c r="L30" s="329">
        <v>136</v>
      </c>
      <c r="M30" s="329"/>
      <c r="N30" s="329">
        <v>263</v>
      </c>
      <c r="O30" s="329"/>
      <c r="P30" s="329">
        <v>263</v>
      </c>
      <c r="Q30" s="339"/>
      <c r="S30" s="338"/>
      <c r="T30" s="329"/>
      <c r="U30" s="329"/>
      <c r="V30" s="329"/>
      <c r="W30" s="329"/>
      <c r="X30" s="329"/>
      <c r="Y30" s="329"/>
      <c r="Z30" s="329"/>
      <c r="AA30" s="329"/>
      <c r="AB30" s="329"/>
      <c r="AC30" s="329"/>
      <c r="AD30" s="339"/>
      <c r="AF30" s="338"/>
      <c r="AG30" s="329"/>
      <c r="AH30" s="329"/>
      <c r="AI30" s="329"/>
      <c r="AJ30" s="329"/>
      <c r="AK30" s="329"/>
      <c r="AL30" s="329"/>
      <c r="AM30" s="329"/>
      <c r="AN30" s="329"/>
      <c r="AO30" s="329"/>
      <c r="AP30" s="329"/>
      <c r="AQ30" s="339"/>
    </row>
    <row r="31" spans="2:43">
      <c r="F31" s="338"/>
      <c r="G31" s="329"/>
      <c r="H31" s="329"/>
      <c r="I31" s="329"/>
      <c r="J31" s="329">
        <v>137</v>
      </c>
      <c r="K31" s="329"/>
      <c r="L31" s="329">
        <v>137</v>
      </c>
      <c r="M31" s="329"/>
      <c r="N31" s="329">
        <v>266</v>
      </c>
      <c r="O31" s="329"/>
      <c r="P31" s="329">
        <v>266</v>
      </c>
      <c r="Q31" s="339"/>
      <c r="S31" s="338"/>
      <c r="T31" s="329"/>
      <c r="U31" s="329"/>
      <c r="V31" s="329"/>
      <c r="W31" s="329"/>
      <c r="X31" s="329"/>
      <c r="Y31" s="329"/>
      <c r="Z31" s="329"/>
      <c r="AA31" s="329"/>
      <c r="AB31" s="329"/>
      <c r="AC31" s="329"/>
      <c r="AD31" s="339"/>
      <c r="AF31" s="338"/>
      <c r="AG31" s="329"/>
      <c r="AH31" s="329"/>
      <c r="AI31" s="329"/>
      <c r="AJ31" s="329"/>
      <c r="AK31" s="329"/>
      <c r="AL31" s="329"/>
      <c r="AM31" s="329"/>
      <c r="AN31" s="329"/>
      <c r="AO31" s="329"/>
      <c r="AP31" s="329"/>
      <c r="AQ31" s="339"/>
    </row>
    <row r="32" spans="2:43">
      <c r="F32" s="338"/>
      <c r="G32" s="329"/>
      <c r="H32" s="329"/>
      <c r="I32" s="329"/>
      <c r="J32" s="329">
        <v>138</v>
      </c>
      <c r="K32" s="329"/>
      <c r="L32" s="329">
        <v>138</v>
      </c>
      <c r="M32" s="329"/>
      <c r="N32" s="329">
        <v>267</v>
      </c>
      <c r="O32" s="329"/>
      <c r="P32" s="329">
        <v>267</v>
      </c>
      <c r="Q32" s="339"/>
      <c r="S32" s="338"/>
      <c r="T32" s="329"/>
      <c r="U32" s="329"/>
      <c r="V32" s="329"/>
      <c r="W32" s="329"/>
      <c r="X32" s="329"/>
      <c r="Y32" s="329"/>
      <c r="Z32" s="329"/>
      <c r="AA32" s="329"/>
      <c r="AB32" s="329"/>
      <c r="AC32" s="329"/>
      <c r="AD32" s="339"/>
      <c r="AF32" s="338"/>
      <c r="AG32" s="329"/>
      <c r="AH32" s="329"/>
      <c r="AI32" s="329"/>
      <c r="AJ32" s="329"/>
      <c r="AK32" s="329"/>
      <c r="AL32" s="329"/>
      <c r="AM32" s="329"/>
      <c r="AN32" s="329"/>
      <c r="AO32" s="329"/>
      <c r="AP32" s="329"/>
      <c r="AQ32" s="339"/>
    </row>
    <row r="33" spans="6:43">
      <c r="F33" s="338"/>
      <c r="G33" s="329"/>
      <c r="H33" s="329"/>
      <c r="I33" s="329"/>
      <c r="J33" s="329">
        <v>139</v>
      </c>
      <c r="K33" s="329"/>
      <c r="L33" s="329">
        <v>139</v>
      </c>
      <c r="M33" s="329"/>
      <c r="N33" s="329">
        <v>276</v>
      </c>
      <c r="O33" s="329"/>
      <c r="P33" s="329">
        <v>276</v>
      </c>
      <c r="Q33" s="339"/>
      <c r="S33" s="338"/>
      <c r="T33" s="329"/>
      <c r="U33" s="329"/>
      <c r="V33" s="329"/>
      <c r="W33" s="329"/>
      <c r="X33" s="329"/>
      <c r="Y33" s="329"/>
      <c r="Z33" s="329"/>
      <c r="AA33" s="329"/>
      <c r="AB33" s="329"/>
      <c r="AC33" s="329"/>
      <c r="AD33" s="339"/>
      <c r="AF33" s="338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39"/>
    </row>
    <row r="34" spans="6:43">
      <c r="F34" s="338"/>
      <c r="G34" s="329"/>
      <c r="H34" s="329"/>
      <c r="I34" s="329"/>
      <c r="J34" s="329">
        <v>172</v>
      </c>
      <c r="K34" s="329"/>
      <c r="L34" s="329">
        <v>172</v>
      </c>
      <c r="M34" s="329"/>
      <c r="N34" s="329">
        <v>277</v>
      </c>
      <c r="O34" s="329"/>
      <c r="P34" s="329">
        <v>277</v>
      </c>
      <c r="Q34" s="339"/>
      <c r="S34" s="338"/>
      <c r="T34" s="329"/>
      <c r="U34" s="329"/>
      <c r="V34" s="329"/>
      <c r="W34" s="329"/>
      <c r="X34" s="329"/>
      <c r="Y34" s="329"/>
      <c r="Z34" s="329"/>
      <c r="AA34" s="329"/>
      <c r="AB34" s="329"/>
      <c r="AC34" s="329"/>
      <c r="AD34" s="339"/>
      <c r="AF34" s="338"/>
      <c r="AG34" s="329"/>
      <c r="AH34" s="329"/>
      <c r="AI34" s="329"/>
      <c r="AJ34" s="329"/>
      <c r="AK34" s="329"/>
      <c r="AL34" s="329"/>
      <c r="AM34" s="329"/>
      <c r="AN34" s="329"/>
      <c r="AO34" s="329"/>
      <c r="AP34" s="329"/>
      <c r="AQ34" s="339"/>
    </row>
    <row r="35" spans="6:43">
      <c r="F35" s="338"/>
      <c r="G35" s="329"/>
      <c r="H35" s="329"/>
      <c r="I35" s="329"/>
      <c r="J35" s="329">
        <v>182</v>
      </c>
      <c r="K35" s="329"/>
      <c r="L35" s="329">
        <v>182</v>
      </c>
      <c r="M35" s="329"/>
      <c r="N35" s="329">
        <v>278</v>
      </c>
      <c r="O35" s="329"/>
      <c r="P35" s="329">
        <v>278</v>
      </c>
      <c r="Q35" s="339"/>
      <c r="S35" s="338"/>
      <c r="T35" s="329"/>
      <c r="U35" s="329"/>
      <c r="V35" s="329"/>
      <c r="W35" s="329"/>
      <c r="X35" s="329"/>
      <c r="Y35" s="329"/>
      <c r="Z35" s="329"/>
      <c r="AA35" s="329"/>
      <c r="AB35" s="329"/>
      <c r="AC35" s="329"/>
      <c r="AD35" s="339"/>
      <c r="AF35" s="338"/>
      <c r="AG35" s="329"/>
      <c r="AH35" s="329"/>
      <c r="AI35" s="329"/>
      <c r="AJ35" s="329"/>
      <c r="AK35" s="329"/>
      <c r="AL35" s="329"/>
      <c r="AM35" s="329"/>
      <c r="AN35" s="329"/>
      <c r="AO35" s="329"/>
      <c r="AP35" s="329"/>
      <c r="AQ35" s="339"/>
    </row>
    <row r="36" spans="6:43">
      <c r="F36" s="338"/>
      <c r="G36" s="329"/>
      <c r="H36" s="329"/>
      <c r="I36" s="329"/>
      <c r="J36" s="329">
        <v>183</v>
      </c>
      <c r="K36" s="329"/>
      <c r="L36" s="329">
        <v>183</v>
      </c>
      <c r="M36" s="329"/>
      <c r="N36" s="329">
        <v>279</v>
      </c>
      <c r="O36" s="329"/>
      <c r="P36" s="329">
        <v>279</v>
      </c>
      <c r="Q36" s="339"/>
      <c r="S36" s="338"/>
      <c r="T36" s="329"/>
      <c r="U36" s="329"/>
      <c r="V36" s="329"/>
      <c r="W36" s="329"/>
      <c r="X36" s="329"/>
      <c r="Y36" s="329"/>
      <c r="Z36" s="329"/>
      <c r="AA36" s="329"/>
      <c r="AB36" s="329"/>
      <c r="AC36" s="329"/>
      <c r="AD36" s="339"/>
      <c r="AF36" s="338"/>
      <c r="AG36" s="329"/>
      <c r="AH36" s="329"/>
      <c r="AI36" s="329"/>
      <c r="AJ36" s="329"/>
      <c r="AK36" s="329"/>
      <c r="AL36" s="329"/>
      <c r="AM36" s="329"/>
      <c r="AN36" s="329"/>
      <c r="AO36" s="329"/>
      <c r="AP36" s="329"/>
      <c r="AQ36" s="339"/>
    </row>
    <row r="37" spans="6:43">
      <c r="F37" s="338"/>
      <c r="G37" s="329"/>
      <c r="H37" s="329"/>
      <c r="I37" s="329"/>
      <c r="J37" s="329">
        <v>189</v>
      </c>
      <c r="K37" s="329"/>
      <c r="L37" s="329">
        <v>189</v>
      </c>
      <c r="M37" s="329"/>
      <c r="N37" s="329">
        <v>295</v>
      </c>
      <c r="O37" s="329"/>
      <c r="P37" s="329">
        <v>295</v>
      </c>
      <c r="Q37" s="339"/>
      <c r="S37" s="338"/>
      <c r="T37" s="329"/>
      <c r="U37" s="329"/>
      <c r="V37" s="329"/>
      <c r="W37" s="329"/>
      <c r="X37" s="329"/>
      <c r="Y37" s="329"/>
      <c r="Z37" s="329"/>
      <c r="AA37" s="329"/>
      <c r="AB37" s="329"/>
      <c r="AC37" s="329"/>
      <c r="AD37" s="339"/>
      <c r="AF37" s="338"/>
      <c r="AG37" s="329"/>
      <c r="AH37" s="329"/>
      <c r="AI37" s="329"/>
      <c r="AJ37" s="329"/>
      <c r="AK37" s="329"/>
      <c r="AL37" s="329"/>
      <c r="AM37" s="329"/>
      <c r="AN37" s="329"/>
      <c r="AO37" s="329"/>
      <c r="AP37" s="329"/>
      <c r="AQ37" s="339"/>
    </row>
    <row r="38" spans="6:43">
      <c r="F38" s="338"/>
      <c r="G38" s="329"/>
      <c r="H38" s="329"/>
      <c r="I38" s="329"/>
      <c r="J38" s="329">
        <v>194</v>
      </c>
      <c r="K38" s="329"/>
      <c r="L38" s="329">
        <v>194</v>
      </c>
      <c r="M38" s="329"/>
      <c r="N38" s="329">
        <v>315</v>
      </c>
      <c r="O38" s="329"/>
      <c r="P38" s="329">
        <v>315</v>
      </c>
      <c r="Q38" s="339"/>
      <c r="S38" s="338"/>
      <c r="T38" s="329"/>
      <c r="U38" s="329"/>
      <c r="V38" s="329"/>
      <c r="W38" s="329"/>
      <c r="X38" s="329"/>
      <c r="Y38" s="329"/>
      <c r="Z38" s="329"/>
      <c r="AA38" s="329"/>
      <c r="AB38" s="329"/>
      <c r="AC38" s="329"/>
      <c r="AD38" s="339"/>
      <c r="AF38" s="338"/>
      <c r="AG38" s="329"/>
      <c r="AH38" s="329"/>
      <c r="AI38" s="329"/>
      <c r="AJ38" s="329"/>
      <c r="AK38" s="329"/>
      <c r="AL38" s="329"/>
      <c r="AM38" s="329"/>
      <c r="AN38" s="329"/>
      <c r="AO38" s="329"/>
      <c r="AP38" s="329"/>
      <c r="AQ38" s="339"/>
    </row>
    <row r="39" spans="6:43">
      <c r="F39" s="338"/>
      <c r="G39" s="329"/>
      <c r="H39" s="329"/>
      <c r="I39" s="329"/>
      <c r="J39" s="329">
        <v>195</v>
      </c>
      <c r="K39" s="329"/>
      <c r="L39" s="329">
        <v>195</v>
      </c>
      <c r="M39" s="329"/>
      <c r="N39" s="329">
        <v>344</v>
      </c>
      <c r="O39" s="329"/>
      <c r="P39" s="329">
        <v>344</v>
      </c>
      <c r="Q39" s="339"/>
      <c r="S39" s="338"/>
      <c r="T39" s="329"/>
      <c r="U39" s="329"/>
      <c r="V39" s="329"/>
      <c r="W39" s="329"/>
      <c r="X39" s="329"/>
      <c r="Y39" s="329"/>
      <c r="Z39" s="329"/>
      <c r="AA39" s="329"/>
      <c r="AB39" s="329"/>
      <c r="AC39" s="329"/>
      <c r="AD39" s="339"/>
      <c r="AF39" s="338"/>
      <c r="AG39" s="329"/>
      <c r="AH39" s="329"/>
      <c r="AI39" s="329"/>
      <c r="AJ39" s="329"/>
      <c r="AK39" s="329"/>
      <c r="AL39" s="329"/>
      <c r="AM39" s="329"/>
      <c r="AN39" s="329"/>
      <c r="AO39" s="329"/>
      <c r="AP39" s="329"/>
      <c r="AQ39" s="339"/>
    </row>
    <row r="40" spans="6:43">
      <c r="F40" s="338"/>
      <c r="G40" s="329"/>
      <c r="H40" s="329"/>
      <c r="I40" s="329"/>
      <c r="J40" s="329">
        <v>196</v>
      </c>
      <c r="K40" s="329"/>
      <c r="L40" s="329">
        <v>196</v>
      </c>
      <c r="M40" s="329"/>
      <c r="N40" s="329">
        <v>346</v>
      </c>
      <c r="O40" s="329"/>
      <c r="P40" s="329">
        <v>346</v>
      </c>
      <c r="Q40" s="339"/>
      <c r="S40" s="338"/>
      <c r="T40" s="329"/>
      <c r="U40" s="329"/>
      <c r="V40" s="329"/>
      <c r="W40" s="329"/>
      <c r="X40" s="329"/>
      <c r="Y40" s="329"/>
      <c r="Z40" s="329"/>
      <c r="AA40" s="329"/>
      <c r="AB40" s="329"/>
      <c r="AC40" s="329"/>
      <c r="AD40" s="339"/>
      <c r="AF40" s="338"/>
      <c r="AG40" s="329"/>
      <c r="AH40" s="329"/>
      <c r="AI40" s="329"/>
      <c r="AJ40" s="329"/>
      <c r="AK40" s="329"/>
      <c r="AL40" s="329"/>
      <c r="AM40" s="329"/>
      <c r="AN40" s="329"/>
      <c r="AO40" s="329"/>
      <c r="AP40" s="329"/>
      <c r="AQ40" s="339"/>
    </row>
    <row r="41" spans="6:43">
      <c r="F41" s="338"/>
      <c r="G41" s="329"/>
      <c r="H41" s="329"/>
      <c r="I41" s="329"/>
      <c r="J41" s="329">
        <v>197</v>
      </c>
      <c r="K41" s="329"/>
      <c r="L41" s="329">
        <v>197</v>
      </c>
      <c r="M41" s="329"/>
      <c r="N41" s="329">
        <v>347</v>
      </c>
      <c r="O41" s="329"/>
      <c r="P41" s="329">
        <v>347</v>
      </c>
      <c r="Q41" s="339"/>
      <c r="S41" s="338"/>
      <c r="T41" s="329"/>
      <c r="U41" s="329"/>
      <c r="V41" s="329"/>
      <c r="W41" s="329"/>
      <c r="X41" s="329"/>
      <c r="Y41" s="329"/>
      <c r="Z41" s="329"/>
      <c r="AA41" s="329"/>
      <c r="AB41" s="329"/>
      <c r="AC41" s="329"/>
      <c r="AD41" s="339"/>
      <c r="AF41" s="338"/>
      <c r="AG41" s="329"/>
      <c r="AH41" s="329"/>
      <c r="AI41" s="329"/>
      <c r="AJ41" s="329"/>
      <c r="AK41" s="329"/>
      <c r="AL41" s="329"/>
      <c r="AM41" s="329"/>
      <c r="AN41" s="329"/>
      <c r="AO41" s="329"/>
      <c r="AP41" s="329"/>
      <c r="AQ41" s="339"/>
    </row>
    <row r="42" spans="6:43">
      <c r="F42" s="338"/>
      <c r="G42" s="329"/>
      <c r="H42" s="329"/>
      <c r="I42" s="329"/>
      <c r="J42" s="329">
        <v>198</v>
      </c>
      <c r="K42" s="329"/>
      <c r="L42" s="329">
        <v>198</v>
      </c>
      <c r="M42" s="329"/>
      <c r="N42" s="329">
        <v>352</v>
      </c>
      <c r="O42" s="329"/>
      <c r="P42" s="329">
        <v>352</v>
      </c>
      <c r="Q42" s="339"/>
      <c r="S42" s="338"/>
      <c r="T42" s="329"/>
      <c r="U42" s="329"/>
      <c r="V42" s="329"/>
      <c r="W42" s="329"/>
      <c r="X42" s="329"/>
      <c r="Y42" s="329"/>
      <c r="Z42" s="329"/>
      <c r="AA42" s="329"/>
      <c r="AB42" s="329"/>
      <c r="AC42" s="329"/>
      <c r="AD42" s="339"/>
      <c r="AF42" s="338"/>
      <c r="AG42" s="329"/>
      <c r="AH42" s="329"/>
      <c r="AI42" s="329"/>
      <c r="AJ42" s="329"/>
      <c r="AK42" s="329"/>
      <c r="AL42" s="329"/>
      <c r="AM42" s="329"/>
      <c r="AN42" s="329"/>
      <c r="AO42" s="329"/>
      <c r="AP42" s="329"/>
      <c r="AQ42" s="339"/>
    </row>
    <row r="43" spans="6:43">
      <c r="F43" s="338"/>
      <c r="G43" s="329"/>
      <c r="H43" s="329"/>
      <c r="I43" s="329"/>
      <c r="J43" s="329">
        <v>207</v>
      </c>
      <c r="K43" s="329"/>
      <c r="L43" s="329">
        <v>207</v>
      </c>
      <c r="M43" s="329"/>
      <c r="N43" s="329">
        <v>362</v>
      </c>
      <c r="O43" s="329"/>
      <c r="P43" s="329">
        <v>362</v>
      </c>
      <c r="Q43" s="339"/>
      <c r="S43" s="338"/>
      <c r="T43" s="329"/>
      <c r="U43" s="329"/>
      <c r="V43" s="329"/>
      <c r="W43" s="329"/>
      <c r="X43" s="329"/>
      <c r="Y43" s="329"/>
      <c r="Z43" s="329"/>
      <c r="AA43" s="329"/>
      <c r="AB43" s="329"/>
      <c r="AC43" s="329"/>
      <c r="AD43" s="339"/>
      <c r="AF43" s="338"/>
      <c r="AG43" s="329"/>
      <c r="AH43" s="329"/>
      <c r="AI43" s="329"/>
      <c r="AJ43" s="329"/>
      <c r="AK43" s="329"/>
      <c r="AL43" s="329"/>
      <c r="AM43" s="329"/>
      <c r="AN43" s="329"/>
      <c r="AO43" s="329"/>
      <c r="AP43" s="329"/>
      <c r="AQ43" s="339"/>
    </row>
    <row r="44" spans="6:43">
      <c r="F44" s="338"/>
      <c r="G44" s="329"/>
      <c r="H44" s="329"/>
      <c r="I44" s="329"/>
      <c r="J44" s="329">
        <v>208</v>
      </c>
      <c r="K44" s="329"/>
      <c r="L44" s="329">
        <v>208</v>
      </c>
      <c r="M44" s="329"/>
      <c r="N44" s="329">
        <v>365</v>
      </c>
      <c r="O44" s="329"/>
      <c r="P44" s="329">
        <v>365</v>
      </c>
      <c r="Q44" s="339"/>
      <c r="S44" s="338"/>
      <c r="T44" s="329"/>
      <c r="U44" s="329"/>
      <c r="V44" s="329"/>
      <c r="W44" s="329"/>
      <c r="X44" s="329"/>
      <c r="Y44" s="329"/>
      <c r="Z44" s="329"/>
      <c r="AA44" s="329"/>
      <c r="AB44" s="329"/>
      <c r="AC44" s="329"/>
      <c r="AD44" s="339"/>
      <c r="AF44" s="338"/>
      <c r="AG44" s="329"/>
      <c r="AH44" s="329"/>
      <c r="AI44" s="329"/>
      <c r="AJ44" s="329"/>
      <c r="AK44" s="329"/>
      <c r="AL44" s="329"/>
      <c r="AM44" s="329"/>
      <c r="AN44" s="329"/>
      <c r="AO44" s="329"/>
      <c r="AP44" s="329"/>
      <c r="AQ44" s="339"/>
    </row>
    <row r="45" spans="6:43">
      <c r="F45" s="338"/>
      <c r="G45" s="329"/>
      <c r="H45" s="329"/>
      <c r="I45" s="329"/>
      <c r="J45" s="329">
        <v>209</v>
      </c>
      <c r="K45" s="329"/>
      <c r="L45" s="329">
        <v>209</v>
      </c>
      <c r="M45" s="329"/>
      <c r="N45" s="329">
        <v>383</v>
      </c>
      <c r="O45" s="329"/>
      <c r="P45" s="329">
        <v>383</v>
      </c>
      <c r="Q45" s="339"/>
      <c r="S45" s="338"/>
      <c r="T45" s="329"/>
      <c r="U45" s="329"/>
      <c r="V45" s="329"/>
      <c r="W45" s="329"/>
      <c r="X45" s="329"/>
      <c r="Y45" s="329"/>
      <c r="Z45" s="329"/>
      <c r="AA45" s="329"/>
      <c r="AB45" s="329"/>
      <c r="AC45" s="329"/>
      <c r="AD45" s="339"/>
      <c r="AF45" s="338"/>
      <c r="AG45" s="329"/>
      <c r="AH45" s="329"/>
      <c r="AI45" s="329"/>
      <c r="AJ45" s="329"/>
      <c r="AK45" s="329"/>
      <c r="AL45" s="329"/>
      <c r="AM45" s="329"/>
      <c r="AN45" s="329"/>
      <c r="AO45" s="329"/>
      <c r="AP45" s="329"/>
      <c r="AQ45" s="339"/>
    </row>
    <row r="46" spans="6:43">
      <c r="F46" s="338"/>
      <c r="G46" s="329"/>
      <c r="H46" s="329"/>
      <c r="I46" s="329"/>
      <c r="J46" s="329">
        <v>210</v>
      </c>
      <c r="K46" s="329"/>
      <c r="L46" s="329">
        <v>210</v>
      </c>
      <c r="M46" s="329"/>
      <c r="N46" s="329">
        <v>384</v>
      </c>
      <c r="O46" s="329"/>
      <c r="P46" s="329">
        <v>384</v>
      </c>
      <c r="Q46" s="339"/>
      <c r="S46" s="338"/>
      <c r="T46" s="329"/>
      <c r="U46" s="329"/>
      <c r="V46" s="329"/>
      <c r="W46" s="329"/>
      <c r="X46" s="329"/>
      <c r="Y46" s="329"/>
      <c r="Z46" s="329"/>
      <c r="AA46" s="329"/>
      <c r="AB46" s="329"/>
      <c r="AC46" s="329"/>
      <c r="AD46" s="339"/>
      <c r="AF46" s="338"/>
      <c r="AG46" s="329"/>
      <c r="AH46" s="329"/>
      <c r="AI46" s="329"/>
      <c r="AJ46" s="329"/>
      <c r="AK46" s="329"/>
      <c r="AL46" s="329"/>
      <c r="AM46" s="329"/>
      <c r="AN46" s="329"/>
      <c r="AO46" s="329"/>
      <c r="AP46" s="329"/>
      <c r="AQ46" s="339"/>
    </row>
    <row r="47" spans="6:43">
      <c r="F47" s="338"/>
      <c r="G47" s="329"/>
      <c r="H47" s="329"/>
      <c r="I47" s="329"/>
      <c r="J47" s="329">
        <v>212</v>
      </c>
      <c r="K47" s="329"/>
      <c r="L47" s="329">
        <v>212</v>
      </c>
      <c r="M47" s="329"/>
      <c r="N47" s="329">
        <v>386</v>
      </c>
      <c r="O47" s="329"/>
      <c r="P47" s="329">
        <v>386</v>
      </c>
      <c r="Q47" s="339"/>
      <c r="S47" s="338"/>
      <c r="T47" s="329"/>
      <c r="U47" s="329"/>
      <c r="V47" s="329"/>
      <c r="W47" s="329"/>
      <c r="X47" s="329"/>
      <c r="Y47" s="329"/>
      <c r="Z47" s="329"/>
      <c r="AA47" s="329"/>
      <c r="AB47" s="329"/>
      <c r="AC47" s="329"/>
      <c r="AD47" s="339"/>
      <c r="AF47" s="338"/>
      <c r="AG47" s="329"/>
      <c r="AH47" s="329"/>
      <c r="AI47" s="329"/>
      <c r="AJ47" s="329"/>
      <c r="AK47" s="329"/>
      <c r="AL47" s="329"/>
      <c r="AM47" s="329"/>
      <c r="AN47" s="329"/>
      <c r="AO47" s="329"/>
      <c r="AP47" s="329"/>
      <c r="AQ47" s="339"/>
    </row>
    <row r="48" spans="6:43">
      <c r="F48" s="338"/>
      <c r="G48" s="329"/>
      <c r="H48" s="329"/>
      <c r="I48" s="329"/>
      <c r="J48" s="329">
        <v>214</v>
      </c>
      <c r="K48" s="329"/>
      <c r="L48" s="329">
        <v>214</v>
      </c>
      <c r="M48" s="329"/>
      <c r="N48" s="329">
        <v>405</v>
      </c>
      <c r="O48" s="329"/>
      <c r="P48" s="329">
        <v>405</v>
      </c>
      <c r="Q48" s="339"/>
      <c r="S48" s="338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39"/>
      <c r="AF48" s="338"/>
      <c r="AG48" s="329"/>
      <c r="AH48" s="329"/>
      <c r="AI48" s="329"/>
      <c r="AJ48" s="329"/>
      <c r="AK48" s="329"/>
      <c r="AL48" s="329"/>
      <c r="AM48" s="329"/>
      <c r="AN48" s="329"/>
      <c r="AO48" s="329"/>
      <c r="AP48" s="329"/>
      <c r="AQ48" s="339"/>
    </row>
    <row r="49" spans="6:43">
      <c r="F49" s="338"/>
      <c r="G49" s="329"/>
      <c r="H49" s="329"/>
      <c r="I49" s="329"/>
      <c r="J49" s="329">
        <v>219</v>
      </c>
      <c r="K49" s="329"/>
      <c r="L49" s="329">
        <v>219</v>
      </c>
      <c r="M49" s="329"/>
      <c r="N49" s="329">
        <v>411</v>
      </c>
      <c r="O49" s="329"/>
      <c r="P49" s="329">
        <v>411</v>
      </c>
      <c r="Q49" s="339"/>
      <c r="S49" s="338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39"/>
      <c r="AF49" s="338"/>
      <c r="AG49" s="329"/>
      <c r="AH49" s="329"/>
      <c r="AI49" s="329"/>
      <c r="AJ49" s="329"/>
      <c r="AK49" s="329"/>
      <c r="AL49" s="329"/>
      <c r="AM49" s="329"/>
      <c r="AN49" s="329"/>
      <c r="AO49" s="329"/>
      <c r="AP49" s="329"/>
      <c r="AQ49" s="339"/>
    </row>
    <row r="50" spans="6:43">
      <c r="F50" s="338"/>
      <c r="G50" s="329"/>
      <c r="H50" s="329"/>
      <c r="I50" s="329"/>
      <c r="J50" s="329">
        <v>260</v>
      </c>
      <c r="K50" s="329"/>
      <c r="L50" s="329">
        <v>260</v>
      </c>
      <c r="M50" s="329"/>
      <c r="N50" s="329">
        <v>412</v>
      </c>
      <c r="O50" s="329"/>
      <c r="P50" s="329">
        <v>412</v>
      </c>
      <c r="Q50" s="339"/>
      <c r="S50" s="338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39"/>
      <c r="AF50" s="338"/>
      <c r="AG50" s="329"/>
      <c r="AH50" s="329"/>
      <c r="AI50" s="329"/>
      <c r="AJ50" s="329"/>
      <c r="AK50" s="329"/>
      <c r="AL50" s="329"/>
      <c r="AM50" s="329"/>
      <c r="AN50" s="329"/>
      <c r="AO50" s="329"/>
      <c r="AP50" s="329"/>
      <c r="AQ50" s="339"/>
    </row>
    <row r="51" spans="6:43">
      <c r="F51" s="338"/>
      <c r="G51" s="329"/>
      <c r="H51" s="329"/>
      <c r="I51" s="329"/>
      <c r="J51" s="329">
        <v>268</v>
      </c>
      <c r="K51" s="329"/>
      <c r="L51" s="329">
        <v>268</v>
      </c>
      <c r="M51" s="329"/>
      <c r="N51" s="329">
        <v>414</v>
      </c>
      <c r="O51" s="329"/>
      <c r="P51" s="329">
        <v>414</v>
      </c>
      <c r="Q51" s="339"/>
      <c r="S51" s="338"/>
      <c r="T51" s="329"/>
      <c r="U51" s="329"/>
      <c r="V51" s="329"/>
      <c r="W51" s="329"/>
      <c r="X51" s="329"/>
      <c r="Y51" s="329"/>
      <c r="Z51" s="329"/>
      <c r="AA51" s="329"/>
      <c r="AB51" s="329"/>
      <c r="AC51" s="329"/>
      <c r="AD51" s="339"/>
      <c r="AF51" s="338"/>
      <c r="AG51" s="329"/>
      <c r="AH51" s="329"/>
      <c r="AI51" s="329"/>
      <c r="AJ51" s="329"/>
      <c r="AK51" s="329"/>
      <c r="AL51" s="329"/>
      <c r="AM51" s="329"/>
      <c r="AN51" s="329"/>
      <c r="AO51" s="329"/>
      <c r="AP51" s="329"/>
      <c r="AQ51" s="339"/>
    </row>
    <row r="52" spans="6:43">
      <c r="F52" s="338"/>
      <c r="G52" s="329"/>
      <c r="H52" s="329"/>
      <c r="I52" s="329"/>
      <c r="J52" s="329">
        <v>269</v>
      </c>
      <c r="K52" s="329"/>
      <c r="L52" s="329">
        <v>269</v>
      </c>
      <c r="M52" s="329"/>
      <c r="N52" s="329">
        <v>421</v>
      </c>
      <c r="O52" s="329"/>
      <c r="P52" s="329">
        <v>421</v>
      </c>
      <c r="Q52" s="339"/>
      <c r="S52" s="338"/>
      <c r="T52" s="329"/>
      <c r="U52" s="329"/>
      <c r="V52" s="329"/>
      <c r="W52" s="329"/>
      <c r="X52" s="329"/>
      <c r="Y52" s="329"/>
      <c r="Z52" s="329"/>
      <c r="AA52" s="329"/>
      <c r="AB52" s="329"/>
      <c r="AC52" s="329"/>
      <c r="AD52" s="339"/>
      <c r="AF52" s="338"/>
      <c r="AG52" s="329"/>
      <c r="AH52" s="329"/>
      <c r="AI52" s="329"/>
      <c r="AJ52" s="329"/>
      <c r="AK52" s="329"/>
      <c r="AL52" s="329"/>
      <c r="AM52" s="329"/>
      <c r="AN52" s="329"/>
      <c r="AO52" s="329"/>
      <c r="AP52" s="329"/>
      <c r="AQ52" s="339"/>
    </row>
    <row r="53" spans="6:43">
      <c r="F53" s="338"/>
      <c r="G53" s="329"/>
      <c r="H53" s="329"/>
      <c r="I53" s="329"/>
      <c r="J53" s="329">
        <v>282</v>
      </c>
      <c r="K53" s="329"/>
      <c r="L53" s="329">
        <v>282</v>
      </c>
      <c r="M53" s="329"/>
      <c r="N53" s="329">
        <v>433</v>
      </c>
      <c r="O53" s="329"/>
      <c r="P53" s="329">
        <v>433</v>
      </c>
      <c r="Q53" s="339"/>
      <c r="S53" s="338"/>
      <c r="T53" s="329"/>
      <c r="U53" s="329"/>
      <c r="V53" s="329"/>
      <c r="W53" s="329"/>
      <c r="X53" s="329"/>
      <c r="Y53" s="329"/>
      <c r="Z53" s="329"/>
      <c r="AA53" s="329"/>
      <c r="AB53" s="329"/>
      <c r="AC53" s="329"/>
      <c r="AD53" s="339"/>
      <c r="AF53" s="338"/>
      <c r="AG53" s="329"/>
      <c r="AH53" s="329"/>
      <c r="AI53" s="329"/>
      <c r="AJ53" s="329"/>
      <c r="AK53" s="329"/>
      <c r="AL53" s="329"/>
      <c r="AM53" s="329"/>
      <c r="AN53" s="329"/>
      <c r="AO53" s="329"/>
      <c r="AP53" s="329"/>
      <c r="AQ53" s="339"/>
    </row>
    <row r="54" spans="6:43">
      <c r="F54" s="338"/>
      <c r="G54" s="329"/>
      <c r="H54" s="329"/>
      <c r="I54" s="329"/>
      <c r="J54" s="329">
        <v>283</v>
      </c>
      <c r="K54" s="329"/>
      <c r="L54" s="329">
        <v>283</v>
      </c>
      <c r="M54" s="329"/>
      <c r="N54" s="329">
        <v>436</v>
      </c>
      <c r="O54" s="329"/>
      <c r="P54" s="329">
        <v>436</v>
      </c>
      <c r="Q54" s="339"/>
      <c r="S54" s="338"/>
      <c r="T54" s="329"/>
      <c r="U54" s="329"/>
      <c r="V54" s="329"/>
      <c r="W54" s="329"/>
      <c r="X54" s="329"/>
      <c r="Y54" s="329"/>
      <c r="Z54" s="329"/>
      <c r="AA54" s="329"/>
      <c r="AB54" s="329"/>
      <c r="AC54" s="329"/>
      <c r="AD54" s="339"/>
      <c r="AF54" s="338"/>
      <c r="AG54" s="329"/>
      <c r="AH54" s="329"/>
      <c r="AI54" s="329"/>
      <c r="AJ54" s="329"/>
      <c r="AK54" s="329"/>
      <c r="AL54" s="329"/>
      <c r="AM54" s="329"/>
      <c r="AN54" s="329"/>
      <c r="AO54" s="329"/>
      <c r="AP54" s="329"/>
      <c r="AQ54" s="339"/>
    </row>
    <row r="55" spans="6:43">
      <c r="F55" s="338"/>
      <c r="G55" s="329"/>
      <c r="H55" s="329"/>
      <c r="I55" s="329"/>
      <c r="J55" s="329">
        <v>287</v>
      </c>
      <c r="K55" s="329"/>
      <c r="L55" s="329">
        <v>287</v>
      </c>
      <c r="M55" s="329"/>
      <c r="N55" s="329">
        <v>461</v>
      </c>
      <c r="O55" s="329"/>
      <c r="P55" s="329">
        <v>461</v>
      </c>
      <c r="Q55" s="339"/>
      <c r="S55" s="338"/>
      <c r="T55" s="329"/>
      <c r="U55" s="329"/>
      <c r="V55" s="329"/>
      <c r="W55" s="329"/>
      <c r="X55" s="329"/>
      <c r="Y55" s="329"/>
      <c r="Z55" s="329"/>
      <c r="AA55" s="329"/>
      <c r="AB55" s="329"/>
      <c r="AC55" s="329"/>
      <c r="AD55" s="339"/>
      <c r="AF55" s="338"/>
      <c r="AG55" s="329"/>
      <c r="AH55" s="329"/>
      <c r="AI55" s="329"/>
      <c r="AJ55" s="329"/>
      <c r="AK55" s="329"/>
      <c r="AL55" s="329"/>
      <c r="AM55" s="329"/>
      <c r="AN55" s="329"/>
      <c r="AO55" s="329"/>
      <c r="AP55" s="329"/>
      <c r="AQ55" s="339"/>
    </row>
    <row r="56" spans="6:43">
      <c r="F56" s="338"/>
      <c r="G56" s="329"/>
      <c r="H56" s="329"/>
      <c r="I56" s="329"/>
      <c r="J56" s="329">
        <v>288</v>
      </c>
      <c r="K56" s="329"/>
      <c r="L56" s="329">
        <v>288</v>
      </c>
      <c r="M56" s="329"/>
      <c r="N56" s="329">
        <v>530</v>
      </c>
      <c r="O56" s="329"/>
      <c r="P56" s="329">
        <v>530</v>
      </c>
      <c r="Q56" s="339"/>
      <c r="S56" s="338"/>
      <c r="T56" s="329"/>
      <c r="U56" s="329"/>
      <c r="V56" s="329"/>
      <c r="W56" s="329"/>
      <c r="X56" s="329"/>
      <c r="Y56" s="329"/>
      <c r="Z56" s="329"/>
      <c r="AA56" s="329"/>
      <c r="AB56" s="329"/>
      <c r="AC56" s="329"/>
      <c r="AD56" s="339"/>
      <c r="AF56" s="338"/>
      <c r="AG56" s="329"/>
      <c r="AH56" s="329"/>
      <c r="AI56" s="329"/>
      <c r="AJ56" s="329"/>
      <c r="AK56" s="329"/>
      <c r="AL56" s="329"/>
      <c r="AM56" s="329"/>
      <c r="AN56" s="329"/>
      <c r="AO56" s="329"/>
      <c r="AP56" s="329"/>
      <c r="AQ56" s="339"/>
    </row>
    <row r="57" spans="6:43">
      <c r="F57" s="338"/>
      <c r="G57" s="329"/>
      <c r="H57" s="329"/>
      <c r="I57" s="329"/>
      <c r="J57" s="329">
        <v>331</v>
      </c>
      <c r="K57" s="329"/>
      <c r="L57" s="329">
        <v>331</v>
      </c>
      <c r="M57" s="329"/>
      <c r="N57" s="329">
        <v>539</v>
      </c>
      <c r="O57" s="329"/>
      <c r="P57" s="329">
        <v>539</v>
      </c>
      <c r="Q57" s="339"/>
      <c r="S57" s="338"/>
      <c r="T57" s="329"/>
      <c r="U57" s="329"/>
      <c r="V57" s="329"/>
      <c r="W57" s="329"/>
      <c r="X57" s="329"/>
      <c r="Y57" s="329"/>
      <c r="Z57" s="329"/>
      <c r="AA57" s="329"/>
      <c r="AB57" s="329"/>
      <c r="AC57" s="329"/>
      <c r="AD57" s="339"/>
      <c r="AF57" s="338"/>
      <c r="AG57" s="329"/>
      <c r="AH57" s="329"/>
      <c r="AI57" s="329"/>
      <c r="AJ57" s="329"/>
      <c r="AK57" s="329"/>
      <c r="AL57" s="329"/>
      <c r="AM57" s="329"/>
      <c r="AN57" s="329"/>
      <c r="AO57" s="329"/>
      <c r="AP57" s="329"/>
      <c r="AQ57" s="339"/>
    </row>
    <row r="58" spans="6:43">
      <c r="F58" s="338"/>
      <c r="G58" s="329"/>
      <c r="H58" s="329"/>
      <c r="I58" s="329"/>
      <c r="J58" s="329">
        <v>332</v>
      </c>
      <c r="K58" s="329"/>
      <c r="L58" s="329">
        <v>332</v>
      </c>
      <c r="M58" s="329"/>
      <c r="N58" s="329">
        <v>647</v>
      </c>
      <c r="O58" s="329"/>
      <c r="P58" s="329">
        <v>647</v>
      </c>
      <c r="Q58" s="339"/>
      <c r="S58" s="338"/>
      <c r="T58" s="329"/>
      <c r="U58" s="329"/>
      <c r="V58" s="329"/>
      <c r="W58" s="329"/>
      <c r="X58" s="329"/>
      <c r="Y58" s="329"/>
      <c r="Z58" s="329"/>
      <c r="AA58" s="329"/>
      <c r="AB58" s="329"/>
      <c r="AC58" s="329"/>
      <c r="AD58" s="339"/>
      <c r="AF58" s="338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39"/>
    </row>
    <row r="59" spans="6:43">
      <c r="F59" s="338"/>
      <c r="G59" s="329"/>
      <c r="H59" s="329"/>
      <c r="I59" s="329"/>
      <c r="J59" s="329">
        <v>333</v>
      </c>
      <c r="K59" s="329"/>
      <c r="L59" s="329">
        <v>333</v>
      </c>
      <c r="M59" s="329"/>
      <c r="N59" s="329">
        <v>648</v>
      </c>
      <c r="O59" s="329"/>
      <c r="P59" s="329">
        <v>648</v>
      </c>
      <c r="Q59" s="339"/>
      <c r="S59" s="338"/>
      <c r="T59" s="329"/>
      <c r="U59" s="329"/>
      <c r="V59" s="329"/>
      <c r="W59" s="329"/>
      <c r="X59" s="329"/>
      <c r="Y59" s="329"/>
      <c r="Z59" s="329"/>
      <c r="AA59" s="329"/>
      <c r="AB59" s="329"/>
      <c r="AC59" s="329"/>
      <c r="AD59" s="339"/>
      <c r="AF59" s="338"/>
      <c r="AG59" s="329"/>
      <c r="AH59" s="329"/>
      <c r="AI59" s="329"/>
      <c r="AJ59" s="329"/>
      <c r="AK59" s="329"/>
      <c r="AL59" s="329"/>
      <c r="AM59" s="329"/>
      <c r="AN59" s="329"/>
      <c r="AO59" s="329"/>
      <c r="AP59" s="329"/>
      <c r="AQ59" s="339"/>
    </row>
    <row r="60" spans="6:43">
      <c r="F60" s="338"/>
      <c r="G60" s="329"/>
      <c r="H60" s="329"/>
      <c r="I60" s="329"/>
      <c r="J60" s="329">
        <v>339</v>
      </c>
      <c r="K60" s="329"/>
      <c r="L60" s="329">
        <v>339</v>
      </c>
      <c r="M60" s="329"/>
      <c r="N60" s="329">
        <v>653</v>
      </c>
      <c r="O60" s="329"/>
      <c r="P60" s="329">
        <v>653</v>
      </c>
      <c r="Q60" s="339"/>
      <c r="S60" s="338"/>
      <c r="T60" s="329"/>
      <c r="U60" s="329"/>
      <c r="V60" s="329"/>
      <c r="W60" s="329"/>
      <c r="X60" s="329"/>
      <c r="Y60" s="329"/>
      <c r="Z60" s="329"/>
      <c r="AA60" s="329"/>
      <c r="AB60" s="329"/>
      <c r="AC60" s="329"/>
      <c r="AD60" s="339"/>
      <c r="AF60" s="338"/>
      <c r="AG60" s="329"/>
      <c r="AH60" s="329"/>
      <c r="AI60" s="329"/>
      <c r="AJ60" s="329"/>
      <c r="AK60" s="329"/>
      <c r="AL60" s="329"/>
      <c r="AM60" s="329"/>
      <c r="AN60" s="329"/>
      <c r="AO60" s="329"/>
      <c r="AP60" s="329"/>
      <c r="AQ60" s="339"/>
    </row>
    <row r="61" spans="6:43">
      <c r="F61" s="338"/>
      <c r="G61" s="329"/>
      <c r="H61" s="329"/>
      <c r="I61" s="329"/>
      <c r="J61" s="329">
        <v>356</v>
      </c>
      <c r="K61" s="329"/>
      <c r="L61" s="329">
        <v>356</v>
      </c>
      <c r="M61" s="329"/>
      <c r="N61" s="329">
        <v>654</v>
      </c>
      <c r="O61" s="329"/>
      <c r="P61" s="329">
        <v>654</v>
      </c>
      <c r="Q61" s="339"/>
      <c r="S61" s="338"/>
      <c r="T61" s="329"/>
      <c r="U61" s="329"/>
      <c r="V61" s="329"/>
      <c r="W61" s="329"/>
      <c r="X61" s="329"/>
      <c r="Y61" s="329"/>
      <c r="Z61" s="329"/>
      <c r="AA61" s="329"/>
      <c r="AB61" s="329"/>
      <c r="AC61" s="329"/>
      <c r="AD61" s="339"/>
      <c r="AF61" s="338"/>
      <c r="AG61" s="329"/>
      <c r="AH61" s="329"/>
      <c r="AI61" s="329"/>
      <c r="AJ61" s="329"/>
      <c r="AK61" s="329"/>
      <c r="AL61" s="329"/>
      <c r="AM61" s="329"/>
      <c r="AN61" s="329"/>
      <c r="AO61" s="329"/>
      <c r="AP61" s="329"/>
      <c r="AQ61" s="339"/>
    </row>
    <row r="62" spans="6:43">
      <c r="F62" s="338"/>
      <c r="G62" s="329"/>
      <c r="H62" s="329"/>
      <c r="I62" s="329"/>
      <c r="J62" s="329">
        <v>358</v>
      </c>
      <c r="K62" s="329"/>
      <c r="L62" s="329">
        <v>358</v>
      </c>
      <c r="M62" s="329"/>
      <c r="N62" s="329">
        <v>655</v>
      </c>
      <c r="O62" s="329"/>
      <c r="P62" s="329">
        <v>655</v>
      </c>
      <c r="Q62" s="339"/>
      <c r="S62" s="338"/>
      <c r="T62" s="329"/>
      <c r="U62" s="329"/>
      <c r="V62" s="329"/>
      <c r="W62" s="329"/>
      <c r="X62" s="329"/>
      <c r="Y62" s="329"/>
      <c r="Z62" s="329"/>
      <c r="AA62" s="329"/>
      <c r="AB62" s="329"/>
      <c r="AC62" s="329"/>
      <c r="AD62" s="339"/>
      <c r="AF62" s="338"/>
      <c r="AG62" s="329"/>
      <c r="AH62" s="329"/>
      <c r="AI62" s="329"/>
      <c r="AJ62" s="329"/>
      <c r="AK62" s="329"/>
      <c r="AL62" s="329"/>
      <c r="AM62" s="329"/>
      <c r="AN62" s="329"/>
      <c r="AO62" s="329"/>
      <c r="AP62" s="329"/>
      <c r="AQ62" s="339"/>
    </row>
    <row r="63" spans="6:43">
      <c r="F63" s="338"/>
      <c r="G63" s="329"/>
      <c r="H63" s="329"/>
      <c r="I63" s="329"/>
      <c r="J63" s="329">
        <v>364</v>
      </c>
      <c r="K63" s="329"/>
      <c r="L63" s="329">
        <v>364</v>
      </c>
      <c r="M63" s="329"/>
      <c r="N63" s="329">
        <v>657</v>
      </c>
      <c r="O63" s="329"/>
      <c r="P63" s="329">
        <v>657</v>
      </c>
      <c r="Q63" s="339"/>
      <c r="S63" s="338"/>
      <c r="T63" s="329"/>
      <c r="U63" s="329"/>
      <c r="V63" s="329"/>
      <c r="W63" s="329"/>
      <c r="X63" s="329"/>
      <c r="Y63" s="329"/>
      <c r="Z63" s="329"/>
      <c r="AA63" s="329"/>
      <c r="AB63" s="329"/>
      <c r="AC63" s="329"/>
      <c r="AD63" s="339"/>
      <c r="AF63" s="338"/>
      <c r="AG63" s="329"/>
      <c r="AH63" s="329"/>
      <c r="AI63" s="329"/>
      <c r="AJ63" s="329"/>
      <c r="AK63" s="329"/>
      <c r="AL63" s="329"/>
      <c r="AM63" s="329"/>
      <c r="AN63" s="329"/>
      <c r="AO63" s="329"/>
      <c r="AP63" s="329"/>
      <c r="AQ63" s="339"/>
    </row>
    <row r="64" spans="6:43">
      <c r="F64" s="338"/>
      <c r="G64" s="329"/>
      <c r="H64" s="329"/>
      <c r="I64" s="329"/>
      <c r="J64" s="329">
        <v>410</v>
      </c>
      <c r="K64" s="329"/>
      <c r="L64" s="329">
        <v>410</v>
      </c>
      <c r="M64" s="329"/>
      <c r="N64" s="329">
        <v>658</v>
      </c>
      <c r="O64" s="329"/>
      <c r="P64" s="329">
        <v>658</v>
      </c>
      <c r="Q64" s="339"/>
      <c r="S64" s="338"/>
      <c r="T64" s="329"/>
      <c r="U64" s="329"/>
      <c r="V64" s="329"/>
      <c r="W64" s="329"/>
      <c r="X64" s="329"/>
      <c r="Y64" s="329"/>
      <c r="Z64" s="329"/>
      <c r="AA64" s="329"/>
      <c r="AB64" s="329"/>
      <c r="AC64" s="329"/>
      <c r="AD64" s="339"/>
      <c r="AF64" s="338"/>
      <c r="AG64" s="329"/>
      <c r="AH64" s="329"/>
      <c r="AI64" s="329"/>
      <c r="AJ64" s="329"/>
      <c r="AK64" s="329"/>
      <c r="AL64" s="329"/>
      <c r="AM64" s="329"/>
      <c r="AN64" s="329"/>
      <c r="AO64" s="329"/>
      <c r="AP64" s="329"/>
      <c r="AQ64" s="339"/>
    </row>
    <row r="65" spans="6:43">
      <c r="F65" s="338"/>
      <c r="G65" s="329"/>
      <c r="H65" s="329"/>
      <c r="I65" s="329"/>
      <c r="J65" s="329">
        <v>417</v>
      </c>
      <c r="K65" s="329"/>
      <c r="L65" s="329">
        <v>417</v>
      </c>
      <c r="M65" s="329"/>
      <c r="N65" s="329">
        <v>662</v>
      </c>
      <c r="O65" s="329"/>
      <c r="P65" s="329">
        <v>662</v>
      </c>
      <c r="Q65" s="339"/>
      <c r="S65" s="338"/>
      <c r="T65" s="329"/>
      <c r="U65" s="329"/>
      <c r="V65" s="329"/>
      <c r="W65" s="329"/>
      <c r="X65" s="329"/>
      <c r="Y65" s="329"/>
      <c r="Z65" s="329"/>
      <c r="AA65" s="329"/>
      <c r="AB65" s="329"/>
      <c r="AC65" s="329"/>
      <c r="AD65" s="339"/>
      <c r="AF65" s="338"/>
      <c r="AG65" s="329"/>
      <c r="AH65" s="329"/>
      <c r="AI65" s="329"/>
      <c r="AJ65" s="329"/>
      <c r="AK65" s="329"/>
      <c r="AL65" s="329"/>
      <c r="AM65" s="329"/>
      <c r="AN65" s="329"/>
      <c r="AO65" s="329"/>
      <c r="AP65" s="329"/>
      <c r="AQ65" s="339"/>
    </row>
    <row r="66" spans="6:43">
      <c r="F66" s="338"/>
      <c r="G66" s="329"/>
      <c r="H66" s="329"/>
      <c r="I66" s="329"/>
      <c r="J66" s="329">
        <v>419</v>
      </c>
      <c r="K66" s="329"/>
      <c r="L66" s="329">
        <v>419</v>
      </c>
      <c r="M66" s="329"/>
      <c r="N66" s="329">
        <v>663</v>
      </c>
      <c r="O66" s="329"/>
      <c r="P66" s="329">
        <v>663</v>
      </c>
      <c r="Q66" s="339"/>
      <c r="S66" s="338"/>
      <c r="T66" s="329"/>
      <c r="U66" s="329"/>
      <c r="V66" s="329"/>
      <c r="W66" s="329"/>
      <c r="X66" s="329"/>
      <c r="Y66" s="329"/>
      <c r="Z66" s="329"/>
      <c r="AA66" s="329"/>
      <c r="AB66" s="329"/>
      <c r="AC66" s="329"/>
      <c r="AD66" s="339"/>
      <c r="AF66" s="338"/>
      <c r="AG66" s="329"/>
      <c r="AH66" s="329"/>
      <c r="AI66" s="329"/>
      <c r="AJ66" s="329"/>
      <c r="AK66" s="329"/>
      <c r="AL66" s="329"/>
      <c r="AM66" s="329"/>
      <c r="AN66" s="329"/>
      <c r="AO66" s="329"/>
      <c r="AP66" s="329"/>
      <c r="AQ66" s="339"/>
    </row>
    <row r="67" spans="6:43">
      <c r="F67" s="338"/>
      <c r="G67" s="329"/>
      <c r="H67" s="329"/>
      <c r="I67" s="329"/>
      <c r="J67" s="329">
        <v>424</v>
      </c>
      <c r="K67" s="329"/>
      <c r="L67" s="329">
        <v>424</v>
      </c>
      <c r="M67" s="329"/>
      <c r="N67" s="329">
        <v>666</v>
      </c>
      <c r="O67" s="329"/>
      <c r="P67" s="329">
        <v>666</v>
      </c>
      <c r="Q67" s="339"/>
      <c r="S67" s="338"/>
      <c r="T67" s="329"/>
      <c r="U67" s="329"/>
      <c r="V67" s="329"/>
      <c r="W67" s="329"/>
      <c r="X67" s="329"/>
      <c r="Y67" s="329"/>
      <c r="Z67" s="329"/>
      <c r="AA67" s="329"/>
      <c r="AB67" s="329"/>
      <c r="AC67" s="329"/>
      <c r="AD67" s="339"/>
      <c r="AF67" s="338"/>
      <c r="AG67" s="329"/>
      <c r="AH67" s="329"/>
      <c r="AI67" s="329"/>
      <c r="AJ67" s="329"/>
      <c r="AK67" s="329"/>
      <c r="AL67" s="329"/>
      <c r="AM67" s="329"/>
      <c r="AN67" s="329"/>
      <c r="AO67" s="329"/>
      <c r="AP67" s="329"/>
      <c r="AQ67" s="339"/>
    </row>
    <row r="68" spans="6:43">
      <c r="F68" s="338"/>
      <c r="G68" s="329"/>
      <c r="H68" s="329"/>
      <c r="I68" s="329"/>
      <c r="J68" s="329">
        <v>530</v>
      </c>
      <c r="K68" s="329"/>
      <c r="L68" s="329">
        <v>530</v>
      </c>
      <c r="M68" s="329"/>
      <c r="N68" s="329">
        <v>671</v>
      </c>
      <c r="O68" s="329"/>
      <c r="P68" s="329">
        <v>671</v>
      </c>
      <c r="Q68" s="339"/>
      <c r="S68" s="338"/>
      <c r="T68" s="329"/>
      <c r="U68" s="329"/>
      <c r="V68" s="329"/>
      <c r="W68" s="329"/>
      <c r="X68" s="329"/>
      <c r="Y68" s="329"/>
      <c r="Z68" s="329"/>
      <c r="AA68" s="329"/>
      <c r="AB68" s="329"/>
      <c r="AC68" s="329"/>
      <c r="AD68" s="339"/>
      <c r="AF68" s="338"/>
      <c r="AG68" s="329"/>
      <c r="AH68" s="329"/>
      <c r="AI68" s="329"/>
      <c r="AJ68" s="329"/>
      <c r="AK68" s="329"/>
      <c r="AL68" s="329"/>
      <c r="AM68" s="329"/>
      <c r="AN68" s="329"/>
      <c r="AO68" s="329"/>
      <c r="AP68" s="329"/>
      <c r="AQ68" s="339"/>
    </row>
    <row r="69" spans="6:43">
      <c r="F69" s="338"/>
      <c r="G69" s="329"/>
      <c r="H69" s="329"/>
      <c r="I69" s="329"/>
      <c r="J69" s="329">
        <v>539</v>
      </c>
      <c r="K69" s="329"/>
      <c r="L69" s="329">
        <v>539</v>
      </c>
      <c r="M69" s="329"/>
      <c r="N69" s="329">
        <v>688</v>
      </c>
      <c r="O69" s="329"/>
      <c r="P69" s="329">
        <v>688</v>
      </c>
      <c r="Q69" s="339"/>
      <c r="S69" s="338"/>
      <c r="T69" s="329"/>
      <c r="U69" s="329"/>
      <c r="V69" s="329"/>
      <c r="W69" s="329"/>
      <c r="X69" s="329"/>
      <c r="Y69" s="329"/>
      <c r="Z69" s="329"/>
      <c r="AA69" s="329"/>
      <c r="AB69" s="329"/>
      <c r="AC69" s="329"/>
      <c r="AD69" s="339"/>
      <c r="AF69" s="338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39"/>
    </row>
    <row r="70" spans="6:43">
      <c r="F70" s="338"/>
      <c r="G70" s="329"/>
      <c r="H70" s="329"/>
      <c r="I70" s="329"/>
      <c r="J70" s="329">
        <v>595</v>
      </c>
      <c r="K70" s="329"/>
      <c r="L70" s="329">
        <v>595</v>
      </c>
      <c r="M70" s="329"/>
      <c r="N70" s="329">
        <v>692</v>
      </c>
      <c r="O70" s="329"/>
      <c r="P70" s="329">
        <v>692</v>
      </c>
      <c r="Q70" s="339"/>
      <c r="S70" s="338"/>
      <c r="T70" s="329"/>
      <c r="U70" s="329"/>
      <c r="V70" s="329"/>
      <c r="W70" s="329"/>
      <c r="X70" s="329"/>
      <c r="Y70" s="329"/>
      <c r="Z70" s="329"/>
      <c r="AA70" s="329"/>
      <c r="AB70" s="329"/>
      <c r="AC70" s="329"/>
      <c r="AD70" s="339"/>
      <c r="AF70" s="338"/>
      <c r="AG70" s="329"/>
      <c r="AH70" s="329"/>
      <c r="AI70" s="329"/>
      <c r="AJ70" s="329"/>
      <c r="AK70" s="329"/>
      <c r="AL70" s="329"/>
      <c r="AM70" s="329"/>
      <c r="AN70" s="329"/>
      <c r="AO70" s="329"/>
      <c r="AP70" s="329"/>
      <c r="AQ70" s="339"/>
    </row>
    <row r="71" spans="6:43">
      <c r="F71" s="338"/>
      <c r="G71" s="329"/>
      <c r="H71" s="329"/>
      <c r="I71" s="329"/>
      <c r="J71" s="329">
        <v>601</v>
      </c>
      <c r="K71" s="329"/>
      <c r="L71" s="329">
        <v>601</v>
      </c>
      <c r="M71" s="329"/>
      <c r="N71" s="329">
        <v>695</v>
      </c>
      <c r="O71" s="329"/>
      <c r="P71" s="329">
        <v>695</v>
      </c>
      <c r="Q71" s="339"/>
      <c r="S71" s="338"/>
      <c r="T71" s="329"/>
      <c r="U71" s="329"/>
      <c r="V71" s="329"/>
      <c r="W71" s="329"/>
      <c r="X71" s="329"/>
      <c r="Y71" s="329"/>
      <c r="Z71" s="329"/>
      <c r="AA71" s="329"/>
      <c r="AB71" s="329"/>
      <c r="AC71" s="329"/>
      <c r="AD71" s="339"/>
      <c r="AF71" s="338"/>
      <c r="AG71" s="329"/>
      <c r="AH71" s="329"/>
      <c r="AI71" s="329"/>
      <c r="AJ71" s="329"/>
      <c r="AK71" s="329"/>
      <c r="AL71" s="329"/>
      <c r="AM71" s="329"/>
      <c r="AN71" s="329"/>
      <c r="AO71" s="329"/>
      <c r="AP71" s="329"/>
      <c r="AQ71" s="339"/>
    </row>
    <row r="72" spans="6:43">
      <c r="F72" s="338"/>
      <c r="G72" s="329"/>
      <c r="H72" s="329"/>
      <c r="I72" s="329"/>
      <c r="J72" s="329">
        <v>665</v>
      </c>
      <c r="K72" s="329"/>
      <c r="L72" s="329">
        <v>665</v>
      </c>
      <c r="M72" s="329"/>
      <c r="N72" s="329">
        <v>698</v>
      </c>
      <c r="O72" s="329"/>
      <c r="P72" s="329">
        <v>698</v>
      </c>
      <c r="Q72" s="339"/>
      <c r="S72" s="338"/>
      <c r="T72" s="329"/>
      <c r="U72" s="329"/>
      <c r="V72" s="329"/>
      <c r="W72" s="329"/>
      <c r="X72" s="329"/>
      <c r="Y72" s="329"/>
      <c r="Z72" s="329"/>
      <c r="AA72" s="329"/>
      <c r="AB72" s="329"/>
      <c r="AC72" s="329"/>
      <c r="AD72" s="339"/>
      <c r="AF72" s="338"/>
      <c r="AG72" s="329"/>
      <c r="AH72" s="329"/>
      <c r="AI72" s="329"/>
      <c r="AJ72" s="329"/>
      <c r="AK72" s="329"/>
      <c r="AL72" s="329"/>
      <c r="AM72" s="329"/>
      <c r="AN72" s="329"/>
      <c r="AO72" s="329"/>
      <c r="AP72" s="329"/>
      <c r="AQ72" s="339"/>
    </row>
    <row r="73" spans="6:43">
      <c r="F73" s="338"/>
      <c r="G73" s="329"/>
      <c r="H73" s="329"/>
      <c r="I73" s="329"/>
      <c r="J73" s="329">
        <v>667</v>
      </c>
      <c r="K73" s="329"/>
      <c r="L73" s="329">
        <v>667</v>
      </c>
      <c r="M73" s="329"/>
      <c r="N73" s="329">
        <v>711</v>
      </c>
      <c r="O73" s="329"/>
      <c r="P73" s="329">
        <v>711</v>
      </c>
      <c r="Q73" s="339"/>
      <c r="S73" s="338"/>
      <c r="T73" s="329"/>
      <c r="U73" s="329"/>
      <c r="V73" s="329"/>
      <c r="W73" s="329"/>
      <c r="X73" s="329"/>
      <c r="Y73" s="329"/>
      <c r="Z73" s="329"/>
      <c r="AA73" s="329"/>
      <c r="AB73" s="329"/>
      <c r="AC73" s="329"/>
      <c r="AD73" s="339"/>
      <c r="AF73" s="338"/>
      <c r="AG73" s="329"/>
      <c r="AH73" s="329"/>
      <c r="AI73" s="329"/>
      <c r="AJ73" s="329"/>
      <c r="AK73" s="329"/>
      <c r="AL73" s="329"/>
      <c r="AM73" s="329"/>
      <c r="AN73" s="329"/>
      <c r="AO73" s="329"/>
      <c r="AP73" s="329"/>
      <c r="AQ73" s="339"/>
    </row>
    <row r="74" spans="6:43">
      <c r="F74" s="338"/>
      <c r="G74" s="329"/>
      <c r="H74" s="329"/>
      <c r="I74" s="329"/>
      <c r="J74" s="329">
        <v>672</v>
      </c>
      <c r="K74" s="329"/>
      <c r="L74" s="329">
        <v>672</v>
      </c>
      <c r="M74" s="329"/>
      <c r="N74" s="329">
        <v>713</v>
      </c>
      <c r="O74" s="329"/>
      <c r="P74" s="329">
        <v>713</v>
      </c>
      <c r="Q74" s="339"/>
      <c r="S74" s="338"/>
      <c r="T74" s="329"/>
      <c r="U74" s="329"/>
      <c r="V74" s="329"/>
      <c r="W74" s="329"/>
      <c r="X74" s="329"/>
      <c r="Y74" s="329"/>
      <c r="Z74" s="329"/>
      <c r="AA74" s="329"/>
      <c r="AB74" s="329"/>
      <c r="AC74" s="329"/>
      <c r="AD74" s="339"/>
      <c r="AF74" s="338"/>
      <c r="AG74" s="329"/>
      <c r="AH74" s="329"/>
      <c r="AI74" s="329"/>
      <c r="AJ74" s="329"/>
      <c r="AK74" s="329"/>
      <c r="AL74" s="329"/>
      <c r="AM74" s="329"/>
      <c r="AN74" s="329"/>
      <c r="AO74" s="329"/>
      <c r="AP74" s="329"/>
      <c r="AQ74" s="339"/>
    </row>
    <row r="75" spans="6:43">
      <c r="F75" s="338"/>
      <c r="G75" s="329"/>
      <c r="H75" s="329"/>
      <c r="I75" s="329"/>
      <c r="J75" s="329">
        <v>673</v>
      </c>
      <c r="K75" s="329"/>
      <c r="L75" s="329">
        <v>673</v>
      </c>
      <c r="M75" s="329"/>
      <c r="N75" s="329">
        <v>714</v>
      </c>
      <c r="O75" s="329"/>
      <c r="P75" s="329">
        <v>714</v>
      </c>
      <c r="Q75" s="339"/>
      <c r="S75" s="338"/>
      <c r="T75" s="329"/>
      <c r="U75" s="329"/>
      <c r="V75" s="329"/>
      <c r="W75" s="329"/>
      <c r="X75" s="329"/>
      <c r="Y75" s="329"/>
      <c r="Z75" s="329"/>
      <c r="AA75" s="329"/>
      <c r="AB75" s="329"/>
      <c r="AC75" s="329"/>
      <c r="AD75" s="339"/>
      <c r="AF75" s="338"/>
      <c r="AG75" s="329"/>
      <c r="AH75" s="329"/>
      <c r="AI75" s="329"/>
      <c r="AJ75" s="329"/>
      <c r="AK75" s="329"/>
      <c r="AL75" s="329"/>
      <c r="AM75" s="329"/>
      <c r="AN75" s="329"/>
      <c r="AO75" s="329"/>
      <c r="AP75" s="329"/>
      <c r="AQ75" s="339"/>
    </row>
    <row r="76" spans="6:43">
      <c r="F76" s="338"/>
      <c r="G76" s="329"/>
      <c r="H76" s="329"/>
      <c r="I76" s="329"/>
      <c r="J76" s="329">
        <v>674</v>
      </c>
      <c r="K76" s="329"/>
      <c r="L76" s="329">
        <v>674</v>
      </c>
      <c r="M76" s="329"/>
      <c r="N76" s="329">
        <v>715</v>
      </c>
      <c r="O76" s="329"/>
      <c r="P76" s="329">
        <v>715</v>
      </c>
      <c r="Q76" s="339"/>
      <c r="S76" s="338"/>
      <c r="T76" s="329"/>
      <c r="U76" s="329"/>
      <c r="V76" s="329"/>
      <c r="W76" s="329"/>
      <c r="X76" s="329"/>
      <c r="Y76" s="329"/>
      <c r="Z76" s="329"/>
      <c r="AA76" s="329"/>
      <c r="AB76" s="329"/>
      <c r="AC76" s="329"/>
      <c r="AD76" s="339"/>
      <c r="AF76" s="338"/>
      <c r="AG76" s="329"/>
      <c r="AH76" s="329"/>
      <c r="AI76" s="329"/>
      <c r="AJ76" s="329"/>
      <c r="AK76" s="329"/>
      <c r="AL76" s="329"/>
      <c r="AM76" s="329"/>
      <c r="AN76" s="329"/>
      <c r="AO76" s="329"/>
      <c r="AP76" s="329"/>
      <c r="AQ76" s="339"/>
    </row>
    <row r="77" spans="6:43">
      <c r="F77" s="338"/>
      <c r="G77" s="329"/>
      <c r="H77" s="329"/>
      <c r="I77" s="329"/>
      <c r="J77" s="329">
        <v>675</v>
      </c>
      <c r="K77" s="329"/>
      <c r="L77" s="329">
        <v>675</v>
      </c>
      <c r="M77" s="329"/>
      <c r="N77" s="329">
        <v>716</v>
      </c>
      <c r="O77" s="329"/>
      <c r="P77" s="329">
        <v>716</v>
      </c>
      <c r="Q77" s="339"/>
      <c r="S77" s="338"/>
      <c r="T77" s="329"/>
      <c r="U77" s="329"/>
      <c r="V77" s="329"/>
      <c r="W77" s="329"/>
      <c r="X77" s="329"/>
      <c r="Y77" s="329"/>
      <c r="Z77" s="329"/>
      <c r="AA77" s="329"/>
      <c r="AB77" s="329"/>
      <c r="AC77" s="329"/>
      <c r="AD77" s="339"/>
      <c r="AF77" s="338"/>
      <c r="AG77" s="329"/>
      <c r="AH77" s="329"/>
      <c r="AI77" s="329"/>
      <c r="AJ77" s="329"/>
      <c r="AK77" s="329"/>
      <c r="AL77" s="329"/>
      <c r="AM77" s="329"/>
      <c r="AN77" s="329"/>
      <c r="AO77" s="329"/>
      <c r="AP77" s="329"/>
      <c r="AQ77" s="339"/>
    </row>
    <row r="78" spans="6:43">
      <c r="F78" s="338"/>
      <c r="G78" s="329"/>
      <c r="H78" s="329"/>
      <c r="I78" s="329"/>
      <c r="J78" s="329">
        <v>676</v>
      </c>
      <c r="K78" s="329"/>
      <c r="L78" s="329">
        <v>676</v>
      </c>
      <c r="M78" s="329"/>
      <c r="N78" s="329">
        <v>717</v>
      </c>
      <c r="O78" s="329"/>
      <c r="P78" s="329">
        <v>717</v>
      </c>
      <c r="Q78" s="339"/>
      <c r="S78" s="338"/>
      <c r="T78" s="329"/>
      <c r="U78" s="329"/>
      <c r="V78" s="329"/>
      <c r="W78" s="329"/>
      <c r="X78" s="329"/>
      <c r="Y78" s="329"/>
      <c r="Z78" s="329"/>
      <c r="AA78" s="329"/>
      <c r="AB78" s="329"/>
      <c r="AC78" s="329"/>
      <c r="AD78" s="339"/>
      <c r="AF78" s="338"/>
      <c r="AG78" s="329"/>
      <c r="AH78" s="329"/>
      <c r="AI78" s="329"/>
      <c r="AJ78" s="329"/>
      <c r="AK78" s="329"/>
      <c r="AL78" s="329"/>
      <c r="AM78" s="329"/>
      <c r="AN78" s="329"/>
      <c r="AO78" s="329"/>
      <c r="AP78" s="329"/>
      <c r="AQ78" s="339"/>
    </row>
    <row r="79" spans="6:43">
      <c r="F79" s="338"/>
      <c r="G79" s="329"/>
      <c r="H79" s="329"/>
      <c r="I79" s="329"/>
      <c r="J79" s="329">
        <v>680</v>
      </c>
      <c r="K79" s="329"/>
      <c r="L79" s="329">
        <v>680</v>
      </c>
      <c r="M79" s="329"/>
      <c r="N79" s="329">
        <v>722</v>
      </c>
      <c r="O79" s="329"/>
      <c r="P79" s="329">
        <v>722</v>
      </c>
      <c r="Q79" s="339"/>
      <c r="S79" s="338"/>
      <c r="T79" s="329"/>
      <c r="U79" s="329"/>
      <c r="V79" s="329"/>
      <c r="W79" s="329"/>
      <c r="X79" s="329"/>
      <c r="Y79" s="329"/>
      <c r="Z79" s="329"/>
      <c r="AA79" s="329"/>
      <c r="AB79" s="329"/>
      <c r="AC79" s="329"/>
      <c r="AD79" s="339"/>
      <c r="AF79" s="338"/>
      <c r="AG79" s="329"/>
      <c r="AH79" s="329"/>
      <c r="AI79" s="329"/>
      <c r="AJ79" s="329"/>
      <c r="AK79" s="329"/>
      <c r="AL79" s="329"/>
      <c r="AM79" s="329"/>
      <c r="AN79" s="329"/>
      <c r="AO79" s="329"/>
      <c r="AP79" s="329"/>
      <c r="AQ79" s="339"/>
    </row>
    <row r="80" spans="6:43">
      <c r="F80" s="338"/>
      <c r="G80" s="329"/>
      <c r="H80" s="329"/>
      <c r="I80" s="329"/>
      <c r="J80" s="329">
        <v>681</v>
      </c>
      <c r="K80" s="329"/>
      <c r="L80" s="329">
        <v>681</v>
      </c>
      <c r="M80" s="329"/>
      <c r="N80" s="329">
        <v>723</v>
      </c>
      <c r="O80" s="329"/>
      <c r="P80" s="329">
        <v>723</v>
      </c>
      <c r="Q80" s="339"/>
      <c r="S80" s="338"/>
      <c r="T80" s="329"/>
      <c r="U80" s="329"/>
      <c r="V80" s="329"/>
      <c r="W80" s="329"/>
      <c r="X80" s="329"/>
      <c r="Y80" s="329"/>
      <c r="Z80" s="329"/>
      <c r="AA80" s="329"/>
      <c r="AB80" s="329"/>
      <c r="AC80" s="329"/>
      <c r="AD80" s="339"/>
      <c r="AF80" s="338"/>
      <c r="AG80" s="329"/>
      <c r="AH80" s="329"/>
      <c r="AI80" s="329"/>
      <c r="AJ80" s="329"/>
      <c r="AK80" s="329"/>
      <c r="AL80" s="329"/>
      <c r="AM80" s="329"/>
      <c r="AN80" s="329"/>
      <c r="AO80" s="329"/>
      <c r="AP80" s="329"/>
      <c r="AQ80" s="339"/>
    </row>
    <row r="81" spans="6:43">
      <c r="F81" s="338"/>
      <c r="G81" s="329"/>
      <c r="H81" s="329"/>
      <c r="I81" s="329"/>
      <c r="J81" s="329">
        <v>682</v>
      </c>
      <c r="K81" s="329"/>
      <c r="L81" s="329">
        <v>682</v>
      </c>
      <c r="M81" s="329"/>
      <c r="N81" s="329">
        <v>727</v>
      </c>
      <c r="O81" s="329"/>
      <c r="P81" s="329">
        <v>727</v>
      </c>
      <c r="Q81" s="339"/>
      <c r="S81" s="338"/>
      <c r="T81" s="329"/>
      <c r="U81" s="329"/>
      <c r="V81" s="329"/>
      <c r="W81" s="329"/>
      <c r="X81" s="329"/>
      <c r="Y81" s="329"/>
      <c r="Z81" s="329"/>
      <c r="AA81" s="329"/>
      <c r="AB81" s="329"/>
      <c r="AC81" s="329"/>
      <c r="AD81" s="339"/>
      <c r="AF81" s="338"/>
      <c r="AG81" s="329"/>
      <c r="AH81" s="329"/>
      <c r="AI81" s="329"/>
      <c r="AJ81" s="329"/>
      <c r="AK81" s="329"/>
      <c r="AL81" s="329"/>
      <c r="AM81" s="329"/>
      <c r="AN81" s="329"/>
      <c r="AO81" s="329"/>
      <c r="AP81" s="329"/>
      <c r="AQ81" s="339"/>
    </row>
    <row r="82" spans="6:43">
      <c r="F82" s="338"/>
      <c r="G82" s="329"/>
      <c r="H82" s="329"/>
      <c r="I82" s="329"/>
      <c r="J82" s="329">
        <v>683</v>
      </c>
      <c r="K82" s="329"/>
      <c r="L82" s="329">
        <v>683</v>
      </c>
      <c r="M82" s="329"/>
      <c r="N82" s="329">
        <v>749</v>
      </c>
      <c r="O82" s="329"/>
      <c r="P82" s="329">
        <v>749</v>
      </c>
      <c r="Q82" s="339"/>
      <c r="S82" s="338"/>
      <c r="T82" s="329"/>
      <c r="U82" s="329"/>
      <c r="V82" s="329"/>
      <c r="W82" s="329"/>
      <c r="X82" s="329"/>
      <c r="Y82" s="329"/>
      <c r="Z82" s="329"/>
      <c r="AA82" s="329"/>
      <c r="AB82" s="329"/>
      <c r="AC82" s="329"/>
      <c r="AD82" s="339"/>
      <c r="AF82" s="338"/>
      <c r="AG82" s="329"/>
      <c r="AH82" s="329"/>
      <c r="AI82" s="329"/>
      <c r="AJ82" s="329"/>
      <c r="AK82" s="329"/>
      <c r="AL82" s="329"/>
      <c r="AM82" s="329"/>
      <c r="AN82" s="329"/>
      <c r="AO82" s="329"/>
      <c r="AP82" s="329"/>
      <c r="AQ82" s="339"/>
    </row>
    <row r="83" spans="6:43">
      <c r="F83" s="338"/>
      <c r="G83" s="329"/>
      <c r="H83" s="329"/>
      <c r="I83" s="329"/>
      <c r="J83" s="329">
        <v>684</v>
      </c>
      <c r="K83" s="329"/>
      <c r="L83" s="329">
        <v>684</v>
      </c>
      <c r="M83" s="329"/>
      <c r="N83" s="329">
        <v>753</v>
      </c>
      <c r="O83" s="329"/>
      <c r="P83" s="329">
        <v>753</v>
      </c>
      <c r="Q83" s="339"/>
      <c r="S83" s="338"/>
      <c r="T83" s="329"/>
      <c r="U83" s="329"/>
      <c r="V83" s="329"/>
      <c r="W83" s="329"/>
      <c r="X83" s="329"/>
      <c r="Y83" s="329"/>
      <c r="Z83" s="329"/>
      <c r="AA83" s="329"/>
      <c r="AB83" s="329"/>
      <c r="AC83" s="329"/>
      <c r="AD83" s="339"/>
      <c r="AF83" s="338"/>
      <c r="AG83" s="329"/>
      <c r="AH83" s="329"/>
      <c r="AI83" s="329"/>
      <c r="AJ83" s="329"/>
      <c r="AK83" s="329"/>
      <c r="AL83" s="329"/>
      <c r="AM83" s="329"/>
      <c r="AN83" s="329"/>
      <c r="AO83" s="329"/>
      <c r="AP83" s="329"/>
      <c r="AQ83" s="339"/>
    </row>
    <row r="84" spans="6:43">
      <c r="F84" s="338"/>
      <c r="G84" s="329"/>
      <c r="H84" s="329"/>
      <c r="I84" s="329"/>
      <c r="J84" s="329">
        <v>685</v>
      </c>
      <c r="K84" s="329"/>
      <c r="L84" s="329">
        <v>685</v>
      </c>
      <c r="M84" s="329"/>
      <c r="N84" s="329">
        <v>754</v>
      </c>
      <c r="O84" s="329"/>
      <c r="P84" s="329">
        <v>754</v>
      </c>
      <c r="Q84" s="339"/>
      <c r="S84" s="338"/>
      <c r="T84" s="329"/>
      <c r="U84" s="329"/>
      <c r="V84" s="329"/>
      <c r="W84" s="329"/>
      <c r="X84" s="329"/>
      <c r="Y84" s="329"/>
      <c r="Z84" s="329"/>
      <c r="AA84" s="329"/>
      <c r="AB84" s="329"/>
      <c r="AC84" s="329"/>
      <c r="AD84" s="339"/>
      <c r="AF84" s="338"/>
      <c r="AG84" s="329"/>
      <c r="AH84" s="329"/>
      <c r="AI84" s="329"/>
      <c r="AJ84" s="329"/>
      <c r="AK84" s="329"/>
      <c r="AL84" s="329"/>
      <c r="AM84" s="329"/>
      <c r="AN84" s="329"/>
      <c r="AO84" s="329"/>
      <c r="AP84" s="329"/>
      <c r="AQ84" s="339"/>
    </row>
    <row r="85" spans="6:43">
      <c r="F85" s="338"/>
      <c r="G85" s="329"/>
      <c r="H85" s="329"/>
      <c r="I85" s="329"/>
      <c r="J85" s="329">
        <v>686</v>
      </c>
      <c r="K85" s="329"/>
      <c r="L85" s="329">
        <v>686</v>
      </c>
      <c r="M85" s="329"/>
      <c r="N85" s="329">
        <v>785</v>
      </c>
      <c r="O85" s="329"/>
      <c r="P85" s="329">
        <v>785</v>
      </c>
      <c r="Q85" s="339"/>
      <c r="S85" s="338"/>
      <c r="T85" s="329"/>
      <c r="U85" s="329"/>
      <c r="V85" s="329"/>
      <c r="W85" s="329"/>
      <c r="X85" s="329"/>
      <c r="Y85" s="329"/>
      <c r="Z85" s="329"/>
      <c r="AA85" s="329"/>
      <c r="AB85" s="329"/>
      <c r="AC85" s="329"/>
      <c r="AD85" s="339"/>
      <c r="AF85" s="338"/>
      <c r="AG85" s="329"/>
      <c r="AH85" s="329"/>
      <c r="AI85" s="329"/>
      <c r="AJ85" s="329"/>
      <c r="AK85" s="329"/>
      <c r="AL85" s="329"/>
      <c r="AM85" s="329"/>
      <c r="AN85" s="329"/>
      <c r="AO85" s="329"/>
      <c r="AP85" s="329"/>
      <c r="AQ85" s="339"/>
    </row>
    <row r="86" spans="6:43">
      <c r="F86" s="338"/>
      <c r="G86" s="329"/>
      <c r="H86" s="329"/>
      <c r="I86" s="329"/>
      <c r="J86" s="329">
        <v>687</v>
      </c>
      <c r="K86" s="329"/>
      <c r="L86" s="329">
        <v>687</v>
      </c>
      <c r="M86" s="329"/>
      <c r="N86" s="329">
        <v>788</v>
      </c>
      <c r="O86" s="329"/>
      <c r="P86" s="329">
        <v>788</v>
      </c>
      <c r="Q86" s="339"/>
      <c r="S86" s="338"/>
      <c r="T86" s="329"/>
      <c r="U86" s="329"/>
      <c r="V86" s="329"/>
      <c r="W86" s="329"/>
      <c r="X86" s="329"/>
      <c r="Y86" s="329"/>
      <c r="Z86" s="329"/>
      <c r="AA86" s="329"/>
      <c r="AB86" s="329"/>
      <c r="AC86" s="329"/>
      <c r="AD86" s="339"/>
      <c r="AF86" s="338"/>
      <c r="AG86" s="329"/>
      <c r="AH86" s="329"/>
      <c r="AI86" s="329"/>
      <c r="AJ86" s="329"/>
      <c r="AK86" s="329"/>
      <c r="AL86" s="329"/>
      <c r="AM86" s="329"/>
      <c r="AN86" s="329"/>
      <c r="AO86" s="329"/>
      <c r="AP86" s="329"/>
      <c r="AQ86" s="339"/>
    </row>
    <row r="87" spans="6:43">
      <c r="F87" s="338"/>
      <c r="G87" s="329"/>
      <c r="H87" s="329"/>
      <c r="I87" s="329"/>
      <c r="J87" s="329">
        <v>700</v>
      </c>
      <c r="K87" s="329"/>
      <c r="L87" s="329">
        <v>700</v>
      </c>
      <c r="M87" s="329"/>
      <c r="N87" s="329">
        <v>793</v>
      </c>
      <c r="O87" s="329"/>
      <c r="P87" s="329">
        <v>793</v>
      </c>
      <c r="Q87" s="339"/>
      <c r="S87" s="338"/>
      <c r="T87" s="329"/>
      <c r="U87" s="329"/>
      <c r="V87" s="329"/>
      <c r="W87" s="329"/>
      <c r="X87" s="329"/>
      <c r="Y87" s="329"/>
      <c r="Z87" s="329"/>
      <c r="AA87" s="329"/>
      <c r="AB87" s="329"/>
      <c r="AC87" s="329"/>
      <c r="AD87" s="339"/>
      <c r="AF87" s="338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39"/>
    </row>
    <row r="88" spans="6:43">
      <c r="F88" s="338"/>
      <c r="G88" s="329"/>
      <c r="H88" s="329"/>
      <c r="I88" s="329"/>
      <c r="J88" s="329">
        <v>701</v>
      </c>
      <c r="K88" s="329"/>
      <c r="L88" s="329">
        <v>701</v>
      </c>
      <c r="M88" s="329"/>
      <c r="N88" s="329">
        <v>807</v>
      </c>
      <c r="O88" s="329"/>
      <c r="P88" s="329">
        <v>807</v>
      </c>
      <c r="Q88" s="339"/>
      <c r="S88" s="338"/>
      <c r="T88" s="329"/>
      <c r="U88" s="329"/>
      <c r="V88" s="329"/>
      <c r="W88" s="329"/>
      <c r="X88" s="329"/>
      <c r="Y88" s="329"/>
      <c r="Z88" s="329"/>
      <c r="AA88" s="329"/>
      <c r="AB88" s="329"/>
      <c r="AC88" s="329"/>
      <c r="AD88" s="339"/>
      <c r="AF88" s="338"/>
      <c r="AG88" s="329"/>
      <c r="AH88" s="329"/>
      <c r="AI88" s="329"/>
      <c r="AJ88" s="329"/>
      <c r="AK88" s="329"/>
      <c r="AL88" s="329"/>
      <c r="AM88" s="329"/>
      <c r="AN88" s="329"/>
      <c r="AO88" s="329"/>
      <c r="AP88" s="329"/>
      <c r="AQ88" s="339"/>
    </row>
    <row r="89" spans="6:43">
      <c r="F89" s="338"/>
      <c r="G89" s="329"/>
      <c r="H89" s="329"/>
      <c r="I89" s="329"/>
      <c r="J89" s="329">
        <v>702</v>
      </c>
      <c r="K89" s="329"/>
      <c r="L89" s="329">
        <v>702</v>
      </c>
      <c r="M89" s="329"/>
      <c r="N89" s="329">
        <v>809</v>
      </c>
      <c r="O89" s="329"/>
      <c r="P89" s="329">
        <v>809</v>
      </c>
      <c r="Q89" s="339"/>
      <c r="S89" s="338"/>
      <c r="T89" s="329"/>
      <c r="U89" s="329"/>
      <c r="V89" s="329"/>
      <c r="W89" s="329"/>
      <c r="X89" s="329"/>
      <c r="Y89" s="329"/>
      <c r="Z89" s="329"/>
      <c r="AA89" s="329"/>
      <c r="AB89" s="329"/>
      <c r="AC89" s="329"/>
      <c r="AD89" s="339"/>
      <c r="AF89" s="338"/>
      <c r="AG89" s="329"/>
      <c r="AH89" s="329"/>
      <c r="AI89" s="329"/>
      <c r="AJ89" s="329"/>
      <c r="AK89" s="329"/>
      <c r="AL89" s="329"/>
      <c r="AM89" s="329"/>
      <c r="AN89" s="329"/>
      <c r="AO89" s="329"/>
      <c r="AP89" s="329"/>
      <c r="AQ89" s="339"/>
    </row>
    <row r="90" spans="6:43">
      <c r="F90" s="338"/>
      <c r="G90" s="329"/>
      <c r="H90" s="329"/>
      <c r="I90" s="329"/>
      <c r="J90" s="329">
        <v>703</v>
      </c>
      <c r="K90" s="329"/>
      <c r="L90" s="329">
        <v>703</v>
      </c>
      <c r="M90" s="329"/>
      <c r="N90" s="329">
        <v>810</v>
      </c>
      <c r="O90" s="329"/>
      <c r="P90" s="329">
        <v>810</v>
      </c>
      <c r="Q90" s="339"/>
      <c r="S90" s="338"/>
      <c r="T90" s="329"/>
      <c r="U90" s="329"/>
      <c r="V90" s="329"/>
      <c r="W90" s="329"/>
      <c r="X90" s="329"/>
      <c r="Y90" s="329"/>
      <c r="Z90" s="329"/>
      <c r="AA90" s="329"/>
      <c r="AB90" s="329"/>
      <c r="AC90" s="329"/>
      <c r="AD90" s="339"/>
      <c r="AF90" s="338"/>
      <c r="AG90" s="329"/>
      <c r="AH90" s="329"/>
      <c r="AI90" s="329"/>
      <c r="AJ90" s="329"/>
      <c r="AK90" s="329"/>
      <c r="AL90" s="329"/>
      <c r="AM90" s="329"/>
      <c r="AN90" s="329"/>
      <c r="AO90" s="329"/>
      <c r="AP90" s="329"/>
      <c r="AQ90" s="339"/>
    </row>
    <row r="91" spans="6:43">
      <c r="F91" s="338"/>
      <c r="G91" s="329"/>
      <c r="H91" s="329"/>
      <c r="I91" s="329"/>
      <c r="J91" s="329">
        <v>704</v>
      </c>
      <c r="K91" s="329"/>
      <c r="L91" s="329">
        <v>704</v>
      </c>
      <c r="M91" s="329"/>
      <c r="N91" s="329">
        <v>823</v>
      </c>
      <c r="O91" s="329"/>
      <c r="P91" s="329">
        <v>823</v>
      </c>
      <c r="Q91" s="339"/>
      <c r="S91" s="338"/>
      <c r="T91" s="329"/>
      <c r="U91" s="329"/>
      <c r="V91" s="329"/>
      <c r="W91" s="329"/>
      <c r="X91" s="329"/>
      <c r="Y91" s="329"/>
      <c r="Z91" s="329"/>
      <c r="AA91" s="329"/>
      <c r="AB91" s="329"/>
      <c r="AC91" s="329"/>
      <c r="AD91" s="339"/>
      <c r="AF91" s="338"/>
      <c r="AG91" s="329"/>
      <c r="AH91" s="329"/>
      <c r="AI91" s="329"/>
      <c r="AJ91" s="329"/>
      <c r="AK91" s="329"/>
      <c r="AL91" s="329"/>
      <c r="AM91" s="329"/>
      <c r="AN91" s="329"/>
      <c r="AO91" s="329"/>
      <c r="AP91" s="329"/>
      <c r="AQ91" s="339"/>
    </row>
    <row r="92" spans="6:43">
      <c r="F92" s="338"/>
      <c r="G92" s="329"/>
      <c r="H92" s="329"/>
      <c r="I92" s="329"/>
      <c r="J92" s="329">
        <v>705</v>
      </c>
      <c r="K92" s="329"/>
      <c r="L92" s="329">
        <v>705</v>
      </c>
      <c r="M92" s="329"/>
      <c r="N92" s="329">
        <v>828</v>
      </c>
      <c r="O92" s="329"/>
      <c r="P92" s="329">
        <v>828</v>
      </c>
      <c r="Q92" s="339"/>
      <c r="S92" s="338"/>
      <c r="T92" s="329"/>
      <c r="U92" s="329"/>
      <c r="V92" s="329"/>
      <c r="W92" s="329"/>
      <c r="X92" s="329"/>
      <c r="Y92" s="329"/>
      <c r="Z92" s="329"/>
      <c r="AA92" s="329"/>
      <c r="AB92" s="329"/>
      <c r="AC92" s="329"/>
      <c r="AD92" s="339"/>
      <c r="AF92" s="338"/>
      <c r="AG92" s="329"/>
      <c r="AH92" s="329"/>
      <c r="AI92" s="329"/>
      <c r="AJ92" s="329"/>
      <c r="AK92" s="329"/>
      <c r="AL92" s="329"/>
      <c r="AM92" s="329"/>
      <c r="AN92" s="329"/>
      <c r="AO92" s="329"/>
      <c r="AP92" s="329"/>
      <c r="AQ92" s="339"/>
    </row>
    <row r="93" spans="6:43">
      <c r="F93" s="338"/>
      <c r="G93" s="329"/>
      <c r="H93" s="329"/>
      <c r="I93" s="329"/>
      <c r="J93" s="329">
        <v>706</v>
      </c>
      <c r="K93" s="329"/>
      <c r="L93" s="329">
        <v>706</v>
      </c>
      <c r="M93" s="329"/>
      <c r="N93" s="329">
        <v>829</v>
      </c>
      <c r="O93" s="329"/>
      <c r="P93" s="329">
        <v>829</v>
      </c>
      <c r="Q93" s="339"/>
      <c r="S93" s="338"/>
      <c r="T93" s="329"/>
      <c r="U93" s="329"/>
      <c r="V93" s="329"/>
      <c r="W93" s="329"/>
      <c r="X93" s="329"/>
      <c r="Y93" s="329"/>
      <c r="Z93" s="329"/>
      <c r="AA93" s="329"/>
      <c r="AB93" s="329"/>
      <c r="AC93" s="329"/>
      <c r="AD93" s="339"/>
      <c r="AF93" s="338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39"/>
    </row>
    <row r="94" spans="6:43">
      <c r="F94" s="338"/>
      <c r="G94" s="329"/>
      <c r="H94" s="329"/>
      <c r="I94" s="329"/>
      <c r="J94" s="329">
        <v>707</v>
      </c>
      <c r="K94" s="329"/>
      <c r="L94" s="329">
        <v>707</v>
      </c>
      <c r="M94" s="329"/>
      <c r="N94" s="329">
        <v>830</v>
      </c>
      <c r="O94" s="329"/>
      <c r="P94" s="329">
        <v>830</v>
      </c>
      <c r="Q94" s="339"/>
      <c r="S94" s="338"/>
      <c r="T94" s="329"/>
      <c r="U94" s="329"/>
      <c r="V94" s="329"/>
      <c r="W94" s="329"/>
      <c r="X94" s="329"/>
      <c r="Y94" s="329"/>
      <c r="Z94" s="329"/>
      <c r="AA94" s="329"/>
      <c r="AB94" s="329"/>
      <c r="AC94" s="329"/>
      <c r="AD94" s="339"/>
      <c r="AF94" s="338"/>
      <c r="AG94" s="329"/>
      <c r="AH94" s="329"/>
      <c r="AI94" s="329"/>
      <c r="AJ94" s="329"/>
      <c r="AK94" s="329"/>
      <c r="AL94" s="329"/>
      <c r="AM94" s="329"/>
      <c r="AN94" s="329"/>
      <c r="AO94" s="329"/>
      <c r="AP94" s="329"/>
      <c r="AQ94" s="339"/>
    </row>
    <row r="95" spans="6:43">
      <c r="F95" s="338"/>
      <c r="G95" s="329"/>
      <c r="H95" s="329"/>
      <c r="I95" s="329"/>
      <c r="J95" s="329">
        <v>708</v>
      </c>
      <c r="K95" s="329"/>
      <c r="L95" s="329">
        <v>708</v>
      </c>
      <c r="M95" s="329"/>
      <c r="N95" s="329">
        <v>843</v>
      </c>
      <c r="O95" s="329"/>
      <c r="P95" s="329">
        <v>843</v>
      </c>
      <c r="Q95" s="339"/>
      <c r="S95" s="338"/>
      <c r="T95" s="329"/>
      <c r="U95" s="329"/>
      <c r="V95" s="329"/>
      <c r="W95" s="329"/>
      <c r="X95" s="329"/>
      <c r="Y95" s="329"/>
      <c r="Z95" s="329"/>
      <c r="AA95" s="329"/>
      <c r="AB95" s="329"/>
      <c r="AC95" s="329"/>
      <c r="AD95" s="339"/>
      <c r="AF95" s="338"/>
      <c r="AG95" s="329"/>
      <c r="AH95" s="329"/>
      <c r="AI95" s="329"/>
      <c r="AJ95" s="329"/>
      <c r="AK95" s="329"/>
      <c r="AL95" s="329"/>
      <c r="AM95" s="329"/>
      <c r="AN95" s="329"/>
      <c r="AO95" s="329"/>
      <c r="AP95" s="329"/>
      <c r="AQ95" s="339"/>
    </row>
    <row r="96" spans="6:43">
      <c r="F96" s="338"/>
      <c r="G96" s="329"/>
      <c r="H96" s="329"/>
      <c r="I96" s="329"/>
      <c r="J96" s="329">
        <v>712</v>
      </c>
      <c r="K96" s="329"/>
      <c r="L96" s="329">
        <v>712</v>
      </c>
      <c r="M96" s="329"/>
      <c r="N96" s="329">
        <v>844</v>
      </c>
      <c r="O96" s="329"/>
      <c r="P96" s="329">
        <v>844</v>
      </c>
      <c r="Q96" s="339"/>
      <c r="S96" s="338"/>
      <c r="T96" s="329"/>
      <c r="U96" s="329"/>
      <c r="V96" s="329"/>
      <c r="W96" s="329"/>
      <c r="X96" s="329"/>
      <c r="Y96" s="329"/>
      <c r="Z96" s="329"/>
      <c r="AA96" s="329"/>
      <c r="AB96" s="329"/>
      <c r="AC96" s="329"/>
      <c r="AD96" s="339"/>
      <c r="AF96" s="338"/>
      <c r="AG96" s="329"/>
      <c r="AH96" s="329"/>
      <c r="AI96" s="329"/>
      <c r="AJ96" s="329"/>
      <c r="AK96" s="329"/>
      <c r="AL96" s="329"/>
      <c r="AM96" s="329"/>
      <c r="AN96" s="329"/>
      <c r="AO96" s="329"/>
      <c r="AP96" s="329"/>
      <c r="AQ96" s="339"/>
    </row>
    <row r="97" spans="6:43">
      <c r="F97" s="338"/>
      <c r="G97" s="329"/>
      <c r="H97" s="329"/>
      <c r="I97" s="329"/>
      <c r="J97" s="329">
        <v>718</v>
      </c>
      <c r="K97" s="329"/>
      <c r="L97" s="329">
        <v>718</v>
      </c>
      <c r="M97" s="329"/>
      <c r="N97" s="329">
        <v>885</v>
      </c>
      <c r="O97" s="329"/>
      <c r="P97" s="329">
        <v>885</v>
      </c>
      <c r="Q97" s="339"/>
      <c r="S97" s="338"/>
      <c r="T97" s="329"/>
      <c r="U97" s="329"/>
      <c r="V97" s="329"/>
      <c r="W97" s="329"/>
      <c r="X97" s="329"/>
      <c r="Y97" s="329"/>
      <c r="Z97" s="329"/>
      <c r="AA97" s="329"/>
      <c r="AB97" s="329"/>
      <c r="AC97" s="329"/>
      <c r="AD97" s="339"/>
      <c r="AF97" s="338"/>
      <c r="AG97" s="329"/>
      <c r="AH97" s="329"/>
      <c r="AI97" s="329"/>
      <c r="AJ97" s="329"/>
      <c r="AK97" s="329"/>
      <c r="AL97" s="329"/>
      <c r="AM97" s="329"/>
      <c r="AN97" s="329"/>
      <c r="AO97" s="329"/>
      <c r="AP97" s="329"/>
      <c r="AQ97" s="339"/>
    </row>
    <row r="98" spans="6:43">
      <c r="F98" s="338"/>
      <c r="G98" s="329"/>
      <c r="H98" s="329"/>
      <c r="I98" s="329"/>
      <c r="J98" s="329">
        <v>719</v>
      </c>
      <c r="K98" s="329"/>
      <c r="L98" s="329">
        <v>719</v>
      </c>
      <c r="M98" s="329"/>
      <c r="N98" s="329">
        <v>887</v>
      </c>
      <c r="O98" s="329"/>
      <c r="P98" s="329">
        <v>887</v>
      </c>
      <c r="Q98" s="339"/>
      <c r="S98" s="338"/>
      <c r="T98" s="329"/>
      <c r="U98" s="329"/>
      <c r="V98" s="329"/>
      <c r="W98" s="329"/>
      <c r="X98" s="329"/>
      <c r="Y98" s="329"/>
      <c r="Z98" s="329"/>
      <c r="AA98" s="329"/>
      <c r="AB98" s="329"/>
      <c r="AC98" s="329"/>
      <c r="AD98" s="339"/>
      <c r="AF98" s="338"/>
      <c r="AG98" s="329"/>
      <c r="AH98" s="329"/>
      <c r="AI98" s="329"/>
      <c r="AJ98" s="329"/>
      <c r="AK98" s="329"/>
      <c r="AL98" s="329"/>
      <c r="AM98" s="329"/>
      <c r="AN98" s="329"/>
      <c r="AO98" s="329"/>
      <c r="AP98" s="329"/>
      <c r="AQ98" s="339"/>
    </row>
    <row r="99" spans="6:43">
      <c r="F99" s="338"/>
      <c r="G99" s="329"/>
      <c r="H99" s="329"/>
      <c r="I99" s="329"/>
      <c r="J99" s="329">
        <v>720</v>
      </c>
      <c r="K99" s="329"/>
      <c r="L99" s="329">
        <v>720</v>
      </c>
      <c r="M99" s="329"/>
      <c r="N99" s="329">
        <v>888</v>
      </c>
      <c r="O99" s="329"/>
      <c r="P99" s="329">
        <v>888</v>
      </c>
      <c r="Q99" s="339"/>
      <c r="S99" s="338"/>
      <c r="T99" s="329"/>
      <c r="U99" s="329"/>
      <c r="V99" s="329"/>
      <c r="W99" s="329"/>
      <c r="X99" s="329"/>
      <c r="Y99" s="329"/>
      <c r="Z99" s="329"/>
      <c r="AA99" s="329"/>
      <c r="AB99" s="329"/>
      <c r="AC99" s="329"/>
      <c r="AD99" s="339"/>
      <c r="AF99" s="338"/>
      <c r="AG99" s="329"/>
      <c r="AH99" s="329"/>
      <c r="AI99" s="329"/>
      <c r="AJ99" s="329"/>
      <c r="AK99" s="329"/>
      <c r="AL99" s="329"/>
      <c r="AM99" s="329"/>
      <c r="AN99" s="329"/>
      <c r="AO99" s="329"/>
      <c r="AP99" s="329"/>
      <c r="AQ99" s="339"/>
    </row>
    <row r="100" spans="6:43">
      <c r="F100" s="338"/>
      <c r="G100" s="329"/>
      <c r="H100" s="329"/>
      <c r="I100" s="329"/>
      <c r="J100" s="329">
        <v>721</v>
      </c>
      <c r="K100" s="329"/>
      <c r="L100" s="329">
        <v>721</v>
      </c>
      <c r="M100" s="329"/>
      <c r="N100" s="329">
        <v>890</v>
      </c>
      <c r="O100" s="329"/>
      <c r="P100" s="329">
        <v>890</v>
      </c>
      <c r="Q100" s="339"/>
      <c r="S100" s="338"/>
      <c r="T100" s="329"/>
      <c r="U100" s="329"/>
      <c r="V100" s="329"/>
      <c r="W100" s="329"/>
      <c r="X100" s="329"/>
      <c r="Y100" s="329"/>
      <c r="Z100" s="329"/>
      <c r="AA100" s="329"/>
      <c r="AB100" s="329"/>
      <c r="AC100" s="329"/>
      <c r="AD100" s="339"/>
      <c r="AF100" s="338"/>
      <c r="AG100" s="329"/>
      <c r="AH100" s="329"/>
      <c r="AI100" s="329"/>
      <c r="AJ100" s="329"/>
      <c r="AK100" s="329"/>
      <c r="AL100" s="329"/>
      <c r="AM100" s="329"/>
      <c r="AN100" s="329"/>
      <c r="AO100" s="329"/>
      <c r="AP100" s="329"/>
      <c r="AQ100" s="339"/>
    </row>
    <row r="101" spans="6:43">
      <c r="F101" s="338"/>
      <c r="G101" s="329"/>
      <c r="H101" s="329"/>
      <c r="I101" s="329"/>
      <c r="J101" s="329">
        <v>724</v>
      </c>
      <c r="K101" s="329"/>
      <c r="L101" s="329">
        <v>724</v>
      </c>
      <c r="M101" s="329"/>
      <c r="N101" s="329">
        <v>905</v>
      </c>
      <c r="O101" s="329"/>
      <c r="P101" s="329">
        <v>905</v>
      </c>
      <c r="Q101" s="339"/>
      <c r="S101" s="338"/>
      <c r="T101" s="329"/>
      <c r="U101" s="329"/>
      <c r="V101" s="329"/>
      <c r="W101" s="329"/>
      <c r="X101" s="329"/>
      <c r="Y101" s="329"/>
      <c r="Z101" s="329"/>
      <c r="AA101" s="329"/>
      <c r="AB101" s="329"/>
      <c r="AC101" s="329"/>
      <c r="AD101" s="339"/>
      <c r="AF101" s="338"/>
      <c r="AG101" s="329"/>
      <c r="AH101" s="329"/>
      <c r="AI101" s="329"/>
      <c r="AJ101" s="329"/>
      <c r="AK101" s="329"/>
      <c r="AL101" s="329"/>
      <c r="AM101" s="329"/>
      <c r="AN101" s="329"/>
      <c r="AO101" s="329"/>
      <c r="AP101" s="329"/>
      <c r="AQ101" s="339"/>
    </row>
    <row r="102" spans="6:43">
      <c r="F102" s="338"/>
      <c r="G102" s="329"/>
      <c r="H102" s="329"/>
      <c r="I102" s="329"/>
      <c r="J102" s="329">
        <v>726</v>
      </c>
      <c r="K102" s="329"/>
      <c r="L102" s="329">
        <v>726</v>
      </c>
      <c r="M102" s="329"/>
      <c r="N102" s="329">
        <v>909</v>
      </c>
      <c r="O102" s="329"/>
      <c r="P102" s="329">
        <v>909</v>
      </c>
      <c r="Q102" s="339"/>
      <c r="S102" s="338"/>
      <c r="T102" s="329"/>
      <c r="U102" s="329"/>
      <c r="V102" s="329"/>
      <c r="W102" s="329"/>
      <c r="X102" s="329"/>
      <c r="Y102" s="329"/>
      <c r="Z102" s="329"/>
      <c r="AA102" s="329"/>
      <c r="AB102" s="329"/>
      <c r="AC102" s="329"/>
      <c r="AD102" s="339"/>
      <c r="AF102" s="338"/>
      <c r="AG102" s="329"/>
      <c r="AH102" s="329"/>
      <c r="AI102" s="329"/>
      <c r="AJ102" s="329"/>
      <c r="AK102" s="329"/>
      <c r="AL102" s="329"/>
      <c r="AM102" s="329"/>
      <c r="AN102" s="329"/>
      <c r="AO102" s="329"/>
      <c r="AP102" s="329"/>
      <c r="AQ102" s="339"/>
    </row>
    <row r="103" spans="6:43">
      <c r="F103" s="338"/>
      <c r="G103" s="329"/>
      <c r="H103" s="329"/>
      <c r="I103" s="329"/>
      <c r="J103" s="329">
        <v>729</v>
      </c>
      <c r="K103" s="329"/>
      <c r="L103" s="329">
        <v>729</v>
      </c>
      <c r="M103" s="329"/>
      <c r="N103" s="329">
        <v>910</v>
      </c>
      <c r="O103" s="329"/>
      <c r="P103" s="329">
        <v>910</v>
      </c>
      <c r="Q103" s="339"/>
      <c r="S103" s="338"/>
      <c r="T103" s="329"/>
      <c r="U103" s="329"/>
      <c r="V103" s="329"/>
      <c r="W103" s="329"/>
      <c r="X103" s="329"/>
      <c r="Y103" s="329"/>
      <c r="Z103" s="329"/>
      <c r="AA103" s="329"/>
      <c r="AB103" s="329"/>
      <c r="AC103" s="329"/>
      <c r="AD103" s="339"/>
      <c r="AF103" s="338"/>
      <c r="AG103" s="329"/>
      <c r="AH103" s="329"/>
      <c r="AI103" s="329"/>
      <c r="AJ103" s="329"/>
      <c r="AK103" s="329"/>
      <c r="AL103" s="329"/>
      <c r="AM103" s="329"/>
      <c r="AN103" s="329"/>
      <c r="AO103" s="329"/>
      <c r="AP103" s="329"/>
      <c r="AQ103" s="339"/>
    </row>
    <row r="104" spans="6:43">
      <c r="F104" s="338"/>
      <c r="G104" s="329"/>
      <c r="H104" s="329"/>
      <c r="I104" s="329"/>
      <c r="J104" s="329">
        <v>730</v>
      </c>
      <c r="K104" s="329"/>
      <c r="L104" s="329">
        <v>730</v>
      </c>
      <c r="M104" s="329"/>
      <c r="N104" s="329">
        <v>911</v>
      </c>
      <c r="O104" s="329"/>
      <c r="P104" s="329">
        <v>911</v>
      </c>
      <c r="Q104" s="339"/>
      <c r="S104" s="338"/>
      <c r="T104" s="329"/>
      <c r="U104" s="329"/>
      <c r="V104" s="329"/>
      <c r="W104" s="329"/>
      <c r="X104" s="329"/>
      <c r="Y104" s="329"/>
      <c r="Z104" s="329"/>
      <c r="AA104" s="329"/>
      <c r="AB104" s="329"/>
      <c r="AC104" s="329"/>
      <c r="AD104" s="339"/>
      <c r="AF104" s="338"/>
      <c r="AG104" s="329"/>
      <c r="AH104" s="329"/>
      <c r="AI104" s="329"/>
      <c r="AJ104" s="329"/>
      <c r="AK104" s="329"/>
      <c r="AL104" s="329"/>
      <c r="AM104" s="329"/>
      <c r="AN104" s="329"/>
      <c r="AO104" s="329"/>
      <c r="AP104" s="329"/>
      <c r="AQ104" s="339"/>
    </row>
    <row r="105" spans="6:43">
      <c r="F105" s="338"/>
      <c r="G105" s="329"/>
      <c r="H105" s="329"/>
      <c r="I105" s="329"/>
      <c r="J105" s="329">
        <v>731</v>
      </c>
      <c r="K105" s="329"/>
      <c r="L105" s="329">
        <v>731</v>
      </c>
      <c r="M105" s="329"/>
      <c r="N105" s="329">
        <v>929</v>
      </c>
      <c r="O105" s="329"/>
      <c r="P105" s="329">
        <v>929</v>
      </c>
      <c r="Q105" s="339"/>
      <c r="S105" s="338"/>
      <c r="T105" s="329"/>
      <c r="U105" s="329"/>
      <c r="V105" s="329"/>
      <c r="W105" s="329"/>
      <c r="X105" s="329"/>
      <c r="Y105" s="329"/>
      <c r="Z105" s="329"/>
      <c r="AA105" s="329"/>
      <c r="AB105" s="329"/>
      <c r="AC105" s="329"/>
      <c r="AD105" s="339"/>
      <c r="AF105" s="338"/>
      <c r="AG105" s="329"/>
      <c r="AH105" s="329"/>
      <c r="AI105" s="329"/>
      <c r="AJ105" s="329"/>
      <c r="AK105" s="329"/>
      <c r="AL105" s="329"/>
      <c r="AM105" s="329"/>
      <c r="AN105" s="329"/>
      <c r="AO105" s="329"/>
      <c r="AP105" s="329"/>
      <c r="AQ105" s="339"/>
    </row>
    <row r="106" spans="6:43">
      <c r="F106" s="338"/>
      <c r="G106" s="329"/>
      <c r="H106" s="329"/>
      <c r="I106" s="329"/>
      <c r="J106" s="329">
        <v>733</v>
      </c>
      <c r="K106" s="329"/>
      <c r="L106" s="329">
        <v>733</v>
      </c>
      <c r="M106" s="329"/>
      <c r="N106" s="329">
        <v>930</v>
      </c>
      <c r="O106" s="329"/>
      <c r="P106" s="329">
        <v>930</v>
      </c>
      <c r="Q106" s="339"/>
      <c r="S106" s="338"/>
      <c r="T106" s="329"/>
      <c r="U106" s="329"/>
      <c r="V106" s="329"/>
      <c r="W106" s="329"/>
      <c r="X106" s="329"/>
      <c r="Y106" s="329"/>
      <c r="Z106" s="329"/>
      <c r="AA106" s="329"/>
      <c r="AB106" s="329"/>
      <c r="AC106" s="329"/>
      <c r="AD106" s="339"/>
      <c r="AF106" s="338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39"/>
    </row>
    <row r="107" spans="6:43">
      <c r="F107" s="338"/>
      <c r="G107" s="329"/>
      <c r="H107" s="329"/>
      <c r="I107" s="329"/>
      <c r="J107" s="329">
        <v>736</v>
      </c>
      <c r="K107" s="329"/>
      <c r="L107" s="329">
        <v>736</v>
      </c>
      <c r="M107" s="329"/>
      <c r="N107" s="329">
        <v>931</v>
      </c>
      <c r="O107" s="329"/>
      <c r="P107" s="329">
        <v>931</v>
      </c>
      <c r="Q107" s="339"/>
      <c r="S107" s="338"/>
      <c r="T107" s="329"/>
      <c r="U107" s="329"/>
      <c r="V107" s="329"/>
      <c r="W107" s="329"/>
      <c r="X107" s="329"/>
      <c r="Y107" s="329"/>
      <c r="Z107" s="329"/>
      <c r="AA107" s="329"/>
      <c r="AB107" s="329"/>
      <c r="AC107" s="329"/>
      <c r="AD107" s="339"/>
      <c r="AF107" s="338"/>
      <c r="AG107" s="329"/>
      <c r="AH107" s="329"/>
      <c r="AI107" s="329"/>
      <c r="AJ107" s="329"/>
      <c r="AK107" s="329"/>
      <c r="AL107" s="329"/>
      <c r="AM107" s="329"/>
      <c r="AN107" s="329"/>
      <c r="AO107" s="329"/>
      <c r="AP107" s="329"/>
      <c r="AQ107" s="339"/>
    </row>
    <row r="108" spans="6:43">
      <c r="F108" s="338"/>
      <c r="G108" s="329"/>
      <c r="H108" s="329"/>
      <c r="I108" s="329"/>
      <c r="J108" s="329">
        <v>737</v>
      </c>
      <c r="K108" s="329"/>
      <c r="L108" s="329">
        <v>737</v>
      </c>
      <c r="M108" s="329"/>
      <c r="N108" s="329">
        <v>953</v>
      </c>
      <c r="O108" s="329"/>
      <c r="P108" s="329">
        <v>953</v>
      </c>
      <c r="Q108" s="339"/>
      <c r="S108" s="338"/>
      <c r="T108" s="329"/>
      <c r="U108" s="329"/>
      <c r="V108" s="329"/>
      <c r="W108" s="329"/>
      <c r="X108" s="329"/>
      <c r="Y108" s="329"/>
      <c r="Z108" s="329"/>
      <c r="AA108" s="329"/>
      <c r="AB108" s="329"/>
      <c r="AC108" s="329"/>
      <c r="AD108" s="339"/>
      <c r="AF108" s="338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39"/>
    </row>
    <row r="109" spans="6:43">
      <c r="F109" s="338"/>
      <c r="G109" s="329"/>
      <c r="H109" s="329"/>
      <c r="I109" s="329"/>
      <c r="J109" s="329">
        <v>738</v>
      </c>
      <c r="K109" s="329"/>
      <c r="L109" s="329">
        <v>738</v>
      </c>
      <c r="M109" s="329"/>
      <c r="N109" s="329">
        <v>966</v>
      </c>
      <c r="O109" s="329"/>
      <c r="P109" s="329">
        <v>966</v>
      </c>
      <c r="Q109" s="339"/>
      <c r="S109" s="338"/>
      <c r="T109" s="329"/>
      <c r="U109" s="329"/>
      <c r="V109" s="329"/>
      <c r="W109" s="329"/>
      <c r="X109" s="329"/>
      <c r="Y109" s="329"/>
      <c r="Z109" s="329"/>
      <c r="AA109" s="329"/>
      <c r="AB109" s="329"/>
      <c r="AC109" s="329"/>
      <c r="AD109" s="339"/>
      <c r="AF109" s="338"/>
      <c r="AG109" s="329"/>
      <c r="AH109" s="329"/>
      <c r="AI109" s="329"/>
      <c r="AJ109" s="329"/>
      <c r="AK109" s="329"/>
      <c r="AL109" s="329"/>
      <c r="AM109" s="329"/>
      <c r="AN109" s="329"/>
      <c r="AO109" s="329"/>
      <c r="AP109" s="329"/>
      <c r="AQ109" s="339"/>
    </row>
    <row r="110" spans="6:43">
      <c r="F110" s="338"/>
      <c r="G110" s="329"/>
      <c r="H110" s="329"/>
      <c r="I110" s="329"/>
      <c r="J110" s="329">
        <v>742</v>
      </c>
      <c r="K110" s="329"/>
      <c r="L110" s="329">
        <v>742</v>
      </c>
      <c r="M110" s="329"/>
      <c r="N110" s="329">
        <v>986</v>
      </c>
      <c r="O110" s="329"/>
      <c r="P110" s="329">
        <v>986</v>
      </c>
      <c r="Q110" s="339"/>
      <c r="S110" s="338"/>
      <c r="T110" s="329"/>
      <c r="U110" s="329"/>
      <c r="V110" s="329"/>
      <c r="W110" s="329"/>
      <c r="X110" s="329"/>
      <c r="Y110" s="329"/>
      <c r="Z110" s="329"/>
      <c r="AA110" s="329"/>
      <c r="AB110" s="329"/>
      <c r="AC110" s="329"/>
      <c r="AD110" s="339"/>
      <c r="AF110" s="338"/>
      <c r="AG110" s="329"/>
      <c r="AH110" s="329"/>
      <c r="AI110" s="329"/>
      <c r="AJ110" s="329"/>
      <c r="AK110" s="329"/>
      <c r="AL110" s="329"/>
      <c r="AM110" s="329"/>
      <c r="AN110" s="329"/>
      <c r="AO110" s="329"/>
      <c r="AP110" s="329"/>
      <c r="AQ110" s="339"/>
    </row>
    <row r="111" spans="6:43">
      <c r="F111" s="338"/>
      <c r="G111" s="329"/>
      <c r="H111" s="329"/>
      <c r="I111" s="329"/>
      <c r="J111" s="329">
        <v>743</v>
      </c>
      <c r="K111" s="329"/>
      <c r="L111" s="329">
        <v>743</v>
      </c>
      <c r="M111" s="329"/>
      <c r="N111" s="329">
        <v>987</v>
      </c>
      <c r="O111" s="329"/>
      <c r="P111" s="329">
        <v>987</v>
      </c>
      <c r="Q111" s="339"/>
      <c r="S111" s="338"/>
      <c r="T111" s="329"/>
      <c r="U111" s="329"/>
      <c r="V111" s="329"/>
      <c r="W111" s="329"/>
      <c r="X111" s="329"/>
      <c r="Y111" s="329"/>
      <c r="Z111" s="329"/>
      <c r="AA111" s="329"/>
      <c r="AB111" s="329"/>
      <c r="AC111" s="329"/>
      <c r="AD111" s="339"/>
      <c r="AF111" s="338"/>
      <c r="AG111" s="329"/>
      <c r="AH111" s="329"/>
      <c r="AI111" s="329"/>
      <c r="AJ111" s="329"/>
      <c r="AK111" s="329"/>
      <c r="AL111" s="329"/>
      <c r="AM111" s="329"/>
      <c r="AN111" s="329"/>
      <c r="AO111" s="329"/>
      <c r="AP111" s="329"/>
      <c r="AQ111" s="339"/>
    </row>
    <row r="112" spans="6:43">
      <c r="F112" s="338"/>
      <c r="G112" s="329"/>
      <c r="H112" s="329"/>
      <c r="I112" s="329"/>
      <c r="J112" s="329">
        <v>744</v>
      </c>
      <c r="K112" s="329"/>
      <c r="L112" s="329">
        <v>744</v>
      </c>
      <c r="M112" s="329"/>
      <c r="N112" s="329">
        <v>995</v>
      </c>
      <c r="O112" s="329"/>
      <c r="P112" s="329">
        <v>995</v>
      </c>
      <c r="Q112" s="339"/>
      <c r="S112" s="338"/>
      <c r="T112" s="329"/>
      <c r="U112" s="329"/>
      <c r="V112" s="329"/>
      <c r="W112" s="329"/>
      <c r="X112" s="329"/>
      <c r="Y112" s="329"/>
      <c r="Z112" s="329"/>
      <c r="AA112" s="329"/>
      <c r="AB112" s="329"/>
      <c r="AC112" s="329"/>
      <c r="AD112" s="339"/>
      <c r="AF112" s="338"/>
      <c r="AG112" s="329"/>
      <c r="AH112" s="329"/>
      <c r="AI112" s="329"/>
      <c r="AJ112" s="329"/>
      <c r="AK112" s="329"/>
      <c r="AL112" s="329"/>
      <c r="AM112" s="329"/>
      <c r="AN112" s="329"/>
      <c r="AO112" s="329"/>
      <c r="AP112" s="329"/>
      <c r="AQ112" s="339"/>
    </row>
    <row r="113" spans="6:43">
      <c r="F113" s="338"/>
      <c r="G113" s="329"/>
      <c r="H113" s="329"/>
      <c r="I113" s="329"/>
      <c r="J113" s="329">
        <v>752</v>
      </c>
      <c r="K113" s="329"/>
      <c r="L113" s="329">
        <v>752</v>
      </c>
      <c r="M113" s="329"/>
      <c r="N113" s="329">
        <v>996</v>
      </c>
      <c r="O113" s="329"/>
      <c r="P113" s="329">
        <v>996</v>
      </c>
      <c r="Q113" s="339"/>
      <c r="S113" s="338"/>
      <c r="T113" s="329"/>
      <c r="U113" s="329"/>
      <c r="V113" s="329"/>
      <c r="W113" s="329"/>
      <c r="X113" s="329"/>
      <c r="Y113" s="329"/>
      <c r="Z113" s="329"/>
      <c r="AA113" s="329"/>
      <c r="AB113" s="329"/>
      <c r="AC113" s="329"/>
      <c r="AD113" s="339"/>
      <c r="AF113" s="338"/>
      <c r="AG113" s="329"/>
      <c r="AH113" s="329"/>
      <c r="AI113" s="329"/>
      <c r="AJ113" s="329"/>
      <c r="AK113" s="329"/>
      <c r="AL113" s="329"/>
      <c r="AM113" s="329"/>
      <c r="AN113" s="329"/>
      <c r="AO113" s="329"/>
      <c r="AP113" s="329"/>
      <c r="AQ113" s="339"/>
    </row>
    <row r="114" spans="6:43">
      <c r="F114" s="338"/>
      <c r="G114" s="329"/>
      <c r="H114" s="329"/>
      <c r="I114" s="329"/>
      <c r="J114" s="329">
        <v>767</v>
      </c>
      <c r="K114" s="329"/>
      <c r="L114" s="329">
        <v>767</v>
      </c>
      <c r="M114" s="329"/>
      <c r="N114" s="329">
        <v>1016</v>
      </c>
      <c r="O114" s="329"/>
      <c r="P114" s="329">
        <v>1016</v>
      </c>
      <c r="Q114" s="339"/>
      <c r="S114" s="338"/>
      <c r="T114" s="329"/>
      <c r="U114" s="329"/>
      <c r="V114" s="329"/>
      <c r="W114" s="329"/>
      <c r="X114" s="329"/>
      <c r="Y114" s="329"/>
      <c r="Z114" s="329"/>
      <c r="AA114" s="329"/>
      <c r="AB114" s="329"/>
      <c r="AC114" s="329"/>
      <c r="AD114" s="339"/>
      <c r="AF114" s="338"/>
      <c r="AG114" s="329"/>
      <c r="AH114" s="329"/>
      <c r="AI114" s="329"/>
      <c r="AJ114" s="329"/>
      <c r="AK114" s="329"/>
      <c r="AL114" s="329"/>
      <c r="AM114" s="329"/>
      <c r="AN114" s="329"/>
      <c r="AO114" s="329"/>
      <c r="AP114" s="329"/>
      <c r="AQ114" s="339"/>
    </row>
    <row r="115" spans="6:43">
      <c r="F115" s="338"/>
      <c r="G115" s="329"/>
      <c r="H115" s="329"/>
      <c r="I115" s="329"/>
      <c r="J115" s="329">
        <v>768</v>
      </c>
      <c r="K115" s="329"/>
      <c r="L115" s="329">
        <v>768</v>
      </c>
      <c r="M115" s="329"/>
      <c r="N115" s="329">
        <v>1017</v>
      </c>
      <c r="O115" s="329"/>
      <c r="P115" s="329">
        <v>1017</v>
      </c>
      <c r="Q115" s="339"/>
      <c r="S115" s="338"/>
      <c r="T115" s="329"/>
      <c r="U115" s="329"/>
      <c r="V115" s="329"/>
      <c r="W115" s="329"/>
      <c r="X115" s="329"/>
      <c r="Y115" s="329"/>
      <c r="Z115" s="329"/>
      <c r="AA115" s="329"/>
      <c r="AB115" s="329"/>
      <c r="AC115" s="329"/>
      <c r="AD115" s="339"/>
      <c r="AF115" s="338"/>
      <c r="AG115" s="329"/>
      <c r="AH115" s="329"/>
      <c r="AI115" s="329"/>
      <c r="AJ115" s="329"/>
      <c r="AK115" s="329"/>
      <c r="AL115" s="329"/>
      <c r="AM115" s="329"/>
      <c r="AN115" s="329"/>
      <c r="AO115" s="329"/>
      <c r="AP115" s="329"/>
      <c r="AQ115" s="339"/>
    </row>
    <row r="116" spans="6:43">
      <c r="F116" s="338"/>
      <c r="G116" s="329"/>
      <c r="H116" s="329"/>
      <c r="I116" s="329"/>
      <c r="J116" s="329">
        <v>769</v>
      </c>
      <c r="K116" s="329"/>
      <c r="L116" s="329">
        <v>769</v>
      </c>
      <c r="M116" s="329"/>
      <c r="N116" s="329">
        <v>1052</v>
      </c>
      <c r="O116" s="329"/>
      <c r="P116" s="329">
        <v>1052</v>
      </c>
      <c r="Q116" s="339"/>
      <c r="S116" s="338"/>
      <c r="T116" s="329"/>
      <c r="U116" s="329"/>
      <c r="V116" s="329"/>
      <c r="W116" s="329"/>
      <c r="X116" s="329"/>
      <c r="Y116" s="329"/>
      <c r="Z116" s="329"/>
      <c r="AA116" s="329"/>
      <c r="AB116" s="329"/>
      <c r="AC116" s="329"/>
      <c r="AD116" s="339"/>
      <c r="AF116" s="338"/>
      <c r="AG116" s="329"/>
      <c r="AH116" s="329"/>
      <c r="AI116" s="329"/>
      <c r="AJ116" s="329"/>
      <c r="AK116" s="329"/>
      <c r="AL116" s="329"/>
      <c r="AM116" s="329"/>
      <c r="AN116" s="329"/>
      <c r="AO116" s="329"/>
      <c r="AP116" s="329"/>
      <c r="AQ116" s="339"/>
    </row>
    <row r="117" spans="6:43">
      <c r="F117" s="338"/>
      <c r="G117" s="329"/>
      <c r="H117" s="329"/>
      <c r="I117" s="329"/>
      <c r="J117" s="329">
        <v>770</v>
      </c>
      <c r="K117" s="329"/>
      <c r="L117" s="329">
        <v>770</v>
      </c>
      <c r="M117" s="329"/>
      <c r="N117" s="329">
        <v>1055</v>
      </c>
      <c r="O117" s="329"/>
      <c r="P117" s="329">
        <v>1055</v>
      </c>
      <c r="Q117" s="339"/>
      <c r="S117" s="338"/>
      <c r="T117" s="329"/>
      <c r="U117" s="329"/>
      <c r="V117" s="329"/>
      <c r="W117" s="329"/>
      <c r="X117" s="329"/>
      <c r="Y117" s="329"/>
      <c r="Z117" s="329"/>
      <c r="AA117" s="329"/>
      <c r="AB117" s="329"/>
      <c r="AC117" s="329"/>
      <c r="AD117" s="339"/>
      <c r="AF117" s="338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39"/>
    </row>
    <row r="118" spans="6:43">
      <c r="F118" s="338"/>
      <c r="G118" s="329"/>
      <c r="H118" s="329"/>
      <c r="I118" s="329"/>
      <c r="J118" s="329">
        <v>781</v>
      </c>
      <c r="K118" s="329"/>
      <c r="L118" s="329">
        <v>781</v>
      </c>
      <c r="M118" s="329"/>
      <c r="N118" s="329">
        <v>1061</v>
      </c>
      <c r="O118" s="329"/>
      <c r="P118" s="329">
        <v>1061</v>
      </c>
      <c r="Q118" s="339"/>
      <c r="S118" s="338"/>
      <c r="T118" s="329"/>
      <c r="U118" s="329"/>
      <c r="V118" s="329"/>
      <c r="W118" s="329"/>
      <c r="X118" s="329"/>
      <c r="Y118" s="329"/>
      <c r="Z118" s="329"/>
      <c r="AA118" s="329"/>
      <c r="AB118" s="329"/>
      <c r="AC118" s="329"/>
      <c r="AD118" s="339"/>
      <c r="AF118" s="338"/>
      <c r="AG118" s="329"/>
      <c r="AH118" s="329"/>
      <c r="AI118" s="329"/>
      <c r="AJ118" s="329"/>
      <c r="AK118" s="329"/>
      <c r="AL118" s="329"/>
      <c r="AM118" s="329"/>
      <c r="AN118" s="329"/>
      <c r="AO118" s="329"/>
      <c r="AP118" s="329"/>
      <c r="AQ118" s="339"/>
    </row>
    <row r="119" spans="6:43">
      <c r="F119" s="338"/>
      <c r="G119" s="329"/>
      <c r="H119" s="329"/>
      <c r="I119" s="329"/>
      <c r="J119" s="329">
        <v>791</v>
      </c>
      <c r="K119" s="329"/>
      <c r="L119" s="329">
        <v>791</v>
      </c>
      <c r="M119" s="329"/>
      <c r="N119" s="329">
        <v>1063</v>
      </c>
      <c r="O119" s="329"/>
      <c r="P119" s="329">
        <v>1063</v>
      </c>
      <c r="Q119" s="339"/>
      <c r="S119" s="338"/>
      <c r="T119" s="329"/>
      <c r="U119" s="329"/>
      <c r="V119" s="329"/>
      <c r="W119" s="329"/>
      <c r="X119" s="329"/>
      <c r="Y119" s="329"/>
      <c r="Z119" s="329"/>
      <c r="AA119" s="329"/>
      <c r="AB119" s="329"/>
      <c r="AC119" s="329"/>
      <c r="AD119" s="339"/>
      <c r="AF119" s="338"/>
      <c r="AG119" s="329"/>
      <c r="AH119" s="329"/>
      <c r="AI119" s="329"/>
      <c r="AJ119" s="329"/>
      <c r="AK119" s="329"/>
      <c r="AL119" s="329"/>
      <c r="AM119" s="329"/>
      <c r="AN119" s="329"/>
      <c r="AO119" s="329"/>
      <c r="AP119" s="329"/>
      <c r="AQ119" s="339"/>
    </row>
    <row r="120" spans="6:43">
      <c r="F120" s="338"/>
      <c r="G120" s="329"/>
      <c r="H120" s="329"/>
      <c r="I120" s="329"/>
      <c r="J120" s="329">
        <v>795</v>
      </c>
      <c r="K120" s="329"/>
      <c r="L120" s="329">
        <v>795</v>
      </c>
      <c r="M120" s="329"/>
      <c r="N120" s="329">
        <v>1067</v>
      </c>
      <c r="O120" s="329"/>
      <c r="P120" s="329">
        <v>1067</v>
      </c>
      <c r="Q120" s="339"/>
      <c r="S120" s="338"/>
      <c r="T120" s="329"/>
      <c r="U120" s="329"/>
      <c r="V120" s="329"/>
      <c r="W120" s="329"/>
      <c r="X120" s="329"/>
      <c r="Y120" s="329"/>
      <c r="Z120" s="329"/>
      <c r="AA120" s="329"/>
      <c r="AB120" s="329"/>
      <c r="AC120" s="329"/>
      <c r="AD120" s="339"/>
      <c r="AF120" s="338"/>
      <c r="AG120" s="329"/>
      <c r="AH120" s="329"/>
      <c r="AI120" s="329"/>
      <c r="AJ120" s="329"/>
      <c r="AK120" s="329"/>
      <c r="AL120" s="329"/>
      <c r="AM120" s="329"/>
      <c r="AN120" s="329"/>
      <c r="AO120" s="329"/>
      <c r="AP120" s="329"/>
      <c r="AQ120" s="339"/>
    </row>
    <row r="121" spans="6:43">
      <c r="F121" s="338"/>
      <c r="G121" s="329"/>
      <c r="H121" s="329"/>
      <c r="I121" s="329"/>
      <c r="J121" s="329">
        <v>796</v>
      </c>
      <c r="K121" s="329"/>
      <c r="L121" s="329">
        <v>796</v>
      </c>
      <c r="M121" s="329"/>
      <c r="N121" s="329">
        <v>1073</v>
      </c>
      <c r="O121" s="329"/>
      <c r="P121" s="329">
        <v>1073</v>
      </c>
      <c r="Q121" s="339"/>
      <c r="S121" s="338"/>
      <c r="T121" s="329"/>
      <c r="U121" s="329"/>
      <c r="V121" s="329"/>
      <c r="W121" s="329"/>
      <c r="X121" s="329"/>
      <c r="Y121" s="329"/>
      <c r="Z121" s="329"/>
      <c r="AA121" s="329"/>
      <c r="AB121" s="329"/>
      <c r="AC121" s="329"/>
      <c r="AD121" s="339"/>
      <c r="AF121" s="338"/>
      <c r="AG121" s="329"/>
      <c r="AH121" s="329"/>
      <c r="AI121" s="329"/>
      <c r="AJ121" s="329"/>
      <c r="AK121" s="329"/>
      <c r="AL121" s="329"/>
      <c r="AM121" s="329"/>
      <c r="AN121" s="329"/>
      <c r="AO121" s="329"/>
      <c r="AP121" s="329"/>
      <c r="AQ121" s="339"/>
    </row>
    <row r="122" spans="6:43">
      <c r="F122" s="338"/>
      <c r="G122" s="329"/>
      <c r="H122" s="329"/>
      <c r="I122" s="329"/>
      <c r="J122" s="329">
        <v>814</v>
      </c>
      <c r="K122" s="329"/>
      <c r="L122" s="329">
        <v>814</v>
      </c>
      <c r="M122" s="329"/>
      <c r="N122" s="329">
        <v>1074</v>
      </c>
      <c r="O122" s="329"/>
      <c r="P122" s="329">
        <v>1074</v>
      </c>
      <c r="Q122" s="339"/>
      <c r="S122" s="338"/>
      <c r="T122" s="329"/>
      <c r="U122" s="329"/>
      <c r="V122" s="329"/>
      <c r="W122" s="329"/>
      <c r="X122" s="329"/>
      <c r="Y122" s="329"/>
      <c r="Z122" s="329"/>
      <c r="AA122" s="329"/>
      <c r="AB122" s="329"/>
      <c r="AC122" s="329"/>
      <c r="AD122" s="339"/>
      <c r="AF122" s="338"/>
      <c r="AG122" s="329"/>
      <c r="AH122" s="329"/>
      <c r="AI122" s="329"/>
      <c r="AJ122" s="329"/>
      <c r="AK122" s="329"/>
      <c r="AL122" s="329"/>
      <c r="AM122" s="329"/>
      <c r="AN122" s="329"/>
      <c r="AO122" s="329"/>
      <c r="AP122" s="329"/>
      <c r="AQ122" s="339"/>
    </row>
    <row r="123" spans="6:43">
      <c r="F123" s="338"/>
      <c r="G123" s="329"/>
      <c r="H123" s="329"/>
      <c r="I123" s="329"/>
      <c r="J123" s="329">
        <v>816</v>
      </c>
      <c r="K123" s="329"/>
      <c r="L123" s="329">
        <v>816</v>
      </c>
      <c r="M123" s="329"/>
      <c r="N123" s="329">
        <v>1076</v>
      </c>
      <c r="O123" s="329"/>
      <c r="P123" s="329">
        <v>1076</v>
      </c>
      <c r="Q123" s="339"/>
      <c r="S123" s="338"/>
      <c r="T123" s="329"/>
      <c r="U123" s="329"/>
      <c r="V123" s="329"/>
      <c r="W123" s="329"/>
      <c r="X123" s="329"/>
      <c r="Y123" s="329"/>
      <c r="Z123" s="329"/>
      <c r="AA123" s="329"/>
      <c r="AB123" s="329"/>
      <c r="AC123" s="329"/>
      <c r="AD123" s="339"/>
      <c r="AF123" s="338"/>
      <c r="AG123" s="329"/>
      <c r="AH123" s="329"/>
      <c r="AI123" s="329"/>
      <c r="AJ123" s="329"/>
      <c r="AK123" s="329"/>
      <c r="AL123" s="329"/>
      <c r="AM123" s="329"/>
      <c r="AN123" s="329"/>
      <c r="AO123" s="329"/>
      <c r="AP123" s="329"/>
      <c r="AQ123" s="339"/>
    </row>
    <row r="124" spans="6:43">
      <c r="F124" s="338"/>
      <c r="G124" s="329"/>
      <c r="H124" s="329"/>
      <c r="I124" s="329"/>
      <c r="J124" s="329">
        <v>852</v>
      </c>
      <c r="K124" s="329"/>
      <c r="L124" s="329">
        <v>852</v>
      </c>
      <c r="M124" s="329"/>
      <c r="N124" s="329">
        <v>1084</v>
      </c>
      <c r="O124" s="329"/>
      <c r="P124" s="329">
        <v>1084</v>
      </c>
      <c r="Q124" s="339"/>
      <c r="S124" s="338"/>
      <c r="T124" s="329"/>
      <c r="U124" s="329"/>
      <c r="V124" s="329"/>
      <c r="W124" s="329"/>
      <c r="X124" s="329"/>
      <c r="Y124" s="329"/>
      <c r="Z124" s="329"/>
      <c r="AA124" s="329"/>
      <c r="AB124" s="329"/>
      <c r="AC124" s="329"/>
      <c r="AD124" s="339"/>
      <c r="AF124" s="338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39"/>
    </row>
    <row r="125" spans="6:43">
      <c r="F125" s="338"/>
      <c r="G125" s="329"/>
      <c r="H125" s="329"/>
      <c r="I125" s="329"/>
      <c r="J125" s="329">
        <v>853</v>
      </c>
      <c r="K125" s="329"/>
      <c r="L125" s="329">
        <v>853</v>
      </c>
      <c r="M125" s="329"/>
      <c r="N125" s="329">
        <v>1085</v>
      </c>
      <c r="O125" s="329"/>
      <c r="P125" s="329">
        <v>1085</v>
      </c>
      <c r="Q125" s="339"/>
      <c r="S125" s="338"/>
      <c r="T125" s="329"/>
      <c r="U125" s="329"/>
      <c r="V125" s="329"/>
      <c r="W125" s="329"/>
      <c r="X125" s="329"/>
      <c r="Y125" s="329"/>
      <c r="Z125" s="329"/>
      <c r="AA125" s="329"/>
      <c r="AB125" s="329"/>
      <c r="AC125" s="329"/>
      <c r="AD125" s="339"/>
      <c r="AF125" s="338"/>
      <c r="AG125" s="329"/>
      <c r="AH125" s="329"/>
      <c r="AI125" s="329"/>
      <c r="AJ125" s="329"/>
      <c r="AK125" s="329"/>
      <c r="AL125" s="329"/>
      <c r="AM125" s="329"/>
      <c r="AN125" s="329"/>
      <c r="AO125" s="329"/>
      <c r="AP125" s="329"/>
      <c r="AQ125" s="339"/>
    </row>
    <row r="126" spans="6:43">
      <c r="F126" s="338"/>
      <c r="G126" s="329"/>
      <c r="H126" s="329"/>
      <c r="I126" s="329"/>
      <c r="J126" s="329">
        <v>862</v>
      </c>
      <c r="K126" s="329"/>
      <c r="L126" s="329">
        <v>862</v>
      </c>
      <c r="M126" s="329"/>
      <c r="N126" s="329">
        <v>1092</v>
      </c>
      <c r="O126" s="329"/>
      <c r="P126" s="329">
        <v>1092</v>
      </c>
      <c r="Q126" s="339"/>
      <c r="S126" s="338"/>
      <c r="T126" s="329"/>
      <c r="U126" s="329"/>
      <c r="V126" s="329"/>
      <c r="W126" s="329"/>
      <c r="X126" s="329"/>
      <c r="Y126" s="329"/>
      <c r="Z126" s="329"/>
      <c r="AA126" s="329"/>
      <c r="AB126" s="329"/>
      <c r="AC126" s="329"/>
      <c r="AD126" s="339"/>
      <c r="AF126" s="338"/>
      <c r="AG126" s="329"/>
      <c r="AH126" s="329"/>
      <c r="AI126" s="329"/>
      <c r="AJ126" s="329"/>
      <c r="AK126" s="329"/>
      <c r="AL126" s="329"/>
      <c r="AM126" s="329"/>
      <c r="AN126" s="329"/>
      <c r="AO126" s="329"/>
      <c r="AP126" s="329"/>
      <c r="AQ126" s="339"/>
    </row>
    <row r="127" spans="6:43">
      <c r="F127" s="338"/>
      <c r="G127" s="329"/>
      <c r="H127" s="329"/>
      <c r="I127" s="329"/>
      <c r="J127" s="329">
        <v>863</v>
      </c>
      <c r="K127" s="329"/>
      <c r="L127" s="329">
        <v>863</v>
      </c>
      <c r="M127" s="329"/>
      <c r="N127" s="329">
        <v>1095</v>
      </c>
      <c r="O127" s="329"/>
      <c r="P127" s="329">
        <v>1095</v>
      </c>
      <c r="Q127" s="339"/>
      <c r="S127" s="338"/>
      <c r="T127" s="329"/>
      <c r="U127" s="329"/>
      <c r="V127" s="329"/>
      <c r="W127" s="329"/>
      <c r="X127" s="329"/>
      <c r="Y127" s="329"/>
      <c r="Z127" s="329"/>
      <c r="AA127" s="329"/>
      <c r="AB127" s="329"/>
      <c r="AC127" s="329"/>
      <c r="AD127" s="339"/>
      <c r="AF127" s="338"/>
      <c r="AG127" s="329"/>
      <c r="AH127" s="329"/>
      <c r="AI127" s="329"/>
      <c r="AJ127" s="329"/>
      <c r="AK127" s="329"/>
      <c r="AL127" s="329"/>
      <c r="AM127" s="329"/>
      <c r="AN127" s="329"/>
      <c r="AO127" s="329"/>
      <c r="AP127" s="329"/>
      <c r="AQ127" s="339"/>
    </row>
    <row r="128" spans="6:43">
      <c r="F128" s="338"/>
      <c r="G128" s="329"/>
      <c r="H128" s="329"/>
      <c r="I128" s="329"/>
      <c r="J128" s="329">
        <v>864</v>
      </c>
      <c r="K128" s="329"/>
      <c r="L128" s="329">
        <v>864</v>
      </c>
      <c r="M128" s="329"/>
      <c r="N128" s="329">
        <v>1096</v>
      </c>
      <c r="O128" s="329"/>
      <c r="P128" s="329">
        <v>1096</v>
      </c>
      <c r="Q128" s="339"/>
      <c r="S128" s="338"/>
      <c r="T128" s="329"/>
      <c r="U128" s="329"/>
      <c r="V128" s="329"/>
      <c r="W128" s="329"/>
      <c r="X128" s="329"/>
      <c r="Y128" s="329"/>
      <c r="Z128" s="329"/>
      <c r="AA128" s="329"/>
      <c r="AB128" s="329"/>
      <c r="AC128" s="329"/>
      <c r="AD128" s="339"/>
      <c r="AF128" s="338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39"/>
    </row>
    <row r="129" spans="6:43">
      <c r="F129" s="338"/>
      <c r="G129" s="329"/>
      <c r="H129" s="329"/>
      <c r="I129" s="329"/>
      <c r="J129" s="329">
        <v>866</v>
      </c>
      <c r="K129" s="329"/>
      <c r="L129" s="329">
        <v>866</v>
      </c>
      <c r="M129" s="329"/>
      <c r="N129" s="329">
        <v>1097</v>
      </c>
      <c r="O129" s="329"/>
      <c r="P129" s="329">
        <v>1097</v>
      </c>
      <c r="Q129" s="339"/>
      <c r="S129" s="338"/>
      <c r="T129" s="329"/>
      <c r="U129" s="329"/>
      <c r="V129" s="329"/>
      <c r="W129" s="329"/>
      <c r="X129" s="329"/>
      <c r="Y129" s="329"/>
      <c r="Z129" s="329"/>
      <c r="AA129" s="329"/>
      <c r="AB129" s="329"/>
      <c r="AC129" s="329"/>
      <c r="AD129" s="339"/>
      <c r="AF129" s="338"/>
      <c r="AG129" s="329"/>
      <c r="AH129" s="329"/>
      <c r="AI129" s="329"/>
      <c r="AJ129" s="329"/>
      <c r="AK129" s="329"/>
      <c r="AL129" s="329"/>
      <c r="AM129" s="329"/>
      <c r="AN129" s="329"/>
      <c r="AO129" s="329"/>
      <c r="AP129" s="329"/>
      <c r="AQ129" s="339"/>
    </row>
    <row r="130" spans="6:43">
      <c r="F130" s="338"/>
      <c r="G130" s="329"/>
      <c r="H130" s="329"/>
      <c r="I130" s="329"/>
      <c r="J130" s="329">
        <v>867</v>
      </c>
      <c r="K130" s="329"/>
      <c r="L130" s="329">
        <v>867</v>
      </c>
      <c r="M130" s="329"/>
      <c r="N130" s="329">
        <v>1098</v>
      </c>
      <c r="O130" s="329"/>
      <c r="P130" s="329">
        <v>1098</v>
      </c>
      <c r="Q130" s="339"/>
      <c r="S130" s="338"/>
      <c r="T130" s="329"/>
      <c r="U130" s="329"/>
      <c r="V130" s="329"/>
      <c r="W130" s="329"/>
      <c r="X130" s="329"/>
      <c r="Y130" s="329"/>
      <c r="Z130" s="329"/>
      <c r="AA130" s="329"/>
      <c r="AB130" s="329"/>
      <c r="AC130" s="329"/>
      <c r="AD130" s="339"/>
      <c r="AF130" s="338"/>
      <c r="AG130" s="329"/>
      <c r="AH130" s="329"/>
      <c r="AI130" s="329"/>
      <c r="AJ130" s="329"/>
      <c r="AK130" s="329"/>
      <c r="AL130" s="329"/>
      <c r="AM130" s="329"/>
      <c r="AN130" s="329"/>
      <c r="AO130" s="329"/>
      <c r="AP130" s="329"/>
      <c r="AQ130" s="339"/>
    </row>
    <row r="131" spans="6:43">
      <c r="F131" s="338"/>
      <c r="G131" s="329"/>
      <c r="H131" s="329"/>
      <c r="I131" s="329"/>
      <c r="J131" s="329">
        <v>871</v>
      </c>
      <c r="K131" s="329"/>
      <c r="L131" s="329">
        <v>871</v>
      </c>
      <c r="M131" s="329"/>
      <c r="N131" s="329">
        <v>1099</v>
      </c>
      <c r="O131" s="329"/>
      <c r="P131" s="329">
        <v>1099</v>
      </c>
      <c r="Q131" s="339"/>
      <c r="S131" s="338"/>
      <c r="T131" s="329"/>
      <c r="U131" s="329"/>
      <c r="V131" s="329"/>
      <c r="W131" s="329"/>
      <c r="X131" s="329"/>
      <c r="Y131" s="329"/>
      <c r="Z131" s="329"/>
      <c r="AA131" s="329"/>
      <c r="AB131" s="329"/>
      <c r="AC131" s="329"/>
      <c r="AD131" s="339"/>
      <c r="AF131" s="338"/>
      <c r="AG131" s="329"/>
      <c r="AH131" s="329"/>
      <c r="AI131" s="329"/>
      <c r="AJ131" s="329"/>
      <c r="AK131" s="329"/>
      <c r="AL131" s="329"/>
      <c r="AM131" s="329"/>
      <c r="AN131" s="329"/>
      <c r="AO131" s="329"/>
      <c r="AP131" s="329"/>
      <c r="AQ131" s="339"/>
    </row>
    <row r="132" spans="6:43">
      <c r="F132" s="338"/>
      <c r="G132" s="329"/>
      <c r="H132" s="329"/>
      <c r="I132" s="329"/>
      <c r="J132" s="329">
        <v>872</v>
      </c>
      <c r="K132" s="329"/>
      <c r="L132" s="329">
        <v>872</v>
      </c>
      <c r="M132" s="329"/>
      <c r="N132" s="329">
        <v>1100</v>
      </c>
      <c r="O132" s="329"/>
      <c r="P132" s="329">
        <v>1100</v>
      </c>
      <c r="Q132" s="339"/>
      <c r="S132" s="338"/>
      <c r="T132" s="329"/>
      <c r="U132" s="329"/>
      <c r="V132" s="329"/>
      <c r="W132" s="329"/>
      <c r="X132" s="329"/>
      <c r="Y132" s="329"/>
      <c r="Z132" s="329"/>
      <c r="AA132" s="329"/>
      <c r="AB132" s="329"/>
      <c r="AC132" s="329"/>
      <c r="AD132" s="339"/>
      <c r="AF132" s="338"/>
      <c r="AG132" s="329"/>
      <c r="AH132" s="329"/>
      <c r="AI132" s="329"/>
      <c r="AJ132" s="329"/>
      <c r="AK132" s="329"/>
      <c r="AL132" s="329"/>
      <c r="AM132" s="329"/>
      <c r="AN132" s="329"/>
      <c r="AO132" s="329"/>
      <c r="AP132" s="329"/>
      <c r="AQ132" s="339"/>
    </row>
    <row r="133" spans="6:43">
      <c r="F133" s="338"/>
      <c r="G133" s="329"/>
      <c r="H133" s="329"/>
      <c r="I133" s="329"/>
      <c r="J133" s="329">
        <v>883</v>
      </c>
      <c r="K133" s="329"/>
      <c r="L133" s="329">
        <v>883</v>
      </c>
      <c r="M133" s="329"/>
      <c r="N133" s="329">
        <v>1109</v>
      </c>
      <c r="O133" s="329"/>
      <c r="P133" s="329">
        <v>1109</v>
      </c>
      <c r="Q133" s="339"/>
      <c r="S133" s="338"/>
      <c r="T133" s="329"/>
      <c r="U133" s="329"/>
      <c r="V133" s="329"/>
      <c r="W133" s="329"/>
      <c r="X133" s="329"/>
      <c r="Y133" s="329"/>
      <c r="Z133" s="329"/>
      <c r="AA133" s="329"/>
      <c r="AB133" s="329"/>
      <c r="AC133" s="329"/>
      <c r="AD133" s="339"/>
      <c r="AF133" s="338"/>
      <c r="AG133" s="329"/>
      <c r="AH133" s="329"/>
      <c r="AI133" s="329"/>
      <c r="AJ133" s="329"/>
      <c r="AK133" s="329"/>
      <c r="AL133" s="329"/>
      <c r="AM133" s="329"/>
      <c r="AN133" s="329"/>
      <c r="AO133" s="329"/>
      <c r="AP133" s="329"/>
      <c r="AQ133" s="339"/>
    </row>
    <row r="134" spans="6:43">
      <c r="F134" s="338"/>
      <c r="G134" s="329"/>
      <c r="H134" s="329"/>
      <c r="I134" s="329"/>
      <c r="J134" s="329">
        <v>896</v>
      </c>
      <c r="K134" s="329"/>
      <c r="L134" s="329">
        <v>896</v>
      </c>
      <c r="M134" s="329"/>
      <c r="N134" s="329">
        <v>1110</v>
      </c>
      <c r="O134" s="329"/>
      <c r="P134" s="329">
        <v>1110</v>
      </c>
      <c r="Q134" s="339"/>
      <c r="S134" s="338"/>
      <c r="T134" s="329"/>
      <c r="U134" s="329"/>
      <c r="V134" s="329"/>
      <c r="W134" s="329"/>
      <c r="X134" s="329"/>
      <c r="Y134" s="329"/>
      <c r="Z134" s="329"/>
      <c r="AA134" s="329"/>
      <c r="AB134" s="329"/>
      <c r="AC134" s="329"/>
      <c r="AD134" s="339"/>
      <c r="AF134" s="338"/>
      <c r="AG134" s="329"/>
      <c r="AH134" s="329"/>
      <c r="AI134" s="329"/>
      <c r="AJ134" s="329"/>
      <c r="AK134" s="329"/>
      <c r="AL134" s="329"/>
      <c r="AM134" s="329"/>
      <c r="AN134" s="329"/>
      <c r="AO134" s="329"/>
      <c r="AP134" s="329"/>
      <c r="AQ134" s="339"/>
    </row>
    <row r="135" spans="6:43">
      <c r="F135" s="338"/>
      <c r="G135" s="329"/>
      <c r="H135" s="329"/>
      <c r="I135" s="329"/>
      <c r="J135" s="329">
        <v>900</v>
      </c>
      <c r="K135" s="329"/>
      <c r="L135" s="329">
        <v>900</v>
      </c>
      <c r="M135" s="329"/>
      <c r="N135" s="329">
        <v>1135</v>
      </c>
      <c r="O135" s="329"/>
      <c r="P135" s="329">
        <v>1135</v>
      </c>
      <c r="Q135" s="339"/>
      <c r="S135" s="338"/>
      <c r="T135" s="329"/>
      <c r="U135" s="329"/>
      <c r="V135" s="329"/>
      <c r="W135" s="329"/>
      <c r="X135" s="329"/>
      <c r="Y135" s="329"/>
      <c r="Z135" s="329"/>
      <c r="AA135" s="329"/>
      <c r="AB135" s="329"/>
      <c r="AC135" s="329"/>
      <c r="AD135" s="339"/>
      <c r="AF135" s="338"/>
      <c r="AG135" s="329"/>
      <c r="AH135" s="329"/>
      <c r="AI135" s="329"/>
      <c r="AJ135" s="329"/>
      <c r="AK135" s="329"/>
      <c r="AL135" s="329"/>
      <c r="AM135" s="329"/>
      <c r="AN135" s="329"/>
      <c r="AO135" s="329"/>
      <c r="AP135" s="329"/>
      <c r="AQ135" s="339"/>
    </row>
    <row r="136" spans="6:43">
      <c r="F136" s="338"/>
      <c r="G136" s="329"/>
      <c r="H136" s="329"/>
      <c r="I136" s="329"/>
      <c r="J136" s="329">
        <v>902</v>
      </c>
      <c r="K136" s="329"/>
      <c r="L136" s="329">
        <v>902</v>
      </c>
      <c r="M136" s="329"/>
      <c r="N136" s="329">
        <v>1136</v>
      </c>
      <c r="O136" s="329"/>
      <c r="P136" s="329">
        <v>1136</v>
      </c>
      <c r="Q136" s="339"/>
      <c r="S136" s="338"/>
      <c r="T136" s="329"/>
      <c r="U136" s="329"/>
      <c r="V136" s="329"/>
      <c r="W136" s="329"/>
      <c r="X136" s="329"/>
      <c r="Y136" s="329"/>
      <c r="Z136" s="329"/>
      <c r="AA136" s="329"/>
      <c r="AB136" s="329"/>
      <c r="AC136" s="329"/>
      <c r="AD136" s="339"/>
      <c r="AF136" s="338"/>
      <c r="AG136" s="329"/>
      <c r="AH136" s="329"/>
      <c r="AI136" s="329"/>
      <c r="AJ136" s="329"/>
      <c r="AK136" s="329"/>
      <c r="AL136" s="329"/>
      <c r="AM136" s="329"/>
      <c r="AN136" s="329"/>
      <c r="AO136" s="329"/>
      <c r="AP136" s="329"/>
      <c r="AQ136" s="339"/>
    </row>
    <row r="137" spans="6:43">
      <c r="F137" s="338"/>
      <c r="G137" s="329"/>
      <c r="H137" s="329"/>
      <c r="I137" s="329"/>
      <c r="J137" s="329">
        <v>923</v>
      </c>
      <c r="K137" s="329"/>
      <c r="L137" s="329">
        <v>923</v>
      </c>
      <c r="M137" s="329"/>
      <c r="N137" s="329">
        <v>1137</v>
      </c>
      <c r="O137" s="329"/>
      <c r="P137" s="329">
        <v>1137</v>
      </c>
      <c r="Q137" s="339"/>
      <c r="S137" s="338"/>
      <c r="T137" s="329"/>
      <c r="U137" s="329"/>
      <c r="V137" s="329"/>
      <c r="W137" s="329"/>
      <c r="X137" s="329"/>
      <c r="Y137" s="329"/>
      <c r="Z137" s="329"/>
      <c r="AA137" s="329"/>
      <c r="AB137" s="329"/>
      <c r="AC137" s="329"/>
      <c r="AD137" s="339"/>
      <c r="AF137" s="338"/>
      <c r="AG137" s="329"/>
      <c r="AH137" s="329"/>
      <c r="AI137" s="329"/>
      <c r="AJ137" s="329"/>
      <c r="AK137" s="329"/>
      <c r="AL137" s="329"/>
      <c r="AM137" s="329"/>
      <c r="AN137" s="329"/>
      <c r="AO137" s="329"/>
      <c r="AP137" s="329"/>
      <c r="AQ137" s="339"/>
    </row>
    <row r="138" spans="6:43">
      <c r="F138" s="338"/>
      <c r="G138" s="329"/>
      <c r="H138" s="329"/>
      <c r="I138" s="329"/>
      <c r="J138" s="329">
        <v>932</v>
      </c>
      <c r="K138" s="329"/>
      <c r="L138" s="329">
        <v>932</v>
      </c>
      <c r="M138" s="329"/>
      <c r="N138" s="329">
        <v>1138</v>
      </c>
      <c r="O138" s="329"/>
      <c r="P138" s="329">
        <v>1138</v>
      </c>
      <c r="Q138" s="339"/>
      <c r="S138" s="338"/>
      <c r="T138" s="329"/>
      <c r="U138" s="329"/>
      <c r="V138" s="329"/>
      <c r="W138" s="329"/>
      <c r="X138" s="329"/>
      <c r="Y138" s="329"/>
      <c r="Z138" s="329"/>
      <c r="AA138" s="329"/>
      <c r="AB138" s="329"/>
      <c r="AC138" s="329"/>
      <c r="AD138" s="339"/>
      <c r="AF138" s="338"/>
      <c r="AG138" s="329"/>
      <c r="AH138" s="329"/>
      <c r="AI138" s="329"/>
      <c r="AJ138" s="329"/>
      <c r="AK138" s="329"/>
      <c r="AL138" s="329"/>
      <c r="AM138" s="329"/>
      <c r="AN138" s="329"/>
      <c r="AO138" s="329"/>
      <c r="AP138" s="329"/>
      <c r="AQ138" s="339"/>
    </row>
    <row r="139" spans="6:43">
      <c r="F139" s="338"/>
      <c r="G139" s="329"/>
      <c r="H139" s="329"/>
      <c r="I139" s="329"/>
      <c r="J139" s="329">
        <v>937</v>
      </c>
      <c r="K139" s="329"/>
      <c r="L139" s="329">
        <v>937</v>
      </c>
      <c r="M139" s="329"/>
      <c r="N139" s="329">
        <v>1139</v>
      </c>
      <c r="O139" s="329"/>
      <c r="P139" s="329">
        <v>1139</v>
      </c>
      <c r="Q139" s="339"/>
      <c r="S139" s="338"/>
      <c r="T139" s="329"/>
      <c r="U139" s="329"/>
      <c r="V139" s="329"/>
      <c r="W139" s="329"/>
      <c r="X139" s="329"/>
      <c r="Y139" s="329"/>
      <c r="Z139" s="329"/>
      <c r="AA139" s="329"/>
      <c r="AB139" s="329"/>
      <c r="AC139" s="329"/>
      <c r="AD139" s="339"/>
      <c r="AF139" s="338"/>
      <c r="AG139" s="329"/>
      <c r="AH139" s="329"/>
      <c r="AI139" s="329"/>
      <c r="AJ139" s="329"/>
      <c r="AK139" s="329"/>
      <c r="AL139" s="329"/>
      <c r="AM139" s="329"/>
      <c r="AN139" s="329"/>
      <c r="AO139" s="329"/>
      <c r="AP139" s="329"/>
      <c r="AQ139" s="339"/>
    </row>
    <row r="140" spans="6:43">
      <c r="F140" s="338"/>
      <c r="G140" s="329"/>
      <c r="H140" s="329"/>
      <c r="I140" s="329"/>
      <c r="J140" s="329">
        <v>938</v>
      </c>
      <c r="K140" s="329"/>
      <c r="L140" s="329">
        <v>938</v>
      </c>
      <c r="M140" s="329"/>
      <c r="N140" s="329">
        <v>1141</v>
      </c>
      <c r="O140" s="329"/>
      <c r="P140" s="329">
        <v>1141</v>
      </c>
      <c r="Q140" s="339"/>
      <c r="S140" s="338"/>
      <c r="T140" s="329"/>
      <c r="U140" s="329"/>
      <c r="V140" s="329"/>
      <c r="W140" s="329"/>
      <c r="X140" s="329"/>
      <c r="Y140" s="329"/>
      <c r="Z140" s="329"/>
      <c r="AA140" s="329"/>
      <c r="AB140" s="329"/>
      <c r="AC140" s="329"/>
      <c r="AD140" s="339"/>
      <c r="AF140" s="338"/>
      <c r="AG140" s="329"/>
      <c r="AH140" s="329"/>
      <c r="AI140" s="329"/>
      <c r="AJ140" s="329"/>
      <c r="AK140" s="329"/>
      <c r="AL140" s="329"/>
      <c r="AM140" s="329"/>
      <c r="AN140" s="329"/>
      <c r="AO140" s="329"/>
      <c r="AP140" s="329"/>
      <c r="AQ140" s="339"/>
    </row>
    <row r="141" spans="6:43">
      <c r="F141" s="338"/>
      <c r="G141" s="329"/>
      <c r="H141" s="329"/>
      <c r="I141" s="329"/>
      <c r="J141" s="329">
        <v>941</v>
      </c>
      <c r="K141" s="329"/>
      <c r="L141" s="329">
        <v>941</v>
      </c>
      <c r="M141" s="329"/>
      <c r="N141" s="329">
        <v>1143</v>
      </c>
      <c r="O141" s="329"/>
      <c r="P141" s="329">
        <v>1143</v>
      </c>
      <c r="Q141" s="339"/>
      <c r="S141" s="338"/>
      <c r="T141" s="329"/>
      <c r="U141" s="329"/>
      <c r="V141" s="329"/>
      <c r="W141" s="329"/>
      <c r="X141" s="329"/>
      <c r="Y141" s="329"/>
      <c r="Z141" s="329"/>
      <c r="AA141" s="329"/>
      <c r="AB141" s="329"/>
      <c r="AC141" s="329"/>
      <c r="AD141" s="339"/>
      <c r="AF141" s="338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39"/>
    </row>
    <row r="142" spans="6:43">
      <c r="F142" s="338"/>
      <c r="G142" s="329"/>
      <c r="H142" s="329"/>
      <c r="I142" s="329"/>
      <c r="J142" s="329">
        <v>942</v>
      </c>
      <c r="K142" s="329"/>
      <c r="L142" s="329">
        <v>942</v>
      </c>
      <c r="M142" s="329"/>
      <c r="N142" s="329">
        <v>1144</v>
      </c>
      <c r="O142" s="329"/>
      <c r="P142" s="329">
        <v>1144</v>
      </c>
      <c r="Q142" s="339"/>
      <c r="S142" s="338"/>
      <c r="T142" s="329"/>
      <c r="U142" s="329"/>
      <c r="V142" s="329"/>
      <c r="W142" s="329"/>
      <c r="X142" s="329"/>
      <c r="Y142" s="329"/>
      <c r="Z142" s="329"/>
      <c r="AA142" s="329"/>
      <c r="AB142" s="329"/>
      <c r="AC142" s="329"/>
      <c r="AD142" s="339"/>
      <c r="AF142" s="338"/>
      <c r="AG142" s="329"/>
      <c r="AH142" s="329"/>
      <c r="AI142" s="329"/>
      <c r="AJ142" s="329"/>
      <c r="AK142" s="329"/>
      <c r="AL142" s="329"/>
      <c r="AM142" s="329"/>
      <c r="AN142" s="329"/>
      <c r="AO142" s="329"/>
      <c r="AP142" s="329"/>
      <c r="AQ142" s="339"/>
    </row>
    <row r="143" spans="6:43">
      <c r="F143" s="338"/>
      <c r="G143" s="329"/>
      <c r="H143" s="329"/>
      <c r="I143" s="329"/>
      <c r="J143" s="329">
        <v>943</v>
      </c>
      <c r="K143" s="329"/>
      <c r="L143" s="329">
        <v>943</v>
      </c>
      <c r="M143" s="329"/>
      <c r="N143" s="329">
        <v>1148</v>
      </c>
      <c r="O143" s="329"/>
      <c r="P143" s="329">
        <v>1148</v>
      </c>
      <c r="Q143" s="339"/>
      <c r="S143" s="338"/>
      <c r="T143" s="329"/>
      <c r="U143" s="329"/>
      <c r="V143" s="329"/>
      <c r="W143" s="329"/>
      <c r="X143" s="329"/>
      <c r="Y143" s="329"/>
      <c r="Z143" s="329"/>
      <c r="AA143" s="329"/>
      <c r="AB143" s="329"/>
      <c r="AC143" s="329"/>
      <c r="AD143" s="339"/>
      <c r="AF143" s="338"/>
      <c r="AG143" s="329"/>
      <c r="AH143" s="329"/>
      <c r="AI143" s="329"/>
      <c r="AJ143" s="329"/>
      <c r="AK143" s="329"/>
      <c r="AL143" s="329"/>
      <c r="AM143" s="329"/>
      <c r="AN143" s="329"/>
      <c r="AO143" s="329"/>
      <c r="AP143" s="329"/>
      <c r="AQ143" s="339"/>
    </row>
    <row r="144" spans="6:43">
      <c r="F144" s="338"/>
      <c r="G144" s="329"/>
      <c r="H144" s="329"/>
      <c r="I144" s="329"/>
      <c r="J144" s="329">
        <v>945</v>
      </c>
      <c r="K144" s="329"/>
      <c r="L144" s="329">
        <v>945</v>
      </c>
      <c r="M144" s="329"/>
      <c r="N144" s="329">
        <v>1162</v>
      </c>
      <c r="O144" s="329"/>
      <c r="P144" s="329">
        <v>1162</v>
      </c>
      <c r="Q144" s="339"/>
      <c r="S144" s="338"/>
      <c r="T144" s="329"/>
      <c r="U144" s="329"/>
      <c r="V144" s="329"/>
      <c r="W144" s="329"/>
      <c r="X144" s="329"/>
      <c r="Y144" s="329"/>
      <c r="Z144" s="329"/>
      <c r="AA144" s="329"/>
      <c r="AB144" s="329"/>
      <c r="AC144" s="329"/>
      <c r="AD144" s="339"/>
      <c r="AF144" s="338"/>
      <c r="AG144" s="329"/>
      <c r="AH144" s="329"/>
      <c r="AI144" s="329"/>
      <c r="AJ144" s="329"/>
      <c r="AK144" s="329"/>
      <c r="AL144" s="329"/>
      <c r="AM144" s="329"/>
      <c r="AN144" s="329"/>
      <c r="AO144" s="329"/>
      <c r="AP144" s="329"/>
      <c r="AQ144" s="339"/>
    </row>
    <row r="145" spans="6:43">
      <c r="F145" s="338"/>
      <c r="G145" s="329"/>
      <c r="H145" s="329"/>
      <c r="I145" s="329"/>
      <c r="J145" s="329">
        <v>947</v>
      </c>
      <c r="K145" s="329"/>
      <c r="L145" s="329">
        <v>947</v>
      </c>
      <c r="M145" s="329"/>
      <c r="N145" s="329">
        <v>1163</v>
      </c>
      <c r="O145" s="329"/>
      <c r="P145" s="329">
        <v>1163</v>
      </c>
      <c r="Q145" s="339"/>
      <c r="S145" s="338"/>
      <c r="T145" s="329"/>
      <c r="U145" s="329"/>
      <c r="V145" s="329"/>
      <c r="W145" s="329"/>
      <c r="X145" s="329"/>
      <c r="Y145" s="329"/>
      <c r="Z145" s="329"/>
      <c r="AA145" s="329"/>
      <c r="AB145" s="329"/>
      <c r="AC145" s="329"/>
      <c r="AD145" s="339"/>
      <c r="AF145" s="338"/>
      <c r="AG145" s="329"/>
      <c r="AH145" s="329"/>
      <c r="AI145" s="329"/>
      <c r="AJ145" s="329"/>
      <c r="AK145" s="329"/>
      <c r="AL145" s="329"/>
      <c r="AM145" s="329"/>
      <c r="AN145" s="329"/>
      <c r="AO145" s="329"/>
      <c r="AP145" s="329"/>
      <c r="AQ145" s="339"/>
    </row>
    <row r="146" spans="6:43">
      <c r="F146" s="338"/>
      <c r="G146" s="329"/>
      <c r="H146" s="329"/>
      <c r="I146" s="329"/>
      <c r="J146" s="329">
        <v>951</v>
      </c>
      <c r="K146" s="329"/>
      <c r="L146" s="329">
        <v>951</v>
      </c>
      <c r="M146" s="329"/>
      <c r="N146" s="329">
        <v>1175</v>
      </c>
      <c r="O146" s="329"/>
      <c r="P146" s="329">
        <v>1175</v>
      </c>
      <c r="Q146" s="339"/>
      <c r="S146" s="338"/>
      <c r="T146" s="329"/>
      <c r="U146" s="329"/>
      <c r="V146" s="329"/>
      <c r="W146" s="329"/>
      <c r="X146" s="329"/>
      <c r="Y146" s="329"/>
      <c r="Z146" s="329"/>
      <c r="AA146" s="329"/>
      <c r="AB146" s="329"/>
      <c r="AC146" s="329"/>
      <c r="AD146" s="339"/>
      <c r="AF146" s="338"/>
      <c r="AG146" s="329"/>
      <c r="AH146" s="329"/>
      <c r="AI146" s="329"/>
      <c r="AJ146" s="329"/>
      <c r="AK146" s="329"/>
      <c r="AL146" s="329"/>
      <c r="AM146" s="329"/>
      <c r="AN146" s="329"/>
      <c r="AO146" s="329"/>
      <c r="AP146" s="329"/>
      <c r="AQ146" s="339"/>
    </row>
    <row r="147" spans="6:43">
      <c r="F147" s="338"/>
      <c r="G147" s="329"/>
      <c r="H147" s="329"/>
      <c r="I147" s="329"/>
      <c r="J147" s="329">
        <v>964</v>
      </c>
      <c r="K147" s="329"/>
      <c r="L147" s="329">
        <v>964</v>
      </c>
      <c r="M147" s="329"/>
      <c r="N147" s="329">
        <v>1176</v>
      </c>
      <c r="O147" s="329"/>
      <c r="P147" s="329">
        <v>1176</v>
      </c>
      <c r="Q147" s="339"/>
      <c r="S147" s="338"/>
      <c r="T147" s="329"/>
      <c r="U147" s="329"/>
      <c r="V147" s="329"/>
      <c r="W147" s="329"/>
      <c r="X147" s="329"/>
      <c r="Y147" s="329"/>
      <c r="Z147" s="329"/>
      <c r="AA147" s="329"/>
      <c r="AB147" s="329"/>
      <c r="AC147" s="329"/>
      <c r="AD147" s="339"/>
      <c r="AF147" s="338"/>
      <c r="AG147" s="329"/>
      <c r="AH147" s="329"/>
      <c r="AI147" s="329"/>
      <c r="AJ147" s="329"/>
      <c r="AK147" s="329"/>
      <c r="AL147" s="329"/>
      <c r="AM147" s="329"/>
      <c r="AN147" s="329"/>
      <c r="AO147" s="329"/>
      <c r="AP147" s="329"/>
      <c r="AQ147" s="339"/>
    </row>
    <row r="148" spans="6:43">
      <c r="F148" s="338"/>
      <c r="G148" s="329"/>
      <c r="H148" s="329"/>
      <c r="I148" s="329"/>
      <c r="J148" s="329">
        <v>967</v>
      </c>
      <c r="K148" s="329"/>
      <c r="L148" s="329">
        <v>967</v>
      </c>
      <c r="M148" s="329"/>
      <c r="N148" s="329">
        <v>1209</v>
      </c>
      <c r="O148" s="329"/>
      <c r="P148" s="329">
        <v>1209</v>
      </c>
      <c r="Q148" s="339"/>
      <c r="S148" s="338"/>
      <c r="T148" s="329"/>
      <c r="U148" s="329"/>
      <c r="V148" s="329"/>
      <c r="W148" s="329"/>
      <c r="X148" s="329"/>
      <c r="Y148" s="329"/>
      <c r="Z148" s="329"/>
      <c r="AA148" s="329"/>
      <c r="AB148" s="329"/>
      <c r="AC148" s="329"/>
      <c r="AD148" s="339"/>
      <c r="AF148" s="338"/>
      <c r="AG148" s="329"/>
      <c r="AH148" s="329"/>
      <c r="AI148" s="329"/>
      <c r="AJ148" s="329"/>
      <c r="AK148" s="329"/>
      <c r="AL148" s="329"/>
      <c r="AM148" s="329"/>
      <c r="AN148" s="329"/>
      <c r="AO148" s="329"/>
      <c r="AP148" s="329"/>
      <c r="AQ148" s="339"/>
    </row>
    <row r="149" spans="6:43">
      <c r="F149" s="338"/>
      <c r="G149" s="329"/>
      <c r="H149" s="329"/>
      <c r="I149" s="329"/>
      <c r="J149" s="329">
        <v>968</v>
      </c>
      <c r="K149" s="329"/>
      <c r="L149" s="329">
        <v>968</v>
      </c>
      <c r="M149" s="329"/>
      <c r="N149" s="329">
        <v>1210</v>
      </c>
      <c r="O149" s="329"/>
      <c r="P149" s="329">
        <v>1210</v>
      </c>
      <c r="Q149" s="339"/>
      <c r="S149" s="338"/>
      <c r="T149" s="329"/>
      <c r="U149" s="329"/>
      <c r="V149" s="329"/>
      <c r="W149" s="329"/>
      <c r="X149" s="329"/>
      <c r="Y149" s="329"/>
      <c r="Z149" s="329"/>
      <c r="AA149" s="329"/>
      <c r="AB149" s="329"/>
      <c r="AC149" s="329"/>
      <c r="AD149" s="339"/>
      <c r="AF149" s="338"/>
      <c r="AG149" s="329"/>
      <c r="AH149" s="329"/>
      <c r="AI149" s="329"/>
      <c r="AJ149" s="329"/>
      <c r="AK149" s="329"/>
      <c r="AL149" s="329"/>
      <c r="AM149" s="329"/>
      <c r="AN149" s="329"/>
      <c r="AO149" s="329"/>
      <c r="AP149" s="329"/>
      <c r="AQ149" s="339"/>
    </row>
    <row r="150" spans="6:43">
      <c r="F150" s="338"/>
      <c r="G150" s="329"/>
      <c r="H150" s="329"/>
      <c r="I150" s="329"/>
      <c r="J150" s="329">
        <v>970</v>
      </c>
      <c r="K150" s="329"/>
      <c r="L150" s="329">
        <v>970</v>
      </c>
      <c r="M150" s="329"/>
      <c r="N150" s="329">
        <v>1211</v>
      </c>
      <c r="O150" s="329"/>
      <c r="P150" s="329">
        <v>1211</v>
      </c>
      <c r="Q150" s="339"/>
      <c r="S150" s="338"/>
      <c r="T150" s="329"/>
      <c r="U150" s="329"/>
      <c r="V150" s="329"/>
      <c r="W150" s="329"/>
      <c r="X150" s="329"/>
      <c r="Y150" s="329"/>
      <c r="Z150" s="329"/>
      <c r="AA150" s="329"/>
      <c r="AB150" s="329"/>
      <c r="AC150" s="329"/>
      <c r="AD150" s="339"/>
      <c r="AF150" s="338"/>
      <c r="AG150" s="329"/>
      <c r="AH150" s="329"/>
      <c r="AI150" s="329"/>
      <c r="AJ150" s="329"/>
      <c r="AK150" s="329"/>
      <c r="AL150" s="329"/>
      <c r="AM150" s="329"/>
      <c r="AN150" s="329"/>
      <c r="AO150" s="329"/>
      <c r="AP150" s="329"/>
      <c r="AQ150" s="339"/>
    </row>
    <row r="151" spans="6:43">
      <c r="F151" s="338"/>
      <c r="G151" s="329"/>
      <c r="H151" s="329"/>
      <c r="I151" s="329"/>
      <c r="J151" s="329">
        <v>972</v>
      </c>
      <c r="K151" s="329"/>
      <c r="L151" s="329">
        <v>972</v>
      </c>
      <c r="M151" s="329"/>
      <c r="N151" s="329">
        <v>1212</v>
      </c>
      <c r="O151" s="329"/>
      <c r="P151" s="329">
        <v>1212</v>
      </c>
      <c r="Q151" s="339"/>
      <c r="S151" s="338"/>
      <c r="T151" s="329"/>
      <c r="U151" s="329"/>
      <c r="V151" s="329"/>
      <c r="W151" s="329"/>
      <c r="X151" s="329"/>
      <c r="Y151" s="329"/>
      <c r="Z151" s="329"/>
      <c r="AA151" s="329"/>
      <c r="AB151" s="329"/>
      <c r="AC151" s="329"/>
      <c r="AD151" s="339"/>
      <c r="AF151" s="338"/>
      <c r="AG151" s="329"/>
      <c r="AH151" s="329"/>
      <c r="AI151" s="329"/>
      <c r="AJ151" s="329"/>
      <c r="AK151" s="329"/>
      <c r="AL151" s="329"/>
      <c r="AM151" s="329"/>
      <c r="AN151" s="329"/>
      <c r="AO151" s="329"/>
      <c r="AP151" s="329"/>
      <c r="AQ151" s="339"/>
    </row>
    <row r="152" spans="6:43">
      <c r="F152" s="338"/>
      <c r="G152" s="329"/>
      <c r="H152" s="329"/>
      <c r="I152" s="329"/>
      <c r="J152" s="329">
        <v>974</v>
      </c>
      <c r="K152" s="329"/>
      <c r="L152" s="329">
        <v>974</v>
      </c>
      <c r="M152" s="329"/>
      <c r="N152" s="329">
        <v>1220</v>
      </c>
      <c r="O152" s="329"/>
      <c r="P152" s="329">
        <v>1220</v>
      </c>
      <c r="Q152" s="339"/>
      <c r="S152" s="338"/>
      <c r="T152" s="329"/>
      <c r="U152" s="329"/>
      <c r="V152" s="329"/>
      <c r="W152" s="329"/>
      <c r="X152" s="329"/>
      <c r="Y152" s="329"/>
      <c r="Z152" s="329"/>
      <c r="AA152" s="329"/>
      <c r="AB152" s="329"/>
      <c r="AC152" s="329"/>
      <c r="AD152" s="339"/>
      <c r="AF152" s="338"/>
      <c r="AG152" s="329"/>
      <c r="AH152" s="329"/>
      <c r="AI152" s="329"/>
      <c r="AJ152" s="329"/>
      <c r="AK152" s="329"/>
      <c r="AL152" s="329"/>
      <c r="AM152" s="329"/>
      <c r="AN152" s="329"/>
      <c r="AO152" s="329"/>
      <c r="AP152" s="329"/>
      <c r="AQ152" s="339"/>
    </row>
    <row r="153" spans="6:43">
      <c r="F153" s="338"/>
      <c r="G153" s="329"/>
      <c r="H153" s="329"/>
      <c r="I153" s="329"/>
      <c r="J153" s="329">
        <v>975</v>
      </c>
      <c r="K153" s="329"/>
      <c r="L153" s="329">
        <v>975</v>
      </c>
      <c r="M153" s="329"/>
      <c r="N153" s="329">
        <v>1240</v>
      </c>
      <c r="O153" s="329"/>
      <c r="P153" s="329">
        <v>1240</v>
      </c>
      <c r="Q153" s="339"/>
      <c r="S153" s="338"/>
      <c r="T153" s="329"/>
      <c r="U153" s="329"/>
      <c r="V153" s="329"/>
      <c r="W153" s="329"/>
      <c r="X153" s="329"/>
      <c r="Y153" s="329"/>
      <c r="Z153" s="329"/>
      <c r="AA153" s="329"/>
      <c r="AB153" s="329"/>
      <c r="AC153" s="329"/>
      <c r="AD153" s="339"/>
      <c r="AF153" s="338"/>
      <c r="AG153" s="329"/>
      <c r="AH153" s="329"/>
      <c r="AI153" s="329"/>
      <c r="AJ153" s="329"/>
      <c r="AK153" s="329"/>
      <c r="AL153" s="329"/>
      <c r="AM153" s="329"/>
      <c r="AN153" s="329"/>
      <c r="AO153" s="329"/>
      <c r="AP153" s="329"/>
      <c r="AQ153" s="339"/>
    </row>
    <row r="154" spans="6:43">
      <c r="F154" s="338"/>
      <c r="G154" s="329"/>
      <c r="H154" s="329"/>
      <c r="I154" s="329"/>
      <c r="J154" s="329">
        <v>976</v>
      </c>
      <c r="K154" s="329"/>
      <c r="L154" s="329">
        <v>976</v>
      </c>
      <c r="M154" s="329"/>
      <c r="N154" s="329">
        <v>1241</v>
      </c>
      <c r="O154" s="329"/>
      <c r="P154" s="329">
        <v>1241</v>
      </c>
      <c r="Q154" s="339"/>
      <c r="S154" s="338"/>
      <c r="T154" s="329"/>
      <c r="U154" s="329"/>
      <c r="V154" s="329"/>
      <c r="W154" s="329"/>
      <c r="X154" s="329"/>
      <c r="Y154" s="329"/>
      <c r="Z154" s="329"/>
      <c r="AA154" s="329"/>
      <c r="AB154" s="329"/>
      <c r="AC154" s="329"/>
      <c r="AD154" s="339"/>
      <c r="AF154" s="338"/>
      <c r="AG154" s="329"/>
      <c r="AH154" s="329"/>
      <c r="AI154" s="329"/>
      <c r="AJ154" s="329"/>
      <c r="AK154" s="329"/>
      <c r="AL154" s="329"/>
      <c r="AM154" s="329"/>
      <c r="AN154" s="329"/>
      <c r="AO154" s="329"/>
      <c r="AP154" s="329"/>
      <c r="AQ154" s="339"/>
    </row>
    <row r="155" spans="6:43">
      <c r="F155" s="338"/>
      <c r="G155" s="329"/>
      <c r="H155" s="329"/>
      <c r="I155" s="329"/>
      <c r="J155" s="329">
        <v>982</v>
      </c>
      <c r="K155" s="329"/>
      <c r="L155" s="329">
        <v>982</v>
      </c>
      <c r="M155" s="329"/>
      <c r="N155" s="329">
        <v>1248</v>
      </c>
      <c r="O155" s="329"/>
      <c r="P155" s="329">
        <v>1248</v>
      </c>
      <c r="Q155" s="339"/>
      <c r="S155" s="338"/>
      <c r="T155" s="329"/>
      <c r="U155" s="329"/>
      <c r="V155" s="329"/>
      <c r="W155" s="329"/>
      <c r="X155" s="329"/>
      <c r="Y155" s="329"/>
      <c r="Z155" s="329"/>
      <c r="AA155" s="329"/>
      <c r="AB155" s="329"/>
      <c r="AC155" s="329"/>
      <c r="AD155" s="339"/>
      <c r="AF155" s="338"/>
      <c r="AG155" s="329"/>
      <c r="AH155" s="329"/>
      <c r="AI155" s="329"/>
      <c r="AJ155" s="329"/>
      <c r="AK155" s="329"/>
      <c r="AL155" s="329"/>
      <c r="AM155" s="329"/>
      <c r="AN155" s="329"/>
      <c r="AO155" s="329"/>
      <c r="AP155" s="329"/>
      <c r="AQ155" s="339"/>
    </row>
    <row r="156" spans="6:43">
      <c r="F156" s="338"/>
      <c r="G156" s="329"/>
      <c r="H156" s="329"/>
      <c r="I156" s="329"/>
      <c r="J156" s="329">
        <v>1004</v>
      </c>
      <c r="K156" s="329"/>
      <c r="L156" s="329">
        <v>1004</v>
      </c>
      <c r="M156" s="329"/>
      <c r="N156" s="329">
        <v>1249</v>
      </c>
      <c r="O156" s="329"/>
      <c r="P156" s="329">
        <v>1249</v>
      </c>
      <c r="Q156" s="339"/>
      <c r="S156" s="338"/>
      <c r="T156" s="329"/>
      <c r="U156" s="329"/>
      <c r="V156" s="329"/>
      <c r="W156" s="329"/>
      <c r="X156" s="329"/>
      <c r="Y156" s="329"/>
      <c r="Z156" s="329"/>
      <c r="AA156" s="329"/>
      <c r="AB156" s="329"/>
      <c r="AC156" s="329"/>
      <c r="AD156" s="339"/>
      <c r="AF156" s="338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39"/>
    </row>
    <row r="157" spans="6:43">
      <c r="F157" s="338"/>
      <c r="G157" s="329"/>
      <c r="H157" s="329"/>
      <c r="I157" s="329"/>
      <c r="J157" s="329">
        <v>1005</v>
      </c>
      <c r="K157" s="329"/>
      <c r="L157" s="329">
        <v>1005</v>
      </c>
      <c r="M157" s="329"/>
      <c r="N157" s="329">
        <v>1256</v>
      </c>
      <c r="O157" s="329"/>
      <c r="P157" s="329">
        <v>1256</v>
      </c>
      <c r="Q157" s="339"/>
      <c r="S157" s="338"/>
      <c r="T157" s="329"/>
      <c r="U157" s="329"/>
      <c r="V157" s="329"/>
      <c r="W157" s="329"/>
      <c r="X157" s="329"/>
      <c r="Y157" s="329"/>
      <c r="Z157" s="329"/>
      <c r="AA157" s="329"/>
      <c r="AB157" s="329"/>
      <c r="AC157" s="329"/>
      <c r="AD157" s="339"/>
      <c r="AF157" s="338"/>
      <c r="AG157" s="329"/>
      <c r="AH157" s="329"/>
      <c r="AI157" s="329"/>
      <c r="AJ157" s="329"/>
      <c r="AK157" s="329"/>
      <c r="AL157" s="329"/>
      <c r="AM157" s="329"/>
      <c r="AN157" s="329"/>
      <c r="AO157" s="329"/>
      <c r="AP157" s="329"/>
      <c r="AQ157" s="339"/>
    </row>
    <row r="158" spans="6:43">
      <c r="F158" s="338"/>
      <c r="G158" s="329"/>
      <c r="H158" s="329"/>
      <c r="I158" s="329"/>
      <c r="J158" s="329">
        <v>1015</v>
      </c>
      <c r="K158" s="329"/>
      <c r="L158" s="329">
        <v>1015</v>
      </c>
      <c r="M158" s="329"/>
      <c r="N158" s="329">
        <v>1260</v>
      </c>
      <c r="O158" s="329"/>
      <c r="P158" s="329">
        <v>1260</v>
      </c>
      <c r="Q158" s="339"/>
      <c r="S158" s="338"/>
      <c r="T158" s="329"/>
      <c r="U158" s="329"/>
      <c r="V158" s="329"/>
      <c r="W158" s="329"/>
      <c r="X158" s="329"/>
      <c r="Y158" s="329"/>
      <c r="Z158" s="329"/>
      <c r="AA158" s="329"/>
      <c r="AB158" s="329"/>
      <c r="AC158" s="329"/>
      <c r="AD158" s="339"/>
      <c r="AF158" s="338"/>
      <c r="AG158" s="329"/>
      <c r="AH158" s="329"/>
      <c r="AI158" s="329"/>
      <c r="AJ158" s="329"/>
      <c r="AK158" s="329"/>
      <c r="AL158" s="329"/>
      <c r="AM158" s="329"/>
      <c r="AN158" s="329"/>
      <c r="AO158" s="329"/>
      <c r="AP158" s="329"/>
      <c r="AQ158" s="339"/>
    </row>
    <row r="159" spans="6:43">
      <c r="F159" s="338"/>
      <c r="G159" s="329"/>
      <c r="H159" s="329"/>
      <c r="I159" s="329"/>
      <c r="J159" s="329">
        <v>1044</v>
      </c>
      <c r="K159" s="329"/>
      <c r="L159" s="329">
        <v>1044</v>
      </c>
      <c r="M159" s="329"/>
      <c r="N159" s="329">
        <v>1261</v>
      </c>
      <c r="O159" s="329"/>
      <c r="P159" s="329">
        <v>1261</v>
      </c>
      <c r="Q159" s="339"/>
      <c r="S159" s="338"/>
      <c r="T159" s="329"/>
      <c r="U159" s="329"/>
      <c r="V159" s="329"/>
      <c r="W159" s="329"/>
      <c r="X159" s="329"/>
      <c r="Y159" s="329"/>
      <c r="Z159" s="329"/>
      <c r="AA159" s="329"/>
      <c r="AB159" s="329"/>
      <c r="AC159" s="329"/>
      <c r="AD159" s="339"/>
      <c r="AF159" s="338"/>
      <c r="AG159" s="329"/>
      <c r="AH159" s="329"/>
      <c r="AI159" s="329"/>
      <c r="AJ159" s="329"/>
      <c r="AK159" s="329"/>
      <c r="AL159" s="329"/>
      <c r="AM159" s="329"/>
      <c r="AN159" s="329"/>
      <c r="AO159" s="329"/>
      <c r="AP159" s="329"/>
      <c r="AQ159" s="339"/>
    </row>
    <row r="160" spans="6:43">
      <c r="F160" s="338"/>
      <c r="G160" s="329"/>
      <c r="H160" s="329"/>
      <c r="I160" s="329"/>
      <c r="J160" s="329">
        <v>1046</v>
      </c>
      <c r="K160" s="329"/>
      <c r="L160" s="329">
        <v>1046</v>
      </c>
      <c r="M160" s="329"/>
      <c r="N160" s="329">
        <v>1262</v>
      </c>
      <c r="O160" s="329"/>
      <c r="P160" s="329">
        <v>1262</v>
      </c>
      <c r="Q160" s="339"/>
      <c r="S160" s="338"/>
      <c r="T160" s="329"/>
      <c r="U160" s="329"/>
      <c r="V160" s="329"/>
      <c r="W160" s="329"/>
      <c r="X160" s="329"/>
      <c r="Y160" s="329"/>
      <c r="Z160" s="329"/>
      <c r="AA160" s="329"/>
      <c r="AB160" s="329"/>
      <c r="AC160" s="329"/>
      <c r="AD160" s="339"/>
      <c r="AF160" s="338"/>
      <c r="AG160" s="329"/>
      <c r="AH160" s="329"/>
      <c r="AI160" s="329"/>
      <c r="AJ160" s="329"/>
      <c r="AK160" s="329"/>
      <c r="AL160" s="329"/>
      <c r="AM160" s="329"/>
      <c r="AN160" s="329"/>
      <c r="AO160" s="329"/>
      <c r="AP160" s="329"/>
      <c r="AQ160" s="339"/>
    </row>
    <row r="161" spans="6:43">
      <c r="F161" s="338"/>
      <c r="G161" s="329"/>
      <c r="H161" s="329"/>
      <c r="I161" s="329"/>
      <c r="J161" s="329">
        <v>1047</v>
      </c>
      <c r="K161" s="329"/>
      <c r="L161" s="329">
        <v>1047</v>
      </c>
      <c r="M161" s="329"/>
      <c r="N161" s="329">
        <v>1263</v>
      </c>
      <c r="O161" s="329"/>
      <c r="P161" s="329">
        <v>1263</v>
      </c>
      <c r="Q161" s="339"/>
      <c r="S161" s="338"/>
      <c r="T161" s="329"/>
      <c r="U161" s="329"/>
      <c r="V161" s="329"/>
      <c r="W161" s="329"/>
      <c r="X161" s="329"/>
      <c r="Y161" s="329"/>
      <c r="Z161" s="329"/>
      <c r="AA161" s="329"/>
      <c r="AB161" s="329"/>
      <c r="AC161" s="329"/>
      <c r="AD161" s="339"/>
      <c r="AF161" s="338"/>
      <c r="AG161" s="329"/>
      <c r="AH161" s="329"/>
      <c r="AI161" s="329"/>
      <c r="AJ161" s="329"/>
      <c r="AK161" s="329"/>
      <c r="AL161" s="329"/>
      <c r="AM161" s="329"/>
      <c r="AN161" s="329"/>
      <c r="AO161" s="329"/>
      <c r="AP161" s="329"/>
      <c r="AQ161" s="339"/>
    </row>
    <row r="162" spans="6:43">
      <c r="F162" s="338"/>
      <c r="G162" s="329"/>
      <c r="H162" s="329"/>
      <c r="I162" s="329"/>
      <c r="J162" s="329">
        <v>1056</v>
      </c>
      <c r="K162" s="329"/>
      <c r="L162" s="329">
        <v>1056</v>
      </c>
      <c r="M162" s="329"/>
      <c r="N162" s="329">
        <v>1266</v>
      </c>
      <c r="O162" s="329"/>
      <c r="P162" s="329">
        <v>1266</v>
      </c>
      <c r="Q162" s="339"/>
      <c r="S162" s="338"/>
      <c r="T162" s="329"/>
      <c r="U162" s="329"/>
      <c r="V162" s="329"/>
      <c r="W162" s="329"/>
      <c r="X162" s="329"/>
      <c r="Y162" s="329"/>
      <c r="Z162" s="329"/>
      <c r="AA162" s="329"/>
      <c r="AB162" s="329"/>
      <c r="AC162" s="329"/>
      <c r="AD162" s="339"/>
      <c r="AF162" s="338"/>
      <c r="AG162" s="329"/>
      <c r="AH162" s="329"/>
      <c r="AI162" s="329"/>
      <c r="AJ162" s="329"/>
      <c r="AK162" s="329"/>
      <c r="AL162" s="329"/>
      <c r="AM162" s="329"/>
      <c r="AN162" s="329"/>
      <c r="AO162" s="329"/>
      <c r="AP162" s="329"/>
      <c r="AQ162" s="339"/>
    </row>
    <row r="163" spans="6:43">
      <c r="F163" s="338"/>
      <c r="G163" s="329"/>
      <c r="H163" s="329"/>
      <c r="I163" s="329"/>
      <c r="J163" s="329">
        <v>1057</v>
      </c>
      <c r="K163" s="329"/>
      <c r="L163" s="329">
        <v>1057</v>
      </c>
      <c r="M163" s="329"/>
      <c r="N163" s="329">
        <v>1277</v>
      </c>
      <c r="O163" s="329"/>
      <c r="P163" s="329">
        <v>1277</v>
      </c>
      <c r="Q163" s="339"/>
      <c r="S163" s="338"/>
      <c r="T163" s="329"/>
      <c r="U163" s="329"/>
      <c r="V163" s="329"/>
      <c r="W163" s="329"/>
      <c r="X163" s="329"/>
      <c r="Y163" s="329"/>
      <c r="Z163" s="329"/>
      <c r="AA163" s="329"/>
      <c r="AB163" s="329"/>
      <c r="AC163" s="329"/>
      <c r="AD163" s="339"/>
      <c r="AF163" s="338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39"/>
    </row>
    <row r="164" spans="6:43">
      <c r="F164" s="338"/>
      <c r="G164" s="329"/>
      <c r="H164" s="329"/>
      <c r="I164" s="329"/>
      <c r="J164" s="329">
        <v>1066</v>
      </c>
      <c r="K164" s="329"/>
      <c r="L164" s="329">
        <v>1066</v>
      </c>
      <c r="M164" s="329"/>
      <c r="N164" s="329">
        <v>1297</v>
      </c>
      <c r="O164" s="329"/>
      <c r="P164" s="329">
        <v>1297</v>
      </c>
      <c r="Q164" s="339"/>
      <c r="S164" s="338"/>
      <c r="T164" s="329"/>
      <c r="U164" s="329"/>
      <c r="V164" s="329"/>
      <c r="W164" s="329"/>
      <c r="X164" s="329"/>
      <c r="Y164" s="329"/>
      <c r="Z164" s="329"/>
      <c r="AA164" s="329"/>
      <c r="AB164" s="329"/>
      <c r="AC164" s="329"/>
      <c r="AD164" s="339"/>
      <c r="AF164" s="338"/>
      <c r="AG164" s="329"/>
      <c r="AH164" s="329"/>
      <c r="AI164" s="329"/>
      <c r="AJ164" s="329"/>
      <c r="AK164" s="329"/>
      <c r="AL164" s="329"/>
      <c r="AM164" s="329"/>
      <c r="AN164" s="329"/>
      <c r="AO164" s="329"/>
      <c r="AP164" s="329"/>
      <c r="AQ164" s="339"/>
    </row>
    <row r="165" spans="6:43">
      <c r="F165" s="338"/>
      <c r="G165" s="329"/>
      <c r="H165" s="329"/>
      <c r="I165" s="329"/>
      <c r="J165" s="329">
        <v>1068</v>
      </c>
      <c r="K165" s="329"/>
      <c r="L165" s="329">
        <v>1068</v>
      </c>
      <c r="M165" s="329"/>
      <c r="N165" s="329">
        <v>1299</v>
      </c>
      <c r="O165" s="329"/>
      <c r="P165" s="329">
        <v>1299</v>
      </c>
      <c r="Q165" s="339"/>
      <c r="S165" s="338"/>
      <c r="T165" s="329"/>
      <c r="U165" s="329"/>
      <c r="V165" s="329"/>
      <c r="W165" s="329"/>
      <c r="X165" s="329"/>
      <c r="Y165" s="329"/>
      <c r="Z165" s="329"/>
      <c r="AA165" s="329"/>
      <c r="AB165" s="329"/>
      <c r="AC165" s="329"/>
      <c r="AD165" s="339"/>
      <c r="AF165" s="338"/>
      <c r="AG165" s="329"/>
      <c r="AH165" s="329"/>
      <c r="AI165" s="329"/>
      <c r="AJ165" s="329"/>
      <c r="AK165" s="329"/>
      <c r="AL165" s="329"/>
      <c r="AM165" s="329"/>
      <c r="AN165" s="329"/>
      <c r="AO165" s="329"/>
      <c r="AP165" s="329"/>
      <c r="AQ165" s="339"/>
    </row>
    <row r="166" spans="6:43">
      <c r="F166" s="338"/>
      <c r="G166" s="329"/>
      <c r="H166" s="329"/>
      <c r="I166" s="329"/>
      <c r="J166" s="329">
        <v>1069</v>
      </c>
      <c r="K166" s="329"/>
      <c r="L166" s="329">
        <v>1069</v>
      </c>
      <c r="M166" s="329"/>
      <c r="N166" s="329">
        <v>1303</v>
      </c>
      <c r="O166" s="329"/>
      <c r="P166" s="329">
        <v>1303</v>
      </c>
      <c r="Q166" s="339"/>
      <c r="S166" s="338"/>
      <c r="T166" s="329"/>
      <c r="U166" s="329"/>
      <c r="V166" s="329"/>
      <c r="W166" s="329"/>
      <c r="X166" s="329"/>
      <c r="Y166" s="329"/>
      <c r="Z166" s="329"/>
      <c r="AA166" s="329"/>
      <c r="AB166" s="329"/>
      <c r="AC166" s="329"/>
      <c r="AD166" s="339"/>
      <c r="AF166" s="338"/>
      <c r="AG166" s="329"/>
      <c r="AH166" s="329"/>
      <c r="AI166" s="329"/>
      <c r="AJ166" s="329"/>
      <c r="AK166" s="329"/>
      <c r="AL166" s="329"/>
      <c r="AM166" s="329"/>
      <c r="AN166" s="329"/>
      <c r="AO166" s="329"/>
      <c r="AP166" s="329"/>
      <c r="AQ166" s="339"/>
    </row>
    <row r="167" spans="6:43">
      <c r="F167" s="338"/>
      <c r="G167" s="329"/>
      <c r="H167" s="329"/>
      <c r="I167" s="329"/>
      <c r="J167" s="329">
        <v>1070</v>
      </c>
      <c r="K167" s="329"/>
      <c r="L167" s="329">
        <v>1070</v>
      </c>
      <c r="M167" s="329"/>
      <c r="N167" s="329">
        <v>1304</v>
      </c>
      <c r="O167" s="329"/>
      <c r="P167" s="329">
        <v>1304</v>
      </c>
      <c r="Q167" s="339"/>
      <c r="S167" s="338"/>
      <c r="T167" s="329"/>
      <c r="U167" s="329"/>
      <c r="V167" s="329"/>
      <c r="W167" s="329"/>
      <c r="X167" s="329"/>
      <c r="Y167" s="329"/>
      <c r="Z167" s="329"/>
      <c r="AA167" s="329"/>
      <c r="AB167" s="329"/>
      <c r="AC167" s="329"/>
      <c r="AD167" s="339"/>
      <c r="AF167" s="338"/>
      <c r="AG167" s="329"/>
      <c r="AH167" s="329"/>
      <c r="AI167" s="329"/>
      <c r="AJ167" s="329"/>
      <c r="AK167" s="329"/>
      <c r="AL167" s="329"/>
      <c r="AM167" s="329"/>
      <c r="AN167" s="329"/>
      <c r="AO167" s="329"/>
      <c r="AP167" s="329"/>
      <c r="AQ167" s="339"/>
    </row>
    <row r="168" spans="6:43">
      <c r="F168" s="338"/>
      <c r="G168" s="329"/>
      <c r="H168" s="329"/>
      <c r="I168" s="329"/>
      <c r="J168" s="329">
        <v>1079</v>
      </c>
      <c r="K168" s="329"/>
      <c r="L168" s="329">
        <v>1079</v>
      </c>
      <c r="M168" s="329"/>
      <c r="N168" s="329">
        <v>1307</v>
      </c>
      <c r="O168" s="329"/>
      <c r="P168" s="329">
        <v>1307</v>
      </c>
      <c r="Q168" s="339"/>
      <c r="S168" s="338"/>
      <c r="T168" s="329"/>
      <c r="U168" s="329"/>
      <c r="V168" s="329"/>
      <c r="W168" s="329"/>
      <c r="X168" s="329"/>
      <c r="Y168" s="329"/>
      <c r="Z168" s="329"/>
      <c r="AA168" s="329"/>
      <c r="AB168" s="329"/>
      <c r="AC168" s="329"/>
      <c r="AD168" s="339"/>
      <c r="AF168" s="338"/>
      <c r="AG168" s="329"/>
      <c r="AH168" s="329"/>
      <c r="AI168" s="329"/>
      <c r="AJ168" s="329"/>
      <c r="AK168" s="329"/>
      <c r="AL168" s="329"/>
      <c r="AM168" s="329"/>
      <c r="AN168" s="329"/>
      <c r="AO168" s="329"/>
      <c r="AP168" s="329"/>
      <c r="AQ168" s="339"/>
    </row>
    <row r="169" spans="6:43">
      <c r="F169" s="338"/>
      <c r="G169" s="329"/>
      <c r="H169" s="329"/>
      <c r="I169" s="329"/>
      <c r="J169" s="329">
        <v>1081</v>
      </c>
      <c r="K169" s="329"/>
      <c r="L169" s="329">
        <v>1081</v>
      </c>
      <c r="M169" s="329"/>
      <c r="N169" s="329">
        <v>1312</v>
      </c>
      <c r="O169" s="329"/>
      <c r="P169" s="329">
        <v>1312</v>
      </c>
      <c r="Q169" s="339"/>
      <c r="S169" s="338"/>
      <c r="T169" s="329"/>
      <c r="U169" s="329"/>
      <c r="V169" s="329"/>
      <c r="W169" s="329"/>
      <c r="X169" s="329"/>
      <c r="Y169" s="329"/>
      <c r="Z169" s="329"/>
      <c r="AA169" s="329"/>
      <c r="AB169" s="329"/>
      <c r="AC169" s="329"/>
      <c r="AD169" s="339"/>
      <c r="AF169" s="338"/>
      <c r="AG169" s="329"/>
      <c r="AH169" s="329"/>
      <c r="AI169" s="329"/>
      <c r="AJ169" s="329"/>
      <c r="AK169" s="329"/>
      <c r="AL169" s="329"/>
      <c r="AM169" s="329"/>
      <c r="AN169" s="329"/>
      <c r="AO169" s="329"/>
      <c r="AP169" s="329"/>
      <c r="AQ169" s="339"/>
    </row>
    <row r="170" spans="6:43">
      <c r="F170" s="338"/>
      <c r="G170" s="329"/>
      <c r="H170" s="329"/>
      <c r="I170" s="329"/>
      <c r="J170" s="329">
        <v>1082</v>
      </c>
      <c r="K170" s="329"/>
      <c r="L170" s="329">
        <v>1082</v>
      </c>
      <c r="M170" s="329"/>
      <c r="N170" s="329">
        <v>1317</v>
      </c>
      <c r="O170" s="329"/>
      <c r="P170" s="329">
        <v>1317</v>
      </c>
      <c r="Q170" s="339"/>
      <c r="S170" s="338"/>
      <c r="T170" s="329"/>
      <c r="U170" s="329"/>
      <c r="V170" s="329"/>
      <c r="W170" s="329"/>
      <c r="X170" s="329"/>
      <c r="Y170" s="329"/>
      <c r="Z170" s="329"/>
      <c r="AA170" s="329"/>
      <c r="AB170" s="329"/>
      <c r="AC170" s="329"/>
      <c r="AD170" s="339"/>
      <c r="AF170" s="338"/>
      <c r="AG170" s="329"/>
      <c r="AH170" s="329"/>
      <c r="AI170" s="329"/>
      <c r="AJ170" s="329"/>
      <c r="AK170" s="329"/>
      <c r="AL170" s="329"/>
      <c r="AM170" s="329"/>
      <c r="AN170" s="329"/>
      <c r="AO170" s="329"/>
      <c r="AP170" s="329"/>
      <c r="AQ170" s="339"/>
    </row>
    <row r="171" spans="6:43">
      <c r="F171" s="338"/>
      <c r="G171" s="329"/>
      <c r="H171" s="329"/>
      <c r="I171" s="329"/>
      <c r="J171" s="329">
        <v>1083</v>
      </c>
      <c r="K171" s="329"/>
      <c r="L171" s="329">
        <v>1083</v>
      </c>
      <c r="M171" s="329"/>
      <c r="N171" s="329">
        <v>1324</v>
      </c>
      <c r="O171" s="329"/>
      <c r="P171" s="329">
        <v>1324</v>
      </c>
      <c r="Q171" s="339"/>
      <c r="S171" s="338"/>
      <c r="T171" s="329"/>
      <c r="U171" s="329"/>
      <c r="V171" s="329"/>
      <c r="W171" s="329"/>
      <c r="X171" s="329"/>
      <c r="Y171" s="329"/>
      <c r="Z171" s="329"/>
      <c r="AA171" s="329"/>
      <c r="AB171" s="329"/>
      <c r="AC171" s="329"/>
      <c r="AD171" s="339"/>
      <c r="AF171" s="338"/>
      <c r="AG171" s="329"/>
      <c r="AH171" s="329"/>
      <c r="AI171" s="329"/>
      <c r="AJ171" s="329"/>
      <c r="AK171" s="329"/>
      <c r="AL171" s="329"/>
      <c r="AM171" s="329"/>
      <c r="AN171" s="329"/>
      <c r="AO171" s="329"/>
      <c r="AP171" s="329"/>
      <c r="AQ171" s="339"/>
    </row>
    <row r="172" spans="6:43">
      <c r="F172" s="338"/>
      <c r="G172" s="329"/>
      <c r="H172" s="329"/>
      <c r="I172" s="329"/>
      <c r="J172" s="329">
        <v>1084</v>
      </c>
      <c r="K172" s="329"/>
      <c r="L172" s="329">
        <v>1084</v>
      </c>
      <c r="M172" s="329"/>
      <c r="N172" s="329">
        <v>1330</v>
      </c>
      <c r="O172" s="329"/>
      <c r="P172" s="329">
        <v>1330</v>
      </c>
      <c r="Q172" s="339"/>
      <c r="S172" s="338"/>
      <c r="T172" s="329"/>
      <c r="U172" s="329"/>
      <c r="V172" s="329"/>
      <c r="W172" s="329"/>
      <c r="X172" s="329"/>
      <c r="Y172" s="329"/>
      <c r="Z172" s="329"/>
      <c r="AA172" s="329"/>
      <c r="AB172" s="329"/>
      <c r="AC172" s="329"/>
      <c r="AD172" s="339"/>
      <c r="AF172" s="338"/>
      <c r="AG172" s="329"/>
      <c r="AH172" s="329"/>
      <c r="AI172" s="329"/>
      <c r="AJ172" s="329"/>
      <c r="AK172" s="329"/>
      <c r="AL172" s="329"/>
      <c r="AM172" s="329"/>
      <c r="AN172" s="329"/>
      <c r="AO172" s="329"/>
      <c r="AP172" s="329"/>
      <c r="AQ172" s="339"/>
    </row>
    <row r="173" spans="6:43">
      <c r="F173" s="338"/>
      <c r="G173" s="329"/>
      <c r="H173" s="329"/>
      <c r="I173" s="329"/>
      <c r="J173" s="329">
        <v>1092</v>
      </c>
      <c r="K173" s="329"/>
      <c r="L173" s="329">
        <v>1092</v>
      </c>
      <c r="M173" s="329"/>
      <c r="N173" s="329">
        <v>1331</v>
      </c>
      <c r="O173" s="329"/>
      <c r="P173" s="329">
        <v>1331</v>
      </c>
      <c r="Q173" s="339"/>
      <c r="S173" s="338"/>
      <c r="T173" s="329"/>
      <c r="U173" s="329"/>
      <c r="V173" s="329"/>
      <c r="W173" s="329"/>
      <c r="X173" s="329"/>
      <c r="Y173" s="329"/>
      <c r="Z173" s="329"/>
      <c r="AA173" s="329"/>
      <c r="AB173" s="329"/>
      <c r="AC173" s="329"/>
      <c r="AD173" s="339"/>
      <c r="AF173" s="338"/>
      <c r="AG173" s="329"/>
      <c r="AH173" s="329"/>
      <c r="AI173" s="329"/>
      <c r="AJ173" s="329"/>
      <c r="AK173" s="329"/>
      <c r="AL173" s="329"/>
      <c r="AM173" s="329"/>
      <c r="AN173" s="329"/>
      <c r="AO173" s="329"/>
      <c r="AP173" s="329"/>
      <c r="AQ173" s="339"/>
    </row>
    <row r="174" spans="6:43">
      <c r="F174" s="338"/>
      <c r="G174" s="329"/>
      <c r="H174" s="329"/>
      <c r="I174" s="329"/>
      <c r="J174" s="329">
        <v>1093</v>
      </c>
      <c r="K174" s="329"/>
      <c r="L174" s="329">
        <v>1093</v>
      </c>
      <c r="M174" s="329"/>
      <c r="N174" s="329">
        <v>1333</v>
      </c>
      <c r="O174" s="329"/>
      <c r="P174" s="329">
        <v>1333</v>
      </c>
      <c r="Q174" s="339"/>
      <c r="S174" s="338"/>
      <c r="T174" s="329"/>
      <c r="U174" s="329"/>
      <c r="V174" s="329"/>
      <c r="W174" s="329"/>
      <c r="X174" s="329"/>
      <c r="Y174" s="329"/>
      <c r="Z174" s="329"/>
      <c r="AA174" s="329"/>
      <c r="AB174" s="329"/>
      <c r="AC174" s="329"/>
      <c r="AD174" s="339"/>
      <c r="AF174" s="338"/>
      <c r="AG174" s="329"/>
      <c r="AH174" s="329"/>
      <c r="AI174" s="329"/>
      <c r="AJ174" s="329"/>
      <c r="AK174" s="329"/>
      <c r="AL174" s="329"/>
      <c r="AM174" s="329"/>
      <c r="AN174" s="329"/>
      <c r="AO174" s="329"/>
      <c r="AP174" s="329"/>
      <c r="AQ174" s="339"/>
    </row>
    <row r="175" spans="6:43">
      <c r="F175" s="338"/>
      <c r="G175" s="329"/>
      <c r="H175" s="329"/>
      <c r="I175" s="329"/>
      <c r="J175" s="329">
        <v>1094</v>
      </c>
      <c r="K175" s="329"/>
      <c r="L175" s="329">
        <v>1094</v>
      </c>
      <c r="M175" s="329"/>
      <c r="N175" s="329">
        <v>1334</v>
      </c>
      <c r="O175" s="329"/>
      <c r="P175" s="329">
        <v>1334</v>
      </c>
      <c r="Q175" s="339"/>
      <c r="S175" s="338"/>
      <c r="T175" s="329"/>
      <c r="U175" s="329"/>
      <c r="V175" s="329"/>
      <c r="W175" s="329"/>
      <c r="X175" s="329"/>
      <c r="Y175" s="329"/>
      <c r="Z175" s="329"/>
      <c r="AA175" s="329"/>
      <c r="AB175" s="329"/>
      <c r="AC175" s="329"/>
      <c r="AD175" s="339"/>
      <c r="AF175" s="338"/>
      <c r="AG175" s="329"/>
      <c r="AH175" s="329"/>
      <c r="AI175" s="329"/>
      <c r="AJ175" s="329"/>
      <c r="AK175" s="329"/>
      <c r="AL175" s="329"/>
      <c r="AM175" s="329"/>
      <c r="AN175" s="329"/>
      <c r="AO175" s="329"/>
      <c r="AP175" s="329"/>
      <c r="AQ175" s="339"/>
    </row>
    <row r="176" spans="6:43">
      <c r="F176" s="338"/>
      <c r="G176" s="329"/>
      <c r="H176" s="329"/>
      <c r="I176" s="329"/>
      <c r="J176" s="329">
        <v>1101</v>
      </c>
      <c r="K176" s="329"/>
      <c r="L176" s="329">
        <v>1101</v>
      </c>
      <c r="M176" s="329"/>
      <c r="N176" s="329">
        <v>1339</v>
      </c>
      <c r="O176" s="329"/>
      <c r="P176" s="329">
        <v>1339</v>
      </c>
      <c r="Q176" s="339"/>
      <c r="S176" s="338"/>
      <c r="T176" s="329"/>
      <c r="U176" s="329"/>
      <c r="V176" s="329"/>
      <c r="W176" s="329"/>
      <c r="X176" s="329"/>
      <c r="Y176" s="329"/>
      <c r="Z176" s="329"/>
      <c r="AA176" s="329"/>
      <c r="AB176" s="329"/>
      <c r="AC176" s="329"/>
      <c r="AD176" s="339"/>
      <c r="AF176" s="338"/>
      <c r="AG176" s="329"/>
      <c r="AH176" s="329"/>
      <c r="AI176" s="329"/>
      <c r="AJ176" s="329"/>
      <c r="AK176" s="329"/>
      <c r="AL176" s="329"/>
      <c r="AM176" s="329"/>
      <c r="AN176" s="329"/>
      <c r="AO176" s="329"/>
      <c r="AP176" s="329"/>
      <c r="AQ176" s="339"/>
    </row>
    <row r="177" spans="6:43">
      <c r="F177" s="338"/>
      <c r="G177" s="329"/>
      <c r="H177" s="329"/>
      <c r="I177" s="329"/>
      <c r="J177" s="329">
        <v>1102</v>
      </c>
      <c r="K177" s="329"/>
      <c r="L177" s="329">
        <v>1102</v>
      </c>
      <c r="M177" s="329"/>
      <c r="N177" s="329">
        <v>1342</v>
      </c>
      <c r="O177" s="329"/>
      <c r="P177" s="329">
        <v>1342</v>
      </c>
      <c r="Q177" s="339"/>
      <c r="S177" s="338"/>
      <c r="T177" s="329"/>
      <c r="U177" s="329"/>
      <c r="V177" s="329"/>
      <c r="W177" s="329"/>
      <c r="X177" s="329"/>
      <c r="Y177" s="329"/>
      <c r="Z177" s="329"/>
      <c r="AA177" s="329"/>
      <c r="AB177" s="329"/>
      <c r="AC177" s="329"/>
      <c r="AD177" s="339"/>
      <c r="AF177" s="338"/>
      <c r="AG177" s="329"/>
      <c r="AH177" s="329"/>
      <c r="AI177" s="329"/>
      <c r="AJ177" s="329"/>
      <c r="AK177" s="329"/>
      <c r="AL177" s="329"/>
      <c r="AM177" s="329"/>
      <c r="AN177" s="329"/>
      <c r="AO177" s="329"/>
      <c r="AP177" s="329"/>
      <c r="AQ177" s="339"/>
    </row>
    <row r="178" spans="6:43">
      <c r="F178" s="338"/>
      <c r="G178" s="329"/>
      <c r="H178" s="329"/>
      <c r="I178" s="329"/>
      <c r="J178" s="329">
        <v>1103</v>
      </c>
      <c r="K178" s="329"/>
      <c r="L178" s="329">
        <v>1103</v>
      </c>
      <c r="M178" s="329"/>
      <c r="N178" s="329">
        <v>1346</v>
      </c>
      <c r="O178" s="329"/>
      <c r="P178" s="329">
        <v>1346</v>
      </c>
      <c r="Q178" s="339"/>
      <c r="S178" s="338"/>
      <c r="T178" s="329"/>
      <c r="U178" s="329"/>
      <c r="V178" s="329"/>
      <c r="W178" s="329"/>
      <c r="X178" s="329"/>
      <c r="Y178" s="329"/>
      <c r="Z178" s="329"/>
      <c r="AA178" s="329"/>
      <c r="AB178" s="329"/>
      <c r="AC178" s="329"/>
      <c r="AD178" s="339"/>
      <c r="AF178" s="338"/>
      <c r="AG178" s="329"/>
      <c r="AH178" s="329"/>
      <c r="AI178" s="329"/>
      <c r="AJ178" s="329"/>
      <c r="AK178" s="329"/>
      <c r="AL178" s="329"/>
      <c r="AM178" s="329"/>
      <c r="AN178" s="329"/>
      <c r="AO178" s="329"/>
      <c r="AP178" s="329"/>
      <c r="AQ178" s="339"/>
    </row>
    <row r="179" spans="6:43">
      <c r="F179" s="338"/>
      <c r="G179" s="329"/>
      <c r="H179" s="329"/>
      <c r="I179" s="329"/>
      <c r="J179" s="329">
        <v>1109</v>
      </c>
      <c r="K179" s="329"/>
      <c r="L179" s="329">
        <v>1109</v>
      </c>
      <c r="M179" s="329"/>
      <c r="N179" s="329">
        <v>1366</v>
      </c>
      <c r="O179" s="329"/>
      <c r="P179" s="329">
        <v>1366</v>
      </c>
      <c r="Q179" s="339"/>
      <c r="S179" s="338"/>
      <c r="T179" s="329"/>
      <c r="U179" s="329"/>
      <c r="V179" s="329"/>
      <c r="W179" s="329"/>
      <c r="X179" s="329"/>
      <c r="Y179" s="329"/>
      <c r="Z179" s="329"/>
      <c r="AA179" s="329"/>
      <c r="AB179" s="329"/>
      <c r="AC179" s="329"/>
      <c r="AD179" s="339"/>
      <c r="AF179" s="338"/>
      <c r="AG179" s="329"/>
      <c r="AH179" s="329"/>
      <c r="AI179" s="329"/>
      <c r="AJ179" s="329"/>
      <c r="AK179" s="329"/>
      <c r="AL179" s="329"/>
      <c r="AM179" s="329"/>
      <c r="AN179" s="329"/>
      <c r="AO179" s="329"/>
      <c r="AP179" s="329"/>
      <c r="AQ179" s="339"/>
    </row>
    <row r="180" spans="6:43">
      <c r="F180" s="338"/>
      <c r="G180" s="329"/>
      <c r="H180" s="329"/>
      <c r="I180" s="329"/>
      <c r="J180" s="329">
        <v>1110</v>
      </c>
      <c r="K180" s="329"/>
      <c r="L180" s="329">
        <v>1110</v>
      </c>
      <c r="M180" s="329"/>
      <c r="N180" s="329">
        <v>1368</v>
      </c>
      <c r="O180" s="329"/>
      <c r="P180" s="329">
        <v>1368</v>
      </c>
      <c r="Q180" s="339"/>
      <c r="S180" s="338"/>
      <c r="T180" s="329"/>
      <c r="U180" s="329"/>
      <c r="V180" s="329"/>
      <c r="W180" s="329"/>
      <c r="X180" s="329"/>
      <c r="Y180" s="329"/>
      <c r="Z180" s="329"/>
      <c r="AA180" s="329"/>
      <c r="AB180" s="329"/>
      <c r="AC180" s="329"/>
      <c r="AD180" s="339"/>
      <c r="AF180" s="338"/>
      <c r="AG180" s="329"/>
      <c r="AH180" s="329"/>
      <c r="AI180" s="329"/>
      <c r="AJ180" s="329"/>
      <c r="AK180" s="329"/>
      <c r="AL180" s="329"/>
      <c r="AM180" s="329"/>
      <c r="AN180" s="329"/>
      <c r="AO180" s="329"/>
      <c r="AP180" s="329"/>
      <c r="AQ180" s="339"/>
    </row>
    <row r="181" spans="6:43">
      <c r="F181" s="338"/>
      <c r="G181" s="329"/>
      <c r="H181" s="329"/>
      <c r="I181" s="329"/>
      <c r="J181" s="329">
        <v>1111</v>
      </c>
      <c r="K181" s="329"/>
      <c r="L181" s="329">
        <v>1111</v>
      </c>
      <c r="M181" s="329"/>
      <c r="N181" s="329">
        <v>1373</v>
      </c>
      <c r="O181" s="329"/>
      <c r="P181" s="329">
        <v>1373</v>
      </c>
      <c r="Q181" s="339"/>
      <c r="S181" s="338"/>
      <c r="T181" s="329"/>
      <c r="U181" s="329"/>
      <c r="V181" s="329"/>
      <c r="W181" s="329"/>
      <c r="X181" s="329"/>
      <c r="Y181" s="329"/>
      <c r="Z181" s="329"/>
      <c r="AA181" s="329"/>
      <c r="AB181" s="329"/>
      <c r="AC181" s="329"/>
      <c r="AD181" s="339"/>
      <c r="AF181" s="338"/>
      <c r="AG181" s="329"/>
      <c r="AH181" s="329"/>
      <c r="AI181" s="329"/>
      <c r="AJ181" s="329"/>
      <c r="AK181" s="329"/>
      <c r="AL181" s="329"/>
      <c r="AM181" s="329"/>
      <c r="AN181" s="329"/>
      <c r="AO181" s="329"/>
      <c r="AP181" s="329"/>
      <c r="AQ181" s="339"/>
    </row>
    <row r="182" spans="6:43">
      <c r="F182" s="338"/>
      <c r="G182" s="329"/>
      <c r="H182" s="329"/>
      <c r="I182" s="329"/>
      <c r="J182" s="329">
        <v>1150</v>
      </c>
      <c r="K182" s="329"/>
      <c r="L182" s="329">
        <v>1150</v>
      </c>
      <c r="M182" s="329"/>
      <c r="N182" s="329">
        <v>1383</v>
      </c>
      <c r="O182" s="329"/>
      <c r="P182" s="329">
        <v>1383</v>
      </c>
      <c r="Q182" s="339"/>
      <c r="S182" s="338"/>
      <c r="T182" s="329"/>
      <c r="U182" s="329"/>
      <c r="V182" s="329"/>
      <c r="W182" s="329"/>
      <c r="X182" s="329"/>
      <c r="Y182" s="329"/>
      <c r="Z182" s="329"/>
      <c r="AA182" s="329"/>
      <c r="AB182" s="329"/>
      <c r="AC182" s="329"/>
      <c r="AD182" s="339"/>
      <c r="AF182" s="338"/>
      <c r="AG182" s="329"/>
      <c r="AH182" s="329"/>
      <c r="AI182" s="329"/>
      <c r="AJ182" s="329"/>
      <c r="AK182" s="329"/>
      <c r="AL182" s="329"/>
      <c r="AM182" s="329"/>
      <c r="AN182" s="329"/>
      <c r="AO182" s="329"/>
      <c r="AP182" s="329"/>
      <c r="AQ182" s="339"/>
    </row>
    <row r="183" spans="6:43">
      <c r="F183" s="338"/>
      <c r="G183" s="329"/>
      <c r="H183" s="329"/>
      <c r="I183" s="329"/>
      <c r="J183" s="329">
        <v>1162</v>
      </c>
      <c r="K183" s="329"/>
      <c r="L183" s="329">
        <v>1162</v>
      </c>
      <c r="M183" s="329"/>
      <c r="N183" s="329">
        <v>1394</v>
      </c>
      <c r="O183" s="329"/>
      <c r="P183" s="329">
        <v>1394</v>
      </c>
      <c r="Q183" s="339"/>
      <c r="S183" s="338"/>
      <c r="T183" s="329"/>
      <c r="U183" s="329"/>
      <c r="V183" s="329"/>
      <c r="W183" s="329"/>
      <c r="X183" s="329"/>
      <c r="Y183" s="329"/>
      <c r="Z183" s="329"/>
      <c r="AA183" s="329"/>
      <c r="AB183" s="329"/>
      <c r="AC183" s="329"/>
      <c r="AD183" s="339"/>
      <c r="AF183" s="338"/>
      <c r="AG183" s="329"/>
      <c r="AH183" s="329"/>
      <c r="AI183" s="329"/>
      <c r="AJ183" s="329"/>
      <c r="AK183" s="329"/>
      <c r="AL183" s="329"/>
      <c r="AM183" s="329"/>
      <c r="AN183" s="329"/>
      <c r="AO183" s="329"/>
      <c r="AP183" s="329"/>
      <c r="AQ183" s="339"/>
    </row>
    <row r="184" spans="6:43">
      <c r="F184" s="338"/>
      <c r="G184" s="329"/>
      <c r="H184" s="329"/>
      <c r="I184" s="329"/>
      <c r="J184" s="329">
        <v>1163</v>
      </c>
      <c r="K184" s="329"/>
      <c r="L184" s="329">
        <v>1163</v>
      </c>
      <c r="M184" s="329"/>
      <c r="N184" s="329">
        <v>1404</v>
      </c>
      <c r="O184" s="329"/>
      <c r="P184" s="329">
        <v>1404</v>
      </c>
      <c r="Q184" s="339"/>
      <c r="S184" s="338"/>
      <c r="T184" s="329"/>
      <c r="U184" s="329"/>
      <c r="V184" s="329"/>
      <c r="W184" s="329"/>
      <c r="X184" s="329"/>
      <c r="Y184" s="329"/>
      <c r="Z184" s="329"/>
      <c r="AA184" s="329"/>
      <c r="AB184" s="329"/>
      <c r="AC184" s="329"/>
      <c r="AD184" s="339"/>
      <c r="AF184" s="338"/>
      <c r="AG184" s="329"/>
      <c r="AH184" s="329"/>
      <c r="AI184" s="329"/>
      <c r="AJ184" s="329"/>
      <c r="AK184" s="329"/>
      <c r="AL184" s="329"/>
      <c r="AM184" s="329"/>
      <c r="AN184" s="329"/>
      <c r="AO184" s="329"/>
      <c r="AP184" s="329"/>
      <c r="AQ184" s="339"/>
    </row>
    <row r="185" spans="6:43">
      <c r="F185" s="338"/>
      <c r="G185" s="329"/>
      <c r="H185" s="329"/>
      <c r="I185" s="329"/>
      <c r="J185" s="329">
        <v>1175</v>
      </c>
      <c r="K185" s="329"/>
      <c r="L185" s="329">
        <v>1175</v>
      </c>
      <c r="M185" s="329"/>
      <c r="N185" s="329">
        <v>1405</v>
      </c>
      <c r="O185" s="329"/>
      <c r="P185" s="329">
        <v>1405</v>
      </c>
      <c r="Q185" s="339"/>
      <c r="S185" s="338"/>
      <c r="T185" s="329"/>
      <c r="U185" s="329"/>
      <c r="V185" s="329"/>
      <c r="W185" s="329"/>
      <c r="X185" s="329"/>
      <c r="Y185" s="329"/>
      <c r="Z185" s="329"/>
      <c r="AA185" s="329"/>
      <c r="AB185" s="329"/>
      <c r="AC185" s="329"/>
      <c r="AD185" s="339"/>
      <c r="AF185" s="338"/>
      <c r="AG185" s="329"/>
      <c r="AH185" s="329"/>
      <c r="AI185" s="329"/>
      <c r="AJ185" s="329"/>
      <c r="AK185" s="329"/>
      <c r="AL185" s="329"/>
      <c r="AM185" s="329"/>
      <c r="AN185" s="329"/>
      <c r="AO185" s="329"/>
      <c r="AP185" s="329"/>
      <c r="AQ185" s="339"/>
    </row>
    <row r="186" spans="6:43">
      <c r="F186" s="338"/>
      <c r="G186" s="329"/>
      <c r="H186" s="329"/>
      <c r="I186" s="329"/>
      <c r="J186" s="329">
        <v>1176</v>
      </c>
      <c r="K186" s="329"/>
      <c r="L186" s="329">
        <v>1176</v>
      </c>
      <c r="M186" s="329"/>
      <c r="N186" s="329">
        <v>1416</v>
      </c>
      <c r="O186" s="329"/>
      <c r="P186" s="329">
        <v>1416</v>
      </c>
      <c r="Q186" s="339"/>
      <c r="S186" s="338"/>
      <c r="T186" s="329"/>
      <c r="U186" s="329"/>
      <c r="V186" s="329"/>
      <c r="W186" s="329"/>
      <c r="X186" s="329"/>
      <c r="Y186" s="329"/>
      <c r="Z186" s="329"/>
      <c r="AA186" s="329"/>
      <c r="AB186" s="329"/>
      <c r="AC186" s="329"/>
      <c r="AD186" s="339"/>
      <c r="AF186" s="338"/>
      <c r="AG186" s="329"/>
      <c r="AH186" s="329"/>
      <c r="AI186" s="329"/>
      <c r="AJ186" s="329"/>
      <c r="AK186" s="329"/>
      <c r="AL186" s="329"/>
      <c r="AM186" s="329"/>
      <c r="AN186" s="329"/>
      <c r="AO186" s="329"/>
      <c r="AP186" s="329"/>
      <c r="AQ186" s="339"/>
    </row>
    <row r="187" spans="6:43">
      <c r="F187" s="338"/>
      <c r="G187" s="329"/>
      <c r="H187" s="329"/>
      <c r="I187" s="329"/>
      <c r="J187" s="329">
        <v>1184</v>
      </c>
      <c r="K187" s="329"/>
      <c r="L187" s="329">
        <v>1184</v>
      </c>
      <c r="M187" s="329"/>
      <c r="N187" s="329">
        <v>1418</v>
      </c>
      <c r="O187" s="329"/>
      <c r="P187" s="329">
        <v>1418</v>
      </c>
      <c r="Q187" s="339"/>
      <c r="S187" s="338"/>
      <c r="T187" s="329"/>
      <c r="U187" s="329"/>
      <c r="V187" s="329"/>
      <c r="W187" s="329"/>
      <c r="X187" s="329"/>
      <c r="Y187" s="329"/>
      <c r="Z187" s="329"/>
      <c r="AA187" s="329"/>
      <c r="AB187" s="329"/>
      <c r="AC187" s="329"/>
      <c r="AD187" s="339"/>
      <c r="AF187" s="338"/>
      <c r="AG187" s="329"/>
      <c r="AH187" s="329"/>
      <c r="AI187" s="329"/>
      <c r="AJ187" s="329"/>
      <c r="AK187" s="329"/>
      <c r="AL187" s="329"/>
      <c r="AM187" s="329"/>
      <c r="AN187" s="329"/>
      <c r="AO187" s="329"/>
      <c r="AP187" s="329"/>
      <c r="AQ187" s="339"/>
    </row>
    <row r="188" spans="6:43">
      <c r="F188" s="338"/>
      <c r="G188" s="329"/>
      <c r="H188" s="329"/>
      <c r="I188" s="329"/>
      <c r="J188" s="329">
        <v>1191</v>
      </c>
      <c r="K188" s="329"/>
      <c r="L188" s="329">
        <v>1191</v>
      </c>
      <c r="M188" s="329"/>
      <c r="N188" s="329">
        <v>1420</v>
      </c>
      <c r="O188" s="329"/>
      <c r="P188" s="329">
        <v>1420</v>
      </c>
      <c r="Q188" s="339"/>
      <c r="S188" s="338"/>
      <c r="T188" s="329"/>
      <c r="U188" s="329"/>
      <c r="V188" s="329"/>
      <c r="W188" s="329"/>
      <c r="X188" s="329"/>
      <c r="Y188" s="329"/>
      <c r="Z188" s="329"/>
      <c r="AA188" s="329"/>
      <c r="AB188" s="329"/>
      <c r="AC188" s="329"/>
      <c r="AD188" s="339"/>
      <c r="AF188" s="338"/>
      <c r="AG188" s="329"/>
      <c r="AH188" s="329"/>
      <c r="AI188" s="329"/>
      <c r="AJ188" s="329"/>
      <c r="AK188" s="329"/>
      <c r="AL188" s="329"/>
      <c r="AM188" s="329"/>
      <c r="AN188" s="329"/>
      <c r="AO188" s="329"/>
      <c r="AP188" s="329"/>
      <c r="AQ188" s="339"/>
    </row>
    <row r="189" spans="6:43">
      <c r="F189" s="338"/>
      <c r="G189" s="329"/>
      <c r="H189" s="329"/>
      <c r="I189" s="329"/>
      <c r="J189" s="329">
        <v>1202</v>
      </c>
      <c r="K189" s="329"/>
      <c r="L189" s="329">
        <v>1202</v>
      </c>
      <c r="M189" s="329"/>
      <c r="N189" s="329">
        <v>1426</v>
      </c>
      <c r="O189" s="329"/>
      <c r="P189" s="329">
        <v>1426</v>
      </c>
      <c r="Q189" s="339"/>
      <c r="S189" s="338"/>
      <c r="T189" s="329"/>
      <c r="U189" s="329"/>
      <c r="V189" s="329"/>
      <c r="W189" s="329"/>
      <c r="X189" s="329"/>
      <c r="Y189" s="329"/>
      <c r="Z189" s="329"/>
      <c r="AA189" s="329"/>
      <c r="AB189" s="329"/>
      <c r="AC189" s="329"/>
      <c r="AD189" s="339"/>
      <c r="AF189" s="338"/>
      <c r="AG189" s="329"/>
      <c r="AH189" s="329"/>
      <c r="AI189" s="329"/>
      <c r="AJ189" s="329"/>
      <c r="AK189" s="329"/>
      <c r="AL189" s="329"/>
      <c r="AM189" s="329"/>
      <c r="AN189" s="329"/>
      <c r="AO189" s="329"/>
      <c r="AP189" s="329"/>
      <c r="AQ189" s="339"/>
    </row>
    <row r="190" spans="6:43">
      <c r="F190" s="338"/>
      <c r="G190" s="329"/>
      <c r="H190" s="329"/>
      <c r="I190" s="329"/>
      <c r="J190" s="329">
        <v>1215</v>
      </c>
      <c r="K190" s="329"/>
      <c r="L190" s="329">
        <v>1215</v>
      </c>
      <c r="M190" s="329"/>
      <c r="N190" s="329">
        <v>1444</v>
      </c>
      <c r="O190" s="329"/>
      <c r="P190" s="329">
        <v>1444</v>
      </c>
      <c r="Q190" s="339"/>
      <c r="S190" s="338"/>
      <c r="T190" s="329"/>
      <c r="U190" s="329"/>
      <c r="V190" s="329"/>
      <c r="W190" s="329"/>
      <c r="X190" s="329"/>
      <c r="Y190" s="329"/>
      <c r="Z190" s="329"/>
      <c r="AA190" s="329"/>
      <c r="AB190" s="329"/>
      <c r="AC190" s="329"/>
      <c r="AD190" s="339"/>
      <c r="AF190" s="338"/>
      <c r="AG190" s="329"/>
      <c r="AH190" s="329"/>
      <c r="AI190" s="329"/>
      <c r="AJ190" s="329"/>
      <c r="AK190" s="329"/>
      <c r="AL190" s="329"/>
      <c r="AM190" s="329"/>
      <c r="AN190" s="329"/>
      <c r="AO190" s="329"/>
      <c r="AP190" s="329"/>
      <c r="AQ190" s="339"/>
    </row>
    <row r="191" spans="6:43">
      <c r="F191" s="338"/>
      <c r="G191" s="329"/>
      <c r="H191" s="329"/>
      <c r="I191" s="329"/>
      <c r="J191" s="329">
        <v>1230</v>
      </c>
      <c r="K191" s="329"/>
      <c r="L191" s="329">
        <v>1230</v>
      </c>
      <c r="M191" s="329"/>
      <c r="N191" s="329">
        <v>1445</v>
      </c>
      <c r="O191" s="329"/>
      <c r="P191" s="329">
        <v>1445</v>
      </c>
      <c r="Q191" s="339"/>
      <c r="S191" s="338"/>
      <c r="T191" s="329"/>
      <c r="U191" s="329"/>
      <c r="V191" s="329"/>
      <c r="W191" s="329"/>
      <c r="X191" s="329"/>
      <c r="Y191" s="329"/>
      <c r="Z191" s="329"/>
      <c r="AA191" s="329"/>
      <c r="AB191" s="329"/>
      <c r="AC191" s="329"/>
      <c r="AD191" s="339"/>
      <c r="AF191" s="338"/>
      <c r="AG191" s="329"/>
      <c r="AH191" s="329"/>
      <c r="AI191" s="329"/>
      <c r="AJ191" s="329"/>
      <c r="AK191" s="329"/>
      <c r="AL191" s="329"/>
      <c r="AM191" s="329"/>
      <c r="AN191" s="329"/>
      <c r="AO191" s="329"/>
      <c r="AP191" s="329"/>
      <c r="AQ191" s="339"/>
    </row>
    <row r="192" spans="6:43">
      <c r="F192" s="338"/>
      <c r="G192" s="329"/>
      <c r="H192" s="329"/>
      <c r="I192" s="329"/>
      <c r="J192" s="329">
        <v>1234</v>
      </c>
      <c r="K192" s="329"/>
      <c r="L192" s="329">
        <v>1234</v>
      </c>
      <c r="M192" s="329"/>
      <c r="N192" s="329">
        <v>1450</v>
      </c>
      <c r="O192" s="329"/>
      <c r="P192" s="329">
        <v>1450</v>
      </c>
      <c r="Q192" s="339"/>
      <c r="S192" s="338"/>
      <c r="T192" s="329"/>
      <c r="U192" s="329"/>
      <c r="V192" s="329"/>
      <c r="W192" s="329"/>
      <c r="X192" s="329"/>
      <c r="Y192" s="329"/>
      <c r="Z192" s="329"/>
      <c r="AA192" s="329"/>
      <c r="AB192" s="329"/>
      <c r="AC192" s="329"/>
      <c r="AD192" s="339"/>
      <c r="AF192" s="338"/>
      <c r="AG192" s="329"/>
      <c r="AH192" s="329"/>
      <c r="AI192" s="329"/>
      <c r="AJ192" s="329"/>
      <c r="AK192" s="329"/>
      <c r="AL192" s="329"/>
      <c r="AM192" s="329"/>
      <c r="AN192" s="329"/>
      <c r="AO192" s="329"/>
      <c r="AP192" s="329"/>
      <c r="AQ192" s="339"/>
    </row>
    <row r="193" spans="6:43">
      <c r="F193" s="338"/>
      <c r="G193" s="329"/>
      <c r="H193" s="329"/>
      <c r="I193" s="329"/>
      <c r="J193" s="329">
        <v>1247</v>
      </c>
      <c r="K193" s="329"/>
      <c r="L193" s="329">
        <v>1247</v>
      </c>
      <c r="M193" s="329"/>
      <c r="N193" s="329">
        <v>1451</v>
      </c>
      <c r="O193" s="329"/>
      <c r="P193" s="329">
        <v>1451</v>
      </c>
      <c r="Q193" s="339"/>
      <c r="S193" s="338"/>
      <c r="T193" s="329"/>
      <c r="U193" s="329"/>
      <c r="V193" s="329"/>
      <c r="W193" s="329"/>
      <c r="X193" s="329"/>
      <c r="Y193" s="329"/>
      <c r="Z193" s="329"/>
      <c r="AA193" s="329"/>
      <c r="AB193" s="329"/>
      <c r="AC193" s="329"/>
      <c r="AD193" s="339"/>
      <c r="AF193" s="338"/>
      <c r="AG193" s="329"/>
      <c r="AH193" s="329"/>
      <c r="AI193" s="329"/>
      <c r="AJ193" s="329"/>
      <c r="AK193" s="329"/>
      <c r="AL193" s="329"/>
      <c r="AM193" s="329"/>
      <c r="AN193" s="329"/>
      <c r="AO193" s="329"/>
      <c r="AP193" s="329"/>
      <c r="AQ193" s="339"/>
    </row>
    <row r="194" spans="6:43">
      <c r="F194" s="338"/>
      <c r="G194" s="329"/>
      <c r="H194" s="329"/>
      <c r="I194" s="329"/>
      <c r="J194" s="329">
        <v>1251</v>
      </c>
      <c r="K194" s="329"/>
      <c r="L194" s="329">
        <v>1251</v>
      </c>
      <c r="M194" s="329"/>
      <c r="N194" s="329">
        <v>1453</v>
      </c>
      <c r="O194" s="329"/>
      <c r="P194" s="329">
        <v>1453</v>
      </c>
      <c r="Q194" s="339"/>
      <c r="S194" s="338"/>
      <c r="T194" s="329"/>
      <c r="U194" s="329"/>
      <c r="V194" s="329"/>
      <c r="W194" s="329"/>
      <c r="X194" s="329"/>
      <c r="Y194" s="329"/>
      <c r="Z194" s="329"/>
      <c r="AA194" s="329"/>
      <c r="AB194" s="329"/>
      <c r="AC194" s="329"/>
      <c r="AD194" s="339"/>
      <c r="AF194" s="338"/>
      <c r="AG194" s="329"/>
      <c r="AH194" s="329"/>
      <c r="AI194" s="329"/>
      <c r="AJ194" s="329"/>
      <c r="AK194" s="329"/>
      <c r="AL194" s="329"/>
      <c r="AM194" s="329"/>
      <c r="AN194" s="329"/>
      <c r="AO194" s="329"/>
      <c r="AP194" s="329"/>
      <c r="AQ194" s="339"/>
    </row>
    <row r="195" spans="6:43">
      <c r="F195" s="338"/>
      <c r="G195" s="329"/>
      <c r="H195" s="329"/>
      <c r="I195" s="329"/>
      <c r="J195" s="329">
        <v>1253</v>
      </c>
      <c r="K195" s="329"/>
      <c r="L195" s="329">
        <v>1253</v>
      </c>
      <c r="M195" s="329"/>
      <c r="N195" s="329">
        <v>1455</v>
      </c>
      <c r="O195" s="329"/>
      <c r="P195" s="329">
        <v>1455</v>
      </c>
      <c r="Q195" s="339"/>
      <c r="S195" s="338"/>
      <c r="T195" s="329"/>
      <c r="U195" s="329"/>
      <c r="V195" s="329"/>
      <c r="W195" s="329"/>
      <c r="X195" s="329"/>
      <c r="Y195" s="329"/>
      <c r="Z195" s="329"/>
      <c r="AA195" s="329"/>
      <c r="AB195" s="329"/>
      <c r="AC195" s="329"/>
      <c r="AD195" s="339"/>
      <c r="AF195" s="338"/>
      <c r="AG195" s="329"/>
      <c r="AH195" s="329"/>
      <c r="AI195" s="329"/>
      <c r="AJ195" s="329"/>
      <c r="AK195" s="329"/>
      <c r="AL195" s="329"/>
      <c r="AM195" s="329"/>
      <c r="AN195" s="329"/>
      <c r="AO195" s="329"/>
      <c r="AP195" s="329"/>
      <c r="AQ195" s="339"/>
    </row>
    <row r="196" spans="6:43">
      <c r="F196" s="338"/>
      <c r="G196" s="329"/>
      <c r="H196" s="329"/>
      <c r="I196" s="329"/>
      <c r="J196" s="329">
        <v>1293</v>
      </c>
      <c r="K196" s="329"/>
      <c r="L196" s="329">
        <v>1293</v>
      </c>
      <c r="M196" s="329"/>
      <c r="N196" s="329">
        <v>1458</v>
      </c>
      <c r="O196" s="329"/>
      <c r="P196" s="329">
        <v>1458</v>
      </c>
      <c r="Q196" s="339"/>
      <c r="S196" s="338"/>
      <c r="T196" s="329"/>
      <c r="U196" s="329"/>
      <c r="V196" s="329"/>
      <c r="W196" s="329"/>
      <c r="X196" s="329"/>
      <c r="Y196" s="329"/>
      <c r="Z196" s="329"/>
      <c r="AA196" s="329"/>
      <c r="AB196" s="329"/>
      <c r="AC196" s="329"/>
      <c r="AD196" s="339"/>
      <c r="AF196" s="338"/>
      <c r="AG196" s="329"/>
      <c r="AH196" s="329"/>
      <c r="AI196" s="329"/>
      <c r="AJ196" s="329"/>
      <c r="AK196" s="329"/>
      <c r="AL196" s="329"/>
      <c r="AM196" s="329"/>
      <c r="AN196" s="329"/>
      <c r="AO196" s="329"/>
      <c r="AP196" s="329"/>
      <c r="AQ196" s="339"/>
    </row>
    <row r="197" spans="6:43">
      <c r="F197" s="338"/>
      <c r="G197" s="329"/>
      <c r="H197" s="329"/>
      <c r="I197" s="329"/>
      <c r="J197" s="329">
        <v>1294</v>
      </c>
      <c r="K197" s="329"/>
      <c r="L197" s="329">
        <v>1294</v>
      </c>
      <c r="M197" s="329"/>
      <c r="N197" s="329">
        <v>1477</v>
      </c>
      <c r="O197" s="329"/>
      <c r="P197" s="329">
        <v>1477</v>
      </c>
      <c r="Q197" s="339"/>
      <c r="S197" s="338"/>
      <c r="T197" s="329"/>
      <c r="U197" s="329"/>
      <c r="V197" s="329"/>
      <c r="W197" s="329"/>
      <c r="X197" s="329"/>
      <c r="Y197" s="329"/>
      <c r="Z197" s="329"/>
      <c r="AA197" s="329"/>
      <c r="AB197" s="329"/>
      <c r="AC197" s="329"/>
      <c r="AD197" s="339"/>
      <c r="AF197" s="338"/>
      <c r="AG197" s="329"/>
      <c r="AH197" s="329"/>
      <c r="AI197" s="329"/>
      <c r="AJ197" s="329"/>
      <c r="AK197" s="329"/>
      <c r="AL197" s="329"/>
      <c r="AM197" s="329"/>
      <c r="AN197" s="329"/>
      <c r="AO197" s="329"/>
      <c r="AP197" s="329"/>
      <c r="AQ197" s="339"/>
    </row>
    <row r="198" spans="6:43">
      <c r="F198" s="338"/>
      <c r="G198" s="329"/>
      <c r="H198" s="329"/>
      <c r="I198" s="329"/>
      <c r="J198" s="329">
        <v>1361</v>
      </c>
      <c r="K198" s="329"/>
      <c r="L198" s="329">
        <v>1361</v>
      </c>
      <c r="M198" s="329"/>
      <c r="N198" s="329">
        <v>1480</v>
      </c>
      <c r="O198" s="329"/>
      <c r="P198" s="329">
        <v>1480</v>
      </c>
      <c r="Q198" s="339"/>
      <c r="S198" s="338"/>
      <c r="T198" s="329"/>
      <c r="U198" s="329"/>
      <c r="V198" s="329"/>
      <c r="W198" s="329"/>
      <c r="X198" s="329"/>
      <c r="Y198" s="329"/>
      <c r="Z198" s="329"/>
      <c r="AA198" s="329"/>
      <c r="AB198" s="329"/>
      <c r="AC198" s="329"/>
      <c r="AD198" s="339"/>
      <c r="AF198" s="338"/>
      <c r="AG198" s="329"/>
      <c r="AH198" s="329"/>
      <c r="AI198" s="329"/>
      <c r="AJ198" s="329"/>
      <c r="AK198" s="329"/>
      <c r="AL198" s="329"/>
      <c r="AM198" s="329"/>
      <c r="AN198" s="329"/>
      <c r="AO198" s="329"/>
      <c r="AP198" s="329"/>
      <c r="AQ198" s="339"/>
    </row>
    <row r="199" spans="6:43">
      <c r="F199" s="338"/>
      <c r="G199" s="329"/>
      <c r="H199" s="329"/>
      <c r="I199" s="329"/>
      <c r="J199" s="329">
        <v>1362</v>
      </c>
      <c r="K199" s="329"/>
      <c r="L199" s="329">
        <v>1362</v>
      </c>
      <c r="M199" s="329"/>
      <c r="N199" s="329">
        <v>1491</v>
      </c>
      <c r="O199" s="329"/>
      <c r="P199" s="329">
        <v>1491</v>
      </c>
      <c r="Q199" s="339"/>
      <c r="S199" s="338"/>
      <c r="T199" s="329"/>
      <c r="U199" s="329"/>
      <c r="V199" s="329"/>
      <c r="W199" s="329"/>
      <c r="X199" s="329"/>
      <c r="Y199" s="329"/>
      <c r="Z199" s="329"/>
      <c r="AA199" s="329"/>
      <c r="AB199" s="329"/>
      <c r="AC199" s="329"/>
      <c r="AD199" s="339"/>
      <c r="AF199" s="338"/>
      <c r="AG199" s="329"/>
      <c r="AH199" s="329"/>
      <c r="AI199" s="329"/>
      <c r="AJ199" s="329"/>
      <c r="AK199" s="329"/>
      <c r="AL199" s="329"/>
      <c r="AM199" s="329"/>
      <c r="AN199" s="329"/>
      <c r="AO199" s="329"/>
      <c r="AP199" s="329"/>
      <c r="AQ199" s="339"/>
    </row>
    <row r="200" spans="6:43">
      <c r="F200" s="338"/>
      <c r="G200" s="329"/>
      <c r="H200" s="329"/>
      <c r="I200" s="329"/>
      <c r="J200" s="329">
        <v>1365</v>
      </c>
      <c r="K200" s="329"/>
      <c r="L200" s="329">
        <v>1365</v>
      </c>
      <c r="M200" s="329"/>
      <c r="N200" s="329">
        <v>1492</v>
      </c>
      <c r="O200" s="329"/>
      <c r="P200" s="329">
        <v>1492</v>
      </c>
      <c r="Q200" s="339"/>
      <c r="S200" s="338"/>
      <c r="T200" s="329"/>
      <c r="U200" s="329"/>
      <c r="V200" s="329"/>
      <c r="W200" s="329"/>
      <c r="X200" s="329"/>
      <c r="Y200" s="329"/>
      <c r="Z200" s="329"/>
      <c r="AA200" s="329"/>
      <c r="AB200" s="329"/>
      <c r="AC200" s="329"/>
      <c r="AD200" s="339"/>
      <c r="AF200" s="338"/>
      <c r="AG200" s="329"/>
      <c r="AH200" s="329"/>
      <c r="AI200" s="329"/>
      <c r="AJ200" s="329"/>
      <c r="AK200" s="329"/>
      <c r="AL200" s="329"/>
      <c r="AM200" s="329"/>
      <c r="AN200" s="329"/>
      <c r="AO200" s="329"/>
      <c r="AP200" s="329"/>
      <c r="AQ200" s="339"/>
    </row>
    <row r="201" spans="6:43">
      <c r="F201" s="338"/>
      <c r="G201" s="329"/>
      <c r="H201" s="329"/>
      <c r="I201" s="329"/>
      <c r="J201" s="329">
        <v>1367</v>
      </c>
      <c r="K201" s="329"/>
      <c r="L201" s="329">
        <v>1367</v>
      </c>
      <c r="M201" s="329"/>
      <c r="N201" s="329">
        <v>1496</v>
      </c>
      <c r="O201" s="329"/>
      <c r="P201" s="329">
        <v>1496</v>
      </c>
      <c r="Q201" s="339"/>
      <c r="S201" s="338"/>
      <c r="T201" s="329"/>
      <c r="U201" s="329"/>
      <c r="V201" s="329"/>
      <c r="W201" s="329"/>
      <c r="X201" s="329"/>
      <c r="Y201" s="329"/>
      <c r="Z201" s="329"/>
      <c r="AA201" s="329"/>
      <c r="AB201" s="329"/>
      <c r="AC201" s="329"/>
      <c r="AD201" s="339"/>
      <c r="AF201" s="338"/>
      <c r="AG201" s="329"/>
      <c r="AH201" s="329"/>
      <c r="AI201" s="329"/>
      <c r="AJ201" s="329"/>
      <c r="AK201" s="329"/>
      <c r="AL201" s="329"/>
      <c r="AM201" s="329"/>
      <c r="AN201" s="329"/>
      <c r="AO201" s="329"/>
      <c r="AP201" s="329"/>
      <c r="AQ201" s="339"/>
    </row>
    <row r="202" spans="6:43">
      <c r="F202" s="338"/>
      <c r="G202" s="329"/>
      <c r="H202" s="329"/>
      <c r="I202" s="329"/>
      <c r="J202" s="329">
        <v>1376</v>
      </c>
      <c r="K202" s="329"/>
      <c r="L202" s="329">
        <v>1376</v>
      </c>
      <c r="M202" s="329"/>
      <c r="N202" s="329">
        <v>1510</v>
      </c>
      <c r="O202" s="329"/>
      <c r="P202" s="329">
        <v>1510</v>
      </c>
      <c r="Q202" s="339"/>
      <c r="S202" s="338"/>
      <c r="T202" s="329"/>
      <c r="U202" s="329"/>
      <c r="V202" s="329"/>
      <c r="W202" s="329"/>
      <c r="X202" s="329"/>
      <c r="Y202" s="329"/>
      <c r="Z202" s="329"/>
      <c r="AA202" s="329"/>
      <c r="AB202" s="329"/>
      <c r="AC202" s="329"/>
      <c r="AD202" s="339"/>
      <c r="AF202" s="338"/>
      <c r="AG202" s="329"/>
      <c r="AH202" s="329"/>
      <c r="AI202" s="329"/>
      <c r="AJ202" s="329"/>
      <c r="AK202" s="329"/>
      <c r="AL202" s="329"/>
      <c r="AM202" s="329"/>
      <c r="AN202" s="329"/>
      <c r="AO202" s="329"/>
      <c r="AP202" s="329"/>
      <c r="AQ202" s="339"/>
    </row>
    <row r="203" spans="6:43">
      <c r="F203" s="338"/>
      <c r="G203" s="329"/>
      <c r="H203" s="329"/>
      <c r="I203" s="329"/>
      <c r="J203" s="329">
        <v>1379</v>
      </c>
      <c r="K203" s="329"/>
      <c r="L203" s="329">
        <v>1379</v>
      </c>
      <c r="M203" s="329"/>
      <c r="N203" s="329">
        <v>1511</v>
      </c>
      <c r="O203" s="329"/>
      <c r="P203" s="329">
        <v>1511</v>
      </c>
      <c r="Q203" s="339"/>
      <c r="S203" s="338"/>
      <c r="T203" s="329"/>
      <c r="U203" s="329"/>
      <c r="V203" s="329"/>
      <c r="W203" s="329"/>
      <c r="X203" s="329"/>
      <c r="Y203" s="329"/>
      <c r="Z203" s="329"/>
      <c r="AA203" s="329"/>
      <c r="AB203" s="329"/>
      <c r="AC203" s="329"/>
      <c r="AD203" s="339"/>
      <c r="AF203" s="338"/>
      <c r="AG203" s="329"/>
      <c r="AH203" s="329"/>
      <c r="AI203" s="329"/>
      <c r="AJ203" s="329"/>
      <c r="AK203" s="329"/>
      <c r="AL203" s="329"/>
      <c r="AM203" s="329"/>
      <c r="AN203" s="329"/>
      <c r="AO203" s="329"/>
      <c r="AP203" s="329"/>
      <c r="AQ203" s="339"/>
    </row>
    <row r="204" spans="6:43">
      <c r="F204" s="338"/>
      <c r="G204" s="329"/>
      <c r="H204" s="329"/>
      <c r="I204" s="329"/>
      <c r="J204" s="329">
        <v>1381</v>
      </c>
      <c r="K204" s="329"/>
      <c r="L204" s="329">
        <v>1381</v>
      </c>
      <c r="M204" s="329"/>
      <c r="N204" s="329">
        <v>1521</v>
      </c>
      <c r="O204" s="329"/>
      <c r="P204" s="329">
        <v>1521</v>
      </c>
      <c r="Q204" s="339"/>
      <c r="S204" s="338"/>
      <c r="T204" s="329"/>
      <c r="U204" s="329"/>
      <c r="V204" s="329"/>
      <c r="W204" s="329"/>
      <c r="X204" s="329"/>
      <c r="Y204" s="329"/>
      <c r="Z204" s="329"/>
      <c r="AA204" s="329"/>
      <c r="AB204" s="329"/>
      <c r="AC204" s="329"/>
      <c r="AD204" s="339"/>
      <c r="AF204" s="338"/>
      <c r="AG204" s="329"/>
      <c r="AH204" s="329"/>
      <c r="AI204" s="329"/>
      <c r="AJ204" s="329"/>
      <c r="AK204" s="329"/>
      <c r="AL204" s="329"/>
      <c r="AM204" s="329"/>
      <c r="AN204" s="329"/>
      <c r="AO204" s="329"/>
      <c r="AP204" s="329"/>
      <c r="AQ204" s="339"/>
    </row>
    <row r="205" spans="6:43">
      <c r="F205" s="338"/>
      <c r="G205" s="329"/>
      <c r="H205" s="329"/>
      <c r="I205" s="329"/>
      <c r="J205" s="329">
        <v>1387</v>
      </c>
      <c r="K205" s="329"/>
      <c r="L205" s="329">
        <v>1387</v>
      </c>
      <c r="M205" s="329"/>
      <c r="N205" s="329">
        <v>1529</v>
      </c>
      <c r="O205" s="329"/>
      <c r="P205" s="329">
        <v>1529</v>
      </c>
      <c r="Q205" s="339"/>
      <c r="S205" s="338"/>
      <c r="T205" s="329"/>
      <c r="U205" s="329"/>
      <c r="V205" s="329"/>
      <c r="W205" s="329"/>
      <c r="X205" s="329"/>
      <c r="Y205" s="329"/>
      <c r="Z205" s="329"/>
      <c r="AA205" s="329"/>
      <c r="AB205" s="329"/>
      <c r="AC205" s="329"/>
      <c r="AD205" s="339"/>
      <c r="AF205" s="338"/>
      <c r="AG205" s="329"/>
      <c r="AH205" s="329"/>
      <c r="AI205" s="329"/>
      <c r="AJ205" s="329"/>
      <c r="AK205" s="329"/>
      <c r="AL205" s="329"/>
      <c r="AM205" s="329"/>
      <c r="AN205" s="329"/>
      <c r="AO205" s="329"/>
      <c r="AP205" s="329"/>
      <c r="AQ205" s="339"/>
    </row>
    <row r="206" spans="6:43">
      <c r="F206" s="338"/>
      <c r="G206" s="329"/>
      <c r="H206" s="329"/>
      <c r="I206" s="329"/>
      <c r="J206" s="329">
        <v>1388</v>
      </c>
      <c r="K206" s="329"/>
      <c r="L206" s="329">
        <v>1388</v>
      </c>
      <c r="M206" s="329"/>
      <c r="N206" s="329">
        <v>1531</v>
      </c>
      <c r="O206" s="329"/>
      <c r="P206" s="329">
        <v>1531</v>
      </c>
      <c r="Q206" s="339"/>
      <c r="S206" s="338"/>
      <c r="T206" s="329"/>
      <c r="U206" s="329"/>
      <c r="V206" s="329"/>
      <c r="W206" s="329"/>
      <c r="X206" s="329"/>
      <c r="Y206" s="329"/>
      <c r="Z206" s="329"/>
      <c r="AA206" s="329"/>
      <c r="AB206" s="329"/>
      <c r="AC206" s="329"/>
      <c r="AD206" s="339"/>
      <c r="AF206" s="338"/>
      <c r="AG206" s="329"/>
      <c r="AH206" s="329"/>
      <c r="AI206" s="329"/>
      <c r="AJ206" s="329"/>
      <c r="AK206" s="329"/>
      <c r="AL206" s="329"/>
      <c r="AM206" s="329"/>
      <c r="AN206" s="329"/>
      <c r="AO206" s="329"/>
      <c r="AP206" s="329"/>
      <c r="AQ206" s="339"/>
    </row>
    <row r="207" spans="6:43">
      <c r="F207" s="338"/>
      <c r="G207" s="329"/>
      <c r="H207" s="329"/>
      <c r="I207" s="329"/>
      <c r="J207" s="329">
        <v>1397</v>
      </c>
      <c r="K207" s="329"/>
      <c r="L207" s="329">
        <v>1397</v>
      </c>
      <c r="M207" s="329"/>
      <c r="N207" s="329">
        <v>1545</v>
      </c>
      <c r="O207" s="329"/>
      <c r="P207" s="329">
        <v>1545</v>
      </c>
      <c r="Q207" s="339"/>
      <c r="S207" s="338"/>
      <c r="T207" s="329"/>
      <c r="U207" s="329"/>
      <c r="V207" s="329"/>
      <c r="W207" s="329"/>
      <c r="X207" s="329"/>
      <c r="Y207" s="329"/>
      <c r="Z207" s="329"/>
      <c r="AA207" s="329"/>
      <c r="AB207" s="329"/>
      <c r="AC207" s="329"/>
      <c r="AD207" s="339"/>
      <c r="AF207" s="338"/>
      <c r="AG207" s="329"/>
      <c r="AH207" s="329"/>
      <c r="AI207" s="329"/>
      <c r="AJ207" s="329"/>
      <c r="AK207" s="329"/>
      <c r="AL207" s="329"/>
      <c r="AM207" s="329"/>
      <c r="AN207" s="329"/>
      <c r="AO207" s="329"/>
      <c r="AP207" s="329"/>
      <c r="AQ207" s="339"/>
    </row>
    <row r="208" spans="6:43">
      <c r="F208" s="338"/>
      <c r="G208" s="329"/>
      <c r="H208" s="329"/>
      <c r="I208" s="329"/>
      <c r="J208" s="329">
        <v>1401</v>
      </c>
      <c r="K208" s="329"/>
      <c r="L208" s="329">
        <v>1401</v>
      </c>
      <c r="M208" s="329"/>
      <c r="N208" s="329">
        <v>1547</v>
      </c>
      <c r="O208" s="329"/>
      <c r="P208" s="329">
        <v>1547</v>
      </c>
      <c r="Q208" s="339"/>
      <c r="S208" s="338"/>
      <c r="T208" s="329"/>
      <c r="U208" s="329"/>
      <c r="V208" s="329"/>
      <c r="W208" s="329"/>
      <c r="X208" s="329"/>
      <c r="Y208" s="329"/>
      <c r="Z208" s="329"/>
      <c r="AA208" s="329"/>
      <c r="AB208" s="329"/>
      <c r="AC208" s="329"/>
      <c r="AD208" s="339"/>
      <c r="AF208" s="338"/>
      <c r="AG208" s="329"/>
      <c r="AH208" s="329"/>
      <c r="AI208" s="329"/>
      <c r="AJ208" s="329"/>
      <c r="AK208" s="329"/>
      <c r="AL208" s="329"/>
      <c r="AM208" s="329"/>
      <c r="AN208" s="329"/>
      <c r="AO208" s="329"/>
      <c r="AP208" s="329"/>
      <c r="AQ208" s="339"/>
    </row>
    <row r="209" spans="6:43">
      <c r="F209" s="338"/>
      <c r="G209" s="329"/>
      <c r="H209" s="329"/>
      <c r="I209" s="329"/>
      <c r="J209" s="329">
        <v>1413</v>
      </c>
      <c r="K209" s="329"/>
      <c r="L209" s="329">
        <v>1413</v>
      </c>
      <c r="M209" s="329"/>
      <c r="N209" s="329">
        <v>1548</v>
      </c>
      <c r="O209" s="329"/>
      <c r="P209" s="329">
        <v>1548</v>
      </c>
      <c r="Q209" s="339"/>
      <c r="S209" s="338"/>
      <c r="T209" s="329"/>
      <c r="U209" s="329"/>
      <c r="V209" s="329"/>
      <c r="W209" s="329"/>
      <c r="X209" s="329"/>
      <c r="Y209" s="329"/>
      <c r="Z209" s="329"/>
      <c r="AA209" s="329"/>
      <c r="AB209" s="329"/>
      <c r="AC209" s="329"/>
      <c r="AD209" s="339"/>
      <c r="AF209" s="338"/>
      <c r="AG209" s="329"/>
      <c r="AH209" s="329"/>
      <c r="AI209" s="329"/>
      <c r="AJ209" s="329"/>
      <c r="AK209" s="329"/>
      <c r="AL209" s="329"/>
      <c r="AM209" s="329"/>
      <c r="AN209" s="329"/>
      <c r="AO209" s="329"/>
      <c r="AP209" s="329"/>
      <c r="AQ209" s="339"/>
    </row>
    <row r="210" spans="6:43">
      <c r="F210" s="338"/>
      <c r="G210" s="329"/>
      <c r="H210" s="329"/>
      <c r="I210" s="329"/>
      <c r="J210" s="329">
        <v>1415</v>
      </c>
      <c r="K210" s="329"/>
      <c r="L210" s="329">
        <v>1415</v>
      </c>
      <c r="M210" s="329"/>
      <c r="N210" s="329">
        <v>1555</v>
      </c>
      <c r="O210" s="329"/>
      <c r="P210" s="329">
        <v>1555</v>
      </c>
      <c r="Q210" s="339"/>
      <c r="S210" s="338"/>
      <c r="T210" s="329"/>
      <c r="U210" s="329"/>
      <c r="V210" s="329"/>
      <c r="W210" s="329"/>
      <c r="X210" s="329"/>
      <c r="Y210" s="329"/>
      <c r="Z210" s="329"/>
      <c r="AA210" s="329"/>
      <c r="AB210" s="329"/>
      <c r="AC210" s="329"/>
      <c r="AD210" s="339"/>
      <c r="AF210" s="338"/>
      <c r="AG210" s="329"/>
      <c r="AH210" s="329"/>
      <c r="AI210" s="329"/>
      <c r="AJ210" s="329"/>
      <c r="AK210" s="329"/>
      <c r="AL210" s="329"/>
      <c r="AM210" s="329"/>
      <c r="AN210" s="329"/>
      <c r="AO210" s="329"/>
      <c r="AP210" s="329"/>
      <c r="AQ210" s="339"/>
    </row>
    <row r="211" spans="6:43">
      <c r="F211" s="338"/>
      <c r="G211" s="329"/>
      <c r="H211" s="329"/>
      <c r="I211" s="329"/>
      <c r="J211" s="329">
        <v>1462</v>
      </c>
      <c r="K211" s="329"/>
      <c r="L211" s="329">
        <v>1462</v>
      </c>
      <c r="M211" s="329"/>
      <c r="N211" s="329">
        <v>1556</v>
      </c>
      <c r="O211" s="329"/>
      <c r="P211" s="329">
        <v>1556</v>
      </c>
      <c r="Q211" s="339"/>
      <c r="S211" s="338"/>
      <c r="T211" s="329"/>
      <c r="U211" s="329"/>
      <c r="V211" s="329"/>
      <c r="W211" s="329"/>
      <c r="X211" s="329"/>
      <c r="Y211" s="329"/>
      <c r="Z211" s="329"/>
      <c r="AA211" s="329"/>
      <c r="AB211" s="329"/>
      <c r="AC211" s="329"/>
      <c r="AD211" s="339"/>
      <c r="AF211" s="338"/>
      <c r="AG211" s="329"/>
      <c r="AH211" s="329"/>
      <c r="AI211" s="329"/>
      <c r="AJ211" s="329"/>
      <c r="AK211" s="329"/>
      <c r="AL211" s="329"/>
      <c r="AM211" s="329"/>
      <c r="AN211" s="329"/>
      <c r="AO211" s="329"/>
      <c r="AP211" s="329"/>
      <c r="AQ211" s="339"/>
    </row>
    <row r="212" spans="6:43">
      <c r="F212" s="338"/>
      <c r="G212" s="329"/>
      <c r="H212" s="329"/>
      <c r="I212" s="329"/>
      <c r="J212" s="329">
        <v>1465</v>
      </c>
      <c r="K212" s="329"/>
      <c r="L212" s="329">
        <v>1465</v>
      </c>
      <c r="M212" s="329"/>
      <c r="N212" s="329">
        <v>1569</v>
      </c>
      <c r="O212" s="329"/>
      <c r="P212" s="329">
        <v>1569</v>
      </c>
      <c r="Q212" s="339"/>
      <c r="S212" s="338"/>
      <c r="T212" s="329"/>
      <c r="U212" s="329"/>
      <c r="V212" s="329"/>
      <c r="W212" s="329"/>
      <c r="X212" s="329"/>
      <c r="Y212" s="329"/>
      <c r="Z212" s="329"/>
      <c r="AA212" s="329"/>
      <c r="AB212" s="329"/>
      <c r="AC212" s="329"/>
      <c r="AD212" s="339"/>
      <c r="AF212" s="338"/>
      <c r="AG212" s="329"/>
      <c r="AH212" s="329"/>
      <c r="AI212" s="329"/>
      <c r="AJ212" s="329"/>
      <c r="AK212" s="329"/>
      <c r="AL212" s="329"/>
      <c r="AM212" s="329"/>
      <c r="AN212" s="329"/>
      <c r="AO212" s="329"/>
      <c r="AP212" s="329"/>
      <c r="AQ212" s="339"/>
    </row>
    <row r="213" spans="6:43">
      <c r="F213" s="338"/>
      <c r="G213" s="329"/>
      <c r="H213" s="329"/>
      <c r="I213" s="329"/>
      <c r="J213" s="329">
        <v>1497</v>
      </c>
      <c r="K213" s="329"/>
      <c r="L213" s="329">
        <v>1497</v>
      </c>
      <c r="M213" s="329"/>
      <c r="N213" s="329">
        <v>1570</v>
      </c>
      <c r="O213" s="329"/>
      <c r="P213" s="329">
        <v>1570</v>
      </c>
      <c r="Q213" s="339"/>
      <c r="S213" s="338"/>
      <c r="T213" s="329"/>
      <c r="U213" s="329"/>
      <c r="V213" s="329"/>
      <c r="W213" s="329"/>
      <c r="X213" s="329"/>
      <c r="Y213" s="329"/>
      <c r="Z213" s="329"/>
      <c r="AA213" s="329"/>
      <c r="AB213" s="329"/>
      <c r="AC213" s="329"/>
      <c r="AD213" s="339"/>
      <c r="AF213" s="338"/>
      <c r="AG213" s="329"/>
      <c r="AH213" s="329"/>
      <c r="AI213" s="329"/>
      <c r="AJ213" s="329"/>
      <c r="AK213" s="329"/>
      <c r="AL213" s="329"/>
      <c r="AM213" s="329"/>
      <c r="AN213" s="329"/>
      <c r="AO213" s="329"/>
      <c r="AP213" s="329"/>
      <c r="AQ213" s="339"/>
    </row>
    <row r="214" spans="6:43">
      <c r="F214" s="338"/>
      <c r="G214" s="329"/>
      <c r="H214" s="329"/>
      <c r="I214" s="329"/>
      <c r="J214" s="329">
        <v>1498</v>
      </c>
      <c r="K214" s="329"/>
      <c r="L214" s="329">
        <v>1498</v>
      </c>
      <c r="M214" s="329"/>
      <c r="N214" s="329">
        <v>1571</v>
      </c>
      <c r="O214" s="329"/>
      <c r="P214" s="329">
        <v>1571</v>
      </c>
      <c r="Q214" s="339"/>
      <c r="S214" s="338"/>
      <c r="T214" s="329"/>
      <c r="U214" s="329"/>
      <c r="V214" s="329"/>
      <c r="W214" s="329"/>
      <c r="X214" s="329"/>
      <c r="Y214" s="329"/>
      <c r="Z214" s="329"/>
      <c r="AA214" s="329"/>
      <c r="AB214" s="329"/>
      <c r="AC214" s="329"/>
      <c r="AD214" s="339"/>
      <c r="AF214" s="338"/>
      <c r="AG214" s="329"/>
      <c r="AH214" s="329"/>
      <c r="AI214" s="329"/>
      <c r="AJ214" s="329"/>
      <c r="AK214" s="329"/>
      <c r="AL214" s="329"/>
      <c r="AM214" s="329"/>
      <c r="AN214" s="329"/>
      <c r="AO214" s="329"/>
      <c r="AP214" s="329"/>
      <c r="AQ214" s="339"/>
    </row>
    <row r="215" spans="6:43">
      <c r="F215" s="338"/>
      <c r="G215" s="329"/>
      <c r="H215" s="329"/>
      <c r="I215" s="329"/>
      <c r="J215" s="329">
        <v>1528</v>
      </c>
      <c r="K215" s="329"/>
      <c r="L215" s="329">
        <v>1528</v>
      </c>
      <c r="M215" s="329"/>
      <c r="N215" s="329">
        <v>1574</v>
      </c>
      <c r="O215" s="329"/>
      <c r="P215" s="329">
        <v>1574</v>
      </c>
      <c r="Q215" s="339"/>
      <c r="S215" s="338"/>
      <c r="T215" s="329"/>
      <c r="U215" s="329"/>
      <c r="V215" s="329"/>
      <c r="W215" s="329"/>
      <c r="X215" s="329"/>
      <c r="Y215" s="329"/>
      <c r="Z215" s="329"/>
      <c r="AA215" s="329"/>
      <c r="AB215" s="329"/>
      <c r="AC215" s="329"/>
      <c r="AD215" s="339"/>
      <c r="AF215" s="338"/>
      <c r="AG215" s="329"/>
      <c r="AH215" s="329"/>
      <c r="AI215" s="329"/>
      <c r="AJ215" s="329"/>
      <c r="AK215" s="329"/>
      <c r="AL215" s="329"/>
      <c r="AM215" s="329"/>
      <c r="AN215" s="329"/>
      <c r="AO215" s="329"/>
      <c r="AP215" s="329"/>
      <c r="AQ215" s="339"/>
    </row>
    <row r="216" spans="6:43" ht="15.75" thickBot="1">
      <c r="F216" s="356"/>
      <c r="G216" s="357"/>
      <c r="H216" s="357"/>
      <c r="I216" s="357"/>
      <c r="J216" s="357">
        <v>1576</v>
      </c>
      <c r="K216" s="357"/>
      <c r="L216" s="357">
        <v>1576</v>
      </c>
      <c r="M216" s="357"/>
      <c r="N216" s="357"/>
      <c r="O216" s="357"/>
      <c r="P216" s="357"/>
      <c r="Q216" s="358"/>
      <c r="S216" s="355"/>
      <c r="T216" s="341"/>
      <c r="U216" s="341"/>
      <c r="V216" s="341"/>
      <c r="W216" s="341"/>
      <c r="X216" s="341"/>
      <c r="Y216" s="341"/>
      <c r="Z216" s="341"/>
      <c r="AA216" s="341"/>
      <c r="AB216" s="341"/>
      <c r="AC216" s="341"/>
      <c r="AD216" s="342"/>
      <c r="AF216" s="355"/>
      <c r="AG216" s="341"/>
      <c r="AH216" s="341"/>
      <c r="AI216" s="341"/>
      <c r="AJ216" s="341"/>
      <c r="AK216" s="341"/>
      <c r="AL216" s="341"/>
      <c r="AM216" s="341"/>
      <c r="AN216" s="341"/>
      <c r="AO216" s="341"/>
      <c r="AP216" s="341"/>
      <c r="AQ216" s="342"/>
    </row>
    <row r="217" spans="6:43" ht="15.75" thickBot="1">
      <c r="F217" s="361" t="s">
        <v>393</v>
      </c>
      <c r="G217" s="359">
        <f>SUM(G3:G216)</f>
        <v>0</v>
      </c>
      <c r="H217" s="359"/>
      <c r="I217" s="359">
        <f>SUM(I3:I216)</f>
        <v>0</v>
      </c>
      <c r="J217" s="359"/>
      <c r="K217" s="359">
        <f>SUM(K3:K216)</f>
        <v>0</v>
      </c>
      <c r="L217" s="359"/>
      <c r="M217" s="359">
        <f>SUM(M3:M216)</f>
        <v>0</v>
      </c>
      <c r="N217" s="359"/>
      <c r="O217" s="359">
        <f>SUM(O3:O216)</f>
        <v>0</v>
      </c>
      <c r="P217" s="359"/>
      <c r="Q217" s="360">
        <f>SUM(Q3:Q216)</f>
        <v>0</v>
      </c>
      <c r="S217" s="361" t="s">
        <v>393</v>
      </c>
      <c r="T217" s="359">
        <f>SUM(T3:T216)</f>
        <v>0</v>
      </c>
      <c r="U217" s="359"/>
      <c r="V217" s="359">
        <f>SUM(V3:V216)</f>
        <v>0</v>
      </c>
      <c r="W217" s="359"/>
      <c r="X217" s="359">
        <f>SUM(X3:X216)</f>
        <v>0</v>
      </c>
      <c r="Y217" s="359"/>
      <c r="Z217" s="359">
        <f>SUM(Z3:Z216)</f>
        <v>0</v>
      </c>
      <c r="AA217" s="359"/>
      <c r="AB217" s="359">
        <f>SUM(AB3:AB216)</f>
        <v>0</v>
      </c>
      <c r="AC217" s="359"/>
      <c r="AD217" s="360">
        <f>SUM(AD3:AD216)</f>
        <v>0</v>
      </c>
      <c r="AF217" s="361" t="s">
        <v>393</v>
      </c>
      <c r="AG217" s="359">
        <f>SUM(AG3:AG216)</f>
        <v>0</v>
      </c>
      <c r="AH217" s="359"/>
      <c r="AI217" s="359">
        <f>SUM(AI3:AI216)</f>
        <v>0</v>
      </c>
      <c r="AJ217" s="359"/>
      <c r="AK217" s="359">
        <f>SUM(AK3:AK216)</f>
        <v>0</v>
      </c>
      <c r="AL217" s="359"/>
      <c r="AM217" s="359">
        <f>SUM(AM3:AM216)</f>
        <v>0</v>
      </c>
      <c r="AN217" s="359"/>
      <c r="AO217" s="359">
        <f>SUM(AO3:AO216)</f>
        <v>0</v>
      </c>
      <c r="AP217" s="359"/>
      <c r="AQ217" s="360">
        <f>SUM(AQ3:AQ216)</f>
        <v>0</v>
      </c>
    </row>
    <row r="218" spans="6:43" ht="15.75" thickBot="1"/>
    <row r="219" spans="6:43" ht="15.75" thickBot="1">
      <c r="F219" s="361" t="s">
        <v>394</v>
      </c>
      <c r="G219" s="359">
        <v>0</v>
      </c>
      <c r="H219" s="359"/>
      <c r="I219" s="359">
        <v>0</v>
      </c>
      <c r="J219" s="359"/>
      <c r="K219" s="359">
        <f>SUM(K5:K218)</f>
        <v>0</v>
      </c>
      <c r="L219" s="359"/>
      <c r="M219" s="359">
        <f>SUM(M5:M218)</f>
        <v>0</v>
      </c>
      <c r="N219" s="359"/>
      <c r="O219" s="359">
        <f>SUM(O5:O218)</f>
        <v>0</v>
      </c>
      <c r="P219" s="359"/>
      <c r="Q219" s="360">
        <f>SUM(Q5:Q218)</f>
        <v>0</v>
      </c>
      <c r="S219" s="361" t="s">
        <v>394</v>
      </c>
      <c r="T219" s="359">
        <f>SUM(T5:T218)</f>
        <v>0</v>
      </c>
      <c r="U219" s="359"/>
      <c r="V219" s="359">
        <f>SUM(V5:V218)</f>
        <v>0</v>
      </c>
      <c r="W219" s="359"/>
      <c r="X219" s="359">
        <f>SUM(X5:X218)</f>
        <v>0</v>
      </c>
      <c r="Y219" s="359"/>
      <c r="Z219" s="359">
        <f>SUM(Z5:Z218)</f>
        <v>0</v>
      </c>
      <c r="AA219" s="359"/>
      <c r="AB219" s="359">
        <f>SUM(AB5:AB218)</f>
        <v>0</v>
      </c>
      <c r="AC219" s="359"/>
      <c r="AD219" s="360">
        <f>SUM(AD5:AD218)</f>
        <v>0</v>
      </c>
      <c r="AF219" s="361" t="s">
        <v>394</v>
      </c>
      <c r="AG219" s="359">
        <f>SUM(AG5:AG218)</f>
        <v>0</v>
      </c>
      <c r="AH219" s="359"/>
      <c r="AI219" s="359">
        <f>SUM(AI5:AI218)</f>
        <v>0</v>
      </c>
      <c r="AJ219" s="359"/>
      <c r="AK219" s="359">
        <f>SUM(AK5:AK218)</f>
        <v>0</v>
      </c>
      <c r="AL219" s="359"/>
      <c r="AM219" s="359">
        <f>SUM(AM5:AM218)</f>
        <v>0</v>
      </c>
      <c r="AN219" s="359"/>
      <c r="AO219" s="359">
        <f>SUM(AO5:AO218)</f>
        <v>0</v>
      </c>
      <c r="AP219" s="359"/>
      <c r="AQ219" s="360">
        <f>SUM(AQ5:AQ218)</f>
        <v>0</v>
      </c>
    </row>
    <row r="220" spans="6:43" ht="15.75" thickBot="1">
      <c r="F220" s="361" t="s">
        <v>395</v>
      </c>
      <c r="G220" s="359">
        <v>0</v>
      </c>
      <c r="H220" s="359"/>
      <c r="I220" s="359">
        <v>0</v>
      </c>
      <c r="J220" s="359"/>
      <c r="K220" s="359">
        <f t="shared" ref="K220:K223" si="0">SUM(K6:K219)</f>
        <v>0</v>
      </c>
      <c r="L220" s="359"/>
      <c r="M220" s="359">
        <f t="shared" ref="M220:M223" si="1">SUM(M6:M219)</f>
        <v>0</v>
      </c>
      <c r="N220" s="359"/>
      <c r="O220" s="359">
        <f t="shared" ref="O220:O223" si="2">SUM(O6:O219)</f>
        <v>0</v>
      </c>
      <c r="P220" s="359"/>
      <c r="Q220" s="360">
        <f t="shared" ref="Q220:Q223" si="3">SUM(Q6:Q219)</f>
        <v>0</v>
      </c>
      <c r="S220" s="361" t="s">
        <v>395</v>
      </c>
      <c r="T220" s="359">
        <f t="shared" ref="T220:T227" si="4">SUM(T6:T219)</f>
        <v>0</v>
      </c>
      <c r="U220" s="359"/>
      <c r="V220" s="359">
        <f t="shared" ref="V220:V227" si="5">SUM(V6:V219)</f>
        <v>0</v>
      </c>
      <c r="W220" s="359"/>
      <c r="X220" s="359">
        <f t="shared" ref="X220:X227" si="6">SUM(X6:X219)</f>
        <v>0</v>
      </c>
      <c r="Y220" s="359"/>
      <c r="Z220" s="359">
        <f t="shared" ref="Z220:Z227" si="7">SUM(Z6:Z219)</f>
        <v>0</v>
      </c>
      <c r="AA220" s="359"/>
      <c r="AB220" s="359">
        <f t="shared" ref="AB220:AB227" si="8">SUM(AB6:AB219)</f>
        <v>0</v>
      </c>
      <c r="AC220" s="359"/>
      <c r="AD220" s="360">
        <f t="shared" ref="AD220:AD227" si="9">SUM(AD6:AD219)</f>
        <v>0</v>
      </c>
      <c r="AF220" s="361" t="s">
        <v>395</v>
      </c>
      <c r="AG220" s="359">
        <f t="shared" ref="AG220:AG227" si="10">SUM(AG6:AG219)</f>
        <v>0</v>
      </c>
      <c r="AH220" s="359"/>
      <c r="AI220" s="359">
        <f t="shared" ref="AI220:AI227" si="11">SUM(AI6:AI219)</f>
        <v>0</v>
      </c>
      <c r="AJ220" s="359"/>
      <c r="AK220" s="359">
        <f t="shared" ref="AK220:AK227" si="12">SUM(AK6:AK219)</f>
        <v>0</v>
      </c>
      <c r="AL220" s="359"/>
      <c r="AM220" s="359">
        <f t="shared" ref="AM220:AM227" si="13">SUM(AM6:AM219)</f>
        <v>0</v>
      </c>
      <c r="AN220" s="359"/>
      <c r="AO220" s="359">
        <f t="shared" ref="AO220:AO227" si="14">SUM(AO6:AO219)</f>
        <v>0</v>
      </c>
      <c r="AP220" s="359"/>
      <c r="AQ220" s="360">
        <f t="shared" ref="AQ220:AQ227" si="15">SUM(AQ6:AQ219)</f>
        <v>0</v>
      </c>
    </row>
    <row r="221" spans="6:43" ht="15.75" thickBot="1">
      <c r="F221" s="361" t="s">
        <v>396</v>
      </c>
      <c r="G221" s="359">
        <v>0</v>
      </c>
      <c r="H221" s="359"/>
      <c r="I221" s="359">
        <v>0</v>
      </c>
      <c r="J221" s="359"/>
      <c r="K221" s="359">
        <f t="shared" si="0"/>
        <v>0</v>
      </c>
      <c r="L221" s="359"/>
      <c r="M221" s="359">
        <f t="shared" si="1"/>
        <v>0</v>
      </c>
      <c r="N221" s="359"/>
      <c r="O221" s="359">
        <f t="shared" si="2"/>
        <v>0</v>
      </c>
      <c r="P221" s="359"/>
      <c r="Q221" s="360">
        <f t="shared" si="3"/>
        <v>0</v>
      </c>
      <c r="S221" s="361" t="s">
        <v>396</v>
      </c>
      <c r="T221" s="359">
        <f t="shared" si="4"/>
        <v>0</v>
      </c>
      <c r="U221" s="359"/>
      <c r="V221" s="359">
        <f t="shared" si="5"/>
        <v>0</v>
      </c>
      <c r="W221" s="359"/>
      <c r="X221" s="359">
        <f t="shared" si="6"/>
        <v>0</v>
      </c>
      <c r="Y221" s="359"/>
      <c r="Z221" s="359">
        <f t="shared" si="7"/>
        <v>0</v>
      </c>
      <c r="AA221" s="359"/>
      <c r="AB221" s="359">
        <f t="shared" si="8"/>
        <v>0</v>
      </c>
      <c r="AC221" s="359"/>
      <c r="AD221" s="360">
        <f t="shared" si="9"/>
        <v>0</v>
      </c>
      <c r="AF221" s="361" t="s">
        <v>396</v>
      </c>
      <c r="AG221" s="359">
        <f t="shared" si="10"/>
        <v>0</v>
      </c>
      <c r="AH221" s="359"/>
      <c r="AI221" s="359">
        <f t="shared" si="11"/>
        <v>0</v>
      </c>
      <c r="AJ221" s="359"/>
      <c r="AK221" s="359">
        <f t="shared" si="12"/>
        <v>0</v>
      </c>
      <c r="AL221" s="359"/>
      <c r="AM221" s="359">
        <f t="shared" si="13"/>
        <v>0</v>
      </c>
      <c r="AN221" s="359"/>
      <c r="AO221" s="359">
        <f t="shared" si="14"/>
        <v>0</v>
      </c>
      <c r="AP221" s="359"/>
      <c r="AQ221" s="360">
        <f t="shared" si="15"/>
        <v>0</v>
      </c>
    </row>
    <row r="222" spans="6:43" ht="15.75" thickBot="1">
      <c r="F222" s="361" t="s">
        <v>397</v>
      </c>
      <c r="G222" s="387">
        <v>0</v>
      </c>
      <c r="H222" s="359"/>
      <c r="I222" s="359">
        <v>0</v>
      </c>
      <c r="J222" s="359"/>
      <c r="K222" s="359">
        <f t="shared" si="0"/>
        <v>0</v>
      </c>
      <c r="L222" s="359"/>
      <c r="M222" s="359">
        <f t="shared" si="1"/>
        <v>0</v>
      </c>
      <c r="N222" s="359"/>
      <c r="O222" s="359">
        <f t="shared" si="2"/>
        <v>0</v>
      </c>
      <c r="P222" s="359"/>
      <c r="Q222" s="360">
        <f t="shared" si="3"/>
        <v>0</v>
      </c>
      <c r="S222" s="361" t="s">
        <v>397</v>
      </c>
      <c r="T222" s="359">
        <f t="shared" si="4"/>
        <v>0</v>
      </c>
      <c r="U222" s="359"/>
      <c r="V222" s="359">
        <f t="shared" si="5"/>
        <v>0</v>
      </c>
      <c r="W222" s="359"/>
      <c r="X222" s="359">
        <f t="shared" si="6"/>
        <v>0</v>
      </c>
      <c r="Y222" s="359"/>
      <c r="Z222" s="359">
        <f t="shared" si="7"/>
        <v>0</v>
      </c>
      <c r="AA222" s="359"/>
      <c r="AB222" s="359">
        <f t="shared" si="8"/>
        <v>0</v>
      </c>
      <c r="AC222" s="359"/>
      <c r="AD222" s="360">
        <f t="shared" si="9"/>
        <v>0</v>
      </c>
      <c r="AF222" s="361" t="s">
        <v>397</v>
      </c>
      <c r="AG222" s="359">
        <f t="shared" si="10"/>
        <v>0</v>
      </c>
      <c r="AH222" s="359"/>
      <c r="AI222" s="359">
        <f t="shared" si="11"/>
        <v>0</v>
      </c>
      <c r="AJ222" s="359"/>
      <c r="AK222" s="359">
        <f t="shared" si="12"/>
        <v>0</v>
      </c>
      <c r="AL222" s="359"/>
      <c r="AM222" s="359">
        <f t="shared" si="13"/>
        <v>0</v>
      </c>
      <c r="AN222" s="359"/>
      <c r="AO222" s="359">
        <f t="shared" si="14"/>
        <v>0</v>
      </c>
      <c r="AP222" s="359"/>
      <c r="AQ222" s="360">
        <f t="shared" si="15"/>
        <v>0</v>
      </c>
    </row>
    <row r="223" spans="6:43" ht="15.75" thickBot="1">
      <c r="F223" s="361" t="s">
        <v>398</v>
      </c>
      <c r="G223" s="359">
        <v>0</v>
      </c>
      <c r="H223" s="359"/>
      <c r="I223" s="359">
        <v>0</v>
      </c>
      <c r="J223" s="359"/>
      <c r="K223" s="359">
        <f t="shared" si="0"/>
        <v>0</v>
      </c>
      <c r="L223" s="359"/>
      <c r="M223" s="359">
        <f t="shared" si="1"/>
        <v>0</v>
      </c>
      <c r="N223" s="359"/>
      <c r="O223" s="359">
        <f t="shared" si="2"/>
        <v>0</v>
      </c>
      <c r="P223" s="359"/>
      <c r="Q223" s="360">
        <f t="shared" si="3"/>
        <v>0</v>
      </c>
      <c r="S223" s="361" t="s">
        <v>398</v>
      </c>
      <c r="T223" s="359">
        <f t="shared" si="4"/>
        <v>0</v>
      </c>
      <c r="U223" s="359"/>
      <c r="V223" s="359">
        <f t="shared" si="5"/>
        <v>0</v>
      </c>
      <c r="W223" s="359"/>
      <c r="X223" s="359">
        <f t="shared" si="6"/>
        <v>0</v>
      </c>
      <c r="Y223" s="359"/>
      <c r="Z223" s="359">
        <f t="shared" si="7"/>
        <v>0</v>
      </c>
      <c r="AA223" s="359"/>
      <c r="AB223" s="359">
        <f t="shared" si="8"/>
        <v>0</v>
      </c>
      <c r="AC223" s="359"/>
      <c r="AD223" s="360">
        <f t="shared" si="9"/>
        <v>0</v>
      </c>
      <c r="AF223" s="361" t="s">
        <v>398</v>
      </c>
      <c r="AG223" s="359">
        <f t="shared" si="10"/>
        <v>0</v>
      </c>
      <c r="AH223" s="359"/>
      <c r="AI223" s="359">
        <f t="shared" si="11"/>
        <v>0</v>
      </c>
      <c r="AJ223" s="359"/>
      <c r="AK223" s="359">
        <f t="shared" si="12"/>
        <v>0</v>
      </c>
      <c r="AL223" s="359"/>
      <c r="AM223" s="359">
        <f t="shared" si="13"/>
        <v>0</v>
      </c>
      <c r="AN223" s="359"/>
      <c r="AO223" s="359">
        <f t="shared" si="14"/>
        <v>0</v>
      </c>
      <c r="AP223" s="359"/>
      <c r="AQ223" s="360">
        <f t="shared" si="15"/>
        <v>0</v>
      </c>
    </row>
    <row r="224" spans="6:43" ht="15.75" thickBot="1">
      <c r="F224" s="361" t="s">
        <v>399</v>
      </c>
      <c r="G224" s="359">
        <f t="shared" ref="G224" si="16">SUM(G10:G223)</f>
        <v>0</v>
      </c>
      <c r="H224" s="359"/>
      <c r="I224" s="359">
        <v>0</v>
      </c>
      <c r="J224" s="359"/>
      <c r="K224" s="359">
        <f t="shared" ref="K224" si="17">SUM(K10:K223)</f>
        <v>0</v>
      </c>
      <c r="L224" s="359"/>
      <c r="M224" s="359">
        <f t="shared" ref="M224" si="18">SUM(M10:M223)</f>
        <v>0</v>
      </c>
      <c r="N224" s="359"/>
      <c r="O224" s="359">
        <f t="shared" ref="O224" si="19">SUM(O10:O223)</f>
        <v>0</v>
      </c>
      <c r="P224" s="359"/>
      <c r="Q224" s="360">
        <f t="shared" ref="Q224" si="20">SUM(Q10:Q223)</f>
        <v>0</v>
      </c>
      <c r="S224" s="361" t="s">
        <v>399</v>
      </c>
      <c r="T224" s="359">
        <f t="shared" si="4"/>
        <v>0</v>
      </c>
      <c r="U224" s="359"/>
      <c r="V224" s="359">
        <f t="shared" si="5"/>
        <v>0</v>
      </c>
      <c r="W224" s="359"/>
      <c r="X224" s="359">
        <f t="shared" si="6"/>
        <v>0</v>
      </c>
      <c r="Y224" s="359"/>
      <c r="Z224" s="359">
        <f t="shared" si="7"/>
        <v>0</v>
      </c>
      <c r="AA224" s="359"/>
      <c r="AB224" s="359">
        <f t="shared" si="8"/>
        <v>0</v>
      </c>
      <c r="AC224" s="359"/>
      <c r="AD224" s="360">
        <f t="shared" si="9"/>
        <v>0</v>
      </c>
      <c r="AF224" s="361" t="s">
        <v>399</v>
      </c>
      <c r="AG224" s="359">
        <f t="shared" si="10"/>
        <v>0</v>
      </c>
      <c r="AH224" s="359"/>
      <c r="AI224" s="359">
        <f t="shared" si="11"/>
        <v>0</v>
      </c>
      <c r="AJ224" s="359"/>
      <c r="AK224" s="359">
        <f t="shared" si="12"/>
        <v>0</v>
      </c>
      <c r="AL224" s="359"/>
      <c r="AM224" s="359">
        <f t="shared" si="13"/>
        <v>0</v>
      </c>
      <c r="AN224" s="359"/>
      <c r="AO224" s="359">
        <f t="shared" si="14"/>
        <v>0</v>
      </c>
      <c r="AP224" s="359"/>
      <c r="AQ224" s="360">
        <f t="shared" si="15"/>
        <v>0</v>
      </c>
    </row>
    <row r="225" spans="6:43" ht="15.75" thickBot="1">
      <c r="F225" s="361" t="s">
        <v>400</v>
      </c>
      <c r="G225" s="359">
        <v>0</v>
      </c>
      <c r="H225" s="359"/>
      <c r="I225" s="359">
        <v>0</v>
      </c>
      <c r="J225" s="359"/>
      <c r="K225" s="359">
        <f t="shared" ref="K225" si="21">SUM(K11:K224)</f>
        <v>0</v>
      </c>
      <c r="L225" s="359"/>
      <c r="M225" s="359">
        <f t="shared" ref="M225" si="22">SUM(M11:M224)</f>
        <v>0</v>
      </c>
      <c r="N225" s="359"/>
      <c r="O225" s="359">
        <f t="shared" ref="O225" si="23">SUM(O11:O224)</f>
        <v>0</v>
      </c>
      <c r="P225" s="359"/>
      <c r="Q225" s="360">
        <f t="shared" ref="Q225" si="24">SUM(Q11:Q224)</f>
        <v>0</v>
      </c>
      <c r="S225" s="361" t="s">
        <v>400</v>
      </c>
      <c r="T225" s="359">
        <f t="shared" si="4"/>
        <v>0</v>
      </c>
      <c r="U225" s="359"/>
      <c r="V225" s="359">
        <f t="shared" si="5"/>
        <v>0</v>
      </c>
      <c r="W225" s="359"/>
      <c r="X225" s="359">
        <f t="shared" si="6"/>
        <v>0</v>
      </c>
      <c r="Y225" s="359"/>
      <c r="Z225" s="359">
        <f t="shared" si="7"/>
        <v>0</v>
      </c>
      <c r="AA225" s="359"/>
      <c r="AB225" s="359">
        <f t="shared" si="8"/>
        <v>0</v>
      </c>
      <c r="AC225" s="359"/>
      <c r="AD225" s="360">
        <f t="shared" si="9"/>
        <v>0</v>
      </c>
      <c r="AF225" s="361" t="s">
        <v>400</v>
      </c>
      <c r="AG225" s="359">
        <f t="shared" si="10"/>
        <v>0</v>
      </c>
      <c r="AH225" s="359"/>
      <c r="AI225" s="359">
        <f t="shared" si="11"/>
        <v>0</v>
      </c>
      <c r="AJ225" s="359"/>
      <c r="AK225" s="359">
        <f t="shared" si="12"/>
        <v>0</v>
      </c>
      <c r="AL225" s="359"/>
      <c r="AM225" s="359">
        <f t="shared" si="13"/>
        <v>0</v>
      </c>
      <c r="AN225" s="359"/>
      <c r="AO225" s="359">
        <f t="shared" si="14"/>
        <v>0</v>
      </c>
      <c r="AP225" s="359"/>
      <c r="AQ225" s="360">
        <f t="shared" si="15"/>
        <v>0</v>
      </c>
    </row>
    <row r="226" spans="6:43" ht="15.75" thickBot="1">
      <c r="F226" s="361" t="s">
        <v>401</v>
      </c>
      <c r="G226" s="359">
        <v>0</v>
      </c>
      <c r="H226" s="359"/>
      <c r="I226" s="359">
        <v>0</v>
      </c>
      <c r="J226" s="359"/>
      <c r="K226" s="359">
        <f t="shared" ref="K226:K227" si="25">SUM(K12:K225)</f>
        <v>0</v>
      </c>
      <c r="L226" s="359"/>
      <c r="M226" s="359">
        <f t="shared" ref="M226:M227" si="26">SUM(M12:M225)</f>
        <v>0</v>
      </c>
      <c r="N226" s="359"/>
      <c r="O226" s="359">
        <f t="shared" ref="O226:O227" si="27">SUM(O12:O225)</f>
        <v>0</v>
      </c>
      <c r="P226" s="359"/>
      <c r="Q226" s="360">
        <f t="shared" ref="Q226:Q227" si="28">SUM(Q12:Q225)</f>
        <v>0</v>
      </c>
      <c r="S226" s="361" t="s">
        <v>401</v>
      </c>
      <c r="T226" s="359">
        <f t="shared" si="4"/>
        <v>0</v>
      </c>
      <c r="U226" s="359"/>
      <c r="V226" s="359">
        <f t="shared" si="5"/>
        <v>0</v>
      </c>
      <c r="W226" s="359"/>
      <c r="X226" s="359">
        <f t="shared" si="6"/>
        <v>0</v>
      </c>
      <c r="Y226" s="359"/>
      <c r="Z226" s="359">
        <f t="shared" si="7"/>
        <v>0</v>
      </c>
      <c r="AA226" s="359"/>
      <c r="AB226" s="359">
        <f t="shared" si="8"/>
        <v>0</v>
      </c>
      <c r="AC226" s="359"/>
      <c r="AD226" s="360">
        <f t="shared" si="9"/>
        <v>0</v>
      </c>
      <c r="AF226" s="361" t="s">
        <v>401</v>
      </c>
      <c r="AG226" s="359">
        <f t="shared" si="10"/>
        <v>0</v>
      </c>
      <c r="AH226" s="359"/>
      <c r="AI226" s="359">
        <f t="shared" si="11"/>
        <v>0</v>
      </c>
      <c r="AJ226" s="359"/>
      <c r="AK226" s="359">
        <f t="shared" si="12"/>
        <v>0</v>
      </c>
      <c r="AL226" s="359"/>
      <c r="AM226" s="359">
        <f t="shared" si="13"/>
        <v>0</v>
      </c>
      <c r="AN226" s="359"/>
      <c r="AO226" s="359">
        <f t="shared" si="14"/>
        <v>0</v>
      </c>
      <c r="AP226" s="359"/>
      <c r="AQ226" s="360">
        <f t="shared" si="15"/>
        <v>0</v>
      </c>
    </row>
    <row r="227" spans="6:43" ht="15.75" thickBot="1">
      <c r="F227" s="361" t="s">
        <v>402</v>
      </c>
      <c r="G227" s="359">
        <v>0</v>
      </c>
      <c r="H227" s="359"/>
      <c r="I227" s="359">
        <v>0</v>
      </c>
      <c r="J227" s="359"/>
      <c r="K227" s="359">
        <f t="shared" si="25"/>
        <v>0</v>
      </c>
      <c r="L227" s="359"/>
      <c r="M227" s="359">
        <f t="shared" si="26"/>
        <v>0</v>
      </c>
      <c r="N227" s="359"/>
      <c r="O227" s="359">
        <f t="shared" si="27"/>
        <v>0</v>
      </c>
      <c r="P227" s="359"/>
      <c r="Q227" s="360">
        <f t="shared" si="28"/>
        <v>0</v>
      </c>
      <c r="S227" s="361" t="s">
        <v>402</v>
      </c>
      <c r="T227" s="359">
        <f t="shared" si="4"/>
        <v>0</v>
      </c>
      <c r="U227" s="359"/>
      <c r="V227" s="359">
        <f t="shared" si="5"/>
        <v>0</v>
      </c>
      <c r="W227" s="359"/>
      <c r="X227" s="359">
        <f t="shared" si="6"/>
        <v>0</v>
      </c>
      <c r="Y227" s="359"/>
      <c r="Z227" s="359">
        <f t="shared" si="7"/>
        <v>0</v>
      </c>
      <c r="AA227" s="359"/>
      <c r="AB227" s="359">
        <f t="shared" si="8"/>
        <v>0</v>
      </c>
      <c r="AC227" s="359"/>
      <c r="AD227" s="360">
        <f t="shared" si="9"/>
        <v>0</v>
      </c>
      <c r="AF227" s="361" t="s">
        <v>402</v>
      </c>
      <c r="AG227" s="359">
        <f t="shared" si="10"/>
        <v>0</v>
      </c>
      <c r="AH227" s="359"/>
      <c r="AI227" s="359">
        <f t="shared" si="11"/>
        <v>0</v>
      </c>
      <c r="AJ227" s="359"/>
      <c r="AK227" s="359">
        <f t="shared" si="12"/>
        <v>0</v>
      </c>
      <c r="AL227" s="359"/>
      <c r="AM227" s="359">
        <f t="shared" si="13"/>
        <v>0</v>
      </c>
      <c r="AN227" s="359"/>
      <c r="AO227" s="359">
        <f t="shared" si="14"/>
        <v>0</v>
      </c>
      <c r="AP227" s="359"/>
      <c r="AQ227" s="360">
        <f t="shared" si="15"/>
        <v>0</v>
      </c>
    </row>
    <row r="228" spans="6:43" ht="15.75" thickBot="1"/>
    <row r="229" spans="6:43" ht="15.75" thickBot="1">
      <c r="F229" s="426" t="s">
        <v>403</v>
      </c>
      <c r="G229" s="427"/>
      <c r="H229" s="427"/>
      <c r="I229" s="427"/>
      <c r="J229" s="427"/>
      <c r="K229" s="427"/>
      <c r="L229" s="427"/>
      <c r="M229" s="427"/>
      <c r="N229" s="427"/>
      <c r="O229" s="427"/>
      <c r="P229" s="427"/>
      <c r="Q229" s="428"/>
      <c r="S229" s="426" t="s">
        <v>403</v>
      </c>
      <c r="T229" s="427"/>
      <c r="U229" s="427"/>
      <c r="V229" s="427"/>
      <c r="W229" s="427"/>
      <c r="X229" s="427"/>
      <c r="Y229" s="427"/>
      <c r="Z229" s="427"/>
      <c r="AA229" s="427"/>
      <c r="AB229" s="427"/>
      <c r="AC229" s="427"/>
      <c r="AD229" s="428"/>
      <c r="AF229" s="426" t="s">
        <v>403</v>
      </c>
      <c r="AG229" s="427"/>
      <c r="AH229" s="427"/>
      <c r="AI229" s="427"/>
      <c r="AJ229" s="427"/>
      <c r="AK229" s="427"/>
      <c r="AL229" s="427"/>
      <c r="AM229" s="427"/>
      <c r="AN229" s="427"/>
      <c r="AO229" s="427"/>
      <c r="AP229" s="427"/>
      <c r="AQ229" s="428"/>
    </row>
    <row r="230" spans="6:43" ht="15.75" thickBot="1">
      <c r="F230" s="361" t="s">
        <v>394</v>
      </c>
      <c r="G230" s="359" t="e">
        <f>G219/G$217</f>
        <v>#DIV/0!</v>
      </c>
      <c r="H230" s="359"/>
      <c r="I230" s="359" t="e">
        <f>I219/I$217</f>
        <v>#DIV/0!</v>
      </c>
      <c r="J230" s="359"/>
      <c r="K230" s="359" t="e">
        <f>K219/K$217</f>
        <v>#DIV/0!</v>
      </c>
      <c r="L230" s="359"/>
      <c r="M230" s="359" t="e">
        <f>M219/M$217</f>
        <v>#DIV/0!</v>
      </c>
      <c r="N230" s="359"/>
      <c r="O230" s="359" t="e">
        <f>O219/O$217</f>
        <v>#DIV/0!</v>
      </c>
      <c r="P230" s="359"/>
      <c r="Q230" s="359" t="e">
        <f>Q219/Q$217</f>
        <v>#DIV/0!</v>
      </c>
      <c r="S230" s="361" t="s">
        <v>394</v>
      </c>
      <c r="T230" s="359" t="e">
        <f>T219/T$217</f>
        <v>#DIV/0!</v>
      </c>
      <c r="U230" s="359"/>
      <c r="V230" s="359" t="e">
        <f>V219/V$217</f>
        <v>#DIV/0!</v>
      </c>
      <c r="W230" s="359"/>
      <c r="X230" s="359" t="e">
        <f>X219/X$217</f>
        <v>#DIV/0!</v>
      </c>
      <c r="Y230" s="359"/>
      <c r="Z230" s="359" t="e">
        <f>Z219/Z$217</f>
        <v>#DIV/0!</v>
      </c>
      <c r="AA230" s="359"/>
      <c r="AB230" s="359" t="e">
        <f>AB219/AB$217</f>
        <v>#DIV/0!</v>
      </c>
      <c r="AC230" s="359"/>
      <c r="AD230" s="359" t="e">
        <f>AD219/AD$217</f>
        <v>#DIV/0!</v>
      </c>
      <c r="AF230" s="361" t="s">
        <v>394</v>
      </c>
      <c r="AG230" s="359" t="e">
        <f>AG219/AG$217</f>
        <v>#DIV/0!</v>
      </c>
      <c r="AH230" s="359"/>
      <c r="AI230" s="359" t="e">
        <f>AI219/AI$217</f>
        <v>#DIV/0!</v>
      </c>
      <c r="AJ230" s="359"/>
      <c r="AK230" s="359" t="e">
        <f>AK219/AK$217</f>
        <v>#DIV/0!</v>
      </c>
      <c r="AL230" s="359"/>
      <c r="AM230" s="359" t="e">
        <f>AM219/AM$217</f>
        <v>#DIV/0!</v>
      </c>
      <c r="AN230" s="359"/>
      <c r="AO230" s="359" t="e">
        <f>AO219/AO$217</f>
        <v>#DIV/0!</v>
      </c>
      <c r="AP230" s="359"/>
      <c r="AQ230" s="359" t="e">
        <f>AQ219/AQ$217</f>
        <v>#DIV/0!</v>
      </c>
    </row>
    <row r="231" spans="6:43" ht="15.75" thickBot="1">
      <c r="F231" s="361" t="s">
        <v>395</v>
      </c>
      <c r="G231" s="359" t="e">
        <f t="shared" ref="G231:I238" si="29">G220/G$217</f>
        <v>#DIV/0!</v>
      </c>
      <c r="H231" s="359"/>
      <c r="I231" s="359" t="e">
        <f t="shared" si="29"/>
        <v>#DIV/0!</v>
      </c>
      <c r="J231" s="359"/>
      <c r="K231" s="359" t="e">
        <f t="shared" ref="K231" si="30">K220/K$217</f>
        <v>#DIV/0!</v>
      </c>
      <c r="L231" s="359"/>
      <c r="M231" s="359" t="e">
        <f t="shared" ref="M231" si="31">M220/M$217</f>
        <v>#DIV/0!</v>
      </c>
      <c r="N231" s="359"/>
      <c r="O231" s="359" t="e">
        <f t="shared" ref="O231" si="32">O220/O$217</f>
        <v>#DIV/0!</v>
      </c>
      <c r="P231" s="359"/>
      <c r="Q231" s="359" t="e">
        <f t="shared" ref="Q231" si="33">Q220/Q$217</f>
        <v>#DIV/0!</v>
      </c>
      <c r="S231" s="361" t="s">
        <v>395</v>
      </c>
      <c r="T231" s="359" t="e">
        <f t="shared" ref="T231" si="34">T220/T$217</f>
        <v>#DIV/0!</v>
      </c>
      <c r="U231" s="359"/>
      <c r="V231" s="359" t="e">
        <f t="shared" ref="V231" si="35">V220/V$217</f>
        <v>#DIV/0!</v>
      </c>
      <c r="W231" s="359"/>
      <c r="X231" s="359" t="e">
        <f t="shared" ref="X231" si="36">X220/X$217</f>
        <v>#DIV/0!</v>
      </c>
      <c r="Y231" s="359"/>
      <c r="Z231" s="359" t="e">
        <f t="shared" ref="Z231" si="37">Z220/Z$217</f>
        <v>#DIV/0!</v>
      </c>
      <c r="AA231" s="359"/>
      <c r="AB231" s="359" t="e">
        <f t="shared" ref="AB231" si="38">AB220/AB$217</f>
        <v>#DIV/0!</v>
      </c>
      <c r="AC231" s="359"/>
      <c r="AD231" s="359" t="e">
        <f t="shared" ref="AD231" si="39">AD220/AD$217</f>
        <v>#DIV/0!</v>
      </c>
      <c r="AF231" s="361" t="s">
        <v>395</v>
      </c>
      <c r="AG231" s="359" t="e">
        <f t="shared" ref="AG231:AG238" si="40">AG220/AG$217</f>
        <v>#DIV/0!</v>
      </c>
      <c r="AH231" s="359"/>
      <c r="AI231" s="359" t="e">
        <f t="shared" ref="AI231:AI238" si="41">AI220/AI$217</f>
        <v>#DIV/0!</v>
      </c>
      <c r="AJ231" s="359"/>
      <c r="AK231" s="359" t="e">
        <f t="shared" ref="AK231:AK238" si="42">AK220/AK$217</f>
        <v>#DIV/0!</v>
      </c>
      <c r="AL231" s="359"/>
      <c r="AM231" s="359" t="e">
        <f t="shared" ref="AM231:AM238" si="43">AM220/AM$217</f>
        <v>#DIV/0!</v>
      </c>
      <c r="AN231" s="359"/>
      <c r="AO231" s="359" t="e">
        <f t="shared" ref="AO231:AO238" si="44">AO220/AO$217</f>
        <v>#DIV/0!</v>
      </c>
      <c r="AP231" s="359"/>
      <c r="AQ231" s="359" t="e">
        <f t="shared" ref="AQ231:AQ238" si="45">AQ220/AQ$217</f>
        <v>#DIV/0!</v>
      </c>
    </row>
    <row r="232" spans="6:43" ht="15.75" thickBot="1">
      <c r="F232" s="361" t="s">
        <v>396</v>
      </c>
      <c r="G232" s="359" t="e">
        <f t="shared" si="29"/>
        <v>#DIV/0!</v>
      </c>
      <c r="H232" s="359"/>
      <c r="I232" s="359" t="e">
        <f t="shared" si="29"/>
        <v>#DIV/0!</v>
      </c>
      <c r="J232" s="359"/>
      <c r="K232" s="359" t="e">
        <f t="shared" ref="K232" si="46">K221/K$217</f>
        <v>#DIV/0!</v>
      </c>
      <c r="L232" s="359"/>
      <c r="M232" s="359" t="e">
        <f t="shared" ref="M232" si="47">M221/M$217</f>
        <v>#DIV/0!</v>
      </c>
      <c r="N232" s="359"/>
      <c r="O232" s="359" t="e">
        <f t="shared" ref="O232" si="48">O221/O$217</f>
        <v>#DIV/0!</v>
      </c>
      <c r="P232" s="359"/>
      <c r="Q232" s="359" t="e">
        <f t="shared" ref="Q232" si="49">Q221/Q$217</f>
        <v>#DIV/0!</v>
      </c>
      <c r="S232" s="361" t="s">
        <v>396</v>
      </c>
      <c r="T232" s="359" t="e">
        <f t="shared" ref="T232" si="50">T221/T$217</f>
        <v>#DIV/0!</v>
      </c>
      <c r="U232" s="359"/>
      <c r="V232" s="359" t="e">
        <f t="shared" ref="V232" si="51">V221/V$217</f>
        <v>#DIV/0!</v>
      </c>
      <c r="W232" s="359"/>
      <c r="X232" s="359" t="e">
        <f t="shared" ref="X232" si="52">X221/X$217</f>
        <v>#DIV/0!</v>
      </c>
      <c r="Y232" s="359"/>
      <c r="Z232" s="359" t="e">
        <f t="shared" ref="Z232" si="53">Z221/Z$217</f>
        <v>#DIV/0!</v>
      </c>
      <c r="AA232" s="359"/>
      <c r="AB232" s="359" t="e">
        <f t="shared" ref="AB232" si="54">AB221/AB$217</f>
        <v>#DIV/0!</v>
      </c>
      <c r="AC232" s="359"/>
      <c r="AD232" s="359" t="e">
        <f t="shared" ref="AD232" si="55">AD221/AD$217</f>
        <v>#DIV/0!</v>
      </c>
      <c r="AF232" s="361" t="s">
        <v>396</v>
      </c>
      <c r="AG232" s="359" t="e">
        <f t="shared" si="40"/>
        <v>#DIV/0!</v>
      </c>
      <c r="AH232" s="359"/>
      <c r="AI232" s="359" t="e">
        <f t="shared" si="41"/>
        <v>#DIV/0!</v>
      </c>
      <c r="AJ232" s="359"/>
      <c r="AK232" s="359" t="e">
        <f t="shared" si="42"/>
        <v>#DIV/0!</v>
      </c>
      <c r="AL232" s="359"/>
      <c r="AM232" s="359" t="e">
        <f t="shared" si="43"/>
        <v>#DIV/0!</v>
      </c>
      <c r="AN232" s="359"/>
      <c r="AO232" s="359" t="e">
        <f t="shared" si="44"/>
        <v>#DIV/0!</v>
      </c>
      <c r="AP232" s="359"/>
      <c r="AQ232" s="359" t="e">
        <f t="shared" si="45"/>
        <v>#DIV/0!</v>
      </c>
    </row>
    <row r="233" spans="6:43" ht="15.75" thickBot="1">
      <c r="F233" s="361" t="s">
        <v>397</v>
      </c>
      <c r="G233" s="359" t="e">
        <f t="shared" si="29"/>
        <v>#DIV/0!</v>
      </c>
      <c r="H233" s="359"/>
      <c r="I233" s="359" t="e">
        <f t="shared" si="29"/>
        <v>#DIV/0!</v>
      </c>
      <c r="J233" s="359"/>
      <c r="K233" s="359" t="e">
        <f t="shared" ref="K233" si="56">K222/K$217</f>
        <v>#DIV/0!</v>
      </c>
      <c r="L233" s="359"/>
      <c r="M233" s="359" t="e">
        <f t="shared" ref="M233" si="57">M222/M$217</f>
        <v>#DIV/0!</v>
      </c>
      <c r="N233" s="359"/>
      <c r="O233" s="359" t="e">
        <f t="shared" ref="O233" si="58">O222/O$217</f>
        <v>#DIV/0!</v>
      </c>
      <c r="P233" s="359"/>
      <c r="Q233" s="359" t="e">
        <f t="shared" ref="Q233" si="59">Q222/Q$217</f>
        <v>#DIV/0!</v>
      </c>
      <c r="S233" s="361" t="s">
        <v>397</v>
      </c>
      <c r="T233" s="359" t="e">
        <f t="shared" ref="T233" si="60">T222/T$217</f>
        <v>#DIV/0!</v>
      </c>
      <c r="U233" s="359"/>
      <c r="V233" s="359" t="e">
        <f t="shared" ref="V233" si="61">V222/V$217</f>
        <v>#DIV/0!</v>
      </c>
      <c r="W233" s="359"/>
      <c r="X233" s="359" t="e">
        <f t="shared" ref="X233" si="62">X222/X$217</f>
        <v>#DIV/0!</v>
      </c>
      <c r="Y233" s="359"/>
      <c r="Z233" s="359" t="e">
        <f t="shared" ref="Z233" si="63">Z222/Z$217</f>
        <v>#DIV/0!</v>
      </c>
      <c r="AA233" s="359"/>
      <c r="AB233" s="359" t="e">
        <f t="shared" ref="AB233" si="64">AB222/AB$217</f>
        <v>#DIV/0!</v>
      </c>
      <c r="AC233" s="359"/>
      <c r="AD233" s="359" t="e">
        <f t="shared" ref="AD233" si="65">AD222/AD$217</f>
        <v>#DIV/0!</v>
      </c>
      <c r="AF233" s="361" t="s">
        <v>397</v>
      </c>
      <c r="AG233" s="359" t="e">
        <f t="shared" si="40"/>
        <v>#DIV/0!</v>
      </c>
      <c r="AH233" s="359"/>
      <c r="AI233" s="359" t="e">
        <f t="shared" si="41"/>
        <v>#DIV/0!</v>
      </c>
      <c r="AJ233" s="359"/>
      <c r="AK233" s="359" t="e">
        <f t="shared" si="42"/>
        <v>#DIV/0!</v>
      </c>
      <c r="AL233" s="359"/>
      <c r="AM233" s="359" t="e">
        <f t="shared" si="43"/>
        <v>#DIV/0!</v>
      </c>
      <c r="AN233" s="359"/>
      <c r="AO233" s="359" t="e">
        <f t="shared" si="44"/>
        <v>#DIV/0!</v>
      </c>
      <c r="AP233" s="359"/>
      <c r="AQ233" s="359" t="e">
        <f t="shared" si="45"/>
        <v>#DIV/0!</v>
      </c>
    </row>
    <row r="234" spans="6:43" ht="15.75" thickBot="1">
      <c r="F234" s="361" t="s">
        <v>398</v>
      </c>
      <c r="G234" s="359" t="e">
        <f t="shared" si="29"/>
        <v>#DIV/0!</v>
      </c>
      <c r="H234" s="359"/>
      <c r="I234" s="359" t="e">
        <f t="shared" si="29"/>
        <v>#DIV/0!</v>
      </c>
      <c r="J234" s="359"/>
      <c r="K234" s="359" t="e">
        <f t="shared" ref="K234" si="66">K223/K$217</f>
        <v>#DIV/0!</v>
      </c>
      <c r="L234" s="359"/>
      <c r="M234" s="359" t="e">
        <f t="shared" ref="M234" si="67">M223/M$217</f>
        <v>#DIV/0!</v>
      </c>
      <c r="N234" s="359"/>
      <c r="O234" s="359" t="e">
        <f t="shared" ref="O234" si="68">O223/O$217</f>
        <v>#DIV/0!</v>
      </c>
      <c r="P234" s="359"/>
      <c r="Q234" s="359" t="e">
        <f t="shared" ref="Q234" si="69">Q223/Q$217</f>
        <v>#DIV/0!</v>
      </c>
      <c r="S234" s="361" t="s">
        <v>398</v>
      </c>
      <c r="T234" s="359" t="e">
        <f t="shared" ref="T234" si="70">T223/T$217</f>
        <v>#DIV/0!</v>
      </c>
      <c r="U234" s="359"/>
      <c r="V234" s="359" t="e">
        <f t="shared" ref="V234" si="71">V223/V$217</f>
        <v>#DIV/0!</v>
      </c>
      <c r="W234" s="359"/>
      <c r="X234" s="359" t="e">
        <f t="shared" ref="X234" si="72">X223/X$217</f>
        <v>#DIV/0!</v>
      </c>
      <c r="Y234" s="359"/>
      <c r="Z234" s="359" t="e">
        <f t="shared" ref="Z234" si="73">Z223/Z$217</f>
        <v>#DIV/0!</v>
      </c>
      <c r="AA234" s="359"/>
      <c r="AB234" s="359" t="e">
        <f t="shared" ref="AB234" si="74">AB223/AB$217</f>
        <v>#DIV/0!</v>
      </c>
      <c r="AC234" s="359"/>
      <c r="AD234" s="359" t="e">
        <f t="shared" ref="AD234" si="75">AD223/AD$217</f>
        <v>#DIV/0!</v>
      </c>
      <c r="AF234" s="361" t="s">
        <v>398</v>
      </c>
      <c r="AG234" s="359" t="e">
        <f t="shared" si="40"/>
        <v>#DIV/0!</v>
      </c>
      <c r="AH234" s="359"/>
      <c r="AI234" s="359" t="e">
        <f t="shared" si="41"/>
        <v>#DIV/0!</v>
      </c>
      <c r="AJ234" s="359"/>
      <c r="AK234" s="359" t="e">
        <f t="shared" si="42"/>
        <v>#DIV/0!</v>
      </c>
      <c r="AL234" s="359"/>
      <c r="AM234" s="359" t="e">
        <f t="shared" si="43"/>
        <v>#DIV/0!</v>
      </c>
      <c r="AN234" s="359"/>
      <c r="AO234" s="359" t="e">
        <f t="shared" si="44"/>
        <v>#DIV/0!</v>
      </c>
      <c r="AP234" s="359"/>
      <c r="AQ234" s="359" t="e">
        <f t="shared" si="45"/>
        <v>#DIV/0!</v>
      </c>
    </row>
    <row r="235" spans="6:43" ht="15.75" thickBot="1">
      <c r="F235" s="361" t="s">
        <v>399</v>
      </c>
      <c r="G235" s="359" t="e">
        <f t="shared" si="29"/>
        <v>#DIV/0!</v>
      </c>
      <c r="H235" s="359"/>
      <c r="I235" s="359" t="e">
        <f t="shared" si="29"/>
        <v>#DIV/0!</v>
      </c>
      <c r="J235" s="359"/>
      <c r="K235" s="359" t="e">
        <f t="shared" ref="K235" si="76">K224/K$217</f>
        <v>#DIV/0!</v>
      </c>
      <c r="L235" s="359"/>
      <c r="M235" s="359" t="e">
        <f t="shared" ref="M235" si="77">M224/M$217</f>
        <v>#DIV/0!</v>
      </c>
      <c r="N235" s="359"/>
      <c r="O235" s="359" t="e">
        <f t="shared" ref="O235" si="78">O224/O$217</f>
        <v>#DIV/0!</v>
      </c>
      <c r="P235" s="359"/>
      <c r="Q235" s="359" t="e">
        <f t="shared" ref="Q235" si="79">Q224/Q$217</f>
        <v>#DIV/0!</v>
      </c>
      <c r="S235" s="361" t="s">
        <v>399</v>
      </c>
      <c r="T235" s="359" t="e">
        <f t="shared" ref="T235" si="80">T224/T$217</f>
        <v>#DIV/0!</v>
      </c>
      <c r="U235" s="359"/>
      <c r="V235" s="359" t="e">
        <f t="shared" ref="V235" si="81">V224/V$217</f>
        <v>#DIV/0!</v>
      </c>
      <c r="W235" s="359"/>
      <c r="X235" s="359" t="e">
        <f t="shared" ref="X235" si="82">X224/X$217</f>
        <v>#DIV/0!</v>
      </c>
      <c r="Y235" s="359"/>
      <c r="Z235" s="359" t="e">
        <f t="shared" ref="Z235" si="83">Z224/Z$217</f>
        <v>#DIV/0!</v>
      </c>
      <c r="AA235" s="359"/>
      <c r="AB235" s="359" t="e">
        <f t="shared" ref="AB235" si="84">AB224/AB$217</f>
        <v>#DIV/0!</v>
      </c>
      <c r="AC235" s="359"/>
      <c r="AD235" s="359" t="e">
        <f t="shared" ref="AD235" si="85">AD224/AD$217</f>
        <v>#DIV/0!</v>
      </c>
      <c r="AF235" s="361" t="s">
        <v>399</v>
      </c>
      <c r="AG235" s="359" t="e">
        <f t="shared" si="40"/>
        <v>#DIV/0!</v>
      </c>
      <c r="AH235" s="359"/>
      <c r="AI235" s="359" t="e">
        <f t="shared" si="41"/>
        <v>#DIV/0!</v>
      </c>
      <c r="AJ235" s="359"/>
      <c r="AK235" s="359" t="e">
        <f t="shared" si="42"/>
        <v>#DIV/0!</v>
      </c>
      <c r="AL235" s="359"/>
      <c r="AM235" s="359" t="e">
        <f t="shared" si="43"/>
        <v>#DIV/0!</v>
      </c>
      <c r="AN235" s="359"/>
      <c r="AO235" s="359" t="e">
        <f t="shared" si="44"/>
        <v>#DIV/0!</v>
      </c>
      <c r="AP235" s="359"/>
      <c r="AQ235" s="359" t="e">
        <f t="shared" si="45"/>
        <v>#DIV/0!</v>
      </c>
    </row>
    <row r="236" spans="6:43" ht="15.75" thickBot="1">
      <c r="F236" s="361" t="s">
        <v>400</v>
      </c>
      <c r="G236" s="359" t="e">
        <f t="shared" si="29"/>
        <v>#DIV/0!</v>
      </c>
      <c r="H236" s="359"/>
      <c r="I236" s="359" t="e">
        <f t="shared" si="29"/>
        <v>#DIV/0!</v>
      </c>
      <c r="J236" s="359"/>
      <c r="K236" s="359" t="e">
        <f t="shared" ref="K236" si="86">K225/K$217</f>
        <v>#DIV/0!</v>
      </c>
      <c r="L236" s="359"/>
      <c r="M236" s="359" t="e">
        <f t="shared" ref="M236" si="87">M225/M$217</f>
        <v>#DIV/0!</v>
      </c>
      <c r="N236" s="359"/>
      <c r="O236" s="359" t="e">
        <f t="shared" ref="O236" si="88">O225/O$217</f>
        <v>#DIV/0!</v>
      </c>
      <c r="P236" s="359"/>
      <c r="Q236" s="359" t="e">
        <f t="shared" ref="Q236" si="89">Q225/Q$217</f>
        <v>#DIV/0!</v>
      </c>
      <c r="S236" s="361" t="s">
        <v>400</v>
      </c>
      <c r="T236" s="359" t="e">
        <f t="shared" ref="T236" si="90">T225/T$217</f>
        <v>#DIV/0!</v>
      </c>
      <c r="U236" s="359"/>
      <c r="V236" s="359" t="e">
        <f t="shared" ref="V236" si="91">V225/V$217</f>
        <v>#DIV/0!</v>
      </c>
      <c r="W236" s="359"/>
      <c r="X236" s="359" t="e">
        <f t="shared" ref="X236" si="92">X225/X$217</f>
        <v>#DIV/0!</v>
      </c>
      <c r="Y236" s="359"/>
      <c r="Z236" s="359" t="e">
        <f t="shared" ref="Z236" si="93">Z225/Z$217</f>
        <v>#DIV/0!</v>
      </c>
      <c r="AA236" s="359"/>
      <c r="AB236" s="359" t="e">
        <f t="shared" ref="AB236" si="94">AB225/AB$217</f>
        <v>#DIV/0!</v>
      </c>
      <c r="AC236" s="359"/>
      <c r="AD236" s="359" t="e">
        <f t="shared" ref="AD236" si="95">AD225/AD$217</f>
        <v>#DIV/0!</v>
      </c>
      <c r="AF236" s="361" t="s">
        <v>400</v>
      </c>
      <c r="AG236" s="359" t="e">
        <f t="shared" si="40"/>
        <v>#DIV/0!</v>
      </c>
      <c r="AH236" s="359"/>
      <c r="AI236" s="359" t="e">
        <f t="shared" si="41"/>
        <v>#DIV/0!</v>
      </c>
      <c r="AJ236" s="359"/>
      <c r="AK236" s="359" t="e">
        <f t="shared" si="42"/>
        <v>#DIV/0!</v>
      </c>
      <c r="AL236" s="359"/>
      <c r="AM236" s="359" t="e">
        <f t="shared" si="43"/>
        <v>#DIV/0!</v>
      </c>
      <c r="AN236" s="359"/>
      <c r="AO236" s="359" t="e">
        <f t="shared" si="44"/>
        <v>#DIV/0!</v>
      </c>
      <c r="AP236" s="359"/>
      <c r="AQ236" s="359" t="e">
        <f t="shared" si="45"/>
        <v>#DIV/0!</v>
      </c>
    </row>
    <row r="237" spans="6:43" ht="15.75" thickBot="1">
      <c r="F237" s="361" t="s">
        <v>401</v>
      </c>
      <c r="G237" s="359" t="e">
        <f t="shared" si="29"/>
        <v>#DIV/0!</v>
      </c>
      <c r="H237" s="359"/>
      <c r="I237" s="359" t="e">
        <f t="shared" si="29"/>
        <v>#DIV/0!</v>
      </c>
      <c r="J237" s="359"/>
      <c r="K237" s="359" t="e">
        <f t="shared" ref="K237" si="96">K226/K$217</f>
        <v>#DIV/0!</v>
      </c>
      <c r="L237" s="359"/>
      <c r="M237" s="359" t="e">
        <f t="shared" ref="M237" si="97">M226/M$217</f>
        <v>#DIV/0!</v>
      </c>
      <c r="N237" s="359"/>
      <c r="O237" s="359" t="e">
        <f t="shared" ref="O237" si="98">O226/O$217</f>
        <v>#DIV/0!</v>
      </c>
      <c r="P237" s="359"/>
      <c r="Q237" s="359" t="e">
        <f t="shared" ref="Q237" si="99">Q226/Q$217</f>
        <v>#DIV/0!</v>
      </c>
      <c r="S237" s="361" t="s">
        <v>401</v>
      </c>
      <c r="T237" s="359" t="e">
        <f t="shared" ref="T237" si="100">T226/T$217</f>
        <v>#DIV/0!</v>
      </c>
      <c r="U237" s="359"/>
      <c r="V237" s="359" t="e">
        <f t="shared" ref="V237" si="101">V226/V$217</f>
        <v>#DIV/0!</v>
      </c>
      <c r="W237" s="359"/>
      <c r="X237" s="359" t="e">
        <f t="shared" ref="X237" si="102">X226/X$217</f>
        <v>#DIV/0!</v>
      </c>
      <c r="Y237" s="359"/>
      <c r="Z237" s="359" t="e">
        <f t="shared" ref="Z237" si="103">Z226/Z$217</f>
        <v>#DIV/0!</v>
      </c>
      <c r="AA237" s="359"/>
      <c r="AB237" s="359" t="e">
        <f t="shared" ref="AB237" si="104">AB226/AB$217</f>
        <v>#DIV/0!</v>
      </c>
      <c r="AC237" s="359"/>
      <c r="AD237" s="359" t="e">
        <f t="shared" ref="AD237" si="105">AD226/AD$217</f>
        <v>#DIV/0!</v>
      </c>
      <c r="AF237" s="361" t="s">
        <v>401</v>
      </c>
      <c r="AG237" s="359" t="e">
        <f t="shared" si="40"/>
        <v>#DIV/0!</v>
      </c>
      <c r="AH237" s="359"/>
      <c r="AI237" s="359" t="e">
        <f t="shared" si="41"/>
        <v>#DIV/0!</v>
      </c>
      <c r="AJ237" s="359"/>
      <c r="AK237" s="359" t="e">
        <f t="shared" si="42"/>
        <v>#DIV/0!</v>
      </c>
      <c r="AL237" s="359"/>
      <c r="AM237" s="359" t="e">
        <f t="shared" si="43"/>
        <v>#DIV/0!</v>
      </c>
      <c r="AN237" s="359"/>
      <c r="AO237" s="359" t="e">
        <f t="shared" si="44"/>
        <v>#DIV/0!</v>
      </c>
      <c r="AP237" s="359"/>
      <c r="AQ237" s="359" t="e">
        <f t="shared" si="45"/>
        <v>#DIV/0!</v>
      </c>
    </row>
    <row r="238" spans="6:43" ht="15.75" thickBot="1">
      <c r="F238" s="361" t="s">
        <v>402</v>
      </c>
      <c r="G238" s="359" t="e">
        <f t="shared" si="29"/>
        <v>#DIV/0!</v>
      </c>
      <c r="H238" s="359"/>
      <c r="I238" s="359" t="e">
        <f t="shared" si="29"/>
        <v>#DIV/0!</v>
      </c>
      <c r="J238" s="359"/>
      <c r="K238" s="359" t="e">
        <f t="shared" ref="K238" si="106">K227/K$217</f>
        <v>#DIV/0!</v>
      </c>
      <c r="L238" s="359"/>
      <c r="M238" s="359" t="e">
        <f t="shared" ref="M238" si="107">M227/M$217</f>
        <v>#DIV/0!</v>
      </c>
      <c r="N238" s="359"/>
      <c r="O238" s="359" t="e">
        <f t="shared" ref="O238" si="108">O227/O$217</f>
        <v>#DIV/0!</v>
      </c>
      <c r="P238" s="359"/>
      <c r="Q238" s="359" t="e">
        <f t="shared" ref="Q238" si="109">Q227/Q$217</f>
        <v>#DIV/0!</v>
      </c>
      <c r="S238" s="361" t="s">
        <v>402</v>
      </c>
      <c r="T238" s="359" t="e">
        <f t="shared" ref="T238" si="110">T227/T$217</f>
        <v>#DIV/0!</v>
      </c>
      <c r="U238" s="359"/>
      <c r="V238" s="359" t="e">
        <f t="shared" ref="V238" si="111">V227/V$217</f>
        <v>#DIV/0!</v>
      </c>
      <c r="W238" s="359"/>
      <c r="X238" s="359" t="e">
        <f t="shared" ref="X238" si="112">X227/X$217</f>
        <v>#DIV/0!</v>
      </c>
      <c r="Y238" s="359"/>
      <c r="Z238" s="359" t="e">
        <f t="shared" ref="Z238" si="113">Z227/Z$217</f>
        <v>#DIV/0!</v>
      </c>
      <c r="AA238" s="359"/>
      <c r="AB238" s="359" t="e">
        <f t="shared" ref="AB238" si="114">AB227/AB$217</f>
        <v>#DIV/0!</v>
      </c>
      <c r="AC238" s="359"/>
      <c r="AD238" s="359" t="e">
        <f t="shared" ref="AD238" si="115">AD227/AD$217</f>
        <v>#DIV/0!</v>
      </c>
      <c r="AF238" s="361" t="s">
        <v>402</v>
      </c>
      <c r="AG238" s="359" t="e">
        <f t="shared" si="40"/>
        <v>#DIV/0!</v>
      </c>
      <c r="AH238" s="359"/>
      <c r="AI238" s="359" t="e">
        <f t="shared" si="41"/>
        <v>#DIV/0!</v>
      </c>
      <c r="AJ238" s="359"/>
      <c r="AK238" s="359" t="e">
        <f t="shared" si="42"/>
        <v>#DIV/0!</v>
      </c>
      <c r="AL238" s="359"/>
      <c r="AM238" s="359" t="e">
        <f t="shared" si="43"/>
        <v>#DIV/0!</v>
      </c>
      <c r="AN238" s="359"/>
      <c r="AO238" s="359" t="e">
        <f t="shared" si="44"/>
        <v>#DIV/0!</v>
      </c>
      <c r="AP238" s="359"/>
      <c r="AQ238" s="359" t="e">
        <f t="shared" si="45"/>
        <v>#DIV/0!</v>
      </c>
    </row>
  </sheetData>
  <mergeCells count="24">
    <mergeCell ref="F1:P1"/>
    <mergeCell ref="S1:AD1"/>
    <mergeCell ref="AF1:AQ1"/>
    <mergeCell ref="F2:G2"/>
    <mergeCell ref="H2:I2"/>
    <mergeCell ref="J2:K2"/>
    <mergeCell ref="L2:M2"/>
    <mergeCell ref="N2:O2"/>
    <mergeCell ref="P2:Q2"/>
    <mergeCell ref="S2:T2"/>
    <mergeCell ref="F229:Q229"/>
    <mergeCell ref="S229:AD229"/>
    <mergeCell ref="AF229:AQ229"/>
    <mergeCell ref="AH2:AI2"/>
    <mergeCell ref="AJ2:AK2"/>
    <mergeCell ref="AL2:AM2"/>
    <mergeCell ref="AN2:AO2"/>
    <mergeCell ref="AP2:AQ2"/>
    <mergeCell ref="U2:V2"/>
    <mergeCell ref="W2:X2"/>
    <mergeCell ref="Y2:Z2"/>
    <mergeCell ref="AA2:AB2"/>
    <mergeCell ref="AC2:AD2"/>
    <mergeCell ref="AF2:AG2"/>
  </mergeCells>
  <phoneticPr fontId="2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3268-EB0D-4190-9141-2BA37651A08B}">
  <dimension ref="A1:AC101"/>
  <sheetViews>
    <sheetView zoomScaleNormal="100" workbookViewId="0">
      <selection activeCell="S26" sqref="S26"/>
    </sheetView>
  </sheetViews>
  <sheetFormatPr defaultColWidth="0" defaultRowHeight="15" zeroHeight="1"/>
  <cols>
    <col min="1" max="1" width="3" customWidth="1"/>
    <col min="2" max="2" width="11" bestFit="1" customWidth="1"/>
    <col min="3" max="3" width="17.85546875" bestFit="1" customWidth="1"/>
    <col min="4" max="4" width="24.85546875" bestFit="1" customWidth="1"/>
    <col min="5" max="5" width="19.42578125" bestFit="1" customWidth="1"/>
    <col min="6" max="6" width="19.42578125" customWidth="1"/>
    <col min="7" max="7" width="27.7109375" bestFit="1" customWidth="1"/>
    <col min="8" max="8" width="9.5703125" bestFit="1" customWidth="1"/>
    <col min="9" max="9" width="11.5703125" customWidth="1"/>
    <col min="10" max="10" width="14.5703125" bestFit="1" customWidth="1"/>
    <col min="11" max="11" width="22.28515625" bestFit="1" customWidth="1"/>
    <col min="12" max="12" width="23.7109375" bestFit="1" customWidth="1"/>
    <col min="13" max="13" width="23.140625" bestFit="1" customWidth="1"/>
    <col min="14" max="14" width="15.7109375" bestFit="1" customWidth="1"/>
    <col min="15" max="15" width="5.42578125" customWidth="1"/>
    <col min="16" max="16" width="10.85546875" bestFit="1" customWidth="1"/>
    <col min="17" max="17" width="13.28515625" bestFit="1" customWidth="1"/>
    <col min="18" max="18" width="23.7109375" bestFit="1" customWidth="1"/>
    <col min="19" max="19" width="23.140625" bestFit="1" customWidth="1"/>
    <col min="20" max="20" width="37.42578125" bestFit="1" customWidth="1"/>
    <col min="21" max="21" width="7.5703125" bestFit="1" customWidth="1"/>
    <col min="22" max="22" width="9.7109375" bestFit="1" customWidth="1"/>
    <col min="23" max="23" width="17.28515625" bestFit="1" customWidth="1"/>
    <col min="24" max="24" width="23.28515625" bestFit="1" customWidth="1"/>
    <col min="25" max="25" width="22.5703125" bestFit="1" customWidth="1"/>
    <col min="26" max="26" width="14.7109375" bestFit="1" customWidth="1"/>
    <col min="27" max="27" width="4" style="68" customWidth="1"/>
    <col min="28" max="29" width="0" hidden="1" customWidth="1"/>
    <col min="30" max="16384" width="11.5703125" hidden="1"/>
  </cols>
  <sheetData>
    <row r="1" spans="1:26" ht="15.75" thickBot="1">
      <c r="A1" s="68"/>
      <c r="B1" s="190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5" customHeight="1" thickBot="1">
      <c r="A2" s="68"/>
      <c r="B2" s="31" t="s">
        <v>404</v>
      </c>
      <c r="C2" s="32" t="s">
        <v>405</v>
      </c>
      <c r="D2" s="214" t="s">
        <v>406</v>
      </c>
      <c r="E2" s="214" t="s">
        <v>407</v>
      </c>
      <c r="F2" s="33" t="s">
        <v>408</v>
      </c>
      <c r="G2" s="33" t="s">
        <v>409</v>
      </c>
      <c r="H2" s="34" t="s">
        <v>410</v>
      </c>
      <c r="I2" s="68"/>
      <c r="J2" s="18" t="s">
        <v>411</v>
      </c>
      <c r="K2" s="19" t="s">
        <v>412</v>
      </c>
      <c r="L2" s="20" t="s">
        <v>413</v>
      </c>
      <c r="M2" s="21" t="s">
        <v>414</v>
      </c>
      <c r="N2" s="68"/>
      <c r="O2" s="68"/>
      <c r="P2" s="441" t="s">
        <v>415</v>
      </c>
      <c r="Q2" s="442"/>
      <c r="R2" s="442"/>
      <c r="S2" s="443"/>
      <c r="T2" s="68"/>
      <c r="U2" s="68"/>
      <c r="V2" s="68"/>
      <c r="W2" s="68"/>
      <c r="X2" s="68"/>
      <c r="Y2" s="68"/>
      <c r="Z2" s="68"/>
    </row>
    <row r="3" spans="1:26" ht="15" customHeight="1" thickBot="1">
      <c r="A3" s="68"/>
      <c r="B3" s="35" t="s">
        <v>0</v>
      </c>
      <c r="C3" s="42">
        <f>1-((K6/$K$3))</f>
        <v>4.2711300092262094E-2</v>
      </c>
      <c r="D3" s="215">
        <v>0.33333000000000002</v>
      </c>
      <c r="E3" s="216">
        <v>190</v>
      </c>
      <c r="F3" s="211"/>
      <c r="G3" s="135">
        <f>1-6/6</f>
        <v>0</v>
      </c>
      <c r="H3" s="222"/>
      <c r="I3" s="68"/>
      <c r="J3" s="22" t="s">
        <v>416</v>
      </c>
      <c r="K3" s="10">
        <v>9.9716000000000005</v>
      </c>
      <c r="L3" s="8">
        <v>2.8184</v>
      </c>
      <c r="M3" s="9">
        <v>9.8007000000000009</v>
      </c>
      <c r="N3" s="68"/>
      <c r="O3" s="68"/>
      <c r="P3" s="444"/>
      <c r="Q3" s="445"/>
      <c r="R3" s="445"/>
      <c r="S3" s="446"/>
      <c r="T3" s="68"/>
      <c r="U3" s="68"/>
      <c r="V3" s="68"/>
      <c r="W3" s="68"/>
      <c r="X3" s="68"/>
      <c r="Y3" s="68"/>
      <c r="Z3" s="68"/>
    </row>
    <row r="4" spans="1:26" ht="15" customHeight="1" thickBot="1">
      <c r="A4" s="68"/>
      <c r="B4" s="36" t="s">
        <v>2</v>
      </c>
      <c r="C4" s="43">
        <f>1-((L6/$L$3))</f>
        <v>3.3316775475447091E-2</v>
      </c>
      <c r="D4" s="217">
        <v>1.63</v>
      </c>
      <c r="E4" s="218">
        <v>61.6</v>
      </c>
      <c r="F4" s="212"/>
      <c r="G4" s="2">
        <f>1-2/6</f>
        <v>0.66666666666666674</v>
      </c>
      <c r="H4" s="223"/>
      <c r="I4" s="68"/>
      <c r="J4" s="68"/>
      <c r="K4" s="68"/>
      <c r="L4" s="68"/>
      <c r="M4" s="68"/>
      <c r="N4" s="68"/>
      <c r="O4" s="68"/>
      <c r="P4" s="444"/>
      <c r="Q4" s="445"/>
      <c r="R4" s="445"/>
      <c r="S4" s="446"/>
      <c r="T4" s="68"/>
      <c r="U4" s="68"/>
      <c r="V4" s="68"/>
      <c r="W4" s="68"/>
      <c r="X4" s="68"/>
      <c r="Y4" s="68"/>
      <c r="Z4" s="68"/>
    </row>
    <row r="5" spans="1:26" ht="15" customHeight="1" thickBot="1">
      <c r="A5" s="68"/>
      <c r="B5" s="37" t="s">
        <v>4</v>
      </c>
      <c r="C5" s="44">
        <f>1-((M6/$M$3))</f>
        <v>3.5517871172467297E-2</v>
      </c>
      <c r="D5" s="219">
        <v>1.5</v>
      </c>
      <c r="E5" s="220">
        <v>1112.5999999999999</v>
      </c>
      <c r="F5" s="213"/>
      <c r="G5" s="136">
        <f>1-5/6</f>
        <v>0.16666666666666663</v>
      </c>
      <c r="H5" s="224"/>
      <c r="I5" s="68"/>
      <c r="J5" s="23" t="s">
        <v>250</v>
      </c>
      <c r="K5" s="24" t="s">
        <v>412</v>
      </c>
      <c r="L5" s="25" t="s">
        <v>413</v>
      </c>
      <c r="M5" s="26" t="s">
        <v>414</v>
      </c>
      <c r="N5" s="68"/>
      <c r="O5" s="68"/>
      <c r="P5" s="447"/>
      <c r="Q5" s="448"/>
      <c r="R5" s="448"/>
      <c r="S5" s="449"/>
      <c r="T5" s="68"/>
      <c r="U5" s="68"/>
      <c r="V5" s="68"/>
      <c r="W5" s="68"/>
      <c r="X5" s="68"/>
      <c r="Y5" s="68"/>
      <c r="Z5" s="68"/>
    </row>
    <row r="6" spans="1:26" ht="15.75" thickBot="1">
      <c r="A6" s="68"/>
      <c r="B6" s="31" t="s">
        <v>417</v>
      </c>
      <c r="C6" s="32" t="s">
        <v>405</v>
      </c>
      <c r="D6" s="214" t="s">
        <v>406</v>
      </c>
      <c r="E6" s="214" t="s">
        <v>407</v>
      </c>
      <c r="F6" s="33" t="s">
        <v>408</v>
      </c>
      <c r="G6" s="33" t="s">
        <v>409</v>
      </c>
      <c r="H6" s="34" t="s">
        <v>410</v>
      </c>
      <c r="I6" s="68"/>
      <c r="J6" s="27" t="s">
        <v>257</v>
      </c>
      <c r="K6" s="12">
        <v>9.5457000000000001</v>
      </c>
      <c r="L6" s="11">
        <v>2.7244999999999999</v>
      </c>
      <c r="M6" s="13">
        <v>9.4526000000000003</v>
      </c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>
      <c r="A7" s="68"/>
      <c r="B7" s="38" t="s">
        <v>0</v>
      </c>
      <c r="C7" s="42">
        <f>1-((K7/$K$3))</f>
        <v>4.5218420313690944E-2</v>
      </c>
      <c r="D7" s="215">
        <v>0.33333000000000002</v>
      </c>
      <c r="E7" s="216">
        <v>190</v>
      </c>
      <c r="F7" s="211"/>
      <c r="G7" s="135">
        <f>1-6/6</f>
        <v>0</v>
      </c>
      <c r="H7" s="222"/>
      <c r="I7" s="68"/>
      <c r="J7" s="28" t="s">
        <v>261</v>
      </c>
      <c r="K7" s="4">
        <v>9.5206999999999997</v>
      </c>
      <c r="L7" s="3">
        <v>2.7244999999999999</v>
      </c>
      <c r="M7" s="5">
        <v>9.4281000000000006</v>
      </c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>
      <c r="A8" s="68"/>
      <c r="B8" s="39" t="s">
        <v>2</v>
      </c>
      <c r="C8" s="43">
        <f>1-((L7/$L$3))</f>
        <v>3.3316775475447091E-2</v>
      </c>
      <c r="D8" s="217">
        <v>1.63</v>
      </c>
      <c r="E8" s="218">
        <v>61.6</v>
      </c>
      <c r="F8" s="212"/>
      <c r="G8" s="2">
        <f>1-2/6</f>
        <v>0.66666666666666674</v>
      </c>
      <c r="H8" s="223"/>
      <c r="I8" s="68"/>
      <c r="J8" s="28" t="s">
        <v>264</v>
      </c>
      <c r="K8" s="4">
        <v>9.5206999999999997</v>
      </c>
      <c r="L8" s="3">
        <v>2.7244999999999999</v>
      </c>
      <c r="M8" s="5">
        <v>9.4281000000000006</v>
      </c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15.75" thickBot="1">
      <c r="A9" s="68"/>
      <c r="B9" s="40" t="s">
        <v>4</v>
      </c>
      <c r="C9" s="44">
        <f>1-((M7/$M$3))</f>
        <v>3.8017692613792953E-2</v>
      </c>
      <c r="D9" s="219">
        <v>1.5</v>
      </c>
      <c r="E9" s="220">
        <v>1112.5999999999999</v>
      </c>
      <c r="F9" s="213"/>
      <c r="G9" s="136">
        <f>1-4/6</f>
        <v>0.33333333333333337</v>
      </c>
      <c r="H9" s="224"/>
      <c r="I9" s="68"/>
      <c r="J9" s="28" t="s">
        <v>268</v>
      </c>
      <c r="K9" s="4">
        <v>9.5206999999999997</v>
      </c>
      <c r="L9" s="3">
        <v>2.7244999999999999</v>
      </c>
      <c r="M9" s="5">
        <v>9.4396000000000004</v>
      </c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5.75" thickBot="1">
      <c r="A10" s="68"/>
      <c r="B10" s="41" t="s">
        <v>418</v>
      </c>
      <c r="C10" s="32" t="s">
        <v>405</v>
      </c>
      <c r="D10" s="214" t="s">
        <v>406</v>
      </c>
      <c r="E10" s="214" t="s">
        <v>407</v>
      </c>
      <c r="F10" s="33" t="s">
        <v>408</v>
      </c>
      <c r="G10" s="33" t="s">
        <v>409</v>
      </c>
      <c r="H10" s="34" t="s">
        <v>410</v>
      </c>
      <c r="I10" s="68"/>
      <c r="J10" s="28" t="s">
        <v>272</v>
      </c>
      <c r="K10" s="4">
        <v>9.5242000000000004</v>
      </c>
      <c r="L10" s="3">
        <v>2.7244999999999999</v>
      </c>
      <c r="M10" s="5">
        <v>9.4396000000000004</v>
      </c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>
      <c r="A11" s="68"/>
      <c r="B11" s="35" t="s">
        <v>0</v>
      </c>
      <c r="C11" s="42">
        <f>1-((K8/$K$3))</f>
        <v>4.5218420313690944E-2</v>
      </c>
      <c r="D11" s="215">
        <v>0.33333000000000002</v>
      </c>
      <c r="E11" s="216">
        <v>190</v>
      </c>
      <c r="F11" s="211"/>
      <c r="G11" s="135">
        <f>1-5/6</f>
        <v>0.16666666666666663</v>
      </c>
      <c r="H11" s="222"/>
      <c r="I11" s="68"/>
      <c r="J11" s="28" t="s">
        <v>274</v>
      </c>
      <c r="K11" s="4">
        <v>9.5206999999999997</v>
      </c>
      <c r="L11" s="3">
        <v>2.7244999999999999</v>
      </c>
      <c r="M11" s="5">
        <v>9.4396000000000004</v>
      </c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>
      <c r="A12" s="68"/>
      <c r="B12" s="36" t="s">
        <v>2</v>
      </c>
      <c r="C12" s="43">
        <f>1-((L8/$L$3))</f>
        <v>3.3316775475447091E-2</v>
      </c>
      <c r="D12" s="217">
        <v>1.63</v>
      </c>
      <c r="E12" s="218">
        <v>61.6</v>
      </c>
      <c r="F12" s="212"/>
      <c r="G12" s="2">
        <f>1-1/6</f>
        <v>0.83333333333333337</v>
      </c>
      <c r="H12" s="223"/>
      <c r="I12" s="68"/>
      <c r="J12" s="28" t="s">
        <v>276</v>
      </c>
      <c r="K12" s="4">
        <v>9.5206999999999997</v>
      </c>
      <c r="L12" s="3">
        <v>2.7244999999999999</v>
      </c>
      <c r="M12" s="5">
        <v>9.4396000000000004</v>
      </c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15.75" thickBot="1">
      <c r="A13" s="68"/>
      <c r="B13" s="37" t="s">
        <v>4</v>
      </c>
      <c r="C13" s="44">
        <f>1-((M8/$M$3))</f>
        <v>3.8017692613792953E-2</v>
      </c>
      <c r="D13" s="219">
        <v>1.5</v>
      </c>
      <c r="E13" s="220">
        <v>1112.5999999999999</v>
      </c>
      <c r="F13" s="213"/>
      <c r="G13" s="136">
        <f>1-3/6</f>
        <v>0.5</v>
      </c>
      <c r="H13" s="224"/>
      <c r="I13" s="68"/>
      <c r="J13" s="29" t="s">
        <v>280</v>
      </c>
      <c r="K13" s="6">
        <v>9.5242000000000004</v>
      </c>
      <c r="L13" s="3">
        <v>2.7244999999999999</v>
      </c>
      <c r="M13" s="5">
        <v>9.4396000000000004</v>
      </c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15.75" thickBot="1">
      <c r="A14" s="68"/>
      <c r="B14" s="31" t="s">
        <v>419</v>
      </c>
      <c r="C14" s="32" t="s">
        <v>405</v>
      </c>
      <c r="D14" s="214" t="s">
        <v>406</v>
      </c>
      <c r="E14" s="214" t="s">
        <v>407</v>
      </c>
      <c r="F14" s="33" t="s">
        <v>408</v>
      </c>
      <c r="G14" s="33" t="s">
        <v>409</v>
      </c>
      <c r="H14" s="34" t="s">
        <v>410</v>
      </c>
      <c r="I14" s="68"/>
      <c r="J14" s="30" t="s">
        <v>282</v>
      </c>
      <c r="K14" s="7">
        <v>9.5242000000000004</v>
      </c>
      <c r="L14" s="8">
        <v>2.7244999999999999</v>
      </c>
      <c r="M14" s="9">
        <v>9.4396000000000004</v>
      </c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15.75" thickBot="1">
      <c r="A15" s="68"/>
      <c r="B15" s="35" t="s">
        <v>0</v>
      </c>
      <c r="C15" s="42">
        <f>1-((K9/$K$3))</f>
        <v>4.5218420313690944E-2</v>
      </c>
      <c r="D15" s="215">
        <v>0.33333000000000002</v>
      </c>
      <c r="E15" s="216">
        <v>190</v>
      </c>
      <c r="F15" s="211"/>
      <c r="G15" s="135">
        <f>1-6/7</f>
        <v>0.1428571428571429</v>
      </c>
      <c r="H15" s="222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14.45" customHeight="1">
      <c r="A16" s="68"/>
      <c r="B16" s="36" t="s">
        <v>2</v>
      </c>
      <c r="C16" s="43">
        <f>1-((L9/$L$3))</f>
        <v>3.3316775475447091E-2</v>
      </c>
      <c r="D16" s="217">
        <v>1.63</v>
      </c>
      <c r="E16" s="218">
        <v>61.6</v>
      </c>
      <c r="F16" s="212"/>
      <c r="G16" s="2">
        <f>1-2/7</f>
        <v>0.7142857142857143</v>
      </c>
      <c r="H16" s="223"/>
      <c r="I16" s="68"/>
      <c r="J16" s="18" t="s">
        <v>411</v>
      </c>
      <c r="K16" s="137" t="s">
        <v>420</v>
      </c>
      <c r="L16" s="138" t="s">
        <v>2</v>
      </c>
      <c r="M16" s="139" t="s">
        <v>4</v>
      </c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15" customHeight="1" thickBot="1">
      <c r="A17" s="68"/>
      <c r="B17" s="37" t="s">
        <v>4</v>
      </c>
      <c r="C17" s="44">
        <f>1-((M9/$M$3))</f>
        <v>3.68443070392932E-2</v>
      </c>
      <c r="D17" s="219">
        <v>1.5</v>
      </c>
      <c r="E17" s="220">
        <v>1112.5999999999999</v>
      </c>
      <c r="F17" s="213"/>
      <c r="G17" s="136">
        <f>1-4/7</f>
        <v>0.4285714285714286</v>
      </c>
      <c r="H17" s="224"/>
      <c r="I17" s="68"/>
      <c r="J17" s="22" t="s">
        <v>421</v>
      </c>
      <c r="K17" s="10">
        <v>2</v>
      </c>
      <c r="L17" s="8">
        <v>3</v>
      </c>
      <c r="M17" s="9">
        <v>6</v>
      </c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15" customHeight="1" thickBot="1">
      <c r="A18" s="68"/>
      <c r="B18" s="31" t="s">
        <v>422</v>
      </c>
      <c r="C18" s="32" t="s">
        <v>405</v>
      </c>
      <c r="D18" s="214" t="s">
        <v>406</v>
      </c>
      <c r="E18" s="214" t="s">
        <v>407</v>
      </c>
      <c r="F18" s="33" t="s">
        <v>408</v>
      </c>
      <c r="G18" s="33" t="s">
        <v>409</v>
      </c>
      <c r="H18" s="34" t="s">
        <v>410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15" customHeight="1" thickBot="1">
      <c r="A19" s="68"/>
      <c r="B19" s="35" t="s">
        <v>0</v>
      </c>
      <c r="C19" s="42">
        <f>1-((K10/$K$3))</f>
        <v>4.4867423482690794E-2</v>
      </c>
      <c r="D19" s="215">
        <v>0.33333000000000002</v>
      </c>
      <c r="E19" s="216">
        <v>190</v>
      </c>
      <c r="F19" s="211"/>
      <c r="G19" s="135">
        <f>1-8/9</f>
        <v>0.11111111111111116</v>
      </c>
      <c r="H19" s="222"/>
      <c r="I19" s="68"/>
      <c r="J19" s="191"/>
      <c r="K19" s="191"/>
      <c r="L19" s="191"/>
      <c r="M19" s="191"/>
      <c r="N19" s="191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15.75" thickBot="1">
      <c r="A20" s="68"/>
      <c r="B20" s="36" t="s">
        <v>2</v>
      </c>
      <c r="C20" s="43">
        <f>1-((L10/$L$3))</f>
        <v>3.3316775475447091E-2</v>
      </c>
      <c r="D20" s="217">
        <v>1.63</v>
      </c>
      <c r="E20" s="218">
        <v>61.6</v>
      </c>
      <c r="F20" s="212"/>
      <c r="G20" s="2">
        <f>1-4/9</f>
        <v>0.55555555555555558</v>
      </c>
      <c r="H20" s="223"/>
      <c r="I20" s="68"/>
      <c r="J20" s="225"/>
      <c r="K20" s="226"/>
      <c r="L20" s="226"/>
      <c r="M20" s="227"/>
      <c r="N20" s="227"/>
      <c r="O20" s="68"/>
      <c r="P20" s="68"/>
      <c r="Q20" s="450" t="s">
        <v>423</v>
      </c>
      <c r="R20" s="451"/>
      <c r="S20" s="451"/>
      <c r="T20" s="452"/>
      <c r="U20" s="68"/>
      <c r="V20" s="68"/>
      <c r="W20" s="68"/>
      <c r="X20" s="68"/>
      <c r="Y20" s="68"/>
      <c r="Z20" s="68"/>
    </row>
    <row r="21" spans="1:26" ht="15.75" thickBot="1">
      <c r="A21" s="68"/>
      <c r="B21" s="37" t="s">
        <v>4</v>
      </c>
      <c r="C21" s="44">
        <f>1-((M10/$M$3))</f>
        <v>3.68443070392932E-2</v>
      </c>
      <c r="D21" s="219">
        <v>1.5</v>
      </c>
      <c r="E21" s="220">
        <v>1112.5999999999999</v>
      </c>
      <c r="F21" s="213"/>
      <c r="G21" s="136">
        <f>1-4/9</f>
        <v>0.55555555555555558</v>
      </c>
      <c r="H21" s="224"/>
      <c r="I21" s="68"/>
      <c r="J21" s="228"/>
      <c r="K21" s="229"/>
      <c r="L21" s="229"/>
      <c r="M21" s="230"/>
      <c r="N21" s="230"/>
      <c r="O21" s="68"/>
      <c r="P21" s="68"/>
      <c r="Q21" s="45" t="s">
        <v>424</v>
      </c>
      <c r="R21" s="46" t="s">
        <v>425</v>
      </c>
      <c r="S21" s="47" t="s">
        <v>426</v>
      </c>
      <c r="T21" s="146" t="s">
        <v>427</v>
      </c>
      <c r="U21" s="68"/>
      <c r="V21" s="68"/>
      <c r="W21" s="68"/>
      <c r="X21" s="68"/>
      <c r="Y21" s="68"/>
      <c r="Z21" s="68"/>
    </row>
    <row r="22" spans="1:26" ht="15.75" thickBot="1">
      <c r="A22" s="68"/>
      <c r="B22" s="31" t="s">
        <v>428</v>
      </c>
      <c r="C22" s="32" t="s">
        <v>405</v>
      </c>
      <c r="D22" s="214" t="s">
        <v>406</v>
      </c>
      <c r="E22" s="214" t="s">
        <v>407</v>
      </c>
      <c r="F22" s="33" t="s">
        <v>408</v>
      </c>
      <c r="G22" s="33" t="s">
        <v>409</v>
      </c>
      <c r="H22" s="34" t="s">
        <v>410</v>
      </c>
      <c r="I22" s="68"/>
      <c r="J22" s="231"/>
      <c r="K22" s="232"/>
      <c r="L22" s="233"/>
      <c r="M22" s="234"/>
      <c r="N22" s="235"/>
      <c r="O22" s="68"/>
      <c r="P22" s="68"/>
      <c r="Q22" s="50" t="s">
        <v>257</v>
      </c>
      <c r="R22" s="51">
        <f>MIN($H$3:$H$5)</f>
        <v>0</v>
      </c>
      <c r="S22" s="131">
        <f>1-'KCat|Km min'!E3</f>
        <v>0.97784810126582278</v>
      </c>
      <c r="T22" s="157">
        <f>'Requerimientos adicionales'!G19</f>
        <v>0.6</v>
      </c>
      <c r="U22" s="68"/>
      <c r="V22" s="68"/>
      <c r="W22" s="68"/>
      <c r="X22" s="68"/>
      <c r="Y22" s="68"/>
      <c r="Z22" s="68"/>
    </row>
    <row r="23" spans="1:26" ht="15.75" thickBot="1">
      <c r="A23" s="68"/>
      <c r="B23" s="35" t="s">
        <v>0</v>
      </c>
      <c r="C23" s="42">
        <f>1-((K11/$K$3))</f>
        <v>4.5218420313690944E-2</v>
      </c>
      <c r="D23" s="215">
        <v>0.33333000000000002</v>
      </c>
      <c r="E23" s="216">
        <v>190</v>
      </c>
      <c r="F23" s="211"/>
      <c r="G23" s="135">
        <f>1-8/8</f>
        <v>0</v>
      </c>
      <c r="H23" s="222"/>
      <c r="I23" s="68"/>
      <c r="J23" s="167"/>
      <c r="K23" s="168"/>
      <c r="L23" s="169"/>
      <c r="M23" s="169"/>
      <c r="N23" s="68"/>
      <c r="O23" s="68"/>
      <c r="P23" s="68"/>
      <c r="Q23" s="52" t="s">
        <v>261</v>
      </c>
      <c r="R23" s="53">
        <f>MIN($H$7:$H$9)</f>
        <v>0</v>
      </c>
      <c r="S23" s="132">
        <f>1-'KCat|Km min'!E4</f>
        <v>0.9866129843985908</v>
      </c>
      <c r="T23" s="158">
        <f>'Requerimientos adicionales'!G20</f>
        <v>0.60000000000000009</v>
      </c>
      <c r="U23" s="68"/>
      <c r="V23" s="68"/>
      <c r="W23" s="68"/>
      <c r="X23" s="68"/>
      <c r="Y23" s="68"/>
      <c r="Z23" s="68"/>
    </row>
    <row r="24" spans="1:26" ht="15.75" thickBot="1">
      <c r="A24" s="68"/>
      <c r="B24" s="36" t="s">
        <v>2</v>
      </c>
      <c r="C24" s="43">
        <f>1-((L11/$L$3))</f>
        <v>3.3316775475447091E-2</v>
      </c>
      <c r="D24" s="217">
        <v>1.63</v>
      </c>
      <c r="E24" s="218">
        <v>61.6</v>
      </c>
      <c r="F24" s="212"/>
      <c r="G24" s="2">
        <f>1-5/8</f>
        <v>0.375</v>
      </c>
      <c r="H24" s="223"/>
      <c r="I24" s="68"/>
      <c r="J24" s="192"/>
      <c r="K24" s="236"/>
      <c r="L24" s="68"/>
      <c r="M24" s="68"/>
      <c r="N24" s="68"/>
      <c r="O24" s="68"/>
      <c r="P24" s="68"/>
      <c r="Q24" s="52" t="s">
        <v>264</v>
      </c>
      <c r="R24" s="53">
        <f>MIN($H$11:$H$13)</f>
        <v>0</v>
      </c>
      <c r="S24" s="132">
        <f>1-'KCat|Km min'!E5</f>
        <v>0.97784810126582278</v>
      </c>
      <c r="T24" s="158">
        <f>'Requerimientos adicionales'!G21</f>
        <v>0.60000000000000009</v>
      </c>
      <c r="U24" s="68"/>
      <c r="V24" s="68"/>
      <c r="W24" s="68"/>
      <c r="X24" s="68"/>
      <c r="Y24" s="68"/>
      <c r="Z24" s="68"/>
    </row>
    <row r="25" spans="1:26" ht="15.75" thickBot="1">
      <c r="A25" s="68"/>
      <c r="B25" s="37" t="s">
        <v>4</v>
      </c>
      <c r="C25" s="44">
        <f>1-((M11/$M$3))</f>
        <v>3.68443070392932E-2</v>
      </c>
      <c r="D25" s="219">
        <v>1.5</v>
      </c>
      <c r="E25" s="220">
        <v>1112.5999999999999</v>
      </c>
      <c r="F25" s="213"/>
      <c r="G25" s="136">
        <f>1-6/8</f>
        <v>0.25</v>
      </c>
      <c r="H25" s="224"/>
      <c r="I25" s="68"/>
      <c r="J25" s="192"/>
      <c r="K25" s="237"/>
      <c r="L25" s="236"/>
      <c r="M25" s="237"/>
      <c r="N25" s="236"/>
      <c r="O25" s="178"/>
      <c r="P25" s="68"/>
      <c r="Q25" s="52" t="s">
        <v>268</v>
      </c>
      <c r="R25" s="53">
        <f>MIN($H$15:$H$17)</f>
        <v>0</v>
      </c>
      <c r="S25" s="132">
        <f>1-'KCat|Km min'!E6</f>
        <v>0.97784810126582278</v>
      </c>
      <c r="T25" s="158">
        <f>'Requerimientos adicionales'!G22</f>
        <v>0.5</v>
      </c>
      <c r="U25" s="68"/>
      <c r="V25" s="68"/>
      <c r="W25" s="68"/>
      <c r="X25" s="68"/>
      <c r="Y25" s="68"/>
      <c r="Z25" s="68"/>
    </row>
    <row r="26" spans="1:26" ht="15.75" thickBot="1">
      <c r="A26" s="68"/>
      <c r="B26" s="31" t="s">
        <v>429</v>
      </c>
      <c r="C26" s="32" t="s">
        <v>405</v>
      </c>
      <c r="D26" s="214" t="s">
        <v>406</v>
      </c>
      <c r="E26" s="214" t="s">
        <v>407</v>
      </c>
      <c r="F26" s="33" t="s">
        <v>408</v>
      </c>
      <c r="G26" s="33" t="s">
        <v>409</v>
      </c>
      <c r="H26" s="34" t="s">
        <v>410</v>
      </c>
      <c r="I26" s="68"/>
      <c r="J26" s="192"/>
      <c r="K26" s="236"/>
      <c r="L26" s="236"/>
      <c r="M26" s="238"/>
      <c r="N26" s="238"/>
      <c r="O26" s="68"/>
      <c r="P26" s="68"/>
      <c r="Q26" s="52" t="s">
        <v>272</v>
      </c>
      <c r="R26" s="53">
        <f>MIN($H$19:$H$21)</f>
        <v>0</v>
      </c>
      <c r="S26" s="132">
        <f>1-'KCat|Km min'!E7</f>
        <v>0.99333777481678875</v>
      </c>
      <c r="T26" s="158">
        <f>'Requerimientos adicionales'!G23</f>
        <v>0.7</v>
      </c>
      <c r="U26" s="68"/>
      <c r="V26" s="68"/>
      <c r="W26" s="68"/>
      <c r="X26" s="68"/>
      <c r="Y26" s="68"/>
      <c r="Z26" s="68"/>
    </row>
    <row r="27" spans="1:26" ht="15.75" thickBot="1">
      <c r="A27" s="68"/>
      <c r="B27" s="35" t="s">
        <v>0</v>
      </c>
      <c r="C27" s="42">
        <f>1-((K12/$K$3))</f>
        <v>4.5218420313690944E-2</v>
      </c>
      <c r="D27" s="215">
        <v>0.33333000000000002</v>
      </c>
      <c r="E27" s="216">
        <v>190</v>
      </c>
      <c r="F27" s="211"/>
      <c r="G27" s="135">
        <f>1-7/8</f>
        <v>0.125</v>
      </c>
      <c r="H27" s="222"/>
      <c r="I27" s="68"/>
      <c r="J27" s="68"/>
      <c r="K27" s="68"/>
      <c r="L27" s="68"/>
      <c r="M27" s="68"/>
      <c r="N27" s="68"/>
      <c r="O27" s="68"/>
      <c r="P27" s="68"/>
      <c r="Q27" s="52" t="s">
        <v>274</v>
      </c>
      <c r="R27" s="53">
        <f>MIN($H$23:$H$25)</f>
        <v>0</v>
      </c>
      <c r="S27" s="132">
        <f>1-'KCat|Km min'!E8</f>
        <v>0.99585218702865763</v>
      </c>
      <c r="T27" s="158">
        <f>'Requerimientos adicionales'!G24</f>
        <v>0.7</v>
      </c>
      <c r="U27" s="68"/>
      <c r="V27" s="68"/>
      <c r="W27" s="68"/>
      <c r="X27" s="68"/>
      <c r="Y27" s="68"/>
      <c r="Z27" s="68"/>
    </row>
    <row r="28" spans="1:26" ht="15.75" thickBot="1">
      <c r="A28" s="68"/>
      <c r="B28" s="36" t="s">
        <v>2</v>
      </c>
      <c r="C28" s="43">
        <f>1-((L12/$L$3))</f>
        <v>3.3316775475447091E-2</v>
      </c>
      <c r="D28" s="217">
        <v>1.63</v>
      </c>
      <c r="E28" s="218">
        <v>61.6</v>
      </c>
      <c r="F28" s="212"/>
      <c r="G28" s="2">
        <f>1-4/8</f>
        <v>0.5</v>
      </c>
      <c r="H28" s="223"/>
      <c r="I28" s="68"/>
      <c r="J28" s="192"/>
      <c r="K28" s="238"/>
      <c r="L28" s="235"/>
      <c r="M28" s="239"/>
      <c r="N28" s="240"/>
      <c r="O28" s="178"/>
      <c r="P28" s="68"/>
      <c r="Q28" s="52" t="s">
        <v>276</v>
      </c>
      <c r="R28" s="53">
        <f>MIN($H$27:$H$29)</f>
        <v>0</v>
      </c>
      <c r="S28" s="132">
        <f>1-'KCat|Km min'!E9</f>
        <v>0.99608408903544932</v>
      </c>
      <c r="T28" s="158">
        <f>'Requerimientos adicionales'!G25</f>
        <v>0.7</v>
      </c>
      <c r="U28" s="68"/>
      <c r="V28" s="68"/>
      <c r="W28" s="68"/>
      <c r="X28" s="68"/>
      <c r="Y28" s="68"/>
      <c r="Z28" s="68"/>
    </row>
    <row r="29" spans="1:26" ht="15.75" thickBot="1">
      <c r="A29" s="68"/>
      <c r="B29" s="37" t="s">
        <v>4</v>
      </c>
      <c r="C29" s="44">
        <f>1-((M12/$M$3))</f>
        <v>3.68443070392932E-2</v>
      </c>
      <c r="D29" s="219">
        <v>1.5</v>
      </c>
      <c r="E29" s="220">
        <v>1112.5999999999999</v>
      </c>
      <c r="F29" s="213"/>
      <c r="G29" s="136">
        <f>1-5/8</f>
        <v>0.375</v>
      </c>
      <c r="H29" s="224"/>
      <c r="I29" s="68"/>
      <c r="J29" s="68"/>
      <c r="K29" s="68"/>
      <c r="L29" s="68"/>
      <c r="M29" s="68"/>
      <c r="N29" s="68"/>
      <c r="O29" s="68"/>
      <c r="P29" s="68"/>
      <c r="Q29" s="54" t="s">
        <v>280</v>
      </c>
      <c r="R29" s="55">
        <f>MIN($H$31:$H$33)</f>
        <v>0</v>
      </c>
      <c r="S29" s="132">
        <f>1-'KCat|Km min'!E10</f>
        <v>0.99849170437405732</v>
      </c>
      <c r="T29" s="158">
        <f>'Requerimientos adicionales'!G26</f>
        <v>0.9</v>
      </c>
      <c r="U29" s="68"/>
      <c r="V29" s="68"/>
      <c r="W29" s="68"/>
      <c r="X29" s="68"/>
      <c r="Y29" s="68"/>
      <c r="Z29" s="68"/>
    </row>
    <row r="30" spans="1:26" ht="15.75" thickBot="1">
      <c r="A30" s="68"/>
      <c r="B30" s="31" t="s">
        <v>430</v>
      </c>
      <c r="C30" s="32" t="s">
        <v>405</v>
      </c>
      <c r="D30" s="214" t="s">
        <v>406</v>
      </c>
      <c r="E30" s="214" t="s">
        <v>407</v>
      </c>
      <c r="F30" s="33" t="s">
        <v>408</v>
      </c>
      <c r="G30" s="33" t="s">
        <v>409</v>
      </c>
      <c r="H30" s="34" t="s">
        <v>410</v>
      </c>
      <c r="I30" s="68"/>
      <c r="J30" s="191"/>
      <c r="K30" s="191"/>
      <c r="L30" s="191"/>
      <c r="M30" s="191"/>
      <c r="N30" s="191"/>
      <c r="O30" s="68"/>
      <c r="P30" s="68"/>
      <c r="Q30" s="54" t="s">
        <v>282</v>
      </c>
      <c r="R30" s="55">
        <f>MIN($H$35:$H$37)</f>
        <v>0</v>
      </c>
      <c r="S30" s="132">
        <f>1-'KCat|Km min'!E11</f>
        <v>0.99882228241667648</v>
      </c>
      <c r="T30" s="158">
        <f>'Requerimientos adicionales'!G27</f>
        <v>0.9</v>
      </c>
      <c r="U30" s="68"/>
      <c r="V30" s="68"/>
      <c r="W30" s="68"/>
      <c r="X30" s="68"/>
      <c r="Y30" s="68"/>
      <c r="Z30" s="68"/>
    </row>
    <row r="31" spans="1:26" ht="15.75" thickBot="1">
      <c r="A31" s="68"/>
      <c r="B31" s="35" t="s">
        <v>0</v>
      </c>
      <c r="C31" s="42">
        <f>1-((K13/$K$3))</f>
        <v>4.4867423482690794E-2</v>
      </c>
      <c r="D31" s="215">
        <v>0.33333000000000002</v>
      </c>
      <c r="E31" s="216">
        <v>190</v>
      </c>
      <c r="F31" s="211"/>
      <c r="G31" s="135">
        <f>1-10/10</f>
        <v>0</v>
      </c>
      <c r="H31" s="222"/>
      <c r="I31" s="68"/>
      <c r="J31" s="225"/>
      <c r="K31" s="226"/>
      <c r="L31" s="226"/>
      <c r="M31" s="227"/>
      <c r="N31" s="227"/>
      <c r="O31" s="68"/>
      <c r="P31" s="68"/>
      <c r="Q31" s="54" t="s">
        <v>286</v>
      </c>
      <c r="R31" s="55">
        <f>MIN($H$48:$H$50)</f>
        <v>0</v>
      </c>
      <c r="S31" s="132">
        <f>1-'KCat|Km min'!E12</f>
        <v>0.99333777481678875</v>
      </c>
      <c r="T31" s="158">
        <f>'Requerimientos adicionales'!G28</f>
        <v>0.8</v>
      </c>
      <c r="U31" s="68"/>
      <c r="V31" s="68"/>
      <c r="W31" s="68"/>
      <c r="X31" s="68"/>
      <c r="Y31" s="68"/>
      <c r="Z31" s="68"/>
    </row>
    <row r="32" spans="1:26" ht="15.75" thickBot="1">
      <c r="A32" s="68"/>
      <c r="B32" s="36" t="s">
        <v>2</v>
      </c>
      <c r="C32" s="43">
        <f>1-((L13/$L$3))</f>
        <v>3.3316775475447091E-2</v>
      </c>
      <c r="D32" s="217">
        <v>1.63</v>
      </c>
      <c r="E32" s="218">
        <v>61.6</v>
      </c>
      <c r="F32" s="212"/>
      <c r="G32" s="2">
        <f>1-7/10</f>
        <v>0.30000000000000004</v>
      </c>
      <c r="H32" s="223"/>
      <c r="I32" s="68"/>
      <c r="J32" s="228"/>
      <c r="K32" s="229"/>
      <c r="L32" s="229"/>
      <c r="M32" s="230"/>
      <c r="N32" s="230"/>
      <c r="O32" s="68"/>
      <c r="P32" s="68"/>
      <c r="Q32" s="54" t="s">
        <v>290</v>
      </c>
      <c r="R32" s="55">
        <f>MIN($H$52:$H$54)</f>
        <v>0</v>
      </c>
      <c r="S32" s="133">
        <f>1-'KCat|Km min'!E13</f>
        <v>0.99597382989431305</v>
      </c>
      <c r="T32" s="159">
        <f>'Requerimientos adicionales'!G29</f>
        <v>0.8</v>
      </c>
      <c r="U32" s="68"/>
      <c r="V32" s="68"/>
      <c r="W32" s="68"/>
      <c r="X32" s="68"/>
      <c r="Y32" s="68"/>
      <c r="Z32" s="68"/>
    </row>
    <row r="33" spans="1:26" ht="15.75" thickBot="1">
      <c r="A33" s="68"/>
      <c r="B33" s="37" t="s">
        <v>4</v>
      </c>
      <c r="C33" s="44">
        <f>1-((M13/$M$3))</f>
        <v>3.68443070392932E-2</v>
      </c>
      <c r="D33" s="219">
        <v>1.5</v>
      </c>
      <c r="E33" s="220">
        <v>1112.5999999999999</v>
      </c>
      <c r="F33" s="213"/>
      <c r="G33" s="136">
        <f>1-6/10</f>
        <v>0.4</v>
      </c>
      <c r="H33" s="224"/>
      <c r="I33" s="68"/>
      <c r="J33" s="231"/>
      <c r="K33" s="232"/>
      <c r="L33" s="233"/>
      <c r="M33" s="234"/>
      <c r="N33" s="235"/>
      <c r="O33" s="68"/>
      <c r="P33" s="68"/>
      <c r="Q33" s="54" t="s">
        <v>294</v>
      </c>
      <c r="R33" s="55">
        <f>MIN($H$56:$H$58)</f>
        <v>0</v>
      </c>
      <c r="S33" s="133">
        <f>1-'KCat|Km min'!E14</f>
        <v>0.99333777481678875</v>
      </c>
      <c r="T33" s="159">
        <f>'Requerimientos adicionales'!G30</f>
        <v>0.8</v>
      </c>
      <c r="U33" s="68"/>
      <c r="V33" s="68"/>
      <c r="W33" s="68"/>
      <c r="X33" s="68"/>
      <c r="Y33" s="68"/>
      <c r="Z33" s="68"/>
    </row>
    <row r="34" spans="1:26" ht="15.75" thickBot="1">
      <c r="A34" s="68"/>
      <c r="B34" s="31" t="s">
        <v>431</v>
      </c>
      <c r="C34" s="32" t="s">
        <v>405</v>
      </c>
      <c r="D34" s="214" t="s">
        <v>406</v>
      </c>
      <c r="E34" s="214" t="s">
        <v>407</v>
      </c>
      <c r="F34" s="33" t="s">
        <v>408</v>
      </c>
      <c r="G34" s="33" t="s">
        <v>409</v>
      </c>
      <c r="H34" s="34" t="s">
        <v>410</v>
      </c>
      <c r="I34" s="68"/>
      <c r="J34" s="68"/>
      <c r="K34" s="177"/>
      <c r="L34" s="177"/>
      <c r="M34" s="177"/>
      <c r="N34" s="177"/>
      <c r="O34" s="178"/>
      <c r="P34" s="68"/>
      <c r="Q34" s="54" t="s">
        <v>298</v>
      </c>
      <c r="R34" s="55">
        <f>MIN($H$60:$H$62)</f>
        <v>0</v>
      </c>
      <c r="S34" s="133">
        <f>1-'KCat|Km min'!E15</f>
        <v>0.99333777481678875</v>
      </c>
      <c r="T34" s="159">
        <f>'Requerimientos adicionales'!G31</f>
        <v>0.7</v>
      </c>
      <c r="U34" s="68"/>
      <c r="V34" s="68"/>
      <c r="W34" s="68"/>
      <c r="X34" s="68"/>
      <c r="Y34" s="68"/>
      <c r="Z34" s="68"/>
    </row>
    <row r="35" spans="1:26" ht="15.75" thickBot="1">
      <c r="A35" s="68"/>
      <c r="B35" s="35" t="s">
        <v>0</v>
      </c>
      <c r="C35" s="42">
        <f>1-((K14/$K$3))</f>
        <v>4.4867423482690794E-2</v>
      </c>
      <c r="D35" s="215">
        <v>0.33333000000000002</v>
      </c>
      <c r="E35" s="216">
        <v>190</v>
      </c>
      <c r="F35" s="211"/>
      <c r="G35" s="135">
        <f>1-9/10</f>
        <v>9.9999999999999978E-2</v>
      </c>
      <c r="H35" s="222"/>
      <c r="I35" s="68"/>
      <c r="J35" s="192"/>
      <c r="K35" s="236"/>
      <c r="L35" s="68"/>
      <c r="M35" s="68"/>
      <c r="N35" s="68"/>
      <c r="O35" s="68"/>
      <c r="P35" s="68"/>
      <c r="Q35" s="54" t="s">
        <v>301</v>
      </c>
      <c r="R35" s="55">
        <f>MIN($H$64:$H$66)</f>
        <v>0</v>
      </c>
      <c r="S35" s="133">
        <f>1-'KCat|Km min'!E16</f>
        <v>0.99333777481678875</v>
      </c>
      <c r="T35" s="159">
        <f>'Requerimientos adicionales'!G32</f>
        <v>0.7</v>
      </c>
      <c r="U35" s="68"/>
      <c r="V35" s="68"/>
      <c r="W35" s="68"/>
      <c r="X35" s="68"/>
      <c r="Y35" s="68"/>
      <c r="Z35" s="68"/>
    </row>
    <row r="36" spans="1:26" ht="14.45" customHeight="1" thickBot="1">
      <c r="A36" s="68"/>
      <c r="B36" s="36" t="s">
        <v>2</v>
      </c>
      <c r="C36" s="43">
        <f>1-((L14/$L$3))</f>
        <v>3.3316775475447091E-2</v>
      </c>
      <c r="D36" s="217">
        <v>1.63</v>
      </c>
      <c r="E36" s="218">
        <v>61.6</v>
      </c>
      <c r="F36" s="212"/>
      <c r="G36" s="2">
        <f>1-6/10</f>
        <v>0.4</v>
      </c>
      <c r="H36" s="223"/>
      <c r="I36" s="68"/>
      <c r="J36" s="192"/>
      <c r="K36" s="237"/>
      <c r="L36" s="236"/>
      <c r="M36" s="237"/>
      <c r="N36" s="236"/>
      <c r="O36" s="178"/>
      <c r="P36" s="68"/>
      <c r="Q36" s="54" t="s">
        <v>304</v>
      </c>
      <c r="R36" s="55">
        <f>MIN($H$68:$H$70)</f>
        <v>0</v>
      </c>
      <c r="S36" s="133">
        <f>1-'KCat|Km min'!E17</f>
        <v>0.99849170437405732</v>
      </c>
      <c r="T36" s="159">
        <f>'Requerimientos adicionales'!G33</f>
        <v>0.9</v>
      </c>
      <c r="U36" s="68"/>
      <c r="V36" s="68"/>
      <c r="W36" s="68"/>
      <c r="X36" s="68"/>
      <c r="Y36" s="68"/>
      <c r="Z36" s="68"/>
    </row>
    <row r="37" spans="1:26" ht="15.75" thickBot="1">
      <c r="A37" s="68"/>
      <c r="B37" s="37" t="s">
        <v>4</v>
      </c>
      <c r="C37" s="44">
        <f>1-((M14/$M$3))</f>
        <v>3.68443070392932E-2</v>
      </c>
      <c r="D37" s="219">
        <v>1.5</v>
      </c>
      <c r="E37" s="220">
        <v>1112.5999999999999</v>
      </c>
      <c r="F37" s="213"/>
      <c r="G37" s="136">
        <f>1-5/10</f>
        <v>0.5</v>
      </c>
      <c r="H37" s="224"/>
      <c r="I37" s="68"/>
      <c r="J37" s="192"/>
      <c r="K37" s="236"/>
      <c r="L37" s="236"/>
      <c r="M37" s="238"/>
      <c r="N37" s="238"/>
      <c r="O37" s="68"/>
      <c r="P37" s="68"/>
      <c r="Q37" s="54" t="s">
        <v>306</v>
      </c>
      <c r="R37" s="55">
        <f>MIN($H$72:$H$74)</f>
        <v>0</v>
      </c>
      <c r="S37" s="133">
        <f>1-'KCat|Km min'!E18</f>
        <v>0.99882228241667648</v>
      </c>
      <c r="T37" s="159">
        <f>'Requerimientos adicionales'!G34</f>
        <v>0.9</v>
      </c>
      <c r="U37" s="68"/>
      <c r="V37" s="68"/>
      <c r="W37" s="68"/>
      <c r="X37" s="68"/>
      <c r="Y37" s="68"/>
      <c r="Z37" s="68"/>
    </row>
    <row r="38" spans="1:26" ht="15.75" thickBot="1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54" t="s">
        <v>308</v>
      </c>
      <c r="R38" s="55">
        <f>MIN($H$76:$H$78)</f>
        <v>0</v>
      </c>
      <c r="S38" s="133">
        <f>1-'KCat|Km min'!E19</f>
        <v>0.99849170437405732</v>
      </c>
      <c r="T38" s="159">
        <f>'Requerimientos adicionales'!G35</f>
        <v>0.9</v>
      </c>
      <c r="U38" s="68"/>
      <c r="V38" s="68"/>
      <c r="W38" s="68"/>
      <c r="X38" s="68"/>
      <c r="Y38" s="68"/>
      <c r="Z38" s="68"/>
    </row>
    <row r="39" spans="1:26" ht="15.75" thickBot="1">
      <c r="A39" s="68"/>
      <c r="B39" s="68"/>
      <c r="C39" s="68"/>
      <c r="D39" s="68"/>
      <c r="E39" s="68"/>
      <c r="F39" s="68"/>
      <c r="G39" s="68"/>
      <c r="H39" s="68"/>
      <c r="I39" s="68"/>
      <c r="J39" s="192"/>
      <c r="K39" s="238"/>
      <c r="L39" s="235"/>
      <c r="M39" s="239"/>
      <c r="N39" s="240"/>
      <c r="O39" s="178"/>
      <c r="P39" s="68"/>
      <c r="Q39" s="149" t="s">
        <v>310</v>
      </c>
      <c r="R39" s="150">
        <f>MIN($H$80:$H$82)</f>
        <v>0</v>
      </c>
      <c r="S39" s="151">
        <f>1-'KCat|Km min'!E20</f>
        <v>0.99882228241667648</v>
      </c>
      <c r="T39" s="160">
        <f>'Requerimientos adicionales'!G36</f>
        <v>0.9</v>
      </c>
      <c r="U39" s="68"/>
      <c r="V39" s="68"/>
      <c r="W39" s="68"/>
      <c r="X39" s="68"/>
      <c r="Y39" s="68"/>
      <c r="Z39" s="68"/>
    </row>
    <row r="40" spans="1:26" ht="15.75" thickBot="1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171"/>
      <c r="L40" s="171"/>
      <c r="M40" s="171"/>
      <c r="N40" s="68"/>
      <c r="O40" s="68"/>
      <c r="P40" s="68"/>
      <c r="Q40" s="152" t="s">
        <v>432</v>
      </c>
      <c r="R40" s="153">
        <f>AVERAGE(R22:R39)</f>
        <v>0</v>
      </c>
      <c r="S40" s="154">
        <f t="shared" ref="S40" si="0">AVERAGE(S22:S39)</f>
        <v>0.99259434603392349</v>
      </c>
      <c r="T40" s="161">
        <f>'Requerimientos adicionales'!G37</f>
        <v>0</v>
      </c>
      <c r="U40" s="68"/>
      <c r="V40" s="68"/>
      <c r="W40" s="68"/>
      <c r="X40" s="68"/>
      <c r="Y40" s="68"/>
      <c r="Z40" s="68"/>
    </row>
    <row r="41" spans="1:26" ht="15.75" thickBot="1">
      <c r="A41" s="68"/>
      <c r="B41" s="68"/>
      <c r="C41" s="32" t="s">
        <v>405</v>
      </c>
      <c r="D41" s="68"/>
      <c r="E41" s="68"/>
      <c r="F41" s="33" t="s">
        <v>408</v>
      </c>
      <c r="G41" s="33" t="s">
        <v>409</v>
      </c>
      <c r="H41" s="68"/>
      <c r="I41" s="68"/>
      <c r="J41" s="68"/>
      <c r="K41" s="192"/>
      <c r="L41" s="241"/>
      <c r="M41" s="192"/>
      <c r="N41" s="241"/>
      <c r="O41" s="68"/>
      <c r="P41" s="68"/>
      <c r="Q41" s="56" t="s">
        <v>433</v>
      </c>
      <c r="R41" s="155">
        <f>_xlfn.STDEV.S(R22:R40)</f>
        <v>0</v>
      </c>
      <c r="S41" s="156">
        <f t="shared" ref="S41" si="1">_xlfn.STDEV.S(S22:S40)</f>
        <v>7.248778247002121E-3</v>
      </c>
      <c r="T41" s="162">
        <f>'Requerimientos adicionales'!G38</f>
        <v>0</v>
      </c>
      <c r="U41" s="68"/>
      <c r="V41" s="68"/>
      <c r="W41" s="68"/>
      <c r="X41" s="68"/>
      <c r="Y41" s="68"/>
      <c r="Z41" s="68"/>
    </row>
    <row r="42" spans="1:26" ht="15.75" thickBot="1">
      <c r="A42" s="68"/>
      <c r="B42" s="68"/>
      <c r="C42" s="221"/>
      <c r="D42" s="68"/>
      <c r="E42" s="68"/>
      <c r="F42" s="221"/>
      <c r="G42" s="221"/>
      <c r="H42" s="68"/>
      <c r="I42" s="68"/>
      <c r="J42" s="68"/>
      <c r="K42" s="192"/>
      <c r="L42" s="242"/>
      <c r="M42" s="192"/>
      <c r="N42" s="242"/>
      <c r="O42" s="68"/>
      <c r="P42" s="68"/>
      <c r="Q42" s="192"/>
      <c r="R42" s="233"/>
      <c r="S42" s="177"/>
      <c r="T42" s="250"/>
      <c r="U42" s="68"/>
      <c r="V42" s="68"/>
      <c r="W42" s="68"/>
      <c r="X42" s="68"/>
      <c r="Y42" s="68"/>
      <c r="Z42" s="68"/>
    </row>
    <row r="43" spans="1:26" ht="15.75" thickBot="1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192"/>
      <c r="L43" s="243"/>
      <c r="M43" s="192"/>
      <c r="N43" s="243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5.75" thickBot="1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192"/>
      <c r="L44" s="243"/>
      <c r="M44" s="192"/>
      <c r="N44" s="243"/>
      <c r="O44" s="68"/>
      <c r="P44" s="68"/>
      <c r="Q44" s="192"/>
      <c r="R44" s="236"/>
      <c r="S44" s="68"/>
      <c r="T44" s="68"/>
      <c r="U44" s="68"/>
      <c r="V44" s="68"/>
      <c r="W44" s="453" t="s">
        <v>434</v>
      </c>
      <c r="X44" s="454"/>
      <c r="Y44" s="454"/>
      <c r="Z44" s="455"/>
    </row>
    <row r="45" spans="1:26" ht="15.75" thickBo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192"/>
      <c r="R45" s="236"/>
      <c r="S45" s="236"/>
      <c r="T45" s="237"/>
      <c r="U45" s="178"/>
      <c r="V45" s="68"/>
      <c r="W45" s="163" t="s">
        <v>435</v>
      </c>
      <c r="X45" s="46" t="s">
        <v>436</v>
      </c>
      <c r="Y45" s="47" t="s">
        <v>437</v>
      </c>
      <c r="Z45" s="146" t="s">
        <v>438</v>
      </c>
    </row>
    <row r="46" spans="1:26" ht="15.75" thickBot="1">
      <c r="A46" s="68"/>
      <c r="B46" s="68"/>
      <c r="C46" s="68"/>
      <c r="D46" s="68"/>
      <c r="E46" s="68"/>
      <c r="F46" s="68"/>
      <c r="G46" s="68"/>
      <c r="H46" s="68"/>
      <c r="I46" s="68"/>
      <c r="J46" s="170"/>
      <c r="K46" s="191"/>
      <c r="L46" s="191"/>
      <c r="M46" s="191"/>
      <c r="N46" s="68"/>
      <c r="O46" s="68"/>
      <c r="P46" s="68"/>
      <c r="Q46" s="192"/>
      <c r="R46" s="236"/>
      <c r="S46" s="238"/>
      <c r="T46" s="236"/>
      <c r="U46" s="68"/>
      <c r="V46" s="68"/>
      <c r="W46" s="176">
        <v>0.3</v>
      </c>
      <c r="X46" s="164">
        <v>0.3</v>
      </c>
      <c r="Y46" s="165">
        <f t="shared" ref="Y46:Y51" si="2">0.10529*W46</f>
        <v>3.1586999999999997E-2</v>
      </c>
      <c r="Z46" s="166">
        <f t="shared" ref="Z46:Z51" si="3">1-(X46+Y46)</f>
        <v>0.66841300000000003</v>
      </c>
    </row>
    <row r="47" spans="1:26" ht="15.75" thickBot="1">
      <c r="A47" s="68"/>
      <c r="B47" s="31" t="s">
        <v>439</v>
      </c>
      <c r="C47" s="32" t="s">
        <v>405</v>
      </c>
      <c r="D47" s="214" t="s">
        <v>406</v>
      </c>
      <c r="E47" s="214" t="s">
        <v>407</v>
      </c>
      <c r="F47" s="33" t="s">
        <v>408</v>
      </c>
      <c r="G47" s="33" t="s">
        <v>409</v>
      </c>
      <c r="H47" s="34" t="s">
        <v>410</v>
      </c>
      <c r="I47" s="68"/>
      <c r="J47" s="191"/>
      <c r="K47" s="244"/>
      <c r="L47" s="245"/>
      <c r="M47" s="246"/>
      <c r="N47" s="68"/>
      <c r="O47" s="68"/>
      <c r="P47" s="68"/>
      <c r="Q47" s="68"/>
      <c r="R47" s="68"/>
      <c r="S47" s="68"/>
      <c r="T47" s="68"/>
      <c r="U47" s="68"/>
      <c r="V47" s="68"/>
      <c r="W47" s="176">
        <v>0.4</v>
      </c>
      <c r="X47" s="164">
        <v>0.4</v>
      </c>
      <c r="Y47" s="165">
        <f t="shared" si="2"/>
        <v>4.2116000000000001E-2</v>
      </c>
      <c r="Z47" s="166">
        <f t="shared" si="3"/>
        <v>0.55788400000000005</v>
      </c>
    </row>
    <row r="48" spans="1:26" ht="15.75" thickBot="1">
      <c r="A48" s="68"/>
      <c r="B48" s="35" t="s">
        <v>0</v>
      </c>
      <c r="C48" s="42">
        <f>1-((K51/$K$3))</f>
        <v>4.2470616551004925E-2</v>
      </c>
      <c r="D48" s="215">
        <v>0.33333000000000002</v>
      </c>
      <c r="E48" s="216">
        <v>190</v>
      </c>
      <c r="F48" s="211"/>
      <c r="G48" s="135">
        <f>1-8/8</f>
        <v>0</v>
      </c>
      <c r="H48" s="222"/>
      <c r="I48" s="68"/>
      <c r="J48" s="191"/>
      <c r="K48" s="244"/>
      <c r="L48" s="245"/>
      <c r="M48" s="246"/>
      <c r="N48" s="68"/>
      <c r="O48" s="68"/>
      <c r="P48" s="68"/>
      <c r="Q48" s="192"/>
      <c r="R48" s="233"/>
      <c r="S48" s="177"/>
      <c r="T48" s="238"/>
      <c r="U48" s="178"/>
      <c r="V48" s="68"/>
      <c r="W48" s="176">
        <v>0.5</v>
      </c>
      <c r="X48" s="164">
        <v>0.5</v>
      </c>
      <c r="Y48" s="165">
        <f t="shared" si="2"/>
        <v>5.2644999999999997E-2</v>
      </c>
      <c r="Z48" s="166">
        <f t="shared" si="3"/>
        <v>0.44735499999999995</v>
      </c>
    </row>
    <row r="49" spans="1:27" ht="15.75" thickBot="1">
      <c r="A49" s="68"/>
      <c r="B49" s="36" t="s">
        <v>2</v>
      </c>
      <c r="C49" s="43">
        <f>1-((L51/$L$3))</f>
        <v>3.3316775475447091E-2</v>
      </c>
      <c r="D49" s="217">
        <v>1.63</v>
      </c>
      <c r="E49" s="218">
        <v>61.6</v>
      </c>
      <c r="F49" s="212"/>
      <c r="G49" s="2">
        <f>1-4/8</f>
        <v>0.5</v>
      </c>
      <c r="H49" s="223"/>
      <c r="I49" s="68"/>
      <c r="J49" s="68"/>
      <c r="K49" s="68"/>
      <c r="L49" s="68"/>
      <c r="M49" s="68"/>
      <c r="N49" s="68"/>
      <c r="O49" s="68"/>
      <c r="P49" s="68"/>
      <c r="Q49" s="68"/>
      <c r="R49" s="177"/>
      <c r="S49" s="177"/>
      <c r="T49" s="177"/>
      <c r="U49" s="178"/>
      <c r="V49" s="68"/>
      <c r="W49" s="176">
        <v>0.6</v>
      </c>
      <c r="X49" s="164">
        <v>0.6</v>
      </c>
      <c r="Y49" s="165">
        <f t="shared" si="2"/>
        <v>6.3173999999999994E-2</v>
      </c>
      <c r="Z49" s="166">
        <f t="shared" si="3"/>
        <v>0.33682600000000007</v>
      </c>
    </row>
    <row r="50" spans="1:27" ht="15.75" thickBot="1">
      <c r="A50" s="68"/>
      <c r="B50" s="37" t="s">
        <v>4</v>
      </c>
      <c r="C50" s="44">
        <f>1-((M51/$M$3))</f>
        <v>3.5517871172467297E-2</v>
      </c>
      <c r="D50" s="219">
        <v>1.5</v>
      </c>
      <c r="E50" s="220">
        <v>1112.5999999999999</v>
      </c>
      <c r="F50" s="213"/>
      <c r="G50" s="136">
        <f>1-5/8</f>
        <v>0.375</v>
      </c>
      <c r="H50" s="224"/>
      <c r="I50" s="68"/>
      <c r="J50" s="58" t="s">
        <v>250</v>
      </c>
      <c r="K50" s="59" t="s">
        <v>412</v>
      </c>
      <c r="L50" s="60" t="s">
        <v>413</v>
      </c>
      <c r="M50" s="61" t="s">
        <v>414</v>
      </c>
      <c r="N50" s="68"/>
      <c r="O50" s="68"/>
      <c r="P50" s="68"/>
      <c r="Q50" s="68"/>
      <c r="R50" s="68"/>
      <c r="S50" s="68"/>
      <c r="T50" s="68"/>
      <c r="U50" s="68"/>
      <c r="V50" s="68"/>
      <c r="W50" s="176">
        <v>0.7</v>
      </c>
      <c r="X50" s="164">
        <v>0.7</v>
      </c>
      <c r="Y50" s="165">
        <f t="shared" si="2"/>
        <v>7.3702999999999991E-2</v>
      </c>
      <c r="Z50" s="166">
        <f>1-(X50+Y50)</f>
        <v>0.22629700000000008</v>
      </c>
    </row>
    <row r="51" spans="1:27" ht="15.75" thickBot="1">
      <c r="A51" s="68"/>
      <c r="B51" s="31" t="s">
        <v>440</v>
      </c>
      <c r="C51" s="32" t="s">
        <v>405</v>
      </c>
      <c r="D51" s="214" t="s">
        <v>406</v>
      </c>
      <c r="E51" s="214" t="s">
        <v>407</v>
      </c>
      <c r="F51" s="33" t="s">
        <v>408</v>
      </c>
      <c r="G51" s="33" t="s">
        <v>409</v>
      </c>
      <c r="H51" s="34" t="s">
        <v>410</v>
      </c>
      <c r="I51" s="68"/>
      <c r="J51" s="62" t="s">
        <v>286</v>
      </c>
      <c r="K51" s="14">
        <v>9.5480999999999998</v>
      </c>
      <c r="L51" s="15">
        <v>2.7244999999999999</v>
      </c>
      <c r="M51" s="16">
        <v>9.4526000000000003</v>
      </c>
      <c r="N51" s="68"/>
      <c r="O51" s="68"/>
      <c r="P51" s="68"/>
      <c r="Q51" s="68"/>
      <c r="R51" s="171"/>
      <c r="S51" s="171"/>
      <c r="T51" s="171"/>
      <c r="U51" s="68"/>
      <c r="V51" s="68"/>
      <c r="W51" s="176">
        <v>0.8</v>
      </c>
      <c r="X51" s="164">
        <v>0.8</v>
      </c>
      <c r="Y51" s="165">
        <f t="shared" si="2"/>
        <v>8.4232000000000001E-2</v>
      </c>
      <c r="Z51" s="166">
        <f t="shared" si="3"/>
        <v>0.11576799999999998</v>
      </c>
    </row>
    <row r="52" spans="1:27">
      <c r="A52" s="68"/>
      <c r="B52" s="38" t="s">
        <v>0</v>
      </c>
      <c r="C52" s="42">
        <f>1-((K52/$K$3))</f>
        <v>4.4977736772433774E-2</v>
      </c>
      <c r="D52" s="215">
        <v>0.33333000000000002</v>
      </c>
      <c r="E52" s="216">
        <v>190</v>
      </c>
      <c r="F52" s="211"/>
      <c r="G52" s="135">
        <f>1-8/8</f>
        <v>0</v>
      </c>
      <c r="H52" s="222"/>
      <c r="I52" s="68"/>
      <c r="J52" s="63" t="s">
        <v>290</v>
      </c>
      <c r="K52" s="6">
        <v>9.5230999999999995</v>
      </c>
      <c r="L52" s="3">
        <v>2.7244999999999999</v>
      </c>
      <c r="M52" s="5">
        <v>9.4281000000000006</v>
      </c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172"/>
      <c r="Y52" s="173"/>
      <c r="Z52" s="174"/>
      <c r="AA52" s="175"/>
    </row>
    <row r="53" spans="1:27">
      <c r="A53" s="68"/>
      <c r="B53" s="39" t="s">
        <v>2</v>
      </c>
      <c r="C53" s="43">
        <f>1-((L52/$L$3))</f>
        <v>3.3316775475447091E-2</v>
      </c>
      <c r="D53" s="217">
        <v>1.63</v>
      </c>
      <c r="E53" s="218">
        <v>61.6</v>
      </c>
      <c r="F53" s="212"/>
      <c r="G53" s="2">
        <f>1-4/8</f>
        <v>0.5</v>
      </c>
      <c r="H53" s="223"/>
      <c r="I53" s="68"/>
      <c r="J53" s="63" t="s">
        <v>294</v>
      </c>
      <c r="K53" s="6">
        <v>9.5230999999999995</v>
      </c>
      <c r="L53" s="3">
        <v>2.7244999999999999</v>
      </c>
      <c r="M53" s="5">
        <v>9.4281000000000006</v>
      </c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172"/>
      <c r="Y53" s="173"/>
      <c r="Z53" s="174"/>
      <c r="AA53" s="175"/>
    </row>
    <row r="54" spans="1:27" ht="15.75" thickBot="1">
      <c r="A54" s="68"/>
      <c r="B54" s="40" t="s">
        <v>4</v>
      </c>
      <c r="C54" s="44">
        <f>1-((M52/$M$3))</f>
        <v>3.8017692613792953E-2</v>
      </c>
      <c r="D54" s="219">
        <v>1.5</v>
      </c>
      <c r="E54" s="220">
        <v>1112.5999999999999</v>
      </c>
      <c r="F54" s="213"/>
      <c r="G54" s="136">
        <f>1-4/8</f>
        <v>0.5</v>
      </c>
      <c r="H54" s="224"/>
      <c r="I54" s="68"/>
      <c r="J54" s="63" t="s">
        <v>298</v>
      </c>
      <c r="K54" s="6">
        <v>9.5242000000000004</v>
      </c>
      <c r="L54" s="3">
        <v>2.7244999999999999</v>
      </c>
      <c r="M54" s="5">
        <v>9.4396000000000004</v>
      </c>
      <c r="N54" s="68"/>
      <c r="O54" s="68"/>
      <c r="P54" s="68"/>
      <c r="Q54" s="68"/>
      <c r="R54" s="171"/>
      <c r="S54" s="171"/>
      <c r="T54" s="171"/>
      <c r="U54" s="68"/>
      <c r="V54" s="68"/>
      <c r="W54" s="68"/>
      <c r="X54" s="172"/>
      <c r="Y54" s="173"/>
      <c r="Z54" s="174"/>
      <c r="AA54" s="175"/>
    </row>
    <row r="55" spans="1:27" ht="15.75" thickBot="1">
      <c r="A55" s="68"/>
      <c r="B55" s="41" t="s">
        <v>441</v>
      </c>
      <c r="C55" s="32" t="s">
        <v>405</v>
      </c>
      <c r="D55" s="214" t="s">
        <v>406</v>
      </c>
      <c r="E55" s="214" t="s">
        <v>407</v>
      </c>
      <c r="F55" s="33" t="s">
        <v>408</v>
      </c>
      <c r="G55" s="33" t="s">
        <v>409</v>
      </c>
      <c r="H55" s="34" t="s">
        <v>410</v>
      </c>
      <c r="I55" s="68"/>
      <c r="J55" s="63" t="s">
        <v>301</v>
      </c>
      <c r="K55" s="6">
        <v>9.5242000000000004</v>
      </c>
      <c r="L55" s="3">
        <v>2.7244999999999999</v>
      </c>
      <c r="M55" s="5">
        <v>9.4396000000000004</v>
      </c>
      <c r="N55" s="68"/>
      <c r="O55" s="68"/>
      <c r="P55" s="68"/>
      <c r="Q55" s="68"/>
      <c r="R55" s="68"/>
      <c r="S55" s="68"/>
      <c r="T55" s="456"/>
      <c r="U55" s="457"/>
      <c r="V55" s="68"/>
      <c r="W55" s="68"/>
      <c r="X55" s="172"/>
      <c r="Y55" s="173"/>
      <c r="Z55" s="174"/>
      <c r="AA55" s="175"/>
    </row>
    <row r="56" spans="1:27" ht="15.75" thickBot="1">
      <c r="A56" s="68"/>
      <c r="B56" s="35" t="s">
        <v>0</v>
      </c>
      <c r="C56" s="42">
        <f>1-((K53/$K$3))</f>
        <v>4.4977736772433774E-2</v>
      </c>
      <c r="D56" s="215">
        <v>0.33333000000000002</v>
      </c>
      <c r="E56" s="216">
        <v>190</v>
      </c>
      <c r="F56" s="211"/>
      <c r="G56" s="135">
        <f>1-7/8</f>
        <v>0.125</v>
      </c>
      <c r="H56" s="222"/>
      <c r="I56" s="68"/>
      <c r="J56" s="63" t="s">
        <v>304</v>
      </c>
      <c r="K56" s="6">
        <v>9.5242000000000004</v>
      </c>
      <c r="L56" s="3">
        <v>2.7244999999999999</v>
      </c>
      <c r="M56" s="5">
        <v>9.4396000000000004</v>
      </c>
      <c r="N56" s="68"/>
      <c r="O56" s="68"/>
      <c r="P56" s="68"/>
      <c r="Q56" s="68"/>
      <c r="R56" s="68"/>
      <c r="S56" s="68"/>
      <c r="T56" s="192"/>
      <c r="U56" s="241"/>
      <c r="V56" s="68"/>
      <c r="W56" s="68"/>
      <c r="X56" s="172"/>
      <c r="Y56" s="173"/>
      <c r="Z56" s="174"/>
      <c r="AA56" s="175"/>
    </row>
    <row r="57" spans="1:27" ht="15.75" thickBot="1">
      <c r="A57" s="68"/>
      <c r="B57" s="36" t="s">
        <v>2</v>
      </c>
      <c r="C57" s="43">
        <f>1-((L53/$L$3))</f>
        <v>3.3316775475447091E-2</v>
      </c>
      <c r="D57" s="217">
        <v>1.63</v>
      </c>
      <c r="E57" s="218">
        <v>61.6</v>
      </c>
      <c r="F57" s="212"/>
      <c r="G57" s="2">
        <f>1-3/8</f>
        <v>0.625</v>
      </c>
      <c r="H57" s="223"/>
      <c r="I57" s="68"/>
      <c r="J57" s="63" t="s">
        <v>306</v>
      </c>
      <c r="K57" s="6">
        <v>9.5242000000000004</v>
      </c>
      <c r="L57" s="3">
        <v>2.7244999999999999</v>
      </c>
      <c r="M57" s="5">
        <v>9.4396000000000004</v>
      </c>
      <c r="N57" s="68"/>
      <c r="O57" s="68"/>
      <c r="P57" s="68"/>
      <c r="Q57" s="68"/>
      <c r="R57" s="68"/>
      <c r="S57" s="68"/>
      <c r="T57" s="192"/>
      <c r="U57" s="242"/>
      <c r="V57" s="68"/>
      <c r="W57" s="68"/>
      <c r="X57" s="172"/>
      <c r="Y57" s="173"/>
      <c r="Z57" s="174"/>
      <c r="AA57" s="175"/>
    </row>
    <row r="58" spans="1:27" ht="15.75" thickBot="1">
      <c r="A58" s="68"/>
      <c r="B58" s="37" t="s">
        <v>4</v>
      </c>
      <c r="C58" s="44">
        <f>1-((M53/$M$3))</f>
        <v>3.8017692613792953E-2</v>
      </c>
      <c r="D58" s="219">
        <v>1.5</v>
      </c>
      <c r="E58" s="220">
        <v>1112.5999999999999</v>
      </c>
      <c r="F58" s="213"/>
      <c r="G58" s="136">
        <f>1-3/8</f>
        <v>0.625</v>
      </c>
      <c r="H58" s="224"/>
      <c r="I58" s="68"/>
      <c r="J58" s="63" t="s">
        <v>308</v>
      </c>
      <c r="K58" s="6">
        <v>9.5242000000000004</v>
      </c>
      <c r="L58" s="3">
        <v>2.7244999999999999</v>
      </c>
      <c r="M58" s="5">
        <v>9.4396000000000004</v>
      </c>
      <c r="N58" s="68"/>
      <c r="O58" s="68"/>
      <c r="P58" s="68"/>
      <c r="Q58" s="68"/>
      <c r="R58" s="171"/>
      <c r="S58" s="171"/>
      <c r="T58" s="192"/>
      <c r="U58" s="243"/>
      <c r="V58" s="68"/>
      <c r="W58" s="68"/>
      <c r="X58" s="172"/>
      <c r="Y58" s="173"/>
      <c r="Z58" s="174"/>
      <c r="AA58" s="175"/>
    </row>
    <row r="59" spans="1:27" ht="15.75" thickBot="1">
      <c r="A59" s="68"/>
      <c r="B59" s="31" t="s">
        <v>442</v>
      </c>
      <c r="C59" s="32" t="s">
        <v>405</v>
      </c>
      <c r="D59" s="214" t="s">
        <v>406</v>
      </c>
      <c r="E59" s="214" t="s">
        <v>407</v>
      </c>
      <c r="F59" s="33" t="s">
        <v>408</v>
      </c>
      <c r="G59" s="33" t="s">
        <v>409</v>
      </c>
      <c r="H59" s="34" t="s">
        <v>410</v>
      </c>
      <c r="I59" s="68"/>
      <c r="J59" s="64" t="s">
        <v>310</v>
      </c>
      <c r="K59" s="7">
        <v>9.5242000000000004</v>
      </c>
      <c r="L59" s="8">
        <v>2.7244999999999999</v>
      </c>
      <c r="M59" s="9">
        <v>9.4396000000000004</v>
      </c>
      <c r="N59" s="68"/>
      <c r="O59" s="68"/>
      <c r="P59" s="68"/>
      <c r="Q59" s="68"/>
      <c r="R59" s="171"/>
      <c r="S59" s="171"/>
      <c r="T59" s="171"/>
      <c r="U59" s="68"/>
      <c r="V59" s="68"/>
      <c r="W59" s="68"/>
      <c r="X59" s="172"/>
      <c r="Y59" s="173"/>
      <c r="Z59" s="174"/>
      <c r="AA59" s="175"/>
    </row>
    <row r="60" spans="1:27" ht="15.75" thickBot="1">
      <c r="A60" s="68"/>
      <c r="B60" s="35" t="s">
        <v>0</v>
      </c>
      <c r="C60" s="42">
        <f>1-((K54/$K$3))</f>
        <v>4.4867423482690794E-2</v>
      </c>
      <c r="D60" s="215">
        <v>0.33333000000000002</v>
      </c>
      <c r="E60" s="216">
        <v>190</v>
      </c>
      <c r="F60" s="211"/>
      <c r="G60" s="135">
        <f>1-8/9</f>
        <v>0.11111111111111116</v>
      </c>
      <c r="H60" s="222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7" ht="15.75" thickBot="1">
      <c r="A61" s="68"/>
      <c r="B61" s="36" t="s">
        <v>2</v>
      </c>
      <c r="C61" s="43">
        <f>1-((L54/$L$3))</f>
        <v>3.3316775475447091E-2</v>
      </c>
      <c r="D61" s="217">
        <v>1.63</v>
      </c>
      <c r="E61" s="218">
        <v>61.6</v>
      </c>
      <c r="F61" s="212"/>
      <c r="G61" s="2">
        <f>1-4/9</f>
        <v>0.55555555555555558</v>
      </c>
      <c r="H61" s="223"/>
      <c r="I61" s="68"/>
      <c r="J61" s="45" t="s">
        <v>443</v>
      </c>
      <c r="K61" s="46" t="s">
        <v>444</v>
      </c>
      <c r="L61" s="47" t="s">
        <v>445</v>
      </c>
      <c r="M61" s="48" t="s">
        <v>446</v>
      </c>
      <c r="N61" s="49" t="s">
        <v>410</v>
      </c>
      <c r="O61" s="68"/>
      <c r="P61" s="45" t="s">
        <v>447</v>
      </c>
      <c r="Q61" s="46" t="s">
        <v>448</v>
      </c>
      <c r="R61" s="47" t="s">
        <v>449</v>
      </c>
      <c r="S61" s="48" t="s">
        <v>450</v>
      </c>
      <c r="T61" s="49" t="s">
        <v>410</v>
      </c>
      <c r="U61" s="68"/>
      <c r="V61" s="45" t="s">
        <v>451</v>
      </c>
      <c r="W61" s="46" t="s">
        <v>452</v>
      </c>
      <c r="X61" s="47" t="s">
        <v>453</v>
      </c>
      <c r="Y61" s="48" t="s">
        <v>454</v>
      </c>
      <c r="Z61" s="49" t="s">
        <v>410</v>
      </c>
    </row>
    <row r="62" spans="1:27" ht="15.75" thickBot="1">
      <c r="A62" s="68"/>
      <c r="B62" s="37" t="s">
        <v>4</v>
      </c>
      <c r="C62" s="44">
        <f>1-((M54/$M$3))</f>
        <v>3.68443070392932E-2</v>
      </c>
      <c r="D62" s="219">
        <v>1.5</v>
      </c>
      <c r="E62" s="220">
        <v>1112.5999999999999</v>
      </c>
      <c r="F62" s="213"/>
      <c r="G62" s="136">
        <f>1-4/9</f>
        <v>0.55555555555555558</v>
      </c>
      <c r="H62" s="224"/>
      <c r="I62" s="68"/>
      <c r="J62" s="50" t="s">
        <v>257</v>
      </c>
      <c r="K62" s="51">
        <f t="shared" ref="K62:K79" si="4">R22</f>
        <v>0</v>
      </c>
      <c r="L62" s="131">
        <f t="shared" ref="L62:L79" si="5">S22</f>
        <v>0.97784810126582278</v>
      </c>
      <c r="M62" s="140">
        <f>T22</f>
        <v>0.6</v>
      </c>
      <c r="N62" s="179">
        <f t="shared" ref="N62:N79" si="6">K62*0.4+L62*0.04212+M62*0.55788</f>
        <v>0.37591496202531649</v>
      </c>
      <c r="O62" s="68"/>
      <c r="P62" s="50" t="s">
        <v>257</v>
      </c>
      <c r="Q62" s="51">
        <f>R22</f>
        <v>0</v>
      </c>
      <c r="R62" s="131">
        <f>S22</f>
        <v>0.97784810126582278</v>
      </c>
      <c r="S62" s="140">
        <f>T22</f>
        <v>0.6</v>
      </c>
      <c r="T62" s="179">
        <f>Q62*0.6+R62*0.06317+S62*0.33683</f>
        <v>0.26386866455696201</v>
      </c>
      <c r="U62" s="68"/>
      <c r="V62" s="50" t="s">
        <v>257</v>
      </c>
      <c r="W62" s="51">
        <f>R22</f>
        <v>0</v>
      </c>
      <c r="X62" s="131">
        <f>S22</f>
        <v>0.97784810126582278</v>
      </c>
      <c r="Y62" s="140">
        <f>T22</f>
        <v>0.6</v>
      </c>
      <c r="Z62" s="179">
        <f>W62*0.8+X62*0.08423+Y62*0.11577</f>
        <v>0.15182614556962026</v>
      </c>
    </row>
    <row r="63" spans="1:27" ht="15.75" thickBot="1">
      <c r="A63" s="68"/>
      <c r="B63" s="31" t="s">
        <v>455</v>
      </c>
      <c r="C63" s="32" t="s">
        <v>405</v>
      </c>
      <c r="D63" s="214" t="s">
        <v>406</v>
      </c>
      <c r="E63" s="214" t="s">
        <v>407</v>
      </c>
      <c r="F63" s="33" t="s">
        <v>408</v>
      </c>
      <c r="G63" s="33" t="s">
        <v>409</v>
      </c>
      <c r="H63" s="34" t="s">
        <v>410</v>
      </c>
      <c r="I63" s="68"/>
      <c r="J63" s="52" t="s">
        <v>261</v>
      </c>
      <c r="K63" s="53">
        <f t="shared" si="4"/>
        <v>0</v>
      </c>
      <c r="L63" s="132">
        <f t="shared" si="5"/>
        <v>0.9866129843985908</v>
      </c>
      <c r="M63" s="141">
        <f t="shared" ref="M63:M79" si="7">T23</f>
        <v>0.60000000000000009</v>
      </c>
      <c r="N63" s="65">
        <f t="shared" si="6"/>
        <v>0.37628413890286871</v>
      </c>
      <c r="O63" s="68"/>
      <c r="P63" s="52" t="s">
        <v>261</v>
      </c>
      <c r="Q63" s="53">
        <f t="shared" ref="Q63:S78" si="8">R23</f>
        <v>0</v>
      </c>
      <c r="R63" s="132">
        <f t="shared" si="8"/>
        <v>0.9866129843985908</v>
      </c>
      <c r="S63" s="141">
        <f t="shared" si="8"/>
        <v>0.60000000000000009</v>
      </c>
      <c r="T63" s="65">
        <f t="shared" ref="T63:T79" si="9">Q63*0.6+R63*0.06317+S63*0.33683</f>
        <v>0.26442234222445904</v>
      </c>
      <c r="U63" s="68"/>
      <c r="V63" s="52" t="s">
        <v>261</v>
      </c>
      <c r="W63" s="53">
        <f t="shared" ref="W63:Y78" si="10">R23</f>
        <v>0</v>
      </c>
      <c r="X63" s="132">
        <f t="shared" si="10"/>
        <v>0.9866129843985908</v>
      </c>
      <c r="Y63" s="141">
        <f t="shared" si="10"/>
        <v>0.60000000000000009</v>
      </c>
      <c r="Z63" s="65">
        <f t="shared" ref="Z63:Z79" si="11">W63*0.8+X63*0.08423+Y63*0.11577</f>
        <v>0.1525644116758933</v>
      </c>
    </row>
    <row r="64" spans="1:27">
      <c r="A64" s="68"/>
      <c r="B64" s="35" t="s">
        <v>0</v>
      </c>
      <c r="C64" s="42">
        <f>1-((K55/$K$3))</f>
        <v>4.4867423482690794E-2</v>
      </c>
      <c r="D64" s="215">
        <v>0.33333000000000002</v>
      </c>
      <c r="E64" s="216">
        <v>190</v>
      </c>
      <c r="F64" s="211"/>
      <c r="G64" s="135">
        <f>1-8/9</f>
        <v>0.11111111111111116</v>
      </c>
      <c r="H64" s="222"/>
      <c r="I64" s="68"/>
      <c r="J64" s="52" t="s">
        <v>264</v>
      </c>
      <c r="K64" s="53">
        <f t="shared" si="4"/>
        <v>0</v>
      </c>
      <c r="L64" s="132">
        <f t="shared" si="5"/>
        <v>0.97784810126582278</v>
      </c>
      <c r="M64" s="141">
        <f t="shared" si="7"/>
        <v>0.60000000000000009</v>
      </c>
      <c r="N64" s="148">
        <f t="shared" si="6"/>
        <v>0.37591496202531655</v>
      </c>
      <c r="O64" s="68"/>
      <c r="P64" s="52" t="s">
        <v>264</v>
      </c>
      <c r="Q64" s="53">
        <f t="shared" si="8"/>
        <v>0</v>
      </c>
      <c r="R64" s="132">
        <f t="shared" si="8"/>
        <v>0.97784810126582278</v>
      </c>
      <c r="S64" s="141">
        <f t="shared" si="8"/>
        <v>0.60000000000000009</v>
      </c>
      <c r="T64" s="148">
        <f t="shared" si="9"/>
        <v>0.26386866455696206</v>
      </c>
      <c r="U64" s="68"/>
      <c r="V64" s="52" t="s">
        <v>264</v>
      </c>
      <c r="W64" s="53">
        <f t="shared" si="10"/>
        <v>0</v>
      </c>
      <c r="X64" s="132">
        <f t="shared" si="10"/>
        <v>0.97784810126582278</v>
      </c>
      <c r="Y64" s="141">
        <f t="shared" si="10"/>
        <v>0.60000000000000009</v>
      </c>
      <c r="Z64" s="66">
        <f t="shared" si="11"/>
        <v>0.15182614556962026</v>
      </c>
    </row>
    <row r="65" spans="1:26">
      <c r="A65" s="68"/>
      <c r="B65" s="36" t="s">
        <v>2</v>
      </c>
      <c r="C65" s="43">
        <f>1-((L55/$L$3))</f>
        <v>3.3316775475447091E-2</v>
      </c>
      <c r="D65" s="217">
        <v>1.63</v>
      </c>
      <c r="E65" s="218">
        <v>61.6</v>
      </c>
      <c r="F65" s="212"/>
      <c r="G65" s="2">
        <f>1-4/9</f>
        <v>0.55555555555555558</v>
      </c>
      <c r="H65" s="223"/>
      <c r="I65" s="68"/>
      <c r="J65" s="52" t="s">
        <v>268</v>
      </c>
      <c r="K65" s="53">
        <f t="shared" si="4"/>
        <v>0</v>
      </c>
      <c r="L65" s="132">
        <f t="shared" si="5"/>
        <v>0.97784810126582278</v>
      </c>
      <c r="M65" s="141">
        <f t="shared" si="7"/>
        <v>0.5</v>
      </c>
      <c r="N65" s="144">
        <f t="shared" si="6"/>
        <v>0.32012696202531649</v>
      </c>
      <c r="O65" s="68"/>
      <c r="P65" s="52" t="s">
        <v>268</v>
      </c>
      <c r="Q65" s="53">
        <f t="shared" si="8"/>
        <v>0</v>
      </c>
      <c r="R65" s="132">
        <f t="shared" si="8"/>
        <v>0.97784810126582278</v>
      </c>
      <c r="S65" s="141">
        <f t="shared" si="8"/>
        <v>0.5</v>
      </c>
      <c r="T65" s="66">
        <f t="shared" si="9"/>
        <v>0.23018566455696204</v>
      </c>
      <c r="U65" s="68"/>
      <c r="V65" s="52" t="s">
        <v>268</v>
      </c>
      <c r="W65" s="53">
        <f t="shared" si="10"/>
        <v>0</v>
      </c>
      <c r="X65" s="132">
        <f t="shared" si="10"/>
        <v>0.97784810126582278</v>
      </c>
      <c r="Y65" s="141">
        <f t="shared" si="10"/>
        <v>0.5</v>
      </c>
      <c r="Z65" s="66">
        <f t="shared" si="11"/>
        <v>0.14024914556962026</v>
      </c>
    </row>
    <row r="66" spans="1:26" ht="15.75" thickBot="1">
      <c r="A66" s="68"/>
      <c r="B66" s="37" t="s">
        <v>4</v>
      </c>
      <c r="C66" s="44">
        <f>1-((M55/$M$3))</f>
        <v>3.68443070392932E-2</v>
      </c>
      <c r="D66" s="219">
        <v>1.5</v>
      </c>
      <c r="E66" s="220">
        <v>1112.5999999999999</v>
      </c>
      <c r="F66" s="213"/>
      <c r="G66" s="136">
        <f>1-4/9</f>
        <v>0.55555555555555558</v>
      </c>
      <c r="H66" s="224"/>
      <c r="I66" s="68"/>
      <c r="J66" s="52" t="s">
        <v>272</v>
      </c>
      <c r="K66" s="53">
        <f t="shared" si="4"/>
        <v>0</v>
      </c>
      <c r="L66" s="132">
        <f t="shared" si="5"/>
        <v>0.99333777481678875</v>
      </c>
      <c r="M66" s="141">
        <f t="shared" si="7"/>
        <v>0.7</v>
      </c>
      <c r="N66" s="66">
        <f t="shared" si="6"/>
        <v>0.43235538707528315</v>
      </c>
      <c r="O66" s="68"/>
      <c r="P66" s="52" t="s">
        <v>272</v>
      </c>
      <c r="Q66" s="53">
        <f t="shared" si="8"/>
        <v>0</v>
      </c>
      <c r="R66" s="132">
        <f t="shared" si="8"/>
        <v>0.99333777481678875</v>
      </c>
      <c r="S66" s="141">
        <f t="shared" si="8"/>
        <v>0.7</v>
      </c>
      <c r="T66" s="66">
        <f t="shared" si="9"/>
        <v>0.29853014723517657</v>
      </c>
      <c r="U66" s="68"/>
      <c r="V66" s="52" t="s">
        <v>272</v>
      </c>
      <c r="W66" s="53">
        <f t="shared" si="10"/>
        <v>0</v>
      </c>
      <c r="X66" s="132">
        <f t="shared" si="10"/>
        <v>0.99333777481678875</v>
      </c>
      <c r="Y66" s="141">
        <f t="shared" si="10"/>
        <v>0.7</v>
      </c>
      <c r="Z66" s="66">
        <f t="shared" si="11"/>
        <v>0.16470784077281811</v>
      </c>
    </row>
    <row r="67" spans="1:26" ht="15.75" thickBot="1">
      <c r="A67" s="68"/>
      <c r="B67" s="31" t="s">
        <v>456</v>
      </c>
      <c r="C67" s="32" t="s">
        <v>405</v>
      </c>
      <c r="D67" s="214" t="s">
        <v>406</v>
      </c>
      <c r="E67" s="214" t="s">
        <v>407</v>
      </c>
      <c r="F67" s="33" t="s">
        <v>408</v>
      </c>
      <c r="G67" s="33" t="s">
        <v>409</v>
      </c>
      <c r="H67" s="34" t="s">
        <v>410</v>
      </c>
      <c r="I67" s="68"/>
      <c r="J67" s="52" t="s">
        <v>274</v>
      </c>
      <c r="K67" s="53">
        <f t="shared" si="4"/>
        <v>0</v>
      </c>
      <c r="L67" s="132">
        <f t="shared" si="5"/>
        <v>0.99585218702865763</v>
      </c>
      <c r="M67" s="141">
        <f t="shared" si="7"/>
        <v>0.7</v>
      </c>
      <c r="N67" s="66">
        <f t="shared" si="6"/>
        <v>0.43246129411764711</v>
      </c>
      <c r="O67" s="68"/>
      <c r="P67" s="52" t="s">
        <v>274</v>
      </c>
      <c r="Q67" s="53">
        <f t="shared" si="8"/>
        <v>0</v>
      </c>
      <c r="R67" s="132">
        <f t="shared" si="8"/>
        <v>0.99585218702865763</v>
      </c>
      <c r="S67" s="141">
        <f t="shared" si="8"/>
        <v>0.7</v>
      </c>
      <c r="T67" s="66">
        <f t="shared" si="9"/>
        <v>0.29868898265460031</v>
      </c>
      <c r="U67" s="68"/>
      <c r="V67" s="52" t="s">
        <v>274</v>
      </c>
      <c r="W67" s="53">
        <f t="shared" si="10"/>
        <v>0</v>
      </c>
      <c r="X67" s="132">
        <f t="shared" si="10"/>
        <v>0.99585218702865763</v>
      </c>
      <c r="Y67" s="141">
        <f t="shared" si="10"/>
        <v>0.7</v>
      </c>
      <c r="Z67" s="66">
        <f t="shared" si="11"/>
        <v>0.16491962971342383</v>
      </c>
    </row>
    <row r="68" spans="1:26">
      <c r="A68" s="68"/>
      <c r="B68" s="35" t="s">
        <v>0</v>
      </c>
      <c r="C68" s="42">
        <f>1-((K56/$K$3))</f>
        <v>4.4867423482690794E-2</v>
      </c>
      <c r="D68" s="215">
        <v>0.33333000000000002</v>
      </c>
      <c r="E68" s="216">
        <v>190</v>
      </c>
      <c r="F68" s="211"/>
      <c r="G68" s="135">
        <f>1-10/10</f>
        <v>0</v>
      </c>
      <c r="H68" s="222"/>
      <c r="I68" s="68"/>
      <c r="J68" s="52" t="s">
        <v>276</v>
      </c>
      <c r="K68" s="53">
        <f t="shared" si="4"/>
        <v>0</v>
      </c>
      <c r="L68" s="132">
        <f t="shared" si="5"/>
        <v>0.99608408903544932</v>
      </c>
      <c r="M68" s="141">
        <f t="shared" si="7"/>
        <v>0.7</v>
      </c>
      <c r="N68" s="66">
        <f t="shared" si="6"/>
        <v>0.43247106183017314</v>
      </c>
      <c r="O68" s="68"/>
      <c r="P68" s="52" t="s">
        <v>276</v>
      </c>
      <c r="Q68" s="53">
        <f t="shared" si="8"/>
        <v>0</v>
      </c>
      <c r="R68" s="132">
        <f t="shared" si="8"/>
        <v>0.99608408903544932</v>
      </c>
      <c r="S68" s="141">
        <f t="shared" si="8"/>
        <v>0.7</v>
      </c>
      <c r="T68" s="66">
        <f t="shared" si="9"/>
        <v>0.29870363190436933</v>
      </c>
      <c r="U68" s="68"/>
      <c r="V68" s="52" t="s">
        <v>276</v>
      </c>
      <c r="W68" s="53">
        <f t="shared" si="10"/>
        <v>0</v>
      </c>
      <c r="X68" s="132">
        <f t="shared" si="10"/>
        <v>0.99608408903544932</v>
      </c>
      <c r="Y68" s="141">
        <f t="shared" si="10"/>
        <v>0.7</v>
      </c>
      <c r="Z68" s="66">
        <f t="shared" si="11"/>
        <v>0.16493916281945589</v>
      </c>
    </row>
    <row r="69" spans="1:26">
      <c r="A69" s="68"/>
      <c r="B69" s="36" t="s">
        <v>2</v>
      </c>
      <c r="C69" s="43">
        <f>1-((L56/$L$3))</f>
        <v>3.3316775475447091E-2</v>
      </c>
      <c r="D69" s="217">
        <v>1.63</v>
      </c>
      <c r="E69" s="218">
        <v>61.6</v>
      </c>
      <c r="F69" s="212"/>
      <c r="G69" s="2">
        <f>1-7/10</f>
        <v>0.30000000000000004</v>
      </c>
      <c r="H69" s="223"/>
      <c r="I69" s="68"/>
      <c r="J69" s="54" t="s">
        <v>280</v>
      </c>
      <c r="K69" s="55">
        <f t="shared" si="4"/>
        <v>0</v>
      </c>
      <c r="L69" s="132">
        <f t="shared" si="5"/>
        <v>0.99849170437405732</v>
      </c>
      <c r="M69" s="141">
        <f t="shared" si="7"/>
        <v>0.9</v>
      </c>
      <c r="N69" s="66">
        <f t="shared" si="6"/>
        <v>0.54414847058823534</v>
      </c>
      <c r="O69" s="68"/>
      <c r="P69" s="54" t="s">
        <v>280</v>
      </c>
      <c r="Q69" s="55">
        <f t="shared" si="8"/>
        <v>0</v>
      </c>
      <c r="R69" s="132">
        <f t="shared" si="8"/>
        <v>0.99849170437405732</v>
      </c>
      <c r="S69" s="141">
        <f t="shared" si="8"/>
        <v>0.9</v>
      </c>
      <c r="T69" s="66">
        <f t="shared" si="9"/>
        <v>0.36622172096530919</v>
      </c>
      <c r="U69" s="68"/>
      <c r="V69" s="54" t="s">
        <v>280</v>
      </c>
      <c r="W69" s="55">
        <f t="shared" si="10"/>
        <v>0</v>
      </c>
      <c r="X69" s="132">
        <f t="shared" si="10"/>
        <v>0.99849170437405732</v>
      </c>
      <c r="Y69" s="141">
        <f t="shared" si="10"/>
        <v>0.9</v>
      </c>
      <c r="Z69" s="66">
        <f t="shared" si="11"/>
        <v>0.18829595625942686</v>
      </c>
    </row>
    <row r="70" spans="1:26" ht="15.75" thickBot="1">
      <c r="A70" s="68"/>
      <c r="B70" s="37" t="s">
        <v>4</v>
      </c>
      <c r="C70" s="44">
        <f>1-((M56/$M$3))</f>
        <v>3.68443070392932E-2</v>
      </c>
      <c r="D70" s="219">
        <v>1.5</v>
      </c>
      <c r="E70" s="220">
        <v>1112.5999999999999</v>
      </c>
      <c r="F70" s="213"/>
      <c r="G70" s="136">
        <f>1-6/10</f>
        <v>0.4</v>
      </c>
      <c r="H70" s="224"/>
      <c r="I70" s="68"/>
      <c r="J70" s="54" t="s">
        <v>282</v>
      </c>
      <c r="K70" s="55">
        <f t="shared" si="4"/>
        <v>0</v>
      </c>
      <c r="L70" s="132">
        <f t="shared" si="5"/>
        <v>0.99882228241667648</v>
      </c>
      <c r="M70" s="141">
        <f t="shared" si="7"/>
        <v>0.9</v>
      </c>
      <c r="N70" s="66">
        <f t="shared" si="6"/>
        <v>0.5441623945353905</v>
      </c>
      <c r="O70" s="68"/>
      <c r="P70" s="54" t="s">
        <v>282</v>
      </c>
      <c r="Q70" s="55">
        <f t="shared" si="8"/>
        <v>0</v>
      </c>
      <c r="R70" s="132">
        <f t="shared" si="8"/>
        <v>0.99882228241667648</v>
      </c>
      <c r="S70" s="141">
        <f t="shared" si="8"/>
        <v>0.9</v>
      </c>
      <c r="T70" s="66">
        <f t="shared" si="9"/>
        <v>0.36624260358026145</v>
      </c>
      <c r="U70" s="68"/>
      <c r="V70" s="54" t="s">
        <v>282</v>
      </c>
      <c r="W70" s="55">
        <f t="shared" si="10"/>
        <v>0</v>
      </c>
      <c r="X70" s="132">
        <f t="shared" si="10"/>
        <v>0.99882228241667648</v>
      </c>
      <c r="Y70" s="141">
        <f t="shared" si="10"/>
        <v>0.9</v>
      </c>
      <c r="Z70" s="66">
        <f t="shared" si="11"/>
        <v>0.18832380084795663</v>
      </c>
    </row>
    <row r="71" spans="1:26" ht="15.75" thickBot="1">
      <c r="A71" s="68"/>
      <c r="B71" s="31" t="s">
        <v>457</v>
      </c>
      <c r="C71" s="32" t="s">
        <v>405</v>
      </c>
      <c r="D71" s="214" t="s">
        <v>406</v>
      </c>
      <c r="E71" s="214" t="s">
        <v>407</v>
      </c>
      <c r="F71" s="33" t="s">
        <v>408</v>
      </c>
      <c r="G71" s="33" t="s">
        <v>409</v>
      </c>
      <c r="H71" s="34" t="s">
        <v>410</v>
      </c>
      <c r="I71" s="68"/>
      <c r="J71" s="54" t="s">
        <v>286</v>
      </c>
      <c r="K71" s="55">
        <f t="shared" si="4"/>
        <v>0</v>
      </c>
      <c r="L71" s="132">
        <f t="shared" si="5"/>
        <v>0.99333777481678875</v>
      </c>
      <c r="M71" s="141">
        <f t="shared" si="7"/>
        <v>0.8</v>
      </c>
      <c r="N71" s="66">
        <f t="shared" si="6"/>
        <v>0.48814338707528315</v>
      </c>
      <c r="O71" s="68"/>
      <c r="P71" s="54" t="s">
        <v>286</v>
      </c>
      <c r="Q71" s="55">
        <f t="shared" si="8"/>
        <v>0</v>
      </c>
      <c r="R71" s="132">
        <f t="shared" si="8"/>
        <v>0.99333777481678875</v>
      </c>
      <c r="S71" s="141">
        <f t="shared" si="8"/>
        <v>0.8</v>
      </c>
      <c r="T71" s="144">
        <f t="shared" si="9"/>
        <v>0.33221314723517659</v>
      </c>
      <c r="U71" s="68"/>
      <c r="V71" s="54" t="s">
        <v>286</v>
      </c>
      <c r="W71" s="55">
        <f t="shared" si="10"/>
        <v>0</v>
      </c>
      <c r="X71" s="132">
        <f t="shared" si="10"/>
        <v>0.99333777481678875</v>
      </c>
      <c r="Y71" s="141">
        <f t="shared" si="10"/>
        <v>0.8</v>
      </c>
      <c r="Z71" s="144">
        <f t="shared" si="11"/>
        <v>0.17628484077281811</v>
      </c>
    </row>
    <row r="72" spans="1:26">
      <c r="A72" s="68"/>
      <c r="B72" s="35" t="s">
        <v>0</v>
      </c>
      <c r="C72" s="42">
        <f>1-((K57/$K$3))</f>
        <v>4.4867423482690794E-2</v>
      </c>
      <c r="D72" s="215">
        <v>0.33333000000000002</v>
      </c>
      <c r="E72" s="216">
        <v>190</v>
      </c>
      <c r="F72" s="211"/>
      <c r="G72" s="135">
        <f>1-9/10</f>
        <v>9.9999999999999978E-2</v>
      </c>
      <c r="H72" s="222"/>
      <c r="I72" s="68"/>
      <c r="J72" s="54" t="s">
        <v>290</v>
      </c>
      <c r="K72" s="55">
        <f t="shared" si="4"/>
        <v>0</v>
      </c>
      <c r="L72" s="133">
        <f t="shared" si="5"/>
        <v>0.99597382989431305</v>
      </c>
      <c r="M72" s="142">
        <f t="shared" si="7"/>
        <v>0.8</v>
      </c>
      <c r="N72" s="66">
        <f t="shared" si="6"/>
        <v>0.48825441771514849</v>
      </c>
      <c r="O72" s="68"/>
      <c r="P72" s="54" t="s">
        <v>290</v>
      </c>
      <c r="Q72" s="55">
        <f t="shared" si="8"/>
        <v>0</v>
      </c>
      <c r="R72" s="133">
        <f t="shared" si="8"/>
        <v>0.99597382989431305</v>
      </c>
      <c r="S72" s="142">
        <f t="shared" si="8"/>
        <v>0.8</v>
      </c>
      <c r="T72" s="66">
        <f t="shared" si="9"/>
        <v>0.33237966683442377</v>
      </c>
      <c r="U72" s="68"/>
      <c r="V72" s="54" t="s">
        <v>290</v>
      </c>
      <c r="W72" s="55">
        <f t="shared" si="10"/>
        <v>0</v>
      </c>
      <c r="X72" s="133">
        <f t="shared" si="10"/>
        <v>0.99597382989431305</v>
      </c>
      <c r="Y72" s="142">
        <f t="shared" si="10"/>
        <v>0.8</v>
      </c>
      <c r="Z72" s="66">
        <f t="shared" si="11"/>
        <v>0.17650687569199799</v>
      </c>
    </row>
    <row r="73" spans="1:26">
      <c r="A73" s="68"/>
      <c r="B73" s="36" t="s">
        <v>2</v>
      </c>
      <c r="C73" s="43">
        <f>1-((L57/$L$3))</f>
        <v>3.3316775475447091E-2</v>
      </c>
      <c r="D73" s="217">
        <v>1.63</v>
      </c>
      <c r="E73" s="218">
        <v>61.6</v>
      </c>
      <c r="F73" s="212"/>
      <c r="G73" s="2">
        <f>1-6/10</f>
        <v>0.4</v>
      </c>
      <c r="H73" s="223"/>
      <c r="I73" s="68"/>
      <c r="J73" s="54" t="s">
        <v>294</v>
      </c>
      <c r="K73" s="55">
        <f t="shared" si="4"/>
        <v>0</v>
      </c>
      <c r="L73" s="133">
        <f t="shared" si="5"/>
        <v>0.99333777481678875</v>
      </c>
      <c r="M73" s="142">
        <f t="shared" si="7"/>
        <v>0.8</v>
      </c>
      <c r="N73" s="148">
        <f t="shared" si="6"/>
        <v>0.48814338707528315</v>
      </c>
      <c r="O73" s="68"/>
      <c r="P73" s="54" t="s">
        <v>294</v>
      </c>
      <c r="Q73" s="55">
        <f t="shared" si="8"/>
        <v>0</v>
      </c>
      <c r="R73" s="133">
        <f t="shared" si="8"/>
        <v>0.99333777481678875</v>
      </c>
      <c r="S73" s="142">
        <f t="shared" si="8"/>
        <v>0.8</v>
      </c>
      <c r="T73" s="148">
        <f t="shared" si="9"/>
        <v>0.33221314723517659</v>
      </c>
      <c r="U73" s="68"/>
      <c r="V73" s="54" t="s">
        <v>294</v>
      </c>
      <c r="W73" s="55">
        <f t="shared" si="10"/>
        <v>0</v>
      </c>
      <c r="X73" s="133">
        <f t="shared" si="10"/>
        <v>0.99333777481678875</v>
      </c>
      <c r="Y73" s="142">
        <f t="shared" si="10"/>
        <v>0.8</v>
      </c>
      <c r="Z73" s="148">
        <f t="shared" si="11"/>
        <v>0.17628484077281811</v>
      </c>
    </row>
    <row r="74" spans="1:26" ht="15.75" thickBot="1">
      <c r="A74" s="68"/>
      <c r="B74" s="37" t="s">
        <v>4</v>
      </c>
      <c r="C74" s="44">
        <f>1-((M57/$M$3))</f>
        <v>3.68443070392932E-2</v>
      </c>
      <c r="D74" s="219">
        <v>1.5</v>
      </c>
      <c r="E74" s="220">
        <v>1112.5999999999999</v>
      </c>
      <c r="F74" s="213"/>
      <c r="G74" s="136">
        <f>1-5/10</f>
        <v>0.5</v>
      </c>
      <c r="H74" s="224"/>
      <c r="I74" s="68"/>
      <c r="J74" s="54" t="s">
        <v>298</v>
      </c>
      <c r="K74" s="55">
        <f t="shared" si="4"/>
        <v>0</v>
      </c>
      <c r="L74" s="133">
        <f t="shared" si="5"/>
        <v>0.99333777481678875</v>
      </c>
      <c r="M74" s="142">
        <f t="shared" si="7"/>
        <v>0.7</v>
      </c>
      <c r="N74" s="66">
        <f t="shared" si="6"/>
        <v>0.43235538707528315</v>
      </c>
      <c r="O74" s="68"/>
      <c r="P74" s="54" t="s">
        <v>298</v>
      </c>
      <c r="Q74" s="55">
        <f t="shared" si="8"/>
        <v>0</v>
      </c>
      <c r="R74" s="133">
        <f t="shared" si="8"/>
        <v>0.99333777481678875</v>
      </c>
      <c r="S74" s="142">
        <f t="shared" si="8"/>
        <v>0.7</v>
      </c>
      <c r="T74" s="66">
        <f t="shared" si="9"/>
        <v>0.29853014723517657</v>
      </c>
      <c r="U74" s="68"/>
      <c r="V74" s="54" t="s">
        <v>298</v>
      </c>
      <c r="W74" s="55">
        <f t="shared" si="10"/>
        <v>0</v>
      </c>
      <c r="X74" s="133">
        <f t="shared" si="10"/>
        <v>0.99333777481678875</v>
      </c>
      <c r="Y74" s="142">
        <f t="shared" si="10"/>
        <v>0.7</v>
      </c>
      <c r="Z74" s="66">
        <f t="shared" si="11"/>
        <v>0.16470784077281811</v>
      </c>
    </row>
    <row r="75" spans="1:26" ht="15.75" thickBot="1">
      <c r="A75" s="68"/>
      <c r="B75" s="31" t="s">
        <v>458</v>
      </c>
      <c r="C75" s="32" t="s">
        <v>405</v>
      </c>
      <c r="D75" s="214" t="s">
        <v>406</v>
      </c>
      <c r="E75" s="214" t="s">
        <v>407</v>
      </c>
      <c r="F75" s="33" t="s">
        <v>408</v>
      </c>
      <c r="G75" s="33" t="s">
        <v>409</v>
      </c>
      <c r="H75" s="34" t="s">
        <v>410</v>
      </c>
      <c r="I75" s="68"/>
      <c r="J75" s="54" t="s">
        <v>301</v>
      </c>
      <c r="K75" s="55">
        <f t="shared" si="4"/>
        <v>0</v>
      </c>
      <c r="L75" s="133">
        <f t="shared" si="5"/>
        <v>0.99333777481678875</v>
      </c>
      <c r="M75" s="142">
        <f t="shared" si="7"/>
        <v>0.7</v>
      </c>
      <c r="N75" s="66">
        <f t="shared" si="6"/>
        <v>0.43235538707528315</v>
      </c>
      <c r="O75" s="68"/>
      <c r="P75" s="54" t="s">
        <v>301</v>
      </c>
      <c r="Q75" s="55">
        <f t="shared" si="8"/>
        <v>0</v>
      </c>
      <c r="R75" s="133">
        <f t="shared" si="8"/>
        <v>0.99333777481678875</v>
      </c>
      <c r="S75" s="142">
        <f t="shared" si="8"/>
        <v>0.7</v>
      </c>
      <c r="T75" s="66">
        <f t="shared" si="9"/>
        <v>0.29853014723517657</v>
      </c>
      <c r="U75" s="68"/>
      <c r="V75" s="54" t="s">
        <v>301</v>
      </c>
      <c r="W75" s="55">
        <f t="shared" si="10"/>
        <v>0</v>
      </c>
      <c r="X75" s="133">
        <f t="shared" si="10"/>
        <v>0.99333777481678875</v>
      </c>
      <c r="Y75" s="142">
        <f t="shared" si="10"/>
        <v>0.7</v>
      </c>
      <c r="Z75" s="66">
        <f t="shared" si="11"/>
        <v>0.16470784077281811</v>
      </c>
    </row>
    <row r="76" spans="1:26">
      <c r="A76" s="68"/>
      <c r="B76" s="35" t="s">
        <v>0</v>
      </c>
      <c r="C76" s="42">
        <f>1-((K58/$K$3))</f>
        <v>4.4867423482690794E-2</v>
      </c>
      <c r="D76" s="215">
        <v>0.33333000000000002</v>
      </c>
      <c r="E76" s="216">
        <v>190</v>
      </c>
      <c r="F76" s="211"/>
      <c r="G76" s="135">
        <f>1-10/10</f>
        <v>0</v>
      </c>
      <c r="H76" s="222"/>
      <c r="I76" s="68"/>
      <c r="J76" s="54" t="s">
        <v>304</v>
      </c>
      <c r="K76" s="55">
        <f t="shared" si="4"/>
        <v>0</v>
      </c>
      <c r="L76" s="133">
        <f t="shared" si="5"/>
        <v>0.99849170437405732</v>
      </c>
      <c r="M76" s="142">
        <f t="shared" si="7"/>
        <v>0.9</v>
      </c>
      <c r="N76" s="66">
        <f t="shared" si="6"/>
        <v>0.54414847058823534</v>
      </c>
      <c r="O76" s="68"/>
      <c r="P76" s="54" t="s">
        <v>304</v>
      </c>
      <c r="Q76" s="55">
        <f t="shared" si="8"/>
        <v>0</v>
      </c>
      <c r="R76" s="133">
        <f t="shared" si="8"/>
        <v>0.99849170437405732</v>
      </c>
      <c r="S76" s="142">
        <f t="shared" si="8"/>
        <v>0.9</v>
      </c>
      <c r="T76" s="66">
        <f t="shared" si="9"/>
        <v>0.36622172096530919</v>
      </c>
      <c r="U76" s="68"/>
      <c r="V76" s="54" t="s">
        <v>304</v>
      </c>
      <c r="W76" s="55">
        <f t="shared" si="10"/>
        <v>0</v>
      </c>
      <c r="X76" s="133">
        <f t="shared" si="10"/>
        <v>0.99849170437405732</v>
      </c>
      <c r="Y76" s="142">
        <f t="shared" si="10"/>
        <v>0.9</v>
      </c>
      <c r="Z76" s="66">
        <f t="shared" si="11"/>
        <v>0.18829595625942686</v>
      </c>
    </row>
    <row r="77" spans="1:26">
      <c r="A77" s="68"/>
      <c r="B77" s="36" t="s">
        <v>2</v>
      </c>
      <c r="C77" s="43">
        <f>1-((L58/$L$3))</f>
        <v>3.3316775475447091E-2</v>
      </c>
      <c r="D77" s="217">
        <v>1.63</v>
      </c>
      <c r="E77" s="218">
        <v>61.6</v>
      </c>
      <c r="F77" s="212"/>
      <c r="G77" s="2">
        <f>1-7/10</f>
        <v>0.30000000000000004</v>
      </c>
      <c r="H77" s="223"/>
      <c r="I77" s="68"/>
      <c r="J77" s="54" t="s">
        <v>306</v>
      </c>
      <c r="K77" s="55">
        <f t="shared" si="4"/>
        <v>0</v>
      </c>
      <c r="L77" s="133">
        <f t="shared" si="5"/>
        <v>0.99882228241667648</v>
      </c>
      <c r="M77" s="142">
        <f t="shared" si="7"/>
        <v>0.9</v>
      </c>
      <c r="N77" s="66">
        <f t="shared" si="6"/>
        <v>0.5441623945353905</v>
      </c>
      <c r="O77" s="68"/>
      <c r="P77" s="54" t="s">
        <v>306</v>
      </c>
      <c r="Q77" s="55">
        <f t="shared" si="8"/>
        <v>0</v>
      </c>
      <c r="R77" s="133">
        <f t="shared" si="8"/>
        <v>0.99882228241667648</v>
      </c>
      <c r="S77" s="142">
        <f t="shared" si="8"/>
        <v>0.9</v>
      </c>
      <c r="T77" s="66">
        <f t="shared" si="9"/>
        <v>0.36624260358026145</v>
      </c>
      <c r="U77" s="68"/>
      <c r="V77" s="54" t="s">
        <v>306</v>
      </c>
      <c r="W77" s="55">
        <f t="shared" si="10"/>
        <v>0</v>
      </c>
      <c r="X77" s="133">
        <f t="shared" si="10"/>
        <v>0.99882228241667648</v>
      </c>
      <c r="Y77" s="142">
        <f t="shared" si="10"/>
        <v>0.9</v>
      </c>
      <c r="Z77" s="66">
        <f t="shared" si="11"/>
        <v>0.18832380084795663</v>
      </c>
    </row>
    <row r="78" spans="1:26" ht="15.75" thickBot="1">
      <c r="A78" s="68"/>
      <c r="B78" s="37" t="s">
        <v>4</v>
      </c>
      <c r="C78" s="44">
        <f>1-((M58/$M$3))</f>
        <v>3.68443070392932E-2</v>
      </c>
      <c r="D78" s="219">
        <v>1.5</v>
      </c>
      <c r="E78" s="220">
        <v>1112.5999999999999</v>
      </c>
      <c r="F78" s="213"/>
      <c r="G78" s="136">
        <f>1-6/10</f>
        <v>0.4</v>
      </c>
      <c r="H78" s="224"/>
      <c r="I78" s="68"/>
      <c r="J78" s="54" t="s">
        <v>308</v>
      </c>
      <c r="K78" s="55">
        <f t="shared" si="4"/>
        <v>0</v>
      </c>
      <c r="L78" s="133">
        <f t="shared" si="5"/>
        <v>0.99849170437405732</v>
      </c>
      <c r="M78" s="142">
        <f t="shared" si="7"/>
        <v>0.9</v>
      </c>
      <c r="N78" s="66">
        <f t="shared" si="6"/>
        <v>0.54414847058823534</v>
      </c>
      <c r="O78" s="68"/>
      <c r="P78" s="54" t="s">
        <v>308</v>
      </c>
      <c r="Q78" s="55">
        <f t="shared" si="8"/>
        <v>0</v>
      </c>
      <c r="R78" s="133">
        <f t="shared" si="8"/>
        <v>0.99849170437405732</v>
      </c>
      <c r="S78" s="142">
        <f t="shared" si="8"/>
        <v>0.9</v>
      </c>
      <c r="T78" s="66">
        <f t="shared" si="9"/>
        <v>0.36622172096530919</v>
      </c>
      <c r="U78" s="68"/>
      <c r="V78" s="54" t="s">
        <v>308</v>
      </c>
      <c r="W78" s="55">
        <f t="shared" si="10"/>
        <v>0</v>
      </c>
      <c r="X78" s="133">
        <f t="shared" si="10"/>
        <v>0.99849170437405732</v>
      </c>
      <c r="Y78" s="142">
        <f t="shared" si="10"/>
        <v>0.9</v>
      </c>
      <c r="Z78" s="66">
        <f t="shared" si="11"/>
        <v>0.18829595625942686</v>
      </c>
    </row>
    <row r="79" spans="1:26" ht="15.75" thickBot="1">
      <c r="A79" s="68"/>
      <c r="B79" s="31" t="s">
        <v>459</v>
      </c>
      <c r="C79" s="32" t="s">
        <v>405</v>
      </c>
      <c r="D79" s="214" t="s">
        <v>406</v>
      </c>
      <c r="E79" s="214" t="s">
        <v>407</v>
      </c>
      <c r="F79" s="33" t="s">
        <v>408</v>
      </c>
      <c r="G79" s="33" t="s">
        <v>409</v>
      </c>
      <c r="H79" s="34" t="s">
        <v>410</v>
      </c>
      <c r="I79" s="68"/>
      <c r="J79" s="56" t="s">
        <v>310</v>
      </c>
      <c r="K79" s="57">
        <f t="shared" si="4"/>
        <v>0</v>
      </c>
      <c r="L79" s="134">
        <f t="shared" si="5"/>
        <v>0.99882228241667648</v>
      </c>
      <c r="M79" s="143">
        <f t="shared" si="7"/>
        <v>0.9</v>
      </c>
      <c r="N79" s="67">
        <f t="shared" si="6"/>
        <v>0.5441623945353905</v>
      </c>
      <c r="O79" s="68"/>
      <c r="P79" s="56" t="s">
        <v>310</v>
      </c>
      <c r="Q79" s="57">
        <f t="shared" ref="Q79:S79" si="12">R39</f>
        <v>0</v>
      </c>
      <c r="R79" s="134">
        <f t="shared" si="12"/>
        <v>0.99882228241667648</v>
      </c>
      <c r="S79" s="143">
        <f t="shared" si="12"/>
        <v>0.9</v>
      </c>
      <c r="T79" s="67">
        <f t="shared" si="9"/>
        <v>0.36624260358026145</v>
      </c>
      <c r="U79" s="68"/>
      <c r="V79" s="56" t="s">
        <v>310</v>
      </c>
      <c r="W79" s="57">
        <f t="shared" ref="W79:Y79" si="13">R39</f>
        <v>0</v>
      </c>
      <c r="X79" s="134">
        <f t="shared" si="13"/>
        <v>0.99882228241667648</v>
      </c>
      <c r="Y79" s="143">
        <f t="shared" si="13"/>
        <v>0.9</v>
      </c>
      <c r="Z79" s="67">
        <f t="shared" si="11"/>
        <v>0.18832380084795663</v>
      </c>
    </row>
    <row r="80" spans="1:26" ht="15.75" thickBot="1">
      <c r="A80" s="68"/>
      <c r="B80" s="35" t="s">
        <v>0</v>
      </c>
      <c r="C80" s="42">
        <f>1-((K59/$K$3))</f>
        <v>4.4867423482690794E-2</v>
      </c>
      <c r="D80" s="215">
        <v>0.33333000000000002</v>
      </c>
      <c r="E80" s="216">
        <v>190</v>
      </c>
      <c r="F80" s="211"/>
      <c r="G80" s="135">
        <f>1-9/10</f>
        <v>9.9999999999999978E-2</v>
      </c>
      <c r="H80" s="222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5.75" thickBot="1">
      <c r="A81" s="68"/>
      <c r="B81" s="36" t="s">
        <v>2</v>
      </c>
      <c r="C81" s="43">
        <f>1-((L59/$L$3))</f>
        <v>3.3316775475447091E-2</v>
      </c>
      <c r="D81" s="217">
        <v>1.63</v>
      </c>
      <c r="E81" s="218">
        <v>61.6</v>
      </c>
      <c r="F81" s="212"/>
      <c r="G81" s="2">
        <f>1-6/10</f>
        <v>0.4</v>
      </c>
      <c r="H81" s="223"/>
      <c r="I81" s="68"/>
      <c r="J81" s="45" t="s">
        <v>460</v>
      </c>
      <c r="K81" s="46" t="s">
        <v>461</v>
      </c>
      <c r="L81" s="47" t="s">
        <v>462</v>
      </c>
      <c r="M81" s="48" t="s">
        <v>463</v>
      </c>
      <c r="N81" s="49" t="s">
        <v>410</v>
      </c>
      <c r="O81" s="68"/>
      <c r="P81" s="45" t="s">
        <v>464</v>
      </c>
      <c r="Q81" s="46" t="s">
        <v>465</v>
      </c>
      <c r="R81" s="47" t="s">
        <v>466</v>
      </c>
      <c r="S81" s="48" t="s">
        <v>467</v>
      </c>
      <c r="T81" s="49" t="s">
        <v>410</v>
      </c>
      <c r="U81" s="68"/>
      <c r="V81" s="45" t="s">
        <v>468</v>
      </c>
      <c r="W81" s="46" t="s">
        <v>469</v>
      </c>
      <c r="X81" s="47" t="s">
        <v>470</v>
      </c>
      <c r="Y81" s="48" t="s">
        <v>471</v>
      </c>
      <c r="Z81" s="49" t="s">
        <v>410</v>
      </c>
    </row>
    <row r="82" spans="1:26" ht="15.75" thickBot="1">
      <c r="A82" s="68"/>
      <c r="B82" s="37" t="s">
        <v>4</v>
      </c>
      <c r="C82" s="44">
        <f>1-((M59/$M$3))</f>
        <v>3.68443070392932E-2</v>
      </c>
      <c r="D82" s="219">
        <v>1.5</v>
      </c>
      <c r="E82" s="220">
        <v>1112.5999999999999</v>
      </c>
      <c r="F82" s="213"/>
      <c r="G82" s="136">
        <f>1-5/10</f>
        <v>0.5</v>
      </c>
      <c r="H82" s="224"/>
      <c r="I82" s="68"/>
      <c r="J82" s="50" t="s">
        <v>257</v>
      </c>
      <c r="K82" s="51">
        <f>R22</f>
        <v>0</v>
      </c>
      <c r="L82" s="131">
        <f>S22</f>
        <v>0.97784810126582278</v>
      </c>
      <c r="M82" s="140">
        <f>T22</f>
        <v>0.6</v>
      </c>
      <c r="N82" s="179">
        <f>K82*0.5+L82*0.05265+M82*0.44736</f>
        <v>0.31989970253164557</v>
      </c>
      <c r="O82" s="68"/>
      <c r="P82" s="50" t="s">
        <v>257</v>
      </c>
      <c r="Q82" s="51">
        <f>R22</f>
        <v>0</v>
      </c>
      <c r="R82" s="131">
        <f>S22</f>
        <v>0.97784810126582278</v>
      </c>
      <c r="S82" s="140">
        <f>T22</f>
        <v>0.6</v>
      </c>
      <c r="T82" s="179">
        <f>Q82*0.7+R82*0.0737+S82*0.2263</f>
        <v>0.20784740506329114</v>
      </c>
      <c r="U82" s="68"/>
      <c r="V82" s="50" t="s">
        <v>257</v>
      </c>
      <c r="W82" s="51">
        <f>R22</f>
        <v>0</v>
      </c>
      <c r="X82" s="131">
        <f>S22</f>
        <v>0.97784810126582278</v>
      </c>
      <c r="Y82" s="140">
        <f>T22</f>
        <v>0.6</v>
      </c>
      <c r="Z82" s="179">
        <f>W82*0.9+X82*0.06429+Y82*0.03571</f>
        <v>8.4291854430379745E-2</v>
      </c>
    </row>
    <row r="83" spans="1:26">
      <c r="A83" s="68"/>
      <c r="B83" s="193"/>
      <c r="C83" s="194"/>
      <c r="D83" s="174"/>
      <c r="E83" s="194"/>
      <c r="F83" s="194"/>
      <c r="G83" s="173"/>
      <c r="H83" s="68"/>
      <c r="I83" s="68"/>
      <c r="J83" s="52" t="s">
        <v>261</v>
      </c>
      <c r="K83" s="53">
        <f t="shared" ref="K83:M98" si="14">R23</f>
        <v>0</v>
      </c>
      <c r="L83" s="132">
        <f t="shared" si="14"/>
        <v>0.9866129843985908</v>
      </c>
      <c r="M83" s="141">
        <f t="shared" si="14"/>
        <v>0.60000000000000009</v>
      </c>
      <c r="N83" s="65">
        <f t="shared" ref="N83:N99" si="15">K83*0.5+L83*0.05265+M83*0.44736</f>
        <v>0.32036117362858585</v>
      </c>
      <c r="O83" s="68"/>
      <c r="P83" s="52" t="s">
        <v>261</v>
      </c>
      <c r="Q83" s="53">
        <f t="shared" ref="Q83:S98" si="16">R23</f>
        <v>0</v>
      </c>
      <c r="R83" s="132">
        <f t="shared" si="16"/>
        <v>0.9866129843985908</v>
      </c>
      <c r="S83" s="141">
        <f t="shared" si="16"/>
        <v>0.60000000000000009</v>
      </c>
      <c r="T83" s="65">
        <f t="shared" ref="T83:T99" si="17">Q83*0.7+R83*0.0737+S83*0.2263</f>
        <v>0.20849337695017617</v>
      </c>
      <c r="U83" s="68"/>
      <c r="V83" s="52" t="s">
        <v>261</v>
      </c>
      <c r="W83" s="53">
        <f t="shared" ref="W83:Y98" si="18">R23</f>
        <v>0</v>
      </c>
      <c r="X83" s="132">
        <f t="shared" si="18"/>
        <v>0.9866129843985908</v>
      </c>
      <c r="Y83" s="141">
        <f t="shared" si="18"/>
        <v>0.60000000000000009</v>
      </c>
      <c r="Z83" s="65">
        <f t="shared" ref="Z83:Z99" si="19">W83*0.9+X83*0.06429+Y83*0.03571</f>
        <v>8.4855348766985403E-2</v>
      </c>
    </row>
    <row r="84" spans="1:26">
      <c r="A84" s="68"/>
      <c r="B84" s="193"/>
      <c r="C84" s="194"/>
      <c r="D84" s="174"/>
      <c r="E84" s="194"/>
      <c r="F84" s="194"/>
      <c r="G84" s="195"/>
      <c r="H84" s="68"/>
      <c r="I84" s="68"/>
      <c r="J84" s="52" t="s">
        <v>264</v>
      </c>
      <c r="K84" s="53">
        <f t="shared" si="14"/>
        <v>0</v>
      </c>
      <c r="L84" s="132">
        <f t="shared" si="14"/>
        <v>0.97784810126582278</v>
      </c>
      <c r="M84" s="141">
        <f t="shared" si="14"/>
        <v>0.60000000000000009</v>
      </c>
      <c r="N84" s="148">
        <f t="shared" si="15"/>
        <v>0.31989970253164562</v>
      </c>
      <c r="O84" s="68"/>
      <c r="P84" s="52" t="s">
        <v>264</v>
      </c>
      <c r="Q84" s="53">
        <f t="shared" si="16"/>
        <v>0</v>
      </c>
      <c r="R84" s="132">
        <f t="shared" si="16"/>
        <v>0.97784810126582278</v>
      </c>
      <c r="S84" s="141">
        <f t="shared" si="16"/>
        <v>0.60000000000000009</v>
      </c>
      <c r="T84" s="66">
        <f t="shared" si="17"/>
        <v>0.20784740506329114</v>
      </c>
      <c r="U84" s="68"/>
      <c r="V84" s="52" t="s">
        <v>264</v>
      </c>
      <c r="W84" s="53">
        <f t="shared" si="18"/>
        <v>0</v>
      </c>
      <c r="X84" s="132">
        <f t="shared" si="18"/>
        <v>0.97784810126582278</v>
      </c>
      <c r="Y84" s="141">
        <f t="shared" si="18"/>
        <v>0.60000000000000009</v>
      </c>
      <c r="Z84" s="148">
        <f t="shared" si="19"/>
        <v>8.4291854430379745E-2</v>
      </c>
    </row>
    <row r="85" spans="1:26">
      <c r="A85" s="68"/>
      <c r="B85" s="193"/>
      <c r="C85" s="194"/>
      <c r="D85" s="174"/>
      <c r="E85" s="194"/>
      <c r="F85" s="194"/>
      <c r="G85" s="173"/>
      <c r="H85" s="68"/>
      <c r="I85" s="68"/>
      <c r="J85" s="52" t="s">
        <v>268</v>
      </c>
      <c r="K85" s="53">
        <f t="shared" si="14"/>
        <v>0</v>
      </c>
      <c r="L85" s="132">
        <f t="shared" si="14"/>
        <v>0.97784810126582278</v>
      </c>
      <c r="M85" s="141">
        <f t="shared" si="14"/>
        <v>0.5</v>
      </c>
      <c r="N85" s="66">
        <f t="shared" si="15"/>
        <v>0.27516370253164557</v>
      </c>
      <c r="O85" s="68"/>
      <c r="P85" s="52" t="s">
        <v>268</v>
      </c>
      <c r="Q85" s="53">
        <f t="shared" si="16"/>
        <v>0</v>
      </c>
      <c r="R85" s="132">
        <f t="shared" si="16"/>
        <v>0.97784810126582278</v>
      </c>
      <c r="S85" s="141">
        <f t="shared" si="16"/>
        <v>0.5</v>
      </c>
      <c r="T85" s="66">
        <f t="shared" si="17"/>
        <v>0.18521740506329115</v>
      </c>
      <c r="U85" s="68"/>
      <c r="V85" s="52" t="s">
        <v>268</v>
      </c>
      <c r="W85" s="53">
        <f t="shared" si="18"/>
        <v>0</v>
      </c>
      <c r="X85" s="132">
        <f t="shared" si="18"/>
        <v>0.97784810126582278</v>
      </c>
      <c r="Y85" s="141">
        <f t="shared" si="18"/>
        <v>0.5</v>
      </c>
      <c r="Z85" s="66">
        <f t="shared" si="19"/>
        <v>8.072085443037974E-2</v>
      </c>
    </row>
    <row r="86" spans="1:26">
      <c r="A86" s="68"/>
      <c r="B86" s="193"/>
      <c r="C86" s="194"/>
      <c r="D86" s="174"/>
      <c r="E86" s="194"/>
      <c r="F86" s="194"/>
      <c r="G86" s="173"/>
      <c r="H86" s="68"/>
      <c r="I86" s="68"/>
      <c r="J86" s="52" t="s">
        <v>272</v>
      </c>
      <c r="K86" s="53">
        <f t="shared" si="14"/>
        <v>0</v>
      </c>
      <c r="L86" s="132">
        <f t="shared" si="14"/>
        <v>0.99333777481678875</v>
      </c>
      <c r="M86" s="141">
        <f t="shared" si="14"/>
        <v>0.7</v>
      </c>
      <c r="N86" s="66">
        <f t="shared" si="15"/>
        <v>0.36545123384410394</v>
      </c>
      <c r="O86" s="68"/>
      <c r="P86" s="52" t="s">
        <v>272</v>
      </c>
      <c r="Q86" s="53">
        <f t="shared" si="16"/>
        <v>0</v>
      </c>
      <c r="R86" s="132">
        <f t="shared" si="16"/>
        <v>0.99333777481678875</v>
      </c>
      <c r="S86" s="141">
        <f t="shared" si="16"/>
        <v>0.7</v>
      </c>
      <c r="T86" s="66">
        <f t="shared" si="17"/>
        <v>0.23161899400399732</v>
      </c>
      <c r="U86" s="68"/>
      <c r="V86" s="52" t="s">
        <v>272</v>
      </c>
      <c r="W86" s="53">
        <f t="shared" si="18"/>
        <v>0</v>
      </c>
      <c r="X86" s="132">
        <f t="shared" si="18"/>
        <v>0.99333777481678875</v>
      </c>
      <c r="Y86" s="141">
        <f t="shared" si="18"/>
        <v>0.7</v>
      </c>
      <c r="Z86" s="66">
        <f t="shared" si="19"/>
        <v>8.8858685542971355E-2</v>
      </c>
    </row>
    <row r="87" spans="1:26">
      <c r="A87" s="68"/>
      <c r="B87" s="193"/>
      <c r="C87" s="194"/>
      <c r="D87" s="174"/>
      <c r="E87" s="194"/>
      <c r="F87" s="194"/>
      <c r="G87" s="173"/>
      <c r="H87" s="68"/>
      <c r="I87" s="68"/>
      <c r="J87" s="52" t="s">
        <v>274</v>
      </c>
      <c r="K87" s="53">
        <f t="shared" si="14"/>
        <v>0</v>
      </c>
      <c r="L87" s="132">
        <f t="shared" si="14"/>
        <v>0.99585218702865763</v>
      </c>
      <c r="M87" s="141">
        <f t="shared" si="14"/>
        <v>0.7</v>
      </c>
      <c r="N87" s="66">
        <f t="shared" si="15"/>
        <v>0.36558361764705882</v>
      </c>
      <c r="O87" s="68"/>
      <c r="P87" s="52" t="s">
        <v>274</v>
      </c>
      <c r="Q87" s="53">
        <f t="shared" si="16"/>
        <v>0</v>
      </c>
      <c r="R87" s="132">
        <f t="shared" si="16"/>
        <v>0.99585218702865763</v>
      </c>
      <c r="S87" s="141">
        <f t="shared" si="16"/>
        <v>0.7</v>
      </c>
      <c r="T87" s="66">
        <f t="shared" si="17"/>
        <v>0.23180430618401207</v>
      </c>
      <c r="U87" s="68"/>
      <c r="V87" s="52" t="s">
        <v>274</v>
      </c>
      <c r="W87" s="53">
        <f t="shared" si="18"/>
        <v>0</v>
      </c>
      <c r="X87" s="132">
        <f t="shared" si="18"/>
        <v>0.99585218702865763</v>
      </c>
      <c r="Y87" s="141">
        <f t="shared" si="18"/>
        <v>0.7</v>
      </c>
      <c r="Z87" s="66">
        <f t="shared" si="19"/>
        <v>8.9020337104072395E-2</v>
      </c>
    </row>
    <row r="88" spans="1:26">
      <c r="A88" s="68"/>
      <c r="B88" s="193"/>
      <c r="C88" s="194"/>
      <c r="D88" s="174"/>
      <c r="E88" s="194"/>
      <c r="F88" s="194"/>
      <c r="G88" s="173"/>
      <c r="H88" s="68"/>
      <c r="I88" s="68"/>
      <c r="J88" s="52" t="s">
        <v>276</v>
      </c>
      <c r="K88" s="53">
        <f t="shared" si="14"/>
        <v>0</v>
      </c>
      <c r="L88" s="132">
        <f t="shared" si="14"/>
        <v>0.99608408903544932</v>
      </c>
      <c r="M88" s="141">
        <f t="shared" si="14"/>
        <v>0.7</v>
      </c>
      <c r="N88" s="66">
        <f t="shared" si="15"/>
        <v>0.36559582728771639</v>
      </c>
      <c r="O88" s="68"/>
      <c r="P88" s="52" t="s">
        <v>276</v>
      </c>
      <c r="Q88" s="53">
        <f t="shared" si="16"/>
        <v>0</v>
      </c>
      <c r="R88" s="132">
        <f t="shared" si="16"/>
        <v>0.99608408903544932</v>
      </c>
      <c r="S88" s="141">
        <f t="shared" si="16"/>
        <v>0.7</v>
      </c>
      <c r="T88" s="66">
        <f t="shared" si="17"/>
        <v>0.2318213973619126</v>
      </c>
      <c r="U88" s="68"/>
      <c r="V88" s="52" t="s">
        <v>276</v>
      </c>
      <c r="W88" s="53">
        <f t="shared" si="18"/>
        <v>0</v>
      </c>
      <c r="X88" s="132">
        <f t="shared" si="18"/>
        <v>0.99608408903544932</v>
      </c>
      <c r="Y88" s="141">
        <f t="shared" si="18"/>
        <v>0.7</v>
      </c>
      <c r="Z88" s="66">
        <f t="shared" si="19"/>
        <v>8.9035246084089026E-2</v>
      </c>
    </row>
    <row r="89" spans="1:26">
      <c r="A89" s="68"/>
      <c r="B89" s="89"/>
      <c r="C89" s="194"/>
      <c r="D89" s="173"/>
      <c r="E89" s="194"/>
      <c r="F89" s="194"/>
      <c r="G89" s="173"/>
      <c r="H89" s="68"/>
      <c r="I89" s="68"/>
      <c r="J89" s="54" t="s">
        <v>280</v>
      </c>
      <c r="K89" s="55">
        <f t="shared" si="14"/>
        <v>0</v>
      </c>
      <c r="L89" s="132">
        <f t="shared" si="14"/>
        <v>0.99849170437405732</v>
      </c>
      <c r="M89" s="141">
        <f t="shared" si="14"/>
        <v>0.9</v>
      </c>
      <c r="N89" s="66">
        <f t="shared" si="15"/>
        <v>0.45519458823529413</v>
      </c>
      <c r="O89" s="68"/>
      <c r="P89" s="54" t="s">
        <v>280</v>
      </c>
      <c r="Q89" s="55">
        <f t="shared" si="16"/>
        <v>0</v>
      </c>
      <c r="R89" s="132">
        <f t="shared" si="16"/>
        <v>0.99849170437405732</v>
      </c>
      <c r="S89" s="141">
        <f t="shared" si="16"/>
        <v>0.9</v>
      </c>
      <c r="T89" s="66">
        <f t="shared" si="17"/>
        <v>0.27725883861236805</v>
      </c>
      <c r="U89" s="68"/>
      <c r="V89" s="54" t="s">
        <v>280</v>
      </c>
      <c r="W89" s="55">
        <f t="shared" si="18"/>
        <v>0</v>
      </c>
      <c r="X89" s="132">
        <f t="shared" si="18"/>
        <v>0.99849170437405732</v>
      </c>
      <c r="Y89" s="141">
        <f t="shared" si="18"/>
        <v>0.9</v>
      </c>
      <c r="Z89" s="66">
        <f t="shared" si="19"/>
        <v>9.6332031674208146E-2</v>
      </c>
    </row>
    <row r="90" spans="1:26">
      <c r="A90" s="68"/>
      <c r="B90" s="89"/>
      <c r="C90" s="194"/>
      <c r="D90" s="173"/>
      <c r="E90" s="194"/>
      <c r="F90" s="194"/>
      <c r="G90" s="173"/>
      <c r="H90" s="68"/>
      <c r="I90" s="68"/>
      <c r="J90" s="54" t="s">
        <v>282</v>
      </c>
      <c r="K90" s="55">
        <f t="shared" si="14"/>
        <v>0</v>
      </c>
      <c r="L90" s="132">
        <f t="shared" si="14"/>
        <v>0.99882228241667648</v>
      </c>
      <c r="M90" s="141">
        <f t="shared" si="14"/>
        <v>0.9</v>
      </c>
      <c r="N90" s="66">
        <f t="shared" si="15"/>
        <v>0.45521199316923799</v>
      </c>
      <c r="O90" s="68"/>
      <c r="P90" s="54" t="s">
        <v>282</v>
      </c>
      <c r="Q90" s="55">
        <f t="shared" si="16"/>
        <v>0</v>
      </c>
      <c r="R90" s="132">
        <f t="shared" si="16"/>
        <v>0.99882228241667648</v>
      </c>
      <c r="S90" s="141">
        <f t="shared" si="16"/>
        <v>0.9</v>
      </c>
      <c r="T90" s="66">
        <f t="shared" si="17"/>
        <v>0.27728320221410907</v>
      </c>
      <c r="U90" s="68"/>
      <c r="V90" s="54" t="s">
        <v>282</v>
      </c>
      <c r="W90" s="55">
        <f t="shared" si="18"/>
        <v>0</v>
      </c>
      <c r="X90" s="132">
        <f t="shared" si="18"/>
        <v>0.99882228241667648</v>
      </c>
      <c r="Y90" s="141">
        <f t="shared" si="18"/>
        <v>0.9</v>
      </c>
      <c r="Z90" s="66">
        <f t="shared" si="19"/>
        <v>9.6353284536568135E-2</v>
      </c>
    </row>
    <row r="91" spans="1:26">
      <c r="A91" s="68"/>
      <c r="B91" s="89"/>
      <c r="C91" s="194"/>
      <c r="D91" s="173"/>
      <c r="E91" s="194"/>
      <c r="F91" s="194"/>
      <c r="G91" s="195"/>
      <c r="H91" s="68"/>
      <c r="I91" s="68"/>
      <c r="J91" s="54" t="s">
        <v>286</v>
      </c>
      <c r="K91" s="55">
        <f t="shared" si="14"/>
        <v>0</v>
      </c>
      <c r="L91" s="132">
        <f t="shared" si="14"/>
        <v>0.99333777481678875</v>
      </c>
      <c r="M91" s="141">
        <f t="shared" si="14"/>
        <v>0.8</v>
      </c>
      <c r="N91" s="144">
        <f t="shared" si="15"/>
        <v>0.41018723384410394</v>
      </c>
      <c r="O91" s="68"/>
      <c r="P91" s="54" t="s">
        <v>286</v>
      </c>
      <c r="Q91" s="55">
        <f t="shared" si="16"/>
        <v>0</v>
      </c>
      <c r="R91" s="132">
        <f t="shared" si="16"/>
        <v>0.99333777481678875</v>
      </c>
      <c r="S91" s="141">
        <f t="shared" si="16"/>
        <v>0.8</v>
      </c>
      <c r="T91" s="144">
        <f t="shared" si="17"/>
        <v>0.25424899400399736</v>
      </c>
      <c r="U91" s="68"/>
      <c r="V91" s="54" t="s">
        <v>286</v>
      </c>
      <c r="W91" s="55">
        <f t="shared" si="18"/>
        <v>0</v>
      </c>
      <c r="X91" s="132">
        <f t="shared" si="18"/>
        <v>0.99333777481678875</v>
      </c>
      <c r="Y91" s="141">
        <f t="shared" si="18"/>
        <v>0.8</v>
      </c>
      <c r="Z91" s="144">
        <f t="shared" si="19"/>
        <v>9.2429685542971346E-2</v>
      </c>
    </row>
    <row r="92" spans="1:26">
      <c r="A92" s="68"/>
      <c r="B92" s="89"/>
      <c r="C92" s="173"/>
      <c r="D92" s="173"/>
      <c r="E92" s="173"/>
      <c r="F92" s="173"/>
      <c r="G92" s="173"/>
      <c r="H92" s="68"/>
      <c r="I92" s="68"/>
      <c r="J92" s="54" t="s">
        <v>290</v>
      </c>
      <c r="K92" s="55">
        <f t="shared" si="14"/>
        <v>0</v>
      </c>
      <c r="L92" s="133">
        <f t="shared" si="14"/>
        <v>0.99597382989431305</v>
      </c>
      <c r="M92" s="142">
        <f t="shared" si="14"/>
        <v>0.8</v>
      </c>
      <c r="N92" s="66">
        <f t="shared" si="15"/>
        <v>0.41032602214393554</v>
      </c>
      <c r="O92" s="68"/>
      <c r="P92" s="54" t="s">
        <v>290</v>
      </c>
      <c r="Q92" s="55">
        <f t="shared" si="16"/>
        <v>0</v>
      </c>
      <c r="R92" s="133">
        <f t="shared" si="16"/>
        <v>0.99597382989431305</v>
      </c>
      <c r="S92" s="142">
        <f t="shared" si="16"/>
        <v>0.8</v>
      </c>
      <c r="T92" s="66">
        <f t="shared" si="17"/>
        <v>0.25444327126321087</v>
      </c>
      <c r="U92" s="68"/>
      <c r="V92" s="54" t="s">
        <v>290</v>
      </c>
      <c r="W92" s="55">
        <f t="shared" si="18"/>
        <v>0</v>
      </c>
      <c r="X92" s="133">
        <f t="shared" si="18"/>
        <v>0.99597382989431305</v>
      </c>
      <c r="Y92" s="142">
        <f t="shared" si="18"/>
        <v>0.8</v>
      </c>
      <c r="Z92" s="66">
        <f t="shared" si="19"/>
        <v>9.2599157523905379E-2</v>
      </c>
    </row>
    <row r="93" spans="1:26">
      <c r="A93" s="68"/>
      <c r="B93" s="89"/>
      <c r="C93" s="173"/>
      <c r="D93" s="173"/>
      <c r="E93" s="173"/>
      <c r="F93" s="173"/>
      <c r="G93" s="195"/>
      <c r="H93" s="68"/>
      <c r="I93" s="68"/>
      <c r="J93" s="54" t="s">
        <v>294</v>
      </c>
      <c r="K93" s="55">
        <f t="shared" si="14"/>
        <v>0</v>
      </c>
      <c r="L93" s="133">
        <f t="shared" si="14"/>
        <v>0.99333777481678875</v>
      </c>
      <c r="M93" s="142">
        <f t="shared" si="14"/>
        <v>0.8</v>
      </c>
      <c r="N93" s="148">
        <f t="shared" si="15"/>
        <v>0.41018723384410394</v>
      </c>
      <c r="O93" s="68"/>
      <c r="P93" s="54" t="s">
        <v>294</v>
      </c>
      <c r="Q93" s="55">
        <f t="shared" si="16"/>
        <v>0</v>
      </c>
      <c r="R93" s="133">
        <f t="shared" si="16"/>
        <v>0.99333777481678875</v>
      </c>
      <c r="S93" s="142">
        <f t="shared" si="16"/>
        <v>0.8</v>
      </c>
      <c r="T93" s="148">
        <f t="shared" si="17"/>
        <v>0.25424899400399736</v>
      </c>
      <c r="U93" s="68"/>
      <c r="V93" s="54" t="s">
        <v>294</v>
      </c>
      <c r="W93" s="55">
        <f t="shared" si="18"/>
        <v>0</v>
      </c>
      <c r="X93" s="133">
        <f t="shared" si="18"/>
        <v>0.99333777481678875</v>
      </c>
      <c r="Y93" s="142">
        <f t="shared" si="18"/>
        <v>0.8</v>
      </c>
      <c r="Z93" s="148">
        <f t="shared" si="19"/>
        <v>9.2429685542971346E-2</v>
      </c>
    </row>
    <row r="94" spans="1:26">
      <c r="A94" s="68"/>
      <c r="B94" s="89"/>
      <c r="C94" s="173"/>
      <c r="D94" s="173"/>
      <c r="E94" s="173"/>
      <c r="F94" s="173"/>
      <c r="G94" s="173"/>
      <c r="H94" s="68"/>
      <c r="I94" s="68"/>
      <c r="J94" s="54" t="s">
        <v>298</v>
      </c>
      <c r="K94" s="55">
        <f t="shared" si="14"/>
        <v>0</v>
      </c>
      <c r="L94" s="133">
        <f t="shared" si="14"/>
        <v>0.99333777481678875</v>
      </c>
      <c r="M94" s="142">
        <f t="shared" si="14"/>
        <v>0.7</v>
      </c>
      <c r="N94" s="66">
        <f t="shared" si="15"/>
        <v>0.36545123384410394</v>
      </c>
      <c r="O94" s="68"/>
      <c r="P94" s="54" t="s">
        <v>298</v>
      </c>
      <c r="Q94" s="55">
        <f t="shared" si="16"/>
        <v>0</v>
      </c>
      <c r="R94" s="133">
        <f t="shared" si="16"/>
        <v>0.99333777481678875</v>
      </c>
      <c r="S94" s="142">
        <f t="shared" si="16"/>
        <v>0.7</v>
      </c>
      <c r="T94" s="66">
        <f t="shared" si="17"/>
        <v>0.23161899400399732</v>
      </c>
      <c r="U94" s="68"/>
      <c r="V94" s="54" t="s">
        <v>298</v>
      </c>
      <c r="W94" s="55">
        <f t="shared" si="18"/>
        <v>0</v>
      </c>
      <c r="X94" s="133">
        <f t="shared" si="18"/>
        <v>0.99333777481678875</v>
      </c>
      <c r="Y94" s="142">
        <f t="shared" si="18"/>
        <v>0.7</v>
      </c>
      <c r="Z94" s="66">
        <f t="shared" si="19"/>
        <v>8.8858685542971355E-2</v>
      </c>
    </row>
    <row r="95" spans="1:26">
      <c r="A95" s="68"/>
      <c r="B95" s="89"/>
      <c r="C95" s="173"/>
      <c r="D95" s="173"/>
      <c r="E95" s="173"/>
      <c r="F95" s="173"/>
      <c r="G95" s="173"/>
      <c r="H95" s="68"/>
      <c r="I95" s="68"/>
      <c r="J95" s="54" t="s">
        <v>301</v>
      </c>
      <c r="K95" s="55">
        <f t="shared" si="14"/>
        <v>0</v>
      </c>
      <c r="L95" s="133">
        <f t="shared" si="14"/>
        <v>0.99333777481678875</v>
      </c>
      <c r="M95" s="142">
        <f t="shared" si="14"/>
        <v>0.7</v>
      </c>
      <c r="N95" s="66">
        <f t="shared" si="15"/>
        <v>0.36545123384410394</v>
      </c>
      <c r="O95" s="68"/>
      <c r="P95" s="54" t="s">
        <v>301</v>
      </c>
      <c r="Q95" s="55">
        <f t="shared" si="16"/>
        <v>0</v>
      </c>
      <c r="R95" s="133">
        <f t="shared" si="16"/>
        <v>0.99333777481678875</v>
      </c>
      <c r="S95" s="142">
        <f t="shared" si="16"/>
        <v>0.7</v>
      </c>
      <c r="T95" s="66">
        <f t="shared" si="17"/>
        <v>0.23161899400399732</v>
      </c>
      <c r="U95" s="68"/>
      <c r="V95" s="54" t="s">
        <v>301</v>
      </c>
      <c r="W95" s="55">
        <f t="shared" si="18"/>
        <v>0</v>
      </c>
      <c r="X95" s="133">
        <f t="shared" si="18"/>
        <v>0.99333777481678875</v>
      </c>
      <c r="Y95" s="142">
        <f t="shared" si="18"/>
        <v>0.7</v>
      </c>
      <c r="Z95" s="66">
        <f t="shared" si="19"/>
        <v>8.8858685542971355E-2</v>
      </c>
    </row>
    <row r="96" spans="1:26">
      <c r="A96" s="68"/>
      <c r="B96" s="89"/>
      <c r="C96" s="173"/>
      <c r="D96" s="173"/>
      <c r="E96" s="173"/>
      <c r="F96" s="173"/>
      <c r="G96" s="173"/>
      <c r="H96" s="68"/>
      <c r="I96" s="68"/>
      <c r="J96" s="54" t="s">
        <v>304</v>
      </c>
      <c r="K96" s="55">
        <f t="shared" si="14"/>
        <v>0</v>
      </c>
      <c r="L96" s="133">
        <f t="shared" si="14"/>
        <v>0.99849170437405732</v>
      </c>
      <c r="M96" s="142">
        <f t="shared" si="14"/>
        <v>0.9</v>
      </c>
      <c r="N96" s="66">
        <f t="shared" si="15"/>
        <v>0.45519458823529413</v>
      </c>
      <c r="O96" s="68"/>
      <c r="P96" s="54" t="s">
        <v>304</v>
      </c>
      <c r="Q96" s="55">
        <f t="shared" si="16"/>
        <v>0</v>
      </c>
      <c r="R96" s="133">
        <f t="shared" si="16"/>
        <v>0.99849170437405732</v>
      </c>
      <c r="S96" s="142">
        <f t="shared" si="16"/>
        <v>0.9</v>
      </c>
      <c r="T96" s="66">
        <f t="shared" si="17"/>
        <v>0.27725883861236805</v>
      </c>
      <c r="U96" s="68"/>
      <c r="V96" s="54" t="s">
        <v>304</v>
      </c>
      <c r="W96" s="55">
        <f t="shared" si="18"/>
        <v>0</v>
      </c>
      <c r="X96" s="133">
        <f t="shared" si="18"/>
        <v>0.99849170437405732</v>
      </c>
      <c r="Y96" s="142">
        <f t="shared" si="18"/>
        <v>0.9</v>
      </c>
      <c r="Z96" s="66">
        <f t="shared" si="19"/>
        <v>9.6332031674208146E-2</v>
      </c>
    </row>
    <row r="97" spans="1:26">
      <c r="A97" s="68"/>
      <c r="B97" s="89"/>
      <c r="C97" s="173"/>
      <c r="D97" s="173"/>
      <c r="E97" s="173"/>
      <c r="F97" s="173"/>
      <c r="G97" s="173"/>
      <c r="H97" s="68"/>
      <c r="I97" s="68"/>
      <c r="J97" s="54" t="s">
        <v>306</v>
      </c>
      <c r="K97" s="55">
        <f t="shared" si="14"/>
        <v>0</v>
      </c>
      <c r="L97" s="133">
        <f t="shared" si="14"/>
        <v>0.99882228241667648</v>
      </c>
      <c r="M97" s="142">
        <f t="shared" si="14"/>
        <v>0.9</v>
      </c>
      <c r="N97" s="66">
        <f t="shared" si="15"/>
        <v>0.45521199316923799</v>
      </c>
      <c r="O97" s="68"/>
      <c r="P97" s="54" t="s">
        <v>306</v>
      </c>
      <c r="Q97" s="55">
        <f t="shared" si="16"/>
        <v>0</v>
      </c>
      <c r="R97" s="133">
        <f t="shared" si="16"/>
        <v>0.99882228241667648</v>
      </c>
      <c r="S97" s="142">
        <f t="shared" si="16"/>
        <v>0.9</v>
      </c>
      <c r="T97" s="66">
        <f t="shared" si="17"/>
        <v>0.27728320221410907</v>
      </c>
      <c r="U97" s="68"/>
      <c r="V97" s="54" t="s">
        <v>306</v>
      </c>
      <c r="W97" s="55">
        <f t="shared" si="18"/>
        <v>0</v>
      </c>
      <c r="X97" s="133">
        <f t="shared" si="18"/>
        <v>0.99882228241667648</v>
      </c>
      <c r="Y97" s="142">
        <f t="shared" si="18"/>
        <v>0.9</v>
      </c>
      <c r="Z97" s="66">
        <f t="shared" si="19"/>
        <v>9.6353284536568135E-2</v>
      </c>
    </row>
    <row r="98" spans="1:26">
      <c r="A98" s="68"/>
      <c r="B98" s="89"/>
      <c r="C98" s="173"/>
      <c r="D98" s="173"/>
      <c r="E98" s="173"/>
      <c r="F98" s="173"/>
      <c r="G98" s="173"/>
      <c r="H98" s="68"/>
      <c r="I98" s="68"/>
      <c r="J98" s="54" t="s">
        <v>308</v>
      </c>
      <c r="K98" s="55">
        <f t="shared" si="14"/>
        <v>0</v>
      </c>
      <c r="L98" s="133">
        <f t="shared" si="14"/>
        <v>0.99849170437405732</v>
      </c>
      <c r="M98" s="142">
        <f t="shared" si="14"/>
        <v>0.9</v>
      </c>
      <c r="N98" s="66">
        <f t="shared" si="15"/>
        <v>0.45519458823529413</v>
      </c>
      <c r="O98" s="68"/>
      <c r="P98" s="54" t="s">
        <v>308</v>
      </c>
      <c r="Q98" s="55">
        <f t="shared" si="16"/>
        <v>0</v>
      </c>
      <c r="R98" s="133">
        <f t="shared" si="16"/>
        <v>0.99849170437405732</v>
      </c>
      <c r="S98" s="142">
        <f t="shared" si="16"/>
        <v>0.9</v>
      </c>
      <c r="T98" s="66">
        <f t="shared" si="17"/>
        <v>0.27725883861236805</v>
      </c>
      <c r="U98" s="68"/>
      <c r="V98" s="54" t="s">
        <v>308</v>
      </c>
      <c r="W98" s="55">
        <f t="shared" si="18"/>
        <v>0</v>
      </c>
      <c r="X98" s="133">
        <f t="shared" si="18"/>
        <v>0.99849170437405732</v>
      </c>
      <c r="Y98" s="142">
        <f t="shared" si="18"/>
        <v>0.9</v>
      </c>
      <c r="Z98" s="66">
        <f t="shared" si="19"/>
        <v>9.6332031674208146E-2</v>
      </c>
    </row>
    <row r="99" spans="1:26" ht="15.75" thickBot="1">
      <c r="A99" s="68"/>
      <c r="B99" s="89"/>
      <c r="C99" s="173"/>
      <c r="D99" s="173"/>
      <c r="E99" s="173"/>
      <c r="F99" s="173"/>
      <c r="G99" s="173"/>
      <c r="H99" s="68"/>
      <c r="I99" s="68"/>
      <c r="J99" s="56" t="s">
        <v>310</v>
      </c>
      <c r="K99" s="57">
        <f t="shared" ref="K99:M99" si="20">R39</f>
        <v>0</v>
      </c>
      <c r="L99" s="134">
        <f t="shared" si="20"/>
        <v>0.99882228241667648</v>
      </c>
      <c r="M99" s="143">
        <f t="shared" si="20"/>
        <v>0.9</v>
      </c>
      <c r="N99" s="67">
        <f t="shared" si="15"/>
        <v>0.45521199316923799</v>
      </c>
      <c r="O99" s="68"/>
      <c r="P99" s="56" t="s">
        <v>310</v>
      </c>
      <c r="Q99" s="57">
        <f t="shared" ref="Q99:S99" si="21">R39</f>
        <v>0</v>
      </c>
      <c r="R99" s="134">
        <f t="shared" si="21"/>
        <v>0.99882228241667648</v>
      </c>
      <c r="S99" s="143">
        <f t="shared" si="21"/>
        <v>0.9</v>
      </c>
      <c r="T99" s="67">
        <f t="shared" si="17"/>
        <v>0.27728320221410907</v>
      </c>
      <c r="U99" s="68"/>
      <c r="V99" s="56" t="s">
        <v>310</v>
      </c>
      <c r="W99" s="57">
        <f t="shared" ref="W99:Y99" si="22">R39</f>
        <v>0</v>
      </c>
      <c r="X99" s="134">
        <f t="shared" si="22"/>
        <v>0.99882228241667648</v>
      </c>
      <c r="Y99" s="143">
        <f t="shared" si="22"/>
        <v>0.9</v>
      </c>
      <c r="Z99" s="67">
        <f t="shared" si="19"/>
        <v>9.6353284536568135E-2</v>
      </c>
    </row>
    <row r="100" spans="1:26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</sheetData>
  <mergeCells count="4">
    <mergeCell ref="P2:S5"/>
    <mergeCell ref="Q20:T20"/>
    <mergeCell ref="W44:Z44"/>
    <mergeCell ref="T55:U55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5E7A-C483-44EF-B122-F52455C4C678}">
  <dimension ref="B1:Q119"/>
  <sheetViews>
    <sheetView workbookViewId="0">
      <pane xSplit="4" ySplit="2" topLeftCell="G33" activePane="bottomRight" state="frozen"/>
      <selection pane="bottomRight" activeCell="P59" sqref="P59"/>
      <selection pane="bottomLeft" activeCell="A3" sqref="A3"/>
      <selection pane="topRight" activeCell="E1" sqref="E1"/>
    </sheetView>
  </sheetViews>
  <sheetFormatPr defaultColWidth="11.42578125" defaultRowHeight="15"/>
  <cols>
    <col min="1" max="1" width="3.7109375" customWidth="1"/>
    <col min="2" max="2" width="12.28515625" bestFit="1" customWidth="1"/>
    <col min="3" max="3" width="9.28515625" bestFit="1" customWidth="1"/>
    <col min="4" max="4" width="11.7109375" bestFit="1" customWidth="1"/>
    <col min="5" max="5" width="20.85546875" bestFit="1" customWidth="1"/>
    <col min="6" max="6" width="25.140625" bestFit="1" customWidth="1"/>
    <col min="7" max="7" width="23.85546875" bestFit="1" customWidth="1"/>
    <col min="8" max="8" width="23.28515625" bestFit="1" customWidth="1"/>
    <col min="9" max="9" width="32.28515625" bestFit="1" customWidth="1"/>
    <col min="10" max="10" width="20.5703125" bestFit="1" customWidth="1"/>
    <col min="11" max="11" width="41.85546875" bestFit="1" customWidth="1"/>
    <col min="12" max="12" width="12" bestFit="1" customWidth="1"/>
    <col min="13" max="13" width="3.42578125" bestFit="1" customWidth="1"/>
    <col min="14" max="14" width="14.42578125" bestFit="1" customWidth="1"/>
    <col min="15" max="15" width="6.7109375" customWidth="1"/>
    <col min="16" max="16" width="6.7109375" bestFit="1" customWidth="1"/>
    <col min="17" max="17" width="7.42578125" bestFit="1" customWidth="1"/>
  </cols>
  <sheetData>
    <row r="1" spans="2:17" ht="15.75" thickBot="1"/>
    <row r="2" spans="2:17" ht="15.75" thickBot="1">
      <c r="B2" s="268" t="s">
        <v>472</v>
      </c>
      <c r="C2" s="269" t="s">
        <v>250</v>
      </c>
      <c r="D2" s="269" t="s">
        <v>473</v>
      </c>
      <c r="E2" s="269" t="s">
        <v>405</v>
      </c>
      <c r="F2" s="270" t="s">
        <v>474</v>
      </c>
      <c r="G2" s="270" t="s">
        <v>407</v>
      </c>
      <c r="H2" s="269" t="s">
        <v>408</v>
      </c>
      <c r="I2" s="269" t="s">
        <v>409</v>
      </c>
      <c r="J2" s="269" t="s">
        <v>426</v>
      </c>
      <c r="K2" s="269" t="s">
        <v>427</v>
      </c>
      <c r="L2" s="271" t="s">
        <v>410</v>
      </c>
      <c r="N2" s="45" t="s">
        <v>475</v>
      </c>
    </row>
    <row r="3" spans="2:17">
      <c r="B3" s="292">
        <v>1</v>
      </c>
      <c r="C3" s="276" t="s">
        <v>257</v>
      </c>
      <c r="D3" s="276" t="s">
        <v>4</v>
      </c>
      <c r="E3" s="3">
        <v>3.5517871172467297E-2</v>
      </c>
      <c r="F3" s="278">
        <v>1.5</v>
      </c>
      <c r="G3" s="278">
        <v>1112.5999999999999</v>
      </c>
      <c r="H3" s="3">
        <v>0.44987159416042638</v>
      </c>
      <c r="I3" s="3">
        <v>0.16666666666666663</v>
      </c>
      <c r="J3" s="3">
        <v>0.97784810126582278</v>
      </c>
      <c r="K3" s="3">
        <v>0.6</v>
      </c>
      <c r="L3" s="293">
        <f t="shared" ref="L3:L34" si="0">E3*$Q$8+H3*$Q$9+I3*$Q$10+J3*$Q$11+K3*$Q$12</f>
        <v>4.3734716501534862E-2</v>
      </c>
      <c r="N3" s="258">
        <f>SUM(E3,H3:K3)</f>
        <v>2.2299042332653833</v>
      </c>
    </row>
    <row r="4" spans="2:17">
      <c r="B4" s="294">
        <v>2</v>
      </c>
      <c r="C4" s="279" t="s">
        <v>274</v>
      </c>
      <c r="D4" s="279" t="s">
        <v>4</v>
      </c>
      <c r="E4" s="3">
        <v>3.68443070392932E-2</v>
      </c>
      <c r="F4" s="278">
        <v>1.5</v>
      </c>
      <c r="G4" s="278">
        <v>1112.5999999999999</v>
      </c>
      <c r="H4" s="3">
        <v>0.44987159416042638</v>
      </c>
      <c r="I4" s="3">
        <v>0.25</v>
      </c>
      <c r="J4" s="3">
        <v>0.99585218702865763</v>
      </c>
      <c r="K4" s="3">
        <v>0.8</v>
      </c>
      <c r="L4" s="295">
        <f t="shared" si="0"/>
        <v>4.7105099152739818E-2</v>
      </c>
      <c r="N4" s="259">
        <f t="shared" ref="N4:N56" si="1">SUM(E4,H4:K4)</f>
        <v>2.532568088228377</v>
      </c>
    </row>
    <row r="5" spans="2:17" ht="15.75" thickBot="1">
      <c r="B5" s="296">
        <v>3</v>
      </c>
      <c r="C5" s="281" t="s">
        <v>261</v>
      </c>
      <c r="D5" s="281" t="s">
        <v>4</v>
      </c>
      <c r="E5" s="3">
        <v>3.8017692613792953E-2</v>
      </c>
      <c r="F5" s="278">
        <v>1.5</v>
      </c>
      <c r="G5" s="278">
        <v>1112.5999999999999</v>
      </c>
      <c r="H5" s="3">
        <v>0.44987159416042638</v>
      </c>
      <c r="I5" s="3">
        <v>0.33333333333333337</v>
      </c>
      <c r="J5" s="3">
        <v>0.9866129843985908</v>
      </c>
      <c r="K5" s="3">
        <v>0.4</v>
      </c>
      <c r="L5" s="297">
        <f t="shared" si="0"/>
        <v>4.779822673502334E-2</v>
      </c>
      <c r="N5" s="147">
        <f t="shared" si="1"/>
        <v>2.2078356045061436</v>
      </c>
    </row>
    <row r="6" spans="2:17" ht="15.75" thickBot="1">
      <c r="B6" s="298">
        <v>4</v>
      </c>
      <c r="C6" s="282" t="s">
        <v>257</v>
      </c>
      <c r="D6" s="282" t="s">
        <v>0</v>
      </c>
      <c r="E6" s="3">
        <v>4.2711300092262094E-2</v>
      </c>
      <c r="F6" s="278">
        <v>0.33333000000000002</v>
      </c>
      <c r="G6" s="278">
        <v>190</v>
      </c>
      <c r="H6" s="3">
        <v>0.43891531874405326</v>
      </c>
      <c r="I6" s="3">
        <v>0</v>
      </c>
      <c r="J6" s="3">
        <v>0.97784810126582278</v>
      </c>
      <c r="K6" s="3">
        <v>0.6</v>
      </c>
      <c r="L6" s="299">
        <f t="shared" si="0"/>
        <v>4.8197607507020887E-2</v>
      </c>
      <c r="N6" s="258">
        <f t="shared" si="1"/>
        <v>2.0594747201021382</v>
      </c>
    </row>
    <row r="7" spans="2:17" ht="15.75" thickBot="1">
      <c r="B7" s="296">
        <v>5</v>
      </c>
      <c r="C7" s="281" t="s">
        <v>286</v>
      </c>
      <c r="D7" s="281" t="s">
        <v>4</v>
      </c>
      <c r="E7" s="3">
        <v>3.5517871172467297E-2</v>
      </c>
      <c r="F7" s="278">
        <v>1.5</v>
      </c>
      <c r="G7" s="278">
        <v>1112.5999999999999</v>
      </c>
      <c r="H7" s="3">
        <v>0.44987159416042638</v>
      </c>
      <c r="I7" s="3">
        <v>0.375</v>
      </c>
      <c r="J7" s="3">
        <v>0.99333777481678875</v>
      </c>
      <c r="K7" s="3">
        <v>1</v>
      </c>
      <c r="L7" s="297">
        <f t="shared" si="0"/>
        <v>4.8488145317080691E-2</v>
      </c>
      <c r="N7" s="259">
        <f t="shared" si="1"/>
        <v>2.8537272401496825</v>
      </c>
      <c r="P7" s="458" t="s">
        <v>476</v>
      </c>
      <c r="Q7" s="459"/>
    </row>
    <row r="8" spans="2:17" ht="15.75" thickBot="1">
      <c r="B8" s="300">
        <v>6</v>
      </c>
      <c r="C8" s="285" t="s">
        <v>268</v>
      </c>
      <c r="D8" s="285" t="s">
        <v>4</v>
      </c>
      <c r="E8" s="3">
        <v>3.68443070392932E-2</v>
      </c>
      <c r="F8" s="278">
        <v>1.5</v>
      </c>
      <c r="G8" s="278">
        <v>1112.5999999999999</v>
      </c>
      <c r="H8" s="3">
        <v>0.44987159416042638</v>
      </c>
      <c r="I8" s="3">
        <v>0.4285714285714286</v>
      </c>
      <c r="J8" s="3">
        <v>0.97784810126582278</v>
      </c>
      <c r="K8" s="3">
        <v>0.6</v>
      </c>
      <c r="L8" s="301">
        <f t="shared" si="0"/>
        <v>4.8885274623555207E-2</v>
      </c>
      <c r="N8" s="147">
        <f t="shared" si="1"/>
        <v>2.4931354310369711</v>
      </c>
      <c r="P8" s="82" t="s">
        <v>477</v>
      </c>
      <c r="Q8" s="260">
        <v>0.97287936818501997</v>
      </c>
    </row>
    <row r="9" spans="2:17">
      <c r="B9" s="300">
        <v>7</v>
      </c>
      <c r="C9" s="285" t="s">
        <v>276</v>
      </c>
      <c r="D9" s="285" t="s">
        <v>4</v>
      </c>
      <c r="E9" s="3">
        <v>3.68443070392932E-2</v>
      </c>
      <c r="F9" s="278">
        <v>1.5</v>
      </c>
      <c r="G9" s="278">
        <v>1112.5999999999999</v>
      </c>
      <c r="H9" s="3">
        <v>0.44987159416042638</v>
      </c>
      <c r="I9" s="3">
        <v>0.375</v>
      </c>
      <c r="J9" s="3">
        <v>0.99608408903544932</v>
      </c>
      <c r="K9" s="3">
        <v>0.8</v>
      </c>
      <c r="L9" s="301">
        <f t="shared" si="0"/>
        <v>4.8947649616411633E-2</v>
      </c>
      <c r="N9" s="258">
        <f t="shared" si="1"/>
        <v>2.6577999902351692</v>
      </c>
      <c r="P9" s="83" t="s">
        <v>478</v>
      </c>
      <c r="Q9" s="261">
        <v>7.2125631382909672E-3</v>
      </c>
    </row>
    <row r="10" spans="2:17">
      <c r="B10" s="302">
        <v>8</v>
      </c>
      <c r="C10" s="288" t="s">
        <v>280</v>
      </c>
      <c r="D10" s="288" t="s">
        <v>2</v>
      </c>
      <c r="E10" s="3">
        <v>3.3316775475447091E-2</v>
      </c>
      <c r="F10" s="278">
        <v>1.63</v>
      </c>
      <c r="G10" s="278">
        <v>61.6</v>
      </c>
      <c r="H10" s="3">
        <v>1</v>
      </c>
      <c r="I10" s="3">
        <v>0.30000000000000004</v>
      </c>
      <c r="J10" s="3">
        <v>0.99849170437405732</v>
      </c>
      <c r="K10" s="3">
        <v>1</v>
      </c>
      <c r="L10" s="303">
        <f t="shared" si="0"/>
        <v>4.9214343379892445E-2</v>
      </c>
      <c r="N10" s="259">
        <f t="shared" si="1"/>
        <v>3.3318084798495047</v>
      </c>
      <c r="P10" s="83" t="s">
        <v>479</v>
      </c>
      <c r="Q10" s="261">
        <v>1.4738548493320174E-2</v>
      </c>
    </row>
    <row r="11" spans="2:17" ht="15.75" thickBot="1">
      <c r="B11" s="296">
        <v>8</v>
      </c>
      <c r="C11" s="281" t="s">
        <v>308</v>
      </c>
      <c r="D11" s="281" t="s">
        <v>2</v>
      </c>
      <c r="E11" s="3">
        <v>3.3316775475447091E-2</v>
      </c>
      <c r="F11" s="278">
        <v>1.63</v>
      </c>
      <c r="G11" s="278">
        <v>61.6</v>
      </c>
      <c r="H11" s="3">
        <v>1</v>
      </c>
      <c r="I11" s="3">
        <v>0.30000000000000004</v>
      </c>
      <c r="J11" s="3">
        <v>0.99849170437405732</v>
      </c>
      <c r="K11" s="3">
        <v>1</v>
      </c>
      <c r="L11" s="297">
        <f t="shared" si="0"/>
        <v>4.9214343379892445E-2</v>
      </c>
      <c r="N11" s="147">
        <f t="shared" si="1"/>
        <v>3.3318084798495047</v>
      </c>
      <c r="P11" s="83" t="s">
        <v>480</v>
      </c>
      <c r="Q11" s="261">
        <v>9.999999999999998E-4</v>
      </c>
    </row>
    <row r="12" spans="2:17" ht="15.75" thickBot="1">
      <c r="B12" s="296">
        <v>8</v>
      </c>
      <c r="C12" s="281" t="s">
        <v>304</v>
      </c>
      <c r="D12" s="281" t="s">
        <v>2</v>
      </c>
      <c r="E12" s="3">
        <v>3.3316775475447091E-2</v>
      </c>
      <c r="F12" s="278">
        <v>1.63</v>
      </c>
      <c r="G12" s="278">
        <v>61.6</v>
      </c>
      <c r="H12" s="3">
        <v>1</v>
      </c>
      <c r="I12" s="3">
        <v>0.30000000000000004</v>
      </c>
      <c r="J12" s="3">
        <v>0.99849170437405732</v>
      </c>
      <c r="K12" s="3">
        <v>1</v>
      </c>
      <c r="L12" s="297">
        <f t="shared" si="0"/>
        <v>4.9214343379892445E-2</v>
      </c>
      <c r="N12" s="258">
        <f t="shared" si="1"/>
        <v>3.3318084798495047</v>
      </c>
      <c r="P12" s="84" t="s">
        <v>481</v>
      </c>
      <c r="Q12" s="262">
        <v>4.1685205147162273E-3</v>
      </c>
    </row>
    <row r="13" spans="2:17" ht="15.75" thickBot="1">
      <c r="B13" s="296">
        <v>9</v>
      </c>
      <c r="C13" s="281" t="s">
        <v>274</v>
      </c>
      <c r="D13" s="281" t="s">
        <v>2</v>
      </c>
      <c r="E13" s="3">
        <v>3.3316775475447098E-2</v>
      </c>
      <c r="F13" s="278">
        <v>1.63</v>
      </c>
      <c r="G13" s="278">
        <v>61.6</v>
      </c>
      <c r="H13" s="3">
        <v>1</v>
      </c>
      <c r="I13" s="3">
        <v>0.375</v>
      </c>
      <c r="J13" s="3">
        <v>0.99585218702865763</v>
      </c>
      <c r="K13" s="3">
        <v>0.8</v>
      </c>
      <c r="L13" s="297">
        <f t="shared" si="0"/>
        <v>4.9483390896602815E-2</v>
      </c>
      <c r="N13" s="259">
        <f t="shared" si="1"/>
        <v>3.204168962504105</v>
      </c>
    </row>
    <row r="14" spans="2:17" ht="15.75" thickBot="1">
      <c r="B14" s="296">
        <v>10</v>
      </c>
      <c r="C14" s="281" t="s">
        <v>286</v>
      </c>
      <c r="D14" s="281" t="s">
        <v>0</v>
      </c>
      <c r="E14" s="3">
        <v>4.2470616551004925E-2</v>
      </c>
      <c r="F14" s="278">
        <v>0.33333000000000002</v>
      </c>
      <c r="G14" s="278">
        <v>190</v>
      </c>
      <c r="H14" s="3">
        <v>0.43891531874405326</v>
      </c>
      <c r="I14" s="3">
        <v>0</v>
      </c>
      <c r="J14" s="3">
        <v>0.99333777481678875</v>
      </c>
      <c r="K14" s="3">
        <v>1</v>
      </c>
      <c r="L14" s="297">
        <f t="shared" si="0"/>
        <v>4.9646349334907532E-2</v>
      </c>
      <c r="N14" s="147">
        <f t="shared" si="1"/>
        <v>2.4747237101118467</v>
      </c>
      <c r="P14" s="189" t="s">
        <v>482</v>
      </c>
      <c r="Q14" s="196">
        <f>SUM(Q8:Q12)</f>
        <v>0.99999900033134737</v>
      </c>
    </row>
    <row r="15" spans="2:17">
      <c r="B15" s="296">
        <v>11</v>
      </c>
      <c r="C15" s="281" t="s">
        <v>261</v>
      </c>
      <c r="D15" s="281" t="s">
        <v>0</v>
      </c>
      <c r="E15" s="3">
        <v>4.5218420313690944E-2</v>
      </c>
      <c r="F15" s="278">
        <v>0.33333000000000002</v>
      </c>
      <c r="G15" s="278">
        <v>190</v>
      </c>
      <c r="H15" s="3">
        <v>0.43891531874405326</v>
      </c>
      <c r="I15" s="3">
        <v>0</v>
      </c>
      <c r="J15" s="3">
        <v>0.9866129843985908</v>
      </c>
      <c r="K15" s="3">
        <v>0.4</v>
      </c>
      <c r="L15" s="297">
        <f t="shared" si="0"/>
        <v>4.9811793824197988E-2</v>
      </c>
      <c r="N15" s="258">
        <f t="shared" si="1"/>
        <v>1.8707467234563349</v>
      </c>
    </row>
    <row r="16" spans="2:17">
      <c r="B16" s="296">
        <v>12</v>
      </c>
      <c r="C16" s="281" t="s">
        <v>280</v>
      </c>
      <c r="D16" s="281" t="s">
        <v>4</v>
      </c>
      <c r="E16" s="3">
        <v>3.68443070392932E-2</v>
      </c>
      <c r="F16" s="278">
        <v>1.5</v>
      </c>
      <c r="G16" s="278">
        <v>1112.5999999999999</v>
      </c>
      <c r="H16" s="3">
        <v>0.44987159416042638</v>
      </c>
      <c r="I16" s="3">
        <v>0.4</v>
      </c>
      <c r="J16" s="3">
        <v>0.99849170437405732</v>
      </c>
      <c r="K16" s="3">
        <v>1</v>
      </c>
      <c r="L16" s="297">
        <f t="shared" si="0"/>
        <v>5.0152225047026495E-2</v>
      </c>
      <c r="N16" s="259">
        <f t="shared" si="1"/>
        <v>2.8852076055737772</v>
      </c>
    </row>
    <row r="17" spans="2:14" ht="15.75" thickBot="1">
      <c r="B17" s="296">
        <v>12</v>
      </c>
      <c r="C17" s="281" t="s">
        <v>308</v>
      </c>
      <c r="D17" s="281" t="s">
        <v>4</v>
      </c>
      <c r="E17" s="3">
        <v>3.68443070392932E-2</v>
      </c>
      <c r="F17" s="278">
        <v>1.5</v>
      </c>
      <c r="G17" s="278">
        <v>1112.5999999999999</v>
      </c>
      <c r="H17" s="3">
        <v>0.44987159416042638</v>
      </c>
      <c r="I17" s="3">
        <v>0.4</v>
      </c>
      <c r="J17" s="3">
        <v>0.99849170437405732</v>
      </c>
      <c r="K17" s="3">
        <v>1</v>
      </c>
      <c r="L17" s="297">
        <f t="shared" si="0"/>
        <v>5.0152225047026495E-2</v>
      </c>
      <c r="N17" s="147">
        <f t="shared" si="1"/>
        <v>2.8852076055737772</v>
      </c>
    </row>
    <row r="18" spans="2:14">
      <c r="B18" s="296">
        <v>12</v>
      </c>
      <c r="C18" s="281" t="s">
        <v>304</v>
      </c>
      <c r="D18" s="281" t="s">
        <v>4</v>
      </c>
      <c r="E18" s="3">
        <v>3.68443070392932E-2</v>
      </c>
      <c r="F18" s="278">
        <v>1.5</v>
      </c>
      <c r="G18" s="278">
        <v>1112.5999999999999</v>
      </c>
      <c r="H18" s="3">
        <v>0.44987159416042638</v>
      </c>
      <c r="I18" s="3">
        <v>0.4</v>
      </c>
      <c r="J18" s="3">
        <v>0.99849170437405732</v>
      </c>
      <c r="K18" s="3">
        <v>1</v>
      </c>
      <c r="L18" s="297">
        <f t="shared" si="0"/>
        <v>5.0152225047026495E-2</v>
      </c>
      <c r="N18" s="258">
        <f t="shared" si="1"/>
        <v>2.8852076055737772</v>
      </c>
    </row>
    <row r="19" spans="2:14">
      <c r="B19" s="300">
        <v>13</v>
      </c>
      <c r="C19" s="285" t="s">
        <v>264</v>
      </c>
      <c r="D19" s="285" t="s">
        <v>4</v>
      </c>
      <c r="E19" s="3">
        <v>3.8017692613792953E-2</v>
      </c>
      <c r="F19" s="278">
        <v>1.5</v>
      </c>
      <c r="G19" s="278">
        <v>1112.5999999999999</v>
      </c>
      <c r="H19" s="3">
        <v>0.44987159416042638</v>
      </c>
      <c r="I19" s="3">
        <v>0.5</v>
      </c>
      <c r="J19" s="3">
        <v>0.97784810126582278</v>
      </c>
      <c r="K19" s="3">
        <v>0.4</v>
      </c>
      <c r="L19" s="301">
        <f t="shared" si="0"/>
        <v>5.0245886600777279E-2</v>
      </c>
      <c r="N19" s="259">
        <f t="shared" si="1"/>
        <v>2.3657373880400421</v>
      </c>
    </row>
    <row r="20" spans="2:14" ht="15.75" thickBot="1">
      <c r="B20" s="300">
        <v>14</v>
      </c>
      <c r="C20" s="285" t="s">
        <v>282</v>
      </c>
      <c r="D20" s="285" t="s">
        <v>2</v>
      </c>
      <c r="E20" s="3">
        <v>3.3316775475447091E-2</v>
      </c>
      <c r="F20" s="278">
        <v>1.63</v>
      </c>
      <c r="G20" s="278">
        <v>61.6</v>
      </c>
      <c r="H20" s="3">
        <v>1</v>
      </c>
      <c r="I20" s="3">
        <v>0.4</v>
      </c>
      <c r="J20" s="3">
        <v>0.99882228241667648</v>
      </c>
      <c r="K20" s="3">
        <v>1</v>
      </c>
      <c r="L20" s="301">
        <f t="shared" si="0"/>
        <v>5.0688528807267083E-2</v>
      </c>
      <c r="N20" s="147">
        <f t="shared" si="1"/>
        <v>3.4321390578921234</v>
      </c>
    </row>
    <row r="21" spans="2:14">
      <c r="B21" s="300">
        <v>14</v>
      </c>
      <c r="C21" s="285" t="s">
        <v>310</v>
      </c>
      <c r="D21" s="285" t="s">
        <v>2</v>
      </c>
      <c r="E21" s="3">
        <v>3.3316775475447091E-2</v>
      </c>
      <c r="F21" s="278">
        <v>1.63</v>
      </c>
      <c r="G21" s="278">
        <v>61.6</v>
      </c>
      <c r="H21" s="3">
        <v>1</v>
      </c>
      <c r="I21" s="3">
        <v>0.4</v>
      </c>
      <c r="J21" s="3">
        <v>0.99882228241667648</v>
      </c>
      <c r="K21" s="3">
        <v>1</v>
      </c>
      <c r="L21" s="297">
        <f t="shared" si="0"/>
        <v>5.0688528807267083E-2</v>
      </c>
      <c r="N21" s="258">
        <f t="shared" si="1"/>
        <v>3.4321390578921234</v>
      </c>
    </row>
    <row r="22" spans="2:14">
      <c r="B22" s="300">
        <v>14</v>
      </c>
      <c r="C22" s="285" t="s">
        <v>306</v>
      </c>
      <c r="D22" s="285" t="s">
        <v>2</v>
      </c>
      <c r="E22" s="3">
        <v>3.3316775475447091E-2</v>
      </c>
      <c r="F22" s="278">
        <v>1.63</v>
      </c>
      <c r="G22" s="278">
        <v>61.6</v>
      </c>
      <c r="H22" s="3">
        <v>1</v>
      </c>
      <c r="I22" s="3">
        <v>0.4</v>
      </c>
      <c r="J22" s="3">
        <v>0.99882228241667648</v>
      </c>
      <c r="K22" s="3">
        <v>1</v>
      </c>
      <c r="L22" s="301">
        <f t="shared" si="0"/>
        <v>5.0688528807267083E-2</v>
      </c>
      <c r="N22" s="259">
        <f t="shared" si="1"/>
        <v>3.4321390578921234</v>
      </c>
    </row>
    <row r="23" spans="2:14" ht="15.75" thickBot="1">
      <c r="B23" s="296">
        <v>15</v>
      </c>
      <c r="C23" s="281" t="s">
        <v>290</v>
      </c>
      <c r="D23" s="281" t="s">
        <v>0</v>
      </c>
      <c r="E23" s="3">
        <v>4.4977736772433774E-2</v>
      </c>
      <c r="F23" s="278">
        <v>0.33333000000000002</v>
      </c>
      <c r="G23" s="278">
        <v>190</v>
      </c>
      <c r="H23" s="3">
        <v>0.43891531874405326</v>
      </c>
      <c r="I23" s="3">
        <v>0</v>
      </c>
      <c r="J23" s="3">
        <v>0.99597382989431305</v>
      </c>
      <c r="K23" s="3">
        <v>0.8</v>
      </c>
      <c r="L23" s="297">
        <f t="shared" si="0"/>
        <v>5.1254406824029389E-2</v>
      </c>
      <c r="N23" s="147">
        <f t="shared" si="1"/>
        <v>2.2798668854108</v>
      </c>
    </row>
    <row r="24" spans="2:14">
      <c r="B24" s="296">
        <v>16</v>
      </c>
      <c r="C24" s="281" t="s">
        <v>290</v>
      </c>
      <c r="D24" s="281" t="s">
        <v>2</v>
      </c>
      <c r="E24" s="3">
        <v>3.3316775475447091E-2</v>
      </c>
      <c r="F24" s="278">
        <v>1.63</v>
      </c>
      <c r="G24" s="278">
        <v>61.6</v>
      </c>
      <c r="H24" s="3">
        <v>1</v>
      </c>
      <c r="I24" s="3">
        <v>0.5</v>
      </c>
      <c r="J24" s="3">
        <v>0.99597382989431305</v>
      </c>
      <c r="K24" s="3">
        <v>0.8</v>
      </c>
      <c r="L24" s="297">
        <f t="shared" si="0"/>
        <v>5.1325831101133486E-2</v>
      </c>
      <c r="N24" s="258">
        <f t="shared" si="1"/>
        <v>3.32929060536976</v>
      </c>
    </row>
    <row r="25" spans="2:14">
      <c r="B25" s="300">
        <v>16</v>
      </c>
      <c r="C25" s="285" t="s">
        <v>276</v>
      </c>
      <c r="D25" s="285" t="s">
        <v>2</v>
      </c>
      <c r="E25" s="3">
        <v>3.3316775475447091E-2</v>
      </c>
      <c r="F25" s="278">
        <v>1.63</v>
      </c>
      <c r="G25" s="278">
        <v>61.6</v>
      </c>
      <c r="H25" s="3">
        <v>1</v>
      </c>
      <c r="I25" s="3">
        <v>0.5</v>
      </c>
      <c r="J25" s="3">
        <v>0.99608408903544932</v>
      </c>
      <c r="K25" s="3">
        <v>0.8</v>
      </c>
      <c r="L25" s="301">
        <f t="shared" si="0"/>
        <v>5.1325941360274623E-2</v>
      </c>
      <c r="N25" s="259">
        <f t="shared" si="1"/>
        <v>3.3294008645108963</v>
      </c>
    </row>
    <row r="26" spans="2:14" ht="15.75" thickBot="1">
      <c r="B26" s="296">
        <v>17</v>
      </c>
      <c r="C26" s="281" t="s">
        <v>274</v>
      </c>
      <c r="D26" s="281" t="s">
        <v>0</v>
      </c>
      <c r="E26" s="3">
        <v>4.5218420313690944E-2</v>
      </c>
      <c r="F26" s="278">
        <v>0.33333000000000002</v>
      </c>
      <c r="G26" s="278">
        <v>190</v>
      </c>
      <c r="H26" s="3">
        <v>0.43891531874405326</v>
      </c>
      <c r="I26" s="3">
        <v>0</v>
      </c>
      <c r="J26" s="3">
        <v>0.99585218702865763</v>
      </c>
      <c r="K26" s="3">
        <v>0.8</v>
      </c>
      <c r="L26" s="297">
        <f t="shared" si="0"/>
        <v>5.1488441232714545E-2</v>
      </c>
      <c r="N26" s="147">
        <f t="shared" si="1"/>
        <v>2.2799859260864022</v>
      </c>
    </row>
    <row r="27" spans="2:14">
      <c r="B27" s="300">
        <v>18</v>
      </c>
      <c r="C27" s="285" t="s">
        <v>298</v>
      </c>
      <c r="D27" s="285" t="s">
        <v>4</v>
      </c>
      <c r="E27" s="3">
        <v>3.68443070392932E-2</v>
      </c>
      <c r="F27" s="278">
        <v>1.5</v>
      </c>
      <c r="G27" s="278">
        <v>1112.5999999999999</v>
      </c>
      <c r="H27" s="3">
        <v>0.44987159416042638</v>
      </c>
      <c r="I27" s="3">
        <v>0.55555555555555558</v>
      </c>
      <c r="J27" s="3">
        <v>0.99333777481678875</v>
      </c>
      <c r="K27" s="3">
        <v>0.8</v>
      </c>
      <c r="L27" s="301">
        <f t="shared" si="0"/>
        <v>5.1606030113486898E-2</v>
      </c>
      <c r="N27" s="258">
        <f t="shared" si="1"/>
        <v>2.8356092315720636</v>
      </c>
    </row>
    <row r="28" spans="2:14">
      <c r="B28" s="300">
        <v>18</v>
      </c>
      <c r="C28" s="285" t="s">
        <v>272</v>
      </c>
      <c r="D28" s="285" t="s">
        <v>4</v>
      </c>
      <c r="E28" s="3">
        <v>3.68443070392932E-2</v>
      </c>
      <c r="F28" s="278">
        <v>1.5</v>
      </c>
      <c r="G28" s="278">
        <v>1112.5999999999999</v>
      </c>
      <c r="H28" s="3">
        <v>0.44987159416042638</v>
      </c>
      <c r="I28" s="3">
        <v>0.55555555555555558</v>
      </c>
      <c r="J28" s="3">
        <v>0.99333777481678875</v>
      </c>
      <c r="K28" s="3">
        <v>0.8</v>
      </c>
      <c r="L28" s="301">
        <f t="shared" si="0"/>
        <v>5.1606030113486898E-2</v>
      </c>
      <c r="N28" s="259">
        <f t="shared" si="1"/>
        <v>2.8356092315720636</v>
      </c>
    </row>
    <row r="29" spans="2:14" ht="15.75" thickBot="1">
      <c r="B29" s="300">
        <v>18</v>
      </c>
      <c r="C29" s="285" t="s">
        <v>301</v>
      </c>
      <c r="D29" s="285" t="s">
        <v>4</v>
      </c>
      <c r="E29" s="3">
        <v>3.68443070392932E-2</v>
      </c>
      <c r="F29" s="278">
        <v>1.5</v>
      </c>
      <c r="G29" s="278">
        <v>1112.5999999999999</v>
      </c>
      <c r="H29" s="3">
        <v>0.44987159416042638</v>
      </c>
      <c r="I29" s="3">
        <v>0.55555555555555558</v>
      </c>
      <c r="J29" s="3">
        <v>0.99333777481678875</v>
      </c>
      <c r="K29" s="3">
        <v>0.8</v>
      </c>
      <c r="L29" s="301">
        <f t="shared" si="0"/>
        <v>5.1606030113486898E-2</v>
      </c>
      <c r="N29" s="147">
        <f t="shared" si="1"/>
        <v>2.8356092315720636</v>
      </c>
    </row>
    <row r="30" spans="2:14">
      <c r="B30" s="300">
        <v>19</v>
      </c>
      <c r="C30" s="285" t="s">
        <v>282</v>
      </c>
      <c r="D30" s="285" t="s">
        <v>4</v>
      </c>
      <c r="E30" s="3">
        <v>3.68443070392932E-2</v>
      </c>
      <c r="F30" s="278">
        <v>1.5</v>
      </c>
      <c r="G30" s="278">
        <v>1112.5999999999999</v>
      </c>
      <c r="H30" s="3">
        <v>0.44987159416042638</v>
      </c>
      <c r="I30" s="3">
        <v>0.5</v>
      </c>
      <c r="J30" s="3">
        <v>0.99882228241667648</v>
      </c>
      <c r="K30" s="3">
        <v>1</v>
      </c>
      <c r="L30" s="297">
        <f t="shared" si="0"/>
        <v>5.1626410474401127E-2</v>
      </c>
      <c r="N30" s="258">
        <f t="shared" si="1"/>
        <v>2.9855381836163959</v>
      </c>
    </row>
    <row r="31" spans="2:14">
      <c r="B31" s="300">
        <v>19</v>
      </c>
      <c r="C31" s="285" t="s">
        <v>310</v>
      </c>
      <c r="D31" s="285" t="s">
        <v>4</v>
      </c>
      <c r="E31" s="3">
        <v>3.68443070392932E-2</v>
      </c>
      <c r="F31" s="278">
        <v>1.5</v>
      </c>
      <c r="G31" s="278">
        <v>1112.5999999999999</v>
      </c>
      <c r="H31" s="3">
        <v>0.44987159416042638</v>
      </c>
      <c r="I31" s="3">
        <v>0.5</v>
      </c>
      <c r="J31" s="3">
        <v>0.99882228241667648</v>
      </c>
      <c r="K31" s="3">
        <v>1</v>
      </c>
      <c r="L31" s="301">
        <f t="shared" si="0"/>
        <v>5.1626410474401127E-2</v>
      </c>
      <c r="N31" s="259">
        <f t="shared" si="1"/>
        <v>2.9855381836163959</v>
      </c>
    </row>
    <row r="32" spans="2:14" ht="15.75" thickBot="1">
      <c r="B32" s="300">
        <v>19</v>
      </c>
      <c r="C32" s="285" t="s">
        <v>306</v>
      </c>
      <c r="D32" s="285" t="s">
        <v>4</v>
      </c>
      <c r="E32" s="3">
        <v>3.68443070392932E-2</v>
      </c>
      <c r="F32" s="278">
        <v>1.5</v>
      </c>
      <c r="G32" s="278">
        <v>1112.5999999999999</v>
      </c>
      <c r="H32" s="3">
        <v>0.44987159416042638</v>
      </c>
      <c r="I32" s="3">
        <v>0.5</v>
      </c>
      <c r="J32" s="3">
        <v>0.99882228241667648</v>
      </c>
      <c r="K32" s="3">
        <v>1</v>
      </c>
      <c r="L32" s="301">
        <f t="shared" si="0"/>
        <v>5.1626410474401127E-2</v>
      </c>
      <c r="N32" s="147">
        <f t="shared" si="1"/>
        <v>2.9855381836163959</v>
      </c>
    </row>
    <row r="33" spans="2:14">
      <c r="B33" s="296">
        <v>20</v>
      </c>
      <c r="C33" s="281" t="s">
        <v>290</v>
      </c>
      <c r="D33" s="281" t="s">
        <v>4</v>
      </c>
      <c r="E33" s="3">
        <v>3.8017692613792953E-2</v>
      </c>
      <c r="F33" s="278">
        <v>1.5</v>
      </c>
      <c r="G33" s="278">
        <v>1112.5999999999999</v>
      </c>
      <c r="H33" s="3">
        <v>0.44987159416042638</v>
      </c>
      <c r="I33" s="3">
        <v>0.5</v>
      </c>
      <c r="J33" s="3">
        <v>0.99597382989431305</v>
      </c>
      <c r="K33" s="3">
        <v>0.8</v>
      </c>
      <c r="L33" s="297">
        <f t="shared" si="0"/>
        <v>5.1931420535292254E-2</v>
      </c>
      <c r="N33" s="258">
        <f t="shared" si="1"/>
        <v>2.7838631166685324</v>
      </c>
    </row>
    <row r="34" spans="2:14">
      <c r="B34" s="296">
        <v>21</v>
      </c>
      <c r="C34" s="281" t="s">
        <v>280</v>
      </c>
      <c r="D34" s="281" t="s">
        <v>0</v>
      </c>
      <c r="E34" s="3">
        <v>4.4867423482690794E-2</v>
      </c>
      <c r="F34" s="278">
        <v>0.33333000000000002</v>
      </c>
      <c r="G34" s="278">
        <v>190</v>
      </c>
      <c r="H34" s="3">
        <v>0.43891531874405326</v>
      </c>
      <c r="I34" s="3">
        <v>0</v>
      </c>
      <c r="J34" s="3">
        <v>0.99849170437405732</v>
      </c>
      <c r="K34" s="3">
        <v>1</v>
      </c>
      <c r="L34" s="297">
        <f t="shared" si="0"/>
        <v>5.1983307277824825E-2</v>
      </c>
      <c r="N34" s="259">
        <f t="shared" si="1"/>
        <v>2.4822744466008011</v>
      </c>
    </row>
    <row r="35" spans="2:14" ht="15.75" thickBot="1">
      <c r="B35" s="296">
        <v>21</v>
      </c>
      <c r="C35" s="281" t="s">
        <v>308</v>
      </c>
      <c r="D35" s="281" t="s">
        <v>0</v>
      </c>
      <c r="E35" s="3">
        <v>4.4867423482690794E-2</v>
      </c>
      <c r="F35" s="278">
        <v>0.33333000000000002</v>
      </c>
      <c r="G35" s="278">
        <v>190</v>
      </c>
      <c r="H35" s="3">
        <v>0.43891531874405326</v>
      </c>
      <c r="I35" s="3">
        <v>0</v>
      </c>
      <c r="J35" s="3">
        <v>0.99849170437405732</v>
      </c>
      <c r="K35" s="3">
        <v>1</v>
      </c>
      <c r="L35" s="297">
        <f t="shared" ref="L35:L56" si="2">E35*$Q$8+H35*$Q$9+I35*$Q$10+J35*$Q$11+K35*$Q$12</f>
        <v>5.1983307277824825E-2</v>
      </c>
      <c r="N35" s="147">
        <f t="shared" si="1"/>
        <v>2.4822744466008011</v>
      </c>
    </row>
    <row r="36" spans="2:14">
      <c r="B36" s="296">
        <v>21</v>
      </c>
      <c r="C36" s="281" t="s">
        <v>304</v>
      </c>
      <c r="D36" s="281" t="s">
        <v>0</v>
      </c>
      <c r="E36" s="3">
        <v>4.4867423482690794E-2</v>
      </c>
      <c r="F36" s="278">
        <v>0.33333000000000002</v>
      </c>
      <c r="G36" s="278">
        <v>190</v>
      </c>
      <c r="H36" s="3">
        <v>0.43891531874405326</v>
      </c>
      <c r="I36" s="3">
        <v>0</v>
      </c>
      <c r="J36" s="3">
        <v>0.99849170437405732</v>
      </c>
      <c r="K36" s="3">
        <v>1</v>
      </c>
      <c r="L36" s="297">
        <f t="shared" si="2"/>
        <v>5.1983307277824825E-2</v>
      </c>
      <c r="N36" s="258">
        <f t="shared" si="1"/>
        <v>2.4822744466008011</v>
      </c>
    </row>
    <row r="37" spans="2:14">
      <c r="B37" s="296">
        <v>22</v>
      </c>
      <c r="C37" s="281" t="s">
        <v>261</v>
      </c>
      <c r="D37" s="281" t="s">
        <v>2</v>
      </c>
      <c r="E37" s="3">
        <v>3.3316775475447091E-2</v>
      </c>
      <c r="F37" s="278">
        <v>1.63</v>
      </c>
      <c r="G37" s="278">
        <v>61.6</v>
      </c>
      <c r="H37" s="3">
        <v>1</v>
      </c>
      <c r="I37" s="3">
        <v>0.66666666666666674</v>
      </c>
      <c r="J37" s="3">
        <v>0.9866129843985908</v>
      </c>
      <c r="K37" s="3">
        <v>0.4</v>
      </c>
      <c r="L37" s="297">
        <f t="shared" si="2"/>
        <v>5.2105486798637968E-2</v>
      </c>
      <c r="N37" s="259">
        <f t="shared" si="1"/>
        <v>3.0865964265407047</v>
      </c>
    </row>
    <row r="38" spans="2:14" ht="15.75" thickBot="1">
      <c r="B38" s="300">
        <v>23</v>
      </c>
      <c r="C38" s="285" t="s">
        <v>298</v>
      </c>
      <c r="D38" s="285" t="s">
        <v>2</v>
      </c>
      <c r="E38" s="3">
        <v>3.3316775475447091E-2</v>
      </c>
      <c r="F38" s="278">
        <v>1.63</v>
      </c>
      <c r="G38" s="278">
        <v>61.6</v>
      </c>
      <c r="H38" s="3">
        <v>1</v>
      </c>
      <c r="I38" s="3">
        <v>0.55555555555555558</v>
      </c>
      <c r="J38" s="3">
        <v>0.99333777481678875</v>
      </c>
      <c r="K38" s="3">
        <v>0.8</v>
      </c>
      <c r="L38" s="301">
        <f t="shared" si="2"/>
        <v>5.2142003295684858E-2</v>
      </c>
      <c r="N38" s="147">
        <f t="shared" si="1"/>
        <v>3.3822101058477916</v>
      </c>
    </row>
    <row r="39" spans="2:14">
      <c r="B39" s="300">
        <v>23</v>
      </c>
      <c r="C39" s="285" t="s">
        <v>272</v>
      </c>
      <c r="D39" s="285" t="s">
        <v>2</v>
      </c>
      <c r="E39" s="3">
        <v>3.3316775475447091E-2</v>
      </c>
      <c r="F39" s="278">
        <v>1.63</v>
      </c>
      <c r="G39" s="278">
        <v>61.6</v>
      </c>
      <c r="H39" s="3">
        <v>1</v>
      </c>
      <c r="I39" s="3">
        <v>0.55555555555555558</v>
      </c>
      <c r="J39" s="3">
        <v>0.99333777481678875</v>
      </c>
      <c r="K39" s="3">
        <v>0.8</v>
      </c>
      <c r="L39" s="301">
        <f t="shared" si="2"/>
        <v>5.2142003295684858E-2</v>
      </c>
      <c r="N39" s="258">
        <f t="shared" si="1"/>
        <v>3.3822101058477916</v>
      </c>
    </row>
    <row r="40" spans="2:14">
      <c r="B40" s="300">
        <v>23</v>
      </c>
      <c r="C40" s="285" t="s">
        <v>301</v>
      </c>
      <c r="D40" s="285" t="s">
        <v>2</v>
      </c>
      <c r="E40" s="3">
        <v>3.3316775475447091E-2</v>
      </c>
      <c r="F40" s="278">
        <v>1.63</v>
      </c>
      <c r="G40" s="278">
        <v>61.6</v>
      </c>
      <c r="H40" s="3">
        <v>1</v>
      </c>
      <c r="I40" s="3">
        <v>0.55555555555555558</v>
      </c>
      <c r="J40" s="3">
        <v>0.99333777481678875</v>
      </c>
      <c r="K40" s="3">
        <v>0.8</v>
      </c>
      <c r="L40" s="301">
        <f t="shared" si="2"/>
        <v>5.2142003295684858E-2</v>
      </c>
      <c r="N40" s="259">
        <f t="shared" si="1"/>
        <v>3.3822101058477916</v>
      </c>
    </row>
    <row r="41" spans="2:14" ht="15.75" thickBot="1">
      <c r="B41" s="296">
        <v>24</v>
      </c>
      <c r="C41" s="281" t="s">
        <v>286</v>
      </c>
      <c r="D41" s="281" t="s">
        <v>2</v>
      </c>
      <c r="E41" s="3">
        <v>3.3316775475447091E-2</v>
      </c>
      <c r="F41" s="278">
        <v>1.63</v>
      </c>
      <c r="G41" s="278">
        <v>61.6</v>
      </c>
      <c r="H41" s="3">
        <v>1</v>
      </c>
      <c r="I41" s="3">
        <v>0.5</v>
      </c>
      <c r="J41" s="3">
        <v>0.99333777481678875</v>
      </c>
      <c r="K41" s="3">
        <v>1</v>
      </c>
      <c r="L41" s="297">
        <f t="shared" si="2"/>
        <v>5.2156899148999215E-2</v>
      </c>
      <c r="N41" s="147">
        <f t="shared" si="1"/>
        <v>3.526654550292236</v>
      </c>
    </row>
    <row r="42" spans="2:14">
      <c r="B42" s="300">
        <v>25</v>
      </c>
      <c r="C42" s="285" t="s">
        <v>264</v>
      </c>
      <c r="D42" s="285" t="s">
        <v>0</v>
      </c>
      <c r="E42" s="3">
        <v>4.5218420313690944E-2</v>
      </c>
      <c r="F42" s="278">
        <v>0.33333000000000002</v>
      </c>
      <c r="G42" s="278">
        <v>190</v>
      </c>
      <c r="H42" s="3">
        <v>0.43891531874405326</v>
      </c>
      <c r="I42" s="3">
        <v>0.16666666666666663</v>
      </c>
      <c r="J42" s="3">
        <v>0.97784810126582278</v>
      </c>
      <c r="K42" s="3">
        <v>0.4</v>
      </c>
      <c r="L42" s="301">
        <f t="shared" si="2"/>
        <v>5.2259453689951919E-2</v>
      </c>
      <c r="N42" s="258">
        <f t="shared" si="1"/>
        <v>2.0286485069902334</v>
      </c>
    </row>
    <row r="43" spans="2:14">
      <c r="B43" s="300">
        <v>26</v>
      </c>
      <c r="C43" s="285" t="s">
        <v>268</v>
      </c>
      <c r="D43" s="285" t="s">
        <v>0</v>
      </c>
      <c r="E43" s="3">
        <v>4.5218420313690944E-2</v>
      </c>
      <c r="F43" s="278">
        <v>0.33333000000000002</v>
      </c>
      <c r="G43" s="278">
        <v>190</v>
      </c>
      <c r="H43" s="3">
        <v>0.43891531874405326</v>
      </c>
      <c r="I43" s="3">
        <v>0.1428571428571429</v>
      </c>
      <c r="J43" s="3">
        <v>0.97784810126582278</v>
      </c>
      <c r="K43" s="3">
        <v>0.6</v>
      </c>
      <c r="L43" s="301">
        <f t="shared" si="2"/>
        <v>5.2742239971625644E-2</v>
      </c>
      <c r="N43" s="259">
        <f t="shared" si="1"/>
        <v>2.2048389831807098</v>
      </c>
    </row>
    <row r="44" spans="2:14" ht="15.75" thickBot="1">
      <c r="B44" s="300">
        <v>27</v>
      </c>
      <c r="C44" s="285" t="s">
        <v>298</v>
      </c>
      <c r="D44" s="285" t="s">
        <v>0</v>
      </c>
      <c r="E44" s="3">
        <v>4.4867423482690794E-2</v>
      </c>
      <c r="F44" s="278">
        <v>0.33333000000000002</v>
      </c>
      <c r="G44" s="278">
        <v>190</v>
      </c>
      <c r="H44" s="3">
        <v>0.43891531874405326</v>
      </c>
      <c r="I44" s="3">
        <v>0.11111111111111116</v>
      </c>
      <c r="J44" s="3">
        <v>0.99333777481678875</v>
      </c>
      <c r="K44" s="3">
        <v>0.8</v>
      </c>
      <c r="L44" s="301">
        <f t="shared" si="2"/>
        <v>5.2782065744582107E-2</v>
      </c>
      <c r="N44" s="147">
        <f t="shared" si="1"/>
        <v>2.3882316281546441</v>
      </c>
    </row>
    <row r="45" spans="2:14">
      <c r="B45" s="300">
        <v>27</v>
      </c>
      <c r="C45" s="285" t="s">
        <v>272</v>
      </c>
      <c r="D45" s="285" t="s">
        <v>0</v>
      </c>
      <c r="E45" s="3">
        <v>4.4867423482690794E-2</v>
      </c>
      <c r="F45" s="278">
        <v>0.33333000000000002</v>
      </c>
      <c r="G45" s="278">
        <v>190</v>
      </c>
      <c r="H45" s="3">
        <v>0.43891531874405326</v>
      </c>
      <c r="I45" s="3">
        <v>0.11111111111111116</v>
      </c>
      <c r="J45" s="3">
        <v>0.99333777481678875</v>
      </c>
      <c r="K45" s="3">
        <v>0.8</v>
      </c>
      <c r="L45" s="301">
        <f t="shared" si="2"/>
        <v>5.2782065744582107E-2</v>
      </c>
      <c r="N45" s="258">
        <f t="shared" si="1"/>
        <v>2.3882316281546441</v>
      </c>
    </row>
    <row r="46" spans="2:14">
      <c r="B46" s="300">
        <v>27</v>
      </c>
      <c r="C46" s="285" t="s">
        <v>301</v>
      </c>
      <c r="D46" s="285" t="s">
        <v>0</v>
      </c>
      <c r="E46" s="3">
        <v>4.4867423482690794E-2</v>
      </c>
      <c r="F46" s="278">
        <v>0.33333000000000002</v>
      </c>
      <c r="G46" s="278">
        <v>190</v>
      </c>
      <c r="H46" s="3">
        <v>0.43891531874405326</v>
      </c>
      <c r="I46" s="3">
        <v>0.11111111111111116</v>
      </c>
      <c r="J46" s="3">
        <v>0.99333777481678875</v>
      </c>
      <c r="K46" s="3">
        <v>0.8</v>
      </c>
      <c r="L46" s="301">
        <f t="shared" si="2"/>
        <v>5.2782065744582107E-2</v>
      </c>
      <c r="N46" s="259">
        <f t="shared" si="1"/>
        <v>2.3882316281546441</v>
      </c>
    </row>
    <row r="47" spans="2:14" ht="15.75" thickBot="1">
      <c r="B47" s="296">
        <v>28</v>
      </c>
      <c r="C47" s="281" t="s">
        <v>257</v>
      </c>
      <c r="D47" s="281" t="s">
        <v>2</v>
      </c>
      <c r="E47" s="3">
        <v>3.3316775475447091E-2</v>
      </c>
      <c r="F47" s="278">
        <v>1.63</v>
      </c>
      <c r="G47" s="278">
        <v>61.6</v>
      </c>
      <c r="H47" s="3">
        <v>1</v>
      </c>
      <c r="I47" s="3">
        <v>0.66666666666666674</v>
      </c>
      <c r="J47" s="3">
        <v>0.97784810126582278</v>
      </c>
      <c r="K47" s="3">
        <v>0.6</v>
      </c>
      <c r="L47" s="297">
        <f t="shared" si="2"/>
        <v>5.2930426018448454E-2</v>
      </c>
      <c r="N47" s="147">
        <f t="shared" si="1"/>
        <v>3.2778315434079368</v>
      </c>
    </row>
    <row r="48" spans="2:14">
      <c r="B48" s="300">
        <v>29</v>
      </c>
      <c r="C48" s="285" t="s">
        <v>294</v>
      </c>
      <c r="D48" s="285" t="s">
        <v>0</v>
      </c>
      <c r="E48" s="3">
        <v>4.4977736772433774E-2</v>
      </c>
      <c r="F48" s="278">
        <v>0.33333000000000002</v>
      </c>
      <c r="G48" s="278">
        <v>190</v>
      </c>
      <c r="H48" s="3">
        <v>0.43891531874405326</v>
      </c>
      <c r="I48" s="3">
        <v>0.125</v>
      </c>
      <c r="J48" s="3">
        <v>0.99333777481678875</v>
      </c>
      <c r="K48" s="3">
        <v>0.8</v>
      </c>
      <c r="L48" s="301">
        <f t="shared" si="2"/>
        <v>5.3094089330616892E-2</v>
      </c>
      <c r="N48" s="258">
        <f t="shared" si="1"/>
        <v>2.4022308303332762</v>
      </c>
    </row>
    <row r="49" spans="2:14">
      <c r="B49" s="300">
        <v>30</v>
      </c>
      <c r="C49" s="285" t="s">
        <v>294</v>
      </c>
      <c r="D49" s="285" t="s">
        <v>2</v>
      </c>
      <c r="E49" s="3">
        <v>3.3316775475447091E-2</v>
      </c>
      <c r="F49" s="278">
        <v>1.63</v>
      </c>
      <c r="G49" s="278">
        <v>61.6</v>
      </c>
      <c r="H49" s="3">
        <v>1</v>
      </c>
      <c r="I49" s="3">
        <v>0.625</v>
      </c>
      <c r="J49" s="3">
        <v>0.99333777481678875</v>
      </c>
      <c r="K49" s="3">
        <v>0.8</v>
      </c>
      <c r="L49" s="301">
        <f t="shared" si="2"/>
        <v>5.3165513607720982E-2</v>
      </c>
      <c r="N49" s="259">
        <f t="shared" si="1"/>
        <v>3.4516545502922362</v>
      </c>
    </row>
    <row r="50" spans="2:14" ht="15.75" thickBot="1">
      <c r="B50" s="300">
        <v>31</v>
      </c>
      <c r="C50" s="285" t="s">
        <v>276</v>
      </c>
      <c r="D50" s="285" t="s">
        <v>0</v>
      </c>
      <c r="E50" s="3">
        <v>4.5218420313690944E-2</v>
      </c>
      <c r="F50" s="278">
        <v>0.33333000000000002</v>
      </c>
      <c r="G50" s="278">
        <v>190</v>
      </c>
      <c r="H50" s="3">
        <v>0.43891531874405326</v>
      </c>
      <c r="I50" s="3">
        <v>0.125</v>
      </c>
      <c r="J50" s="3">
        <v>0.99608408903544932</v>
      </c>
      <c r="K50" s="3">
        <v>0.8</v>
      </c>
      <c r="L50" s="301">
        <f t="shared" si="2"/>
        <v>5.333099169638636E-2</v>
      </c>
      <c r="N50" s="147">
        <f t="shared" si="1"/>
        <v>2.4052178280931935</v>
      </c>
    </row>
    <row r="51" spans="2:14">
      <c r="B51" s="304">
        <v>32</v>
      </c>
      <c r="C51" s="289" t="s">
        <v>282</v>
      </c>
      <c r="D51" s="289" t="s">
        <v>0</v>
      </c>
      <c r="E51" s="3">
        <v>4.4867423482690794E-2</v>
      </c>
      <c r="F51" s="278">
        <v>0.33333000000000002</v>
      </c>
      <c r="G51" s="278">
        <v>190</v>
      </c>
      <c r="H51" s="3">
        <v>0.43891531874405326</v>
      </c>
      <c r="I51" s="3">
        <v>9.9999999999999978E-2</v>
      </c>
      <c r="J51" s="3">
        <v>0.99882228241667648</v>
      </c>
      <c r="K51" s="3">
        <v>1</v>
      </c>
      <c r="L51" s="305">
        <f t="shared" si="2"/>
        <v>5.3457492705199464E-2</v>
      </c>
      <c r="N51" s="258">
        <f t="shared" si="1"/>
        <v>2.5826050246434207</v>
      </c>
    </row>
    <row r="52" spans="2:14">
      <c r="B52" s="304">
        <v>32</v>
      </c>
      <c r="C52" s="289" t="s">
        <v>310</v>
      </c>
      <c r="D52" s="289" t="s">
        <v>0</v>
      </c>
      <c r="E52" s="3">
        <v>4.4867423482690794E-2</v>
      </c>
      <c r="F52" s="278">
        <v>0.33333000000000002</v>
      </c>
      <c r="G52" s="278">
        <v>190</v>
      </c>
      <c r="H52" s="3">
        <v>0.43891531874405326</v>
      </c>
      <c r="I52" s="3">
        <v>9.9999999999999978E-2</v>
      </c>
      <c r="J52" s="3">
        <v>0.99882228241667648</v>
      </c>
      <c r="K52" s="3">
        <v>1</v>
      </c>
      <c r="L52" s="305">
        <f t="shared" si="2"/>
        <v>5.3457492705199464E-2</v>
      </c>
      <c r="N52" s="259">
        <f t="shared" si="1"/>
        <v>2.5826050246434207</v>
      </c>
    </row>
    <row r="53" spans="2:14" ht="15.75" thickBot="1">
      <c r="B53" s="304">
        <v>32</v>
      </c>
      <c r="C53" s="289" t="s">
        <v>306</v>
      </c>
      <c r="D53" s="289" t="s">
        <v>0</v>
      </c>
      <c r="E53" s="3">
        <v>4.4867423482690794E-2</v>
      </c>
      <c r="F53" s="278">
        <v>0.33333000000000002</v>
      </c>
      <c r="G53" s="278">
        <v>190</v>
      </c>
      <c r="H53" s="3">
        <v>0.43891531874405326</v>
      </c>
      <c r="I53" s="3">
        <v>9.9999999999999978E-2</v>
      </c>
      <c r="J53" s="3">
        <v>0.99882228241667648</v>
      </c>
      <c r="K53" s="3">
        <v>1</v>
      </c>
      <c r="L53" s="305">
        <f t="shared" si="2"/>
        <v>5.3457492705199464E-2</v>
      </c>
      <c r="N53" s="147">
        <f t="shared" si="1"/>
        <v>2.5826050246434207</v>
      </c>
    </row>
    <row r="54" spans="2:14">
      <c r="B54" s="300">
        <v>33</v>
      </c>
      <c r="C54" s="285" t="s">
        <v>268</v>
      </c>
      <c r="D54" s="285" t="s">
        <v>2</v>
      </c>
      <c r="E54" s="3">
        <v>3.3316775475447091E-2</v>
      </c>
      <c r="F54" s="278">
        <v>1.63</v>
      </c>
      <c r="G54" s="278">
        <v>61.6</v>
      </c>
      <c r="H54" s="3">
        <v>1</v>
      </c>
      <c r="I54" s="3">
        <v>0.7142857142857143</v>
      </c>
      <c r="J54" s="3">
        <v>0.97784810126582278</v>
      </c>
      <c r="K54" s="3">
        <v>0.6</v>
      </c>
      <c r="L54" s="301">
        <f t="shared" si="2"/>
        <v>5.3632261660987508E-2</v>
      </c>
      <c r="N54" s="258">
        <f t="shared" si="1"/>
        <v>3.3254505910269843</v>
      </c>
    </row>
    <row r="55" spans="2:14">
      <c r="B55" s="304">
        <v>34</v>
      </c>
      <c r="C55" s="289" t="s">
        <v>294</v>
      </c>
      <c r="D55" s="289" t="s">
        <v>4</v>
      </c>
      <c r="E55" s="3">
        <v>3.8017692613792953E-2</v>
      </c>
      <c r="F55" s="278">
        <v>1.5</v>
      </c>
      <c r="G55" s="278">
        <v>1112.5999999999999</v>
      </c>
      <c r="H55" s="3">
        <v>0.44987159416042638</v>
      </c>
      <c r="I55" s="3">
        <v>0.625</v>
      </c>
      <c r="J55" s="3">
        <v>0.99333777481678875</v>
      </c>
      <c r="K55" s="3">
        <v>0.8</v>
      </c>
      <c r="L55" s="305">
        <f t="shared" si="2"/>
        <v>5.377110304187975E-2</v>
      </c>
      <c r="N55" s="259">
        <f t="shared" si="1"/>
        <v>2.9062270615910082</v>
      </c>
    </row>
    <row r="56" spans="2:14" ht="15.75" thickBot="1">
      <c r="B56" s="306">
        <v>35</v>
      </c>
      <c r="C56" s="307" t="s">
        <v>264</v>
      </c>
      <c r="D56" s="307" t="s">
        <v>2</v>
      </c>
      <c r="E56" s="8">
        <v>3.3316775475447091E-2</v>
      </c>
      <c r="F56" s="309">
        <v>1.63</v>
      </c>
      <c r="G56" s="309">
        <v>61.6</v>
      </c>
      <c r="H56" s="8">
        <v>1</v>
      </c>
      <c r="I56" s="8">
        <v>0.83333333333333337</v>
      </c>
      <c r="J56" s="8">
        <v>0.97784810126582278</v>
      </c>
      <c r="K56" s="8">
        <v>0.4</v>
      </c>
      <c r="L56" s="310">
        <f t="shared" si="2"/>
        <v>5.4553146664391899E-2</v>
      </c>
      <c r="N56" s="147">
        <f t="shared" si="1"/>
        <v>3.2444982100746032</v>
      </c>
    </row>
    <row r="57" spans="2:14" ht="15.75" thickBot="1"/>
    <row r="58" spans="2:14" ht="15.75" thickBot="1">
      <c r="B58" s="45"/>
      <c r="C58" s="45" t="s">
        <v>250</v>
      </c>
      <c r="D58" s="45" t="s">
        <v>473</v>
      </c>
      <c r="E58" s="146" t="s">
        <v>405</v>
      </c>
      <c r="F58" s="254" t="s">
        <v>474</v>
      </c>
      <c r="G58" s="254" t="s">
        <v>407</v>
      </c>
      <c r="H58" s="146" t="s">
        <v>408</v>
      </c>
      <c r="I58" s="146" t="s">
        <v>409</v>
      </c>
      <c r="J58" s="185" t="s">
        <v>426</v>
      </c>
      <c r="K58" s="45" t="s">
        <v>427</v>
      </c>
      <c r="L58" s="45" t="s">
        <v>410</v>
      </c>
      <c r="N58" s="45" t="s">
        <v>475</v>
      </c>
    </row>
    <row r="59" spans="2:14">
      <c r="B59" s="251"/>
      <c r="C59" s="251" t="s">
        <v>257</v>
      </c>
      <c r="D59" s="251" t="s">
        <v>0</v>
      </c>
      <c r="E59" s="186">
        <f>E3*$Q$8</f>
        <v>3.4554604065546918E-2</v>
      </c>
      <c r="F59" s="216"/>
      <c r="G59" s="216"/>
      <c r="H59" s="186">
        <f>H3*$Q$9</f>
        <v>3.2447272770056851E-3</v>
      </c>
      <c r="I59" s="135">
        <f>I3*$Q$10</f>
        <v>2.4564247488866949E-3</v>
      </c>
      <c r="J59" s="258">
        <f>J3*$Q$11</f>
        <v>9.7784810126582268E-4</v>
      </c>
      <c r="K59" s="258">
        <f>K3*$Q$12</f>
        <v>2.5011123088297363E-3</v>
      </c>
      <c r="L59" s="258">
        <f>E59*$Q$8+H59*$Q$9+I59*$Q$10+J59*$Q$11+K59*$Q$12</f>
        <v>3.3688472092876641E-2</v>
      </c>
      <c r="N59" s="258">
        <f>SUM(E59,H59:K59)</f>
        <v>4.3734716501534862E-2</v>
      </c>
    </row>
    <row r="60" spans="2:14">
      <c r="B60" s="252"/>
      <c r="C60" s="252" t="s">
        <v>257</v>
      </c>
      <c r="D60" s="252" t="s">
        <v>2</v>
      </c>
      <c r="E60" s="187">
        <f>E4*$Q$8</f>
        <v>3.5845066153602452E-2</v>
      </c>
      <c r="F60" s="218"/>
      <c r="G60" s="218"/>
      <c r="H60" s="187">
        <f>H4*$Q$9</f>
        <v>3.2447272770056851E-3</v>
      </c>
      <c r="I60" s="2">
        <f t="shared" ref="I60:I112" si="3">I4*$Q$10</f>
        <v>3.6846371233300434E-3</v>
      </c>
      <c r="J60" s="259">
        <f t="shared" ref="J60:J112" si="4">J4*$Q$11</f>
        <v>9.9585218702865751E-4</v>
      </c>
      <c r="K60" s="259">
        <f t="shared" ref="K60:K112" si="5">K4*$Q$12</f>
        <v>3.334816411772982E-3</v>
      </c>
      <c r="L60" s="259">
        <f t="shared" ref="L60:L112" si="6">E60*$Q$8+H60*$Q$9+I60*$Q$10+J60*$Q$11+K60*$Q$12</f>
        <v>3.4965531418153735E-2</v>
      </c>
      <c r="N60" s="259">
        <f t="shared" ref="N60:N112" si="7">SUM(E60,H60:K60)</f>
        <v>4.7105099152739818E-2</v>
      </c>
    </row>
    <row r="61" spans="2:14" ht="15.75" thickBot="1">
      <c r="B61" s="253"/>
      <c r="C61" s="253" t="s">
        <v>257</v>
      </c>
      <c r="D61" s="253" t="s">
        <v>4</v>
      </c>
      <c r="E61" s="188">
        <f t="shared" ref="E61:E112" si="8">E5*$Q$8</f>
        <v>3.6986628769959187E-2</v>
      </c>
      <c r="F61" s="220"/>
      <c r="G61" s="220"/>
      <c r="H61" s="188">
        <f t="shared" ref="H61:H112" si="9">H5*$Q$9</f>
        <v>3.2447272770056851E-3</v>
      </c>
      <c r="I61" s="136">
        <f t="shared" si="3"/>
        <v>4.9128494977733915E-3</v>
      </c>
      <c r="J61" s="147">
        <f t="shared" si="4"/>
        <v>9.8661298439859063E-4</v>
      </c>
      <c r="K61" s="147">
        <f t="shared" si="5"/>
        <v>1.667408205886491E-3</v>
      </c>
      <c r="L61" s="147">
        <f t="shared" si="6"/>
        <v>3.6087276338224068E-2</v>
      </c>
      <c r="N61" s="147">
        <f t="shared" si="7"/>
        <v>4.779822673502334E-2</v>
      </c>
    </row>
    <row r="62" spans="2:14">
      <c r="B62" s="251"/>
      <c r="C62" s="251" t="s">
        <v>261</v>
      </c>
      <c r="D62" s="251" t="s">
        <v>0</v>
      </c>
      <c r="E62" s="186">
        <f t="shared" si="8"/>
        <v>4.1552942648120733E-2</v>
      </c>
      <c r="F62" s="216"/>
      <c r="G62" s="216"/>
      <c r="H62" s="186">
        <f t="shared" si="9"/>
        <v>3.1657044488045891E-3</v>
      </c>
      <c r="I62" s="186">
        <f t="shared" si="3"/>
        <v>0</v>
      </c>
      <c r="J62" s="258">
        <f t="shared" si="4"/>
        <v>9.7784810126582268E-4</v>
      </c>
      <c r="K62" s="258">
        <f t="shared" si="5"/>
        <v>2.5011123088297363E-3</v>
      </c>
      <c r="L62" s="258">
        <f t="shared" si="6"/>
        <v>4.0460237219016482E-2</v>
      </c>
      <c r="N62" s="258">
        <f t="shared" si="7"/>
        <v>4.8197607507020887E-2</v>
      </c>
    </row>
    <row r="63" spans="2:14">
      <c r="B63" s="252"/>
      <c r="C63" s="252" t="s">
        <v>261</v>
      </c>
      <c r="D63" s="252" t="s">
        <v>2</v>
      </c>
      <c r="E63" s="187">
        <f t="shared" si="8"/>
        <v>3.4554604065546918E-2</v>
      </c>
      <c r="F63" s="218"/>
      <c r="G63" s="218"/>
      <c r="H63" s="187">
        <f t="shared" si="9"/>
        <v>3.2447272770056851E-3</v>
      </c>
      <c r="I63" s="187">
        <f t="shared" si="3"/>
        <v>5.5269556849950651E-3</v>
      </c>
      <c r="J63" s="259">
        <f t="shared" si="4"/>
        <v>9.9333777481678859E-4</v>
      </c>
      <c r="K63" s="259">
        <f t="shared" si="5"/>
        <v>4.1685205147162273E-3</v>
      </c>
      <c r="L63" s="259">
        <f t="shared" si="6"/>
        <v>3.3740693376964906E-2</v>
      </c>
      <c r="N63" s="259">
        <f t="shared" si="7"/>
        <v>4.8488145317080691E-2</v>
      </c>
    </row>
    <row r="64" spans="2:14" ht="15.75" thickBot="1">
      <c r="B64" s="253"/>
      <c r="C64" s="253" t="s">
        <v>261</v>
      </c>
      <c r="D64" s="253" t="s">
        <v>4</v>
      </c>
      <c r="E64" s="188">
        <f t="shared" si="8"/>
        <v>3.5845066153602452E-2</v>
      </c>
      <c r="F64" s="220"/>
      <c r="G64" s="220"/>
      <c r="H64" s="188">
        <f t="shared" si="9"/>
        <v>3.2447272770056851E-3</v>
      </c>
      <c r="I64" s="188">
        <f t="shared" si="3"/>
        <v>6.3165207828515032E-3</v>
      </c>
      <c r="J64" s="147">
        <f t="shared" si="4"/>
        <v>9.7784810126582268E-4</v>
      </c>
      <c r="K64" s="147">
        <f t="shared" si="5"/>
        <v>2.5011123088297363E-3</v>
      </c>
      <c r="L64" s="147">
        <f t="shared" si="6"/>
        <v>3.5000828246356294E-2</v>
      </c>
      <c r="N64" s="147">
        <f t="shared" si="7"/>
        <v>4.8885274623555207E-2</v>
      </c>
    </row>
    <row r="65" spans="2:14">
      <c r="B65" s="251"/>
      <c r="C65" s="251" t="s">
        <v>264</v>
      </c>
      <c r="D65" s="251" t="s">
        <v>0</v>
      </c>
      <c r="E65" s="186">
        <f t="shared" si="8"/>
        <v>3.5845066153602452E-2</v>
      </c>
      <c r="F65" s="216"/>
      <c r="G65" s="216"/>
      <c r="H65" s="186">
        <f t="shared" si="9"/>
        <v>3.2447272770056851E-3</v>
      </c>
      <c r="I65" s="186">
        <f t="shared" si="3"/>
        <v>5.5269556849950651E-3</v>
      </c>
      <c r="J65" s="258">
        <f t="shared" si="4"/>
        <v>9.960840890354491E-4</v>
      </c>
      <c r="K65" s="258">
        <f t="shared" si="5"/>
        <v>3.334816411772982E-3</v>
      </c>
      <c r="L65" s="258">
        <f t="shared" si="6"/>
        <v>3.4992684751516991E-2</v>
      </c>
      <c r="N65" s="258">
        <f t="shared" si="7"/>
        <v>4.8947649616411633E-2</v>
      </c>
    </row>
    <row r="66" spans="2:14">
      <c r="B66" s="252"/>
      <c r="C66" s="252" t="s">
        <v>264</v>
      </c>
      <c r="D66" s="252" t="s">
        <v>2</v>
      </c>
      <c r="E66" s="187">
        <f t="shared" si="8"/>
        <v>3.2413203474515137E-2</v>
      </c>
      <c r="F66" s="218"/>
      <c r="G66" s="218"/>
      <c r="H66" s="187">
        <f t="shared" si="9"/>
        <v>7.2125631382909672E-3</v>
      </c>
      <c r="I66" s="187">
        <f t="shared" si="3"/>
        <v>4.4215645479960524E-3</v>
      </c>
      <c r="J66" s="259">
        <f t="shared" si="4"/>
        <v>9.9849170437405713E-4</v>
      </c>
      <c r="K66" s="259">
        <f t="shared" si="5"/>
        <v>4.1685205147162273E-3</v>
      </c>
      <c r="L66" s="259">
        <f t="shared" si="6"/>
        <v>3.1669700482655577E-2</v>
      </c>
      <c r="N66" s="259">
        <f t="shared" si="7"/>
        <v>4.9214343379892445E-2</v>
      </c>
    </row>
    <row r="67" spans="2:14" ht="15.75" thickBot="1">
      <c r="B67" s="253"/>
      <c r="C67" s="253" t="s">
        <v>264</v>
      </c>
      <c r="D67" s="253" t="s">
        <v>4</v>
      </c>
      <c r="E67" s="188">
        <f t="shared" si="8"/>
        <v>3.2413203474515137E-2</v>
      </c>
      <c r="F67" s="220"/>
      <c r="G67" s="220"/>
      <c r="H67" s="188">
        <f t="shared" si="9"/>
        <v>7.2125631382909672E-3</v>
      </c>
      <c r="I67" s="188">
        <f t="shared" si="3"/>
        <v>4.4215645479960524E-3</v>
      </c>
      <c r="J67" s="147">
        <f t="shared" si="4"/>
        <v>9.9849170437405713E-4</v>
      </c>
      <c r="K67" s="147">
        <f t="shared" si="5"/>
        <v>4.1685205147162273E-3</v>
      </c>
      <c r="L67" s="147">
        <f t="shared" si="6"/>
        <v>3.1669700482655577E-2</v>
      </c>
      <c r="N67" s="147">
        <f t="shared" si="7"/>
        <v>4.9214343379892445E-2</v>
      </c>
    </row>
    <row r="68" spans="2:14">
      <c r="B68" s="251"/>
      <c r="C68" s="251" t="s">
        <v>268</v>
      </c>
      <c r="D68" s="251" t="s">
        <v>0</v>
      </c>
      <c r="E68" s="186">
        <f t="shared" si="8"/>
        <v>3.2413203474515137E-2</v>
      </c>
      <c r="F68" s="216"/>
      <c r="G68" s="216"/>
      <c r="H68" s="186">
        <f t="shared" si="9"/>
        <v>7.2125631382909672E-3</v>
      </c>
      <c r="I68" s="186">
        <f t="shared" si="3"/>
        <v>4.4215645479960524E-3</v>
      </c>
      <c r="J68" s="258">
        <f t="shared" si="4"/>
        <v>9.9849170437405713E-4</v>
      </c>
      <c r="K68" s="258">
        <f t="shared" si="5"/>
        <v>4.1685205147162273E-3</v>
      </c>
      <c r="L68" s="258">
        <f t="shared" si="6"/>
        <v>3.1669700482655577E-2</v>
      </c>
      <c r="N68" s="258">
        <f t="shared" si="7"/>
        <v>4.9214343379892445E-2</v>
      </c>
    </row>
    <row r="69" spans="2:14">
      <c r="B69" s="252"/>
      <c r="C69" s="252" t="s">
        <v>268</v>
      </c>
      <c r="D69" s="252" t="s">
        <v>2</v>
      </c>
      <c r="E69" s="187">
        <f t="shared" si="8"/>
        <v>3.2413203474515144E-2</v>
      </c>
      <c r="F69" s="218"/>
      <c r="G69" s="218"/>
      <c r="H69" s="187">
        <f t="shared" si="9"/>
        <v>7.2125631382909672E-3</v>
      </c>
      <c r="I69" s="187">
        <f t="shared" si="3"/>
        <v>5.5269556849950651E-3</v>
      </c>
      <c r="J69" s="259">
        <f t="shared" si="4"/>
        <v>9.9585218702865751E-4</v>
      </c>
      <c r="K69" s="259">
        <f t="shared" si="5"/>
        <v>3.334816411772982E-3</v>
      </c>
      <c r="L69" s="259">
        <f t="shared" si="6"/>
        <v>3.1682514391358663E-2</v>
      </c>
      <c r="N69" s="259">
        <f t="shared" si="7"/>
        <v>4.9483390896602815E-2</v>
      </c>
    </row>
    <row r="70" spans="2:14" ht="15.75" thickBot="1">
      <c r="B70" s="253"/>
      <c r="C70" s="253" t="s">
        <v>268</v>
      </c>
      <c r="D70" s="253" t="s">
        <v>4</v>
      </c>
      <c r="E70" s="188">
        <f t="shared" si="8"/>
        <v>4.1318786596569922E-2</v>
      </c>
      <c r="F70" s="220"/>
      <c r="G70" s="220"/>
      <c r="H70" s="188">
        <f t="shared" si="9"/>
        <v>3.1657044488045891E-3</v>
      </c>
      <c r="I70" s="188">
        <f t="shared" si="3"/>
        <v>0</v>
      </c>
      <c r="J70" s="147">
        <f t="shared" si="4"/>
        <v>9.9333777481678859E-4</v>
      </c>
      <c r="K70" s="147">
        <f t="shared" si="5"/>
        <v>4.1685205147162273E-3</v>
      </c>
      <c r="L70" s="147">
        <f t="shared" si="6"/>
        <v>4.0239397742513221E-2</v>
      </c>
      <c r="N70" s="147">
        <f t="shared" si="7"/>
        <v>4.9646349334907532E-2</v>
      </c>
    </row>
    <row r="71" spans="2:14">
      <c r="B71" s="251"/>
      <c r="C71" s="251" t="s">
        <v>272</v>
      </c>
      <c r="D71" s="251" t="s">
        <v>0</v>
      </c>
      <c r="E71" s="186">
        <f t="shared" si="8"/>
        <v>4.399206818510832E-2</v>
      </c>
      <c r="F71" s="216"/>
      <c r="G71" s="216"/>
      <c r="H71" s="186">
        <f t="shared" si="9"/>
        <v>3.1657044488045891E-3</v>
      </c>
      <c r="I71" s="186">
        <f t="shared" si="3"/>
        <v>0</v>
      </c>
      <c r="J71" s="258">
        <f t="shared" si="4"/>
        <v>9.8661298439859063E-4</v>
      </c>
      <c r="K71" s="258">
        <f t="shared" si="5"/>
        <v>1.667408205886491E-3</v>
      </c>
      <c r="L71" s="258">
        <f t="shared" si="6"/>
        <v>4.2829745582591713E-2</v>
      </c>
      <c r="N71" s="258">
        <f t="shared" si="7"/>
        <v>4.9811793824197988E-2</v>
      </c>
    </row>
    <row r="72" spans="2:14">
      <c r="B72" s="252"/>
      <c r="C72" s="252" t="s">
        <v>272</v>
      </c>
      <c r="D72" s="252" t="s">
        <v>2</v>
      </c>
      <c r="E72" s="187">
        <f t="shared" si="8"/>
        <v>3.5845066153602452E-2</v>
      </c>
      <c r="F72" s="218"/>
      <c r="G72" s="218"/>
      <c r="H72" s="187">
        <f t="shared" si="9"/>
        <v>3.2447272770056851E-3</v>
      </c>
      <c r="I72" s="187">
        <f t="shared" si="3"/>
        <v>5.8954193973280696E-3</v>
      </c>
      <c r="J72" s="259">
        <f t="shared" si="4"/>
        <v>9.9849170437405713E-4</v>
      </c>
      <c r="K72" s="259">
        <f t="shared" si="5"/>
        <v>4.1685205147162273E-3</v>
      </c>
      <c r="L72" s="259">
        <f t="shared" si="6"/>
        <v>3.5001593092080896E-2</v>
      </c>
      <c r="N72" s="259">
        <f t="shared" si="7"/>
        <v>5.0152225047026495E-2</v>
      </c>
    </row>
    <row r="73" spans="2:14" ht="15.75" thickBot="1">
      <c r="B73" s="253"/>
      <c r="C73" s="253" t="s">
        <v>272</v>
      </c>
      <c r="D73" s="253" t="s">
        <v>4</v>
      </c>
      <c r="E73" s="188">
        <f t="shared" si="8"/>
        <v>3.5845066153602452E-2</v>
      </c>
      <c r="F73" s="220"/>
      <c r="G73" s="220"/>
      <c r="H73" s="188">
        <f t="shared" si="9"/>
        <v>3.2447272770056851E-3</v>
      </c>
      <c r="I73" s="188">
        <f t="shared" si="3"/>
        <v>5.8954193973280696E-3</v>
      </c>
      <c r="J73" s="147">
        <f t="shared" si="4"/>
        <v>9.9849170437405713E-4</v>
      </c>
      <c r="K73" s="147">
        <f t="shared" si="5"/>
        <v>4.1685205147162273E-3</v>
      </c>
      <c r="L73" s="147">
        <f t="shared" si="6"/>
        <v>3.5001593092080896E-2</v>
      </c>
      <c r="N73" s="147">
        <f t="shared" si="7"/>
        <v>5.0152225047026495E-2</v>
      </c>
    </row>
    <row r="74" spans="2:14">
      <c r="B74" s="251"/>
      <c r="C74" s="251" t="s">
        <v>274</v>
      </c>
      <c r="D74" s="251" t="s">
        <v>0</v>
      </c>
      <c r="E74" s="186">
        <f t="shared" si="8"/>
        <v>3.5845066153602452E-2</v>
      </c>
      <c r="F74" s="216"/>
      <c r="G74" s="216"/>
      <c r="H74" s="186">
        <f t="shared" si="9"/>
        <v>3.2447272770056851E-3</v>
      </c>
      <c r="I74" s="186">
        <f t="shared" si="3"/>
        <v>5.8954193973280696E-3</v>
      </c>
      <c r="J74" s="258">
        <f t="shared" si="4"/>
        <v>9.9849170437405713E-4</v>
      </c>
      <c r="K74" s="258">
        <f t="shared" si="5"/>
        <v>4.1685205147162273E-3</v>
      </c>
      <c r="L74" s="258">
        <f t="shared" si="6"/>
        <v>3.5001593092080896E-2</v>
      </c>
      <c r="N74" s="258">
        <f t="shared" si="7"/>
        <v>5.0152225047026495E-2</v>
      </c>
    </row>
    <row r="75" spans="2:14">
      <c r="B75" s="252"/>
      <c r="C75" s="252" t="s">
        <v>274</v>
      </c>
      <c r="D75" s="252" t="s">
        <v>2</v>
      </c>
      <c r="E75" s="187">
        <f t="shared" si="8"/>
        <v>3.6986628769959187E-2</v>
      </c>
      <c r="F75" s="218"/>
      <c r="G75" s="218"/>
      <c r="H75" s="187">
        <f t="shared" si="9"/>
        <v>3.2447272770056851E-3</v>
      </c>
      <c r="I75" s="187">
        <f t="shared" si="3"/>
        <v>7.3692742466600868E-3</v>
      </c>
      <c r="J75" s="259">
        <f t="shared" si="4"/>
        <v>9.7784810126582268E-4</v>
      </c>
      <c r="K75" s="259">
        <f t="shared" si="5"/>
        <v>1.667408205886491E-3</v>
      </c>
      <c r="L75" s="259">
        <f t="shared" si="6"/>
        <v>3.6123471708622595E-2</v>
      </c>
      <c r="N75" s="259">
        <f t="shared" si="7"/>
        <v>5.0245886600777279E-2</v>
      </c>
    </row>
    <row r="76" spans="2:14" ht="15.75" thickBot="1">
      <c r="B76" s="253"/>
      <c r="C76" s="253" t="s">
        <v>274</v>
      </c>
      <c r="D76" s="253" t="s">
        <v>4</v>
      </c>
      <c r="E76" s="188">
        <f t="shared" si="8"/>
        <v>3.2413203474515137E-2</v>
      </c>
      <c r="F76" s="220"/>
      <c r="G76" s="220"/>
      <c r="H76" s="188">
        <f t="shared" si="9"/>
        <v>7.2125631382909672E-3</v>
      </c>
      <c r="I76" s="188">
        <f t="shared" si="3"/>
        <v>5.8954193973280696E-3</v>
      </c>
      <c r="J76" s="147">
        <f t="shared" si="4"/>
        <v>9.9882228241667632E-4</v>
      </c>
      <c r="K76" s="147">
        <f t="shared" si="5"/>
        <v>4.1685205147162273E-3</v>
      </c>
      <c r="L76" s="147">
        <f t="shared" si="6"/>
        <v>3.1691423294402617E-2</v>
      </c>
      <c r="N76" s="147">
        <f t="shared" si="7"/>
        <v>5.0688528807267083E-2</v>
      </c>
    </row>
    <row r="77" spans="2:14">
      <c r="B77" s="251"/>
      <c r="C77" s="251" t="s">
        <v>276</v>
      </c>
      <c r="D77" s="251" t="s">
        <v>0</v>
      </c>
      <c r="E77" s="186">
        <f t="shared" si="8"/>
        <v>3.2413203474515137E-2</v>
      </c>
      <c r="F77" s="216"/>
      <c r="G77" s="216"/>
      <c r="H77" s="186">
        <f t="shared" si="9"/>
        <v>7.2125631382909672E-3</v>
      </c>
      <c r="I77" s="186">
        <f t="shared" si="3"/>
        <v>5.8954193973280696E-3</v>
      </c>
      <c r="J77" s="258">
        <f t="shared" si="4"/>
        <v>9.9882228241667632E-4</v>
      </c>
      <c r="K77" s="258">
        <f t="shared" si="5"/>
        <v>4.1685205147162273E-3</v>
      </c>
      <c r="L77" s="258">
        <f t="shared" si="6"/>
        <v>3.1691423294402617E-2</v>
      </c>
      <c r="N77" s="258">
        <f t="shared" si="7"/>
        <v>5.0688528807267083E-2</v>
      </c>
    </row>
    <row r="78" spans="2:14">
      <c r="B78" s="252"/>
      <c r="C78" s="252" t="s">
        <v>276</v>
      </c>
      <c r="D78" s="252" t="s">
        <v>2</v>
      </c>
      <c r="E78" s="187">
        <f t="shared" si="8"/>
        <v>3.2413203474515137E-2</v>
      </c>
      <c r="F78" s="218"/>
      <c r="G78" s="218"/>
      <c r="H78" s="187">
        <f t="shared" si="9"/>
        <v>7.2125631382909672E-3</v>
      </c>
      <c r="I78" s="187">
        <f t="shared" si="3"/>
        <v>5.8954193973280696E-3</v>
      </c>
      <c r="J78" s="259">
        <f t="shared" si="4"/>
        <v>9.9882228241667632E-4</v>
      </c>
      <c r="K78" s="259">
        <f t="shared" si="5"/>
        <v>4.1685205147162273E-3</v>
      </c>
      <c r="L78" s="259">
        <f t="shared" si="6"/>
        <v>3.1691423294402617E-2</v>
      </c>
      <c r="N78" s="259">
        <f t="shared" si="7"/>
        <v>5.0688528807267083E-2</v>
      </c>
    </row>
    <row r="79" spans="2:14" ht="15.75" thickBot="1">
      <c r="B79" s="253"/>
      <c r="C79" s="253" t="s">
        <v>276</v>
      </c>
      <c r="D79" s="253" t="s">
        <v>4</v>
      </c>
      <c r="E79" s="188">
        <f t="shared" si="8"/>
        <v>4.3757912133557508E-2</v>
      </c>
      <c r="F79" s="220"/>
      <c r="G79" s="220"/>
      <c r="H79" s="188">
        <f t="shared" si="9"/>
        <v>3.1657044488045891E-3</v>
      </c>
      <c r="I79" s="188">
        <f t="shared" si="3"/>
        <v>0</v>
      </c>
      <c r="J79" s="147">
        <f t="shared" si="4"/>
        <v>9.9597382989431282E-4</v>
      </c>
      <c r="K79" s="147">
        <f t="shared" si="5"/>
        <v>3.334816411772982E-3</v>
      </c>
      <c r="L79" s="147">
        <f t="shared" si="6"/>
        <v>4.2608899977260403E-2</v>
      </c>
      <c r="N79" s="147">
        <f t="shared" si="7"/>
        <v>5.1254406824029389E-2</v>
      </c>
    </row>
    <row r="80" spans="2:14">
      <c r="B80" s="251"/>
      <c r="C80" s="251" t="s">
        <v>280</v>
      </c>
      <c r="D80" s="251" t="s">
        <v>0</v>
      </c>
      <c r="E80" s="186">
        <f t="shared" si="8"/>
        <v>3.2413203474515137E-2</v>
      </c>
      <c r="F80" s="216"/>
      <c r="G80" s="216"/>
      <c r="H80" s="186">
        <f t="shared" si="9"/>
        <v>7.2125631382909672E-3</v>
      </c>
      <c r="I80" s="186">
        <f t="shared" si="3"/>
        <v>7.3692742466600868E-3</v>
      </c>
      <c r="J80" s="258">
        <f t="shared" si="4"/>
        <v>9.9597382989431282E-4</v>
      </c>
      <c r="K80" s="258">
        <f t="shared" si="5"/>
        <v>3.334816411772982E-3</v>
      </c>
      <c r="L80" s="258">
        <f t="shared" si="6"/>
        <v>3.1709667614462769E-2</v>
      </c>
      <c r="N80" s="258">
        <f t="shared" si="7"/>
        <v>5.1325831101133486E-2</v>
      </c>
    </row>
    <row r="81" spans="2:14">
      <c r="B81" s="252"/>
      <c r="C81" s="252" t="s">
        <v>280</v>
      </c>
      <c r="D81" s="252" t="s">
        <v>2</v>
      </c>
      <c r="E81" s="187">
        <f t="shared" si="8"/>
        <v>3.2413203474515137E-2</v>
      </c>
      <c r="F81" s="218"/>
      <c r="G81" s="218"/>
      <c r="H81" s="187">
        <f t="shared" si="9"/>
        <v>7.2125631382909672E-3</v>
      </c>
      <c r="I81" s="187">
        <f t="shared" si="3"/>
        <v>7.3692742466600868E-3</v>
      </c>
      <c r="J81" s="259">
        <f t="shared" si="4"/>
        <v>9.960840890354491E-4</v>
      </c>
      <c r="K81" s="259">
        <f t="shared" si="5"/>
        <v>3.334816411772982E-3</v>
      </c>
      <c r="L81" s="259">
        <f t="shared" si="6"/>
        <v>3.1709667724721911E-2</v>
      </c>
      <c r="N81" s="259">
        <f t="shared" si="7"/>
        <v>5.1325941360274623E-2</v>
      </c>
    </row>
    <row r="82" spans="2:14" ht="15.75" thickBot="1">
      <c r="B82" s="253"/>
      <c r="C82" s="253" t="s">
        <v>280</v>
      </c>
      <c r="D82" s="253" t="s">
        <v>4</v>
      </c>
      <c r="E82" s="188">
        <f t="shared" si="8"/>
        <v>4.399206818510832E-2</v>
      </c>
      <c r="F82" s="220"/>
      <c r="G82" s="220"/>
      <c r="H82" s="188">
        <f t="shared" si="9"/>
        <v>3.1657044488045891E-3</v>
      </c>
      <c r="I82" s="188">
        <f t="shared" si="3"/>
        <v>0</v>
      </c>
      <c r="J82" s="147">
        <f t="shared" si="4"/>
        <v>9.9585218702865751E-4</v>
      </c>
      <c r="K82" s="147">
        <f t="shared" si="5"/>
        <v>3.334816411772982E-3</v>
      </c>
      <c r="L82" s="147">
        <f t="shared" si="6"/>
        <v>4.2836705447106986E-2</v>
      </c>
      <c r="N82" s="147">
        <f t="shared" si="7"/>
        <v>5.1488441232714545E-2</v>
      </c>
    </row>
    <row r="83" spans="2:14">
      <c r="B83" s="251"/>
      <c r="C83" s="251" t="s">
        <v>282</v>
      </c>
      <c r="D83" s="251" t="s">
        <v>0</v>
      </c>
      <c r="E83" s="186">
        <f t="shared" si="8"/>
        <v>3.5845066153602452E-2</v>
      </c>
      <c r="F83" s="216"/>
      <c r="G83" s="216"/>
      <c r="H83" s="186">
        <f t="shared" si="9"/>
        <v>3.2447272770056851E-3</v>
      </c>
      <c r="I83" s="186">
        <f t="shared" si="3"/>
        <v>8.1880824962889849E-3</v>
      </c>
      <c r="J83" s="258">
        <f t="shared" si="4"/>
        <v>9.9333777481678859E-4</v>
      </c>
      <c r="K83" s="258">
        <f t="shared" si="5"/>
        <v>3.334816411772982E-3</v>
      </c>
      <c r="L83" s="258">
        <f t="shared" si="6"/>
        <v>3.5031903151757901E-2</v>
      </c>
      <c r="N83" s="258">
        <f t="shared" si="7"/>
        <v>5.1606030113486898E-2</v>
      </c>
    </row>
    <row r="84" spans="2:14">
      <c r="B84" s="252"/>
      <c r="C84" s="252" t="s">
        <v>282</v>
      </c>
      <c r="D84" s="252" t="s">
        <v>2</v>
      </c>
      <c r="E84" s="187">
        <f t="shared" si="8"/>
        <v>3.5845066153602452E-2</v>
      </c>
      <c r="F84" s="218"/>
      <c r="G84" s="218"/>
      <c r="H84" s="187">
        <f t="shared" si="9"/>
        <v>3.2447272770056851E-3</v>
      </c>
      <c r="I84" s="187">
        <f t="shared" si="3"/>
        <v>8.1880824962889849E-3</v>
      </c>
      <c r="J84" s="259">
        <f t="shared" si="4"/>
        <v>9.9333777481678859E-4</v>
      </c>
      <c r="K84" s="259">
        <f t="shared" si="5"/>
        <v>3.334816411772982E-3</v>
      </c>
      <c r="L84" s="259">
        <f t="shared" si="6"/>
        <v>3.5031903151757901E-2</v>
      </c>
      <c r="N84" s="259">
        <f t="shared" si="7"/>
        <v>5.1606030113486898E-2</v>
      </c>
    </row>
    <row r="85" spans="2:14" ht="15.75" thickBot="1">
      <c r="B85" s="253"/>
      <c r="C85" s="253" t="s">
        <v>282</v>
      </c>
      <c r="D85" s="253" t="s">
        <v>4</v>
      </c>
      <c r="E85" s="188">
        <f t="shared" si="8"/>
        <v>3.5845066153602452E-2</v>
      </c>
      <c r="F85" s="220"/>
      <c r="G85" s="220"/>
      <c r="H85" s="188">
        <f t="shared" si="9"/>
        <v>3.2447272770056851E-3</v>
      </c>
      <c r="I85" s="188">
        <f t="shared" si="3"/>
        <v>8.1880824962889849E-3</v>
      </c>
      <c r="J85" s="147">
        <f t="shared" si="4"/>
        <v>9.9333777481678859E-4</v>
      </c>
      <c r="K85" s="147">
        <f t="shared" si="5"/>
        <v>3.334816411772982E-3</v>
      </c>
      <c r="L85" s="147">
        <f t="shared" si="6"/>
        <v>3.5031903151757901E-2</v>
      </c>
      <c r="N85" s="147">
        <f t="shared" si="7"/>
        <v>5.1606030113486898E-2</v>
      </c>
    </row>
    <row r="86" spans="2:14">
      <c r="B86" s="251"/>
      <c r="C86" s="251" t="s">
        <v>286</v>
      </c>
      <c r="D86" s="251" t="s">
        <v>0</v>
      </c>
      <c r="E86" s="186">
        <f t="shared" si="8"/>
        <v>3.5845066153602452E-2</v>
      </c>
      <c r="F86" s="216"/>
      <c r="G86" s="216"/>
      <c r="H86" s="186">
        <f t="shared" si="9"/>
        <v>3.2447272770056851E-3</v>
      </c>
      <c r="I86" s="186">
        <f t="shared" si="3"/>
        <v>7.3692742466600868E-3</v>
      </c>
      <c r="J86" s="258">
        <f t="shared" si="4"/>
        <v>9.9882228241667632E-4</v>
      </c>
      <c r="K86" s="258">
        <f t="shared" si="5"/>
        <v>4.1685205147162273E-3</v>
      </c>
      <c r="L86" s="258">
        <f t="shared" si="6"/>
        <v>3.5023315903827935E-2</v>
      </c>
      <c r="N86" s="258">
        <f t="shared" si="7"/>
        <v>5.1626410474401127E-2</v>
      </c>
    </row>
    <row r="87" spans="2:14">
      <c r="B87" s="252"/>
      <c r="C87" s="252" t="s">
        <v>286</v>
      </c>
      <c r="D87" s="252" t="s">
        <v>2</v>
      </c>
      <c r="E87" s="187">
        <f t="shared" si="8"/>
        <v>3.5845066153602452E-2</v>
      </c>
      <c r="F87" s="218"/>
      <c r="G87" s="218"/>
      <c r="H87" s="187">
        <f t="shared" si="9"/>
        <v>3.2447272770056851E-3</v>
      </c>
      <c r="I87" s="187">
        <f t="shared" si="3"/>
        <v>7.3692742466600868E-3</v>
      </c>
      <c r="J87" s="259">
        <f t="shared" si="4"/>
        <v>9.9882228241667632E-4</v>
      </c>
      <c r="K87" s="259">
        <f t="shared" si="5"/>
        <v>4.1685205147162273E-3</v>
      </c>
      <c r="L87" s="259">
        <f t="shared" si="6"/>
        <v>3.5023315903827935E-2</v>
      </c>
      <c r="N87" s="259">
        <f t="shared" si="7"/>
        <v>5.1626410474401127E-2</v>
      </c>
    </row>
    <row r="88" spans="2:14" ht="15.75" thickBot="1">
      <c r="B88" s="253"/>
      <c r="C88" s="253" t="s">
        <v>286</v>
      </c>
      <c r="D88" s="253" t="s">
        <v>4</v>
      </c>
      <c r="E88" s="188">
        <f t="shared" si="8"/>
        <v>3.5845066153602452E-2</v>
      </c>
      <c r="F88" s="220"/>
      <c r="G88" s="220"/>
      <c r="H88" s="188">
        <f t="shared" si="9"/>
        <v>3.2447272770056851E-3</v>
      </c>
      <c r="I88" s="188">
        <f t="shared" si="3"/>
        <v>7.3692742466600868E-3</v>
      </c>
      <c r="J88" s="147">
        <f t="shared" si="4"/>
        <v>9.9882228241667632E-4</v>
      </c>
      <c r="K88" s="147">
        <f t="shared" si="5"/>
        <v>4.1685205147162273E-3</v>
      </c>
      <c r="L88" s="147">
        <f t="shared" si="6"/>
        <v>3.5023315903827935E-2</v>
      </c>
      <c r="N88" s="147">
        <f t="shared" si="7"/>
        <v>5.1626410474401127E-2</v>
      </c>
    </row>
    <row r="89" spans="2:14">
      <c r="B89" s="251"/>
      <c r="C89" s="251" t="s">
        <v>290</v>
      </c>
      <c r="D89" s="251" t="s">
        <v>0</v>
      </c>
      <c r="E89" s="186">
        <f t="shared" si="8"/>
        <v>3.6986628769959187E-2</v>
      </c>
      <c r="F89" s="216"/>
      <c r="G89" s="216"/>
      <c r="H89" s="186">
        <f t="shared" si="9"/>
        <v>3.2447272770056851E-3</v>
      </c>
      <c r="I89" s="186">
        <f t="shared" si="3"/>
        <v>7.3692742466600868E-3</v>
      </c>
      <c r="J89" s="258">
        <f t="shared" si="4"/>
        <v>9.9597382989431282E-4</v>
      </c>
      <c r="K89" s="258">
        <f t="shared" si="5"/>
        <v>3.334816411772982E-3</v>
      </c>
      <c r="L89" s="258">
        <f t="shared" si="6"/>
        <v>3.6130440459663869E-2</v>
      </c>
      <c r="N89" s="258">
        <f t="shared" si="7"/>
        <v>5.1931420535292254E-2</v>
      </c>
    </row>
    <row r="90" spans="2:14">
      <c r="B90" s="252"/>
      <c r="C90" s="252" t="s">
        <v>290</v>
      </c>
      <c r="D90" s="252" t="s">
        <v>2</v>
      </c>
      <c r="E90" s="187">
        <f t="shared" si="8"/>
        <v>4.365059060992995E-2</v>
      </c>
      <c r="F90" s="218"/>
      <c r="G90" s="218"/>
      <c r="H90" s="187">
        <f t="shared" si="9"/>
        <v>3.1657044488045891E-3</v>
      </c>
      <c r="I90" s="187">
        <f t="shared" si="3"/>
        <v>0</v>
      </c>
      <c r="J90" s="259">
        <f t="shared" si="4"/>
        <v>9.9849170437405713E-4</v>
      </c>
      <c r="K90" s="259">
        <f t="shared" si="5"/>
        <v>4.1685205147162273E-3</v>
      </c>
      <c r="L90" s="259">
        <f t="shared" si="6"/>
        <v>4.2507966911691772E-2</v>
      </c>
      <c r="N90" s="259">
        <f t="shared" si="7"/>
        <v>5.1983307277824825E-2</v>
      </c>
    </row>
    <row r="91" spans="2:14" ht="15.75" thickBot="1">
      <c r="B91" s="253"/>
      <c r="C91" s="253" t="s">
        <v>290</v>
      </c>
      <c r="D91" s="253" t="s">
        <v>4</v>
      </c>
      <c r="E91" s="188">
        <f t="shared" si="8"/>
        <v>4.365059060992995E-2</v>
      </c>
      <c r="F91" s="220"/>
      <c r="G91" s="220"/>
      <c r="H91" s="188">
        <f t="shared" si="9"/>
        <v>3.1657044488045891E-3</v>
      </c>
      <c r="I91" s="188">
        <f t="shared" si="3"/>
        <v>0</v>
      </c>
      <c r="J91" s="147">
        <f t="shared" si="4"/>
        <v>9.9849170437405713E-4</v>
      </c>
      <c r="K91" s="147">
        <f t="shared" si="5"/>
        <v>4.1685205147162273E-3</v>
      </c>
      <c r="L91" s="147">
        <f t="shared" si="6"/>
        <v>4.2507966911691772E-2</v>
      </c>
      <c r="N91" s="147">
        <f t="shared" si="7"/>
        <v>5.1983307277824825E-2</v>
      </c>
    </row>
    <row r="92" spans="2:14">
      <c r="B92" s="251"/>
      <c r="C92" s="251" t="s">
        <v>294</v>
      </c>
      <c r="D92" s="251" t="s">
        <v>0</v>
      </c>
      <c r="E92" s="186">
        <f t="shared" si="8"/>
        <v>4.365059060992995E-2</v>
      </c>
      <c r="F92" s="216"/>
      <c r="G92" s="216"/>
      <c r="H92" s="186">
        <f t="shared" si="9"/>
        <v>3.1657044488045891E-3</v>
      </c>
      <c r="I92" s="186">
        <f t="shared" si="3"/>
        <v>0</v>
      </c>
      <c r="J92" s="258">
        <f t="shared" si="4"/>
        <v>9.9849170437405713E-4</v>
      </c>
      <c r="K92" s="258">
        <f t="shared" si="5"/>
        <v>4.1685205147162273E-3</v>
      </c>
      <c r="L92" s="258">
        <f t="shared" si="6"/>
        <v>4.2507966911691772E-2</v>
      </c>
      <c r="N92" s="258">
        <f t="shared" si="7"/>
        <v>5.1983307277824825E-2</v>
      </c>
    </row>
    <row r="93" spans="2:14">
      <c r="B93" s="252"/>
      <c r="C93" s="252" t="s">
        <v>294</v>
      </c>
      <c r="D93" s="252" t="s">
        <v>2</v>
      </c>
      <c r="E93" s="187">
        <f t="shared" si="8"/>
        <v>3.2413203474515137E-2</v>
      </c>
      <c r="F93" s="218"/>
      <c r="G93" s="218"/>
      <c r="H93" s="187">
        <f t="shared" si="9"/>
        <v>7.2125631382909672E-3</v>
      </c>
      <c r="I93" s="187">
        <f t="shared" si="3"/>
        <v>9.8256989955467829E-3</v>
      </c>
      <c r="J93" s="259">
        <f t="shared" si="4"/>
        <v>9.8661298439859063E-4</v>
      </c>
      <c r="K93" s="259">
        <f t="shared" si="5"/>
        <v>1.667408205886491E-3</v>
      </c>
      <c r="L93" s="259">
        <f t="shared" si="6"/>
        <v>3.1738911763586286E-2</v>
      </c>
      <c r="N93" s="259">
        <f t="shared" si="7"/>
        <v>5.2105486798637968E-2</v>
      </c>
    </row>
    <row r="94" spans="2:14" ht="15.75" thickBot="1">
      <c r="B94" s="253"/>
      <c r="C94" s="253" t="s">
        <v>294</v>
      </c>
      <c r="D94" s="253" t="s">
        <v>4</v>
      </c>
      <c r="E94" s="188">
        <f t="shared" si="8"/>
        <v>3.2413203474515137E-2</v>
      </c>
      <c r="F94" s="220"/>
      <c r="G94" s="220"/>
      <c r="H94" s="188">
        <f t="shared" si="9"/>
        <v>7.2125631382909672E-3</v>
      </c>
      <c r="I94" s="188">
        <f t="shared" si="3"/>
        <v>8.1880824962889849E-3</v>
      </c>
      <c r="J94" s="147">
        <f t="shared" si="4"/>
        <v>9.9333777481678859E-4</v>
      </c>
      <c r="K94" s="147">
        <f t="shared" si="5"/>
        <v>3.334816411772982E-3</v>
      </c>
      <c r="L94" s="147">
        <f t="shared" si="6"/>
        <v>3.1721733023501578E-2</v>
      </c>
      <c r="N94" s="147">
        <f t="shared" si="7"/>
        <v>5.2142003295684858E-2</v>
      </c>
    </row>
    <row r="95" spans="2:14">
      <c r="B95" s="251"/>
      <c r="C95" s="251" t="s">
        <v>298</v>
      </c>
      <c r="D95" s="251" t="s">
        <v>0</v>
      </c>
      <c r="E95" s="186">
        <f t="shared" si="8"/>
        <v>3.2413203474515137E-2</v>
      </c>
      <c r="F95" s="216"/>
      <c r="G95" s="216"/>
      <c r="H95" s="186">
        <f t="shared" si="9"/>
        <v>7.2125631382909672E-3</v>
      </c>
      <c r="I95" s="186">
        <f t="shared" si="3"/>
        <v>8.1880824962889849E-3</v>
      </c>
      <c r="J95" s="258">
        <f t="shared" si="4"/>
        <v>9.9333777481678859E-4</v>
      </c>
      <c r="K95" s="258">
        <f t="shared" si="5"/>
        <v>3.334816411772982E-3</v>
      </c>
      <c r="L95" s="258">
        <f t="shared" si="6"/>
        <v>3.1721733023501578E-2</v>
      </c>
      <c r="N95" s="258">
        <f t="shared" si="7"/>
        <v>5.2142003295684858E-2</v>
      </c>
    </row>
    <row r="96" spans="2:14">
      <c r="B96" s="252"/>
      <c r="C96" s="252" t="s">
        <v>298</v>
      </c>
      <c r="D96" s="252" t="s">
        <v>2</v>
      </c>
      <c r="E96" s="187">
        <f t="shared" si="8"/>
        <v>3.2413203474515137E-2</v>
      </c>
      <c r="F96" s="218"/>
      <c r="G96" s="218"/>
      <c r="H96" s="187">
        <f t="shared" si="9"/>
        <v>7.2125631382909672E-3</v>
      </c>
      <c r="I96" s="187">
        <f t="shared" si="3"/>
        <v>8.1880824962889849E-3</v>
      </c>
      <c r="J96" s="259">
        <f t="shared" si="4"/>
        <v>9.9333777481678859E-4</v>
      </c>
      <c r="K96" s="259">
        <f t="shared" si="5"/>
        <v>3.334816411772982E-3</v>
      </c>
      <c r="L96" s="259">
        <f t="shared" si="6"/>
        <v>3.1721733023501578E-2</v>
      </c>
      <c r="N96" s="259">
        <f t="shared" si="7"/>
        <v>5.2142003295684858E-2</v>
      </c>
    </row>
    <row r="97" spans="2:14" ht="15.75" thickBot="1">
      <c r="B97" s="253"/>
      <c r="C97" s="253" t="s">
        <v>298</v>
      </c>
      <c r="D97" s="253" t="s">
        <v>4</v>
      </c>
      <c r="E97" s="188">
        <f t="shared" si="8"/>
        <v>3.2413203474515137E-2</v>
      </c>
      <c r="F97" s="220"/>
      <c r="G97" s="220"/>
      <c r="H97" s="188">
        <f t="shared" si="9"/>
        <v>7.2125631382909672E-3</v>
      </c>
      <c r="I97" s="188">
        <f t="shared" si="3"/>
        <v>7.3692742466600868E-3</v>
      </c>
      <c r="J97" s="147">
        <f t="shared" si="4"/>
        <v>9.9333777481678859E-4</v>
      </c>
      <c r="K97" s="147">
        <f t="shared" si="5"/>
        <v>4.1685205147162273E-3</v>
      </c>
      <c r="L97" s="147">
        <f t="shared" si="6"/>
        <v>3.1713140291064014E-2</v>
      </c>
      <c r="N97" s="147">
        <f t="shared" si="7"/>
        <v>5.2156899148999215E-2</v>
      </c>
    </row>
    <row r="98" spans="2:14">
      <c r="B98" s="251"/>
      <c r="C98" s="251" t="s">
        <v>301</v>
      </c>
      <c r="D98" s="251" t="s">
        <v>0</v>
      </c>
      <c r="E98" s="186">
        <f t="shared" si="8"/>
        <v>4.399206818510832E-2</v>
      </c>
      <c r="F98" s="216"/>
      <c r="G98" s="216"/>
      <c r="H98" s="186">
        <f t="shared" si="9"/>
        <v>3.1657044488045891E-3</v>
      </c>
      <c r="I98" s="186">
        <f t="shared" si="3"/>
        <v>2.4564247488866949E-3</v>
      </c>
      <c r="J98" s="258">
        <f t="shared" si="4"/>
        <v>9.7784810126582268E-4</v>
      </c>
      <c r="K98" s="258">
        <f t="shared" si="5"/>
        <v>1.667408205886491E-3</v>
      </c>
      <c r="L98" s="258">
        <f t="shared" si="6"/>
        <v>4.286594095299024E-2</v>
      </c>
      <c r="N98" s="258">
        <f t="shared" si="7"/>
        <v>5.2259453689951919E-2</v>
      </c>
    </row>
    <row r="99" spans="2:14">
      <c r="B99" s="252"/>
      <c r="C99" s="252" t="s">
        <v>301</v>
      </c>
      <c r="D99" s="252" t="s">
        <v>2</v>
      </c>
      <c r="E99" s="187">
        <f t="shared" si="8"/>
        <v>4.399206818510832E-2</v>
      </c>
      <c r="F99" s="218"/>
      <c r="G99" s="218"/>
      <c r="H99" s="187">
        <f t="shared" si="9"/>
        <v>3.1657044488045891E-3</v>
      </c>
      <c r="I99" s="187">
        <f t="shared" si="3"/>
        <v>2.1055069276171685E-3</v>
      </c>
      <c r="J99" s="259">
        <f t="shared" si="4"/>
        <v>9.7784810126582268E-4</v>
      </c>
      <c r="K99" s="259">
        <f t="shared" si="5"/>
        <v>2.5011123088297363E-3</v>
      </c>
      <c r="L99" s="259">
        <f t="shared" si="6"/>
        <v>4.2864244246320619E-2</v>
      </c>
      <c r="N99" s="259">
        <f t="shared" si="7"/>
        <v>5.2742239971625644E-2</v>
      </c>
    </row>
    <row r="100" spans="2:14" ht="15.75" thickBot="1">
      <c r="B100" s="253"/>
      <c r="C100" s="253" t="s">
        <v>301</v>
      </c>
      <c r="D100" s="253" t="s">
        <v>4</v>
      </c>
      <c r="E100" s="188">
        <f t="shared" si="8"/>
        <v>4.365059060992995E-2</v>
      </c>
      <c r="F100" s="220"/>
      <c r="G100" s="220"/>
      <c r="H100" s="188">
        <f t="shared" si="9"/>
        <v>3.1657044488045891E-3</v>
      </c>
      <c r="I100" s="188">
        <f t="shared" si="3"/>
        <v>1.6376164992577978E-3</v>
      </c>
      <c r="J100" s="147">
        <f t="shared" si="4"/>
        <v>9.9333777481678859E-4</v>
      </c>
      <c r="K100" s="147">
        <f t="shared" si="5"/>
        <v>3.334816411772982E-3</v>
      </c>
      <c r="L100" s="147">
        <f t="shared" si="6"/>
        <v>4.2528622535293673E-2</v>
      </c>
      <c r="N100" s="147">
        <f t="shared" si="7"/>
        <v>5.2782065744582107E-2</v>
      </c>
    </row>
    <row r="101" spans="2:14">
      <c r="B101" s="251"/>
      <c r="C101" s="251" t="s">
        <v>304</v>
      </c>
      <c r="D101" s="251" t="s">
        <v>0</v>
      </c>
      <c r="E101" s="186">
        <f t="shared" si="8"/>
        <v>4.365059060992995E-2</v>
      </c>
      <c r="F101" s="216"/>
      <c r="G101" s="216"/>
      <c r="H101" s="186">
        <f t="shared" si="9"/>
        <v>3.1657044488045891E-3</v>
      </c>
      <c r="I101" s="186">
        <f t="shared" si="3"/>
        <v>1.6376164992577978E-3</v>
      </c>
      <c r="J101" s="258">
        <f t="shared" si="4"/>
        <v>9.9333777481678859E-4</v>
      </c>
      <c r="K101" s="258">
        <f t="shared" si="5"/>
        <v>3.334816411772982E-3</v>
      </c>
      <c r="L101" s="258">
        <f t="shared" si="6"/>
        <v>4.2528622535293673E-2</v>
      </c>
      <c r="N101" s="258">
        <f t="shared" si="7"/>
        <v>5.2782065744582107E-2</v>
      </c>
    </row>
    <row r="102" spans="2:14">
      <c r="B102" s="252"/>
      <c r="C102" s="252" t="s">
        <v>304</v>
      </c>
      <c r="D102" s="252" t="s">
        <v>2</v>
      </c>
      <c r="E102" s="187">
        <f t="shared" si="8"/>
        <v>4.365059060992995E-2</v>
      </c>
      <c r="F102" s="218"/>
      <c r="G102" s="218"/>
      <c r="H102" s="187">
        <f t="shared" si="9"/>
        <v>3.1657044488045891E-3</v>
      </c>
      <c r="I102" s="187">
        <f t="shared" si="3"/>
        <v>1.6376164992577978E-3</v>
      </c>
      <c r="J102" s="259">
        <f t="shared" si="4"/>
        <v>9.9333777481678859E-4</v>
      </c>
      <c r="K102" s="259">
        <f t="shared" si="5"/>
        <v>3.334816411772982E-3</v>
      </c>
      <c r="L102" s="259">
        <f t="shared" si="6"/>
        <v>4.2528622535293673E-2</v>
      </c>
      <c r="N102" s="259">
        <f t="shared" si="7"/>
        <v>5.2782065744582107E-2</v>
      </c>
    </row>
    <row r="103" spans="2:14" ht="15.75" thickBot="1">
      <c r="B103" s="253"/>
      <c r="C103" s="253" t="s">
        <v>304</v>
      </c>
      <c r="D103" s="253" t="s">
        <v>4</v>
      </c>
      <c r="E103" s="188">
        <f t="shared" si="8"/>
        <v>3.2413203474515137E-2</v>
      </c>
      <c r="F103" s="220"/>
      <c r="G103" s="220"/>
      <c r="H103" s="188">
        <f t="shared" si="9"/>
        <v>7.2125631382909672E-3</v>
      </c>
      <c r="I103" s="188">
        <f t="shared" si="3"/>
        <v>9.8256989955467829E-3</v>
      </c>
      <c r="J103" s="147">
        <f t="shared" si="4"/>
        <v>9.7784810126582268E-4</v>
      </c>
      <c r="K103" s="147">
        <f t="shared" si="5"/>
        <v>2.5011123088297363E-3</v>
      </c>
      <c r="L103" s="147">
        <f t="shared" si="6"/>
        <v>3.1742378311359482E-2</v>
      </c>
      <c r="N103" s="147">
        <f t="shared" si="7"/>
        <v>5.2930426018448454E-2</v>
      </c>
    </row>
    <row r="104" spans="2:14">
      <c r="B104" s="251"/>
      <c r="C104" s="251" t="s">
        <v>306</v>
      </c>
      <c r="D104" s="251" t="s">
        <v>0</v>
      </c>
      <c r="E104" s="186">
        <f t="shared" si="8"/>
        <v>4.3757912133557508E-2</v>
      </c>
      <c r="F104" s="216"/>
      <c r="G104" s="216"/>
      <c r="H104" s="186">
        <f t="shared" si="9"/>
        <v>3.1657044488045891E-3</v>
      </c>
      <c r="I104" s="186">
        <f t="shared" si="3"/>
        <v>1.8423185616650217E-3</v>
      </c>
      <c r="J104" s="258">
        <f t="shared" si="4"/>
        <v>9.9333777481678859E-4</v>
      </c>
      <c r="K104" s="258">
        <f t="shared" si="5"/>
        <v>3.334816411772982E-3</v>
      </c>
      <c r="L104" s="258">
        <f t="shared" si="6"/>
        <v>4.2636050442666572E-2</v>
      </c>
      <c r="N104" s="258">
        <f t="shared" si="7"/>
        <v>5.3094089330616892E-2</v>
      </c>
    </row>
    <row r="105" spans="2:14">
      <c r="B105" s="252"/>
      <c r="C105" s="252" t="s">
        <v>306</v>
      </c>
      <c r="D105" s="252" t="s">
        <v>2</v>
      </c>
      <c r="E105" s="187">
        <f t="shared" si="8"/>
        <v>3.2413203474515137E-2</v>
      </c>
      <c r="F105" s="218"/>
      <c r="G105" s="218"/>
      <c r="H105" s="187">
        <f t="shared" si="9"/>
        <v>7.2125631382909672E-3</v>
      </c>
      <c r="I105" s="187">
        <f t="shared" si="3"/>
        <v>9.2115928083251093E-3</v>
      </c>
      <c r="J105" s="259">
        <f t="shared" si="4"/>
        <v>9.9333777481678859E-4</v>
      </c>
      <c r="K105" s="259">
        <f t="shared" si="5"/>
        <v>3.334816411772982E-3</v>
      </c>
      <c r="L105" s="259">
        <f t="shared" si="6"/>
        <v>3.1736818079868938E-2</v>
      </c>
      <c r="N105" s="259">
        <f t="shared" si="7"/>
        <v>5.3165513607720982E-2</v>
      </c>
    </row>
    <row r="106" spans="2:14" ht="15.75" thickBot="1">
      <c r="B106" s="253"/>
      <c r="C106" s="253" t="s">
        <v>306</v>
      </c>
      <c r="D106" s="253" t="s">
        <v>4</v>
      </c>
      <c r="E106" s="188">
        <f t="shared" si="8"/>
        <v>4.399206818510832E-2</v>
      </c>
      <c r="F106" s="220"/>
      <c r="G106" s="220"/>
      <c r="H106" s="188">
        <f t="shared" si="9"/>
        <v>3.1657044488045891E-3</v>
      </c>
      <c r="I106" s="188">
        <f t="shared" si="3"/>
        <v>1.8423185616650217E-3</v>
      </c>
      <c r="J106" s="147">
        <f t="shared" si="4"/>
        <v>9.960840890354491E-4</v>
      </c>
      <c r="K106" s="147">
        <f t="shared" si="5"/>
        <v>3.334816411772982E-3</v>
      </c>
      <c r="L106" s="147">
        <f t="shared" si="6"/>
        <v>4.2863858780470242E-2</v>
      </c>
      <c r="N106" s="147">
        <f t="shared" si="7"/>
        <v>5.333099169638636E-2</v>
      </c>
    </row>
    <row r="107" spans="2:14">
      <c r="B107" s="251"/>
      <c r="C107" s="251" t="s">
        <v>308</v>
      </c>
      <c r="D107" s="251" t="s">
        <v>0</v>
      </c>
      <c r="E107" s="186">
        <f t="shared" si="8"/>
        <v>4.365059060992995E-2</v>
      </c>
      <c r="F107" s="216"/>
      <c r="G107" s="216"/>
      <c r="H107" s="186">
        <f t="shared" si="9"/>
        <v>3.1657044488045891E-3</v>
      </c>
      <c r="I107" s="186">
        <f t="shared" si="3"/>
        <v>1.473854849332017E-3</v>
      </c>
      <c r="J107" s="258">
        <f t="shared" si="4"/>
        <v>9.9882228241667632E-4</v>
      </c>
      <c r="K107" s="258">
        <f t="shared" si="5"/>
        <v>4.1685205147162273E-3</v>
      </c>
      <c r="L107" s="258">
        <f t="shared" si="6"/>
        <v>4.2529689723438811E-2</v>
      </c>
      <c r="N107" s="258">
        <f t="shared" si="7"/>
        <v>5.3457492705199464E-2</v>
      </c>
    </row>
    <row r="108" spans="2:14">
      <c r="B108" s="252"/>
      <c r="C108" s="252" t="s">
        <v>308</v>
      </c>
      <c r="D108" s="252" t="s">
        <v>2</v>
      </c>
      <c r="E108" s="187">
        <f t="shared" si="8"/>
        <v>4.365059060992995E-2</v>
      </c>
      <c r="F108" s="218"/>
      <c r="G108" s="218"/>
      <c r="H108" s="187">
        <f t="shared" si="9"/>
        <v>3.1657044488045891E-3</v>
      </c>
      <c r="I108" s="187">
        <f t="shared" si="3"/>
        <v>1.473854849332017E-3</v>
      </c>
      <c r="J108" s="259">
        <f t="shared" si="4"/>
        <v>9.9882228241667632E-4</v>
      </c>
      <c r="K108" s="259">
        <f t="shared" si="5"/>
        <v>4.1685205147162273E-3</v>
      </c>
      <c r="L108" s="259">
        <f t="shared" si="6"/>
        <v>4.2529689723438811E-2</v>
      </c>
      <c r="N108" s="259">
        <f t="shared" si="7"/>
        <v>5.3457492705199464E-2</v>
      </c>
    </row>
    <row r="109" spans="2:14" ht="15.75" thickBot="1">
      <c r="B109" s="253"/>
      <c r="C109" s="253" t="s">
        <v>308</v>
      </c>
      <c r="D109" s="253" t="s">
        <v>4</v>
      </c>
      <c r="E109" s="188">
        <f t="shared" si="8"/>
        <v>4.365059060992995E-2</v>
      </c>
      <c r="F109" s="220"/>
      <c r="G109" s="220"/>
      <c r="H109" s="188">
        <f t="shared" si="9"/>
        <v>3.1657044488045891E-3</v>
      </c>
      <c r="I109" s="188">
        <f t="shared" si="3"/>
        <v>1.473854849332017E-3</v>
      </c>
      <c r="J109" s="147">
        <f t="shared" si="4"/>
        <v>9.9882228241667632E-4</v>
      </c>
      <c r="K109" s="147">
        <f t="shared" si="5"/>
        <v>4.1685205147162273E-3</v>
      </c>
      <c r="L109" s="147">
        <f t="shared" si="6"/>
        <v>4.2529689723438811E-2</v>
      </c>
      <c r="N109" s="147">
        <f t="shared" si="7"/>
        <v>5.3457492705199464E-2</v>
      </c>
    </row>
    <row r="110" spans="2:14">
      <c r="B110" s="251"/>
      <c r="C110" s="251" t="s">
        <v>310</v>
      </c>
      <c r="D110" s="251" t="s">
        <v>0</v>
      </c>
      <c r="E110" s="186">
        <f t="shared" si="8"/>
        <v>3.2413203474515137E-2</v>
      </c>
      <c r="F110" s="216"/>
      <c r="G110" s="216"/>
      <c r="H110" s="186">
        <f t="shared" si="9"/>
        <v>7.2125631382909672E-3</v>
      </c>
      <c r="I110" s="186">
        <f t="shared" si="3"/>
        <v>1.0527534638085839E-2</v>
      </c>
      <c r="J110" s="258">
        <f t="shared" si="4"/>
        <v>9.7784810126582268E-4</v>
      </c>
      <c r="K110" s="258">
        <f t="shared" si="5"/>
        <v>2.5011123088297363E-3</v>
      </c>
      <c r="L110" s="258">
        <f t="shared" si="6"/>
        <v>3.1752722350011385E-2</v>
      </c>
      <c r="N110" s="258">
        <f t="shared" si="7"/>
        <v>5.3632261660987508E-2</v>
      </c>
    </row>
    <row r="111" spans="2:14">
      <c r="B111" s="252"/>
      <c r="C111" s="252" t="s">
        <v>310</v>
      </c>
      <c r="D111" s="252" t="s">
        <v>2</v>
      </c>
      <c r="E111" s="187">
        <f t="shared" si="8"/>
        <v>3.6986628769959187E-2</v>
      </c>
      <c r="F111" s="218"/>
      <c r="G111" s="218"/>
      <c r="H111" s="187">
        <f t="shared" si="9"/>
        <v>3.2447272770056851E-3</v>
      </c>
      <c r="I111" s="187">
        <f t="shared" si="3"/>
        <v>9.2115928083251093E-3</v>
      </c>
      <c r="J111" s="259">
        <f t="shared" si="4"/>
        <v>9.9333777481678859E-4</v>
      </c>
      <c r="K111" s="259">
        <f t="shared" si="5"/>
        <v>3.334816411772982E-3</v>
      </c>
      <c r="L111" s="259">
        <f t="shared" si="6"/>
        <v>3.6157590925070038E-2</v>
      </c>
      <c r="N111" s="259">
        <f t="shared" si="7"/>
        <v>5.377110304187975E-2</v>
      </c>
    </row>
    <row r="112" spans="2:14" ht="15.75" thickBot="1">
      <c r="B112" s="253"/>
      <c r="C112" s="253" t="s">
        <v>310</v>
      </c>
      <c r="D112" s="253" t="s">
        <v>4</v>
      </c>
      <c r="E112" s="188">
        <f t="shared" si="8"/>
        <v>3.2413203474515137E-2</v>
      </c>
      <c r="F112" s="220"/>
      <c r="G112" s="220"/>
      <c r="H112" s="188">
        <f t="shared" si="9"/>
        <v>7.2125631382909672E-3</v>
      </c>
      <c r="I112" s="188">
        <f t="shared" si="3"/>
        <v>1.2282123744433479E-2</v>
      </c>
      <c r="J112" s="147">
        <f t="shared" si="4"/>
        <v>9.7784810126582268E-4</v>
      </c>
      <c r="K112" s="147">
        <f t="shared" si="5"/>
        <v>1.667408205886491E-3</v>
      </c>
      <c r="L112" s="147">
        <f t="shared" si="6"/>
        <v>3.1775107133984813E-2</v>
      </c>
      <c r="N112" s="147">
        <f t="shared" si="7"/>
        <v>5.4553146664391899E-2</v>
      </c>
    </row>
    <row r="114" spans="4:14">
      <c r="K114" s="73" t="s">
        <v>483</v>
      </c>
      <c r="L114" s="263">
        <f>AVERAGE(L59:L112)</f>
        <v>3.6403163735643625E-2</v>
      </c>
    </row>
    <row r="116" spans="4:14">
      <c r="M116" s="182" t="s">
        <v>484</v>
      </c>
      <c r="N116" s="184">
        <f>_xlfn.VAR.P(N59:N112)</f>
        <v>3.8510719431113449E-6</v>
      </c>
    </row>
    <row r="117" spans="4:14">
      <c r="D117" t="s">
        <v>485</v>
      </c>
      <c r="E117" s="181">
        <v>54</v>
      </c>
      <c r="L117" s="182" t="s">
        <v>486</v>
      </c>
    </row>
    <row r="118" spans="4:14">
      <c r="D118" t="s">
        <v>487</v>
      </c>
      <c r="E118" s="197">
        <f>_xlfn.VAR.P(E59:E112)</f>
        <v>2.1764020774807795E-5</v>
      </c>
      <c r="F118" s="197"/>
      <c r="G118" s="197"/>
      <c r="H118" s="197">
        <f>_xlfn.VAR.P(H59:H112)</f>
        <v>3.5696701424610898E-6</v>
      </c>
      <c r="I118" s="197">
        <f>_xlfn.VAR.P(I59:I112)</f>
        <v>1.1001959379712714E-5</v>
      </c>
      <c r="J118" s="197">
        <f>_xlfn.VAR.P(J59:J112)</f>
        <v>5.254478607421079E-11</v>
      </c>
      <c r="K118" s="197">
        <f>_xlfn.VAR.P(K59:K112)</f>
        <v>6.5430269146803266E-7</v>
      </c>
      <c r="L118" s="184">
        <f>SUM(E118,H118:K118)</f>
        <v>3.6990005533235704E-5</v>
      </c>
    </row>
    <row r="119" spans="4:14">
      <c r="D119" t="s">
        <v>488</v>
      </c>
      <c r="E119" s="183">
        <f>(E117/(E117-1))*(1-(L118/N116))</f>
        <v>-8.7674800644655271</v>
      </c>
    </row>
  </sheetData>
  <autoFilter ref="B2:L2" xr:uid="{12215E7A-C483-44EF-B122-F52455C4C678}">
    <sortState xmlns:xlrd2="http://schemas.microsoft.com/office/spreadsheetml/2017/richdata2" ref="B3:L56">
      <sortCondition ref="L2"/>
    </sortState>
  </autoFilter>
  <mergeCells count="1">
    <mergeCell ref="P7:Q7"/>
  </mergeCells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756E-6CC2-442C-91E8-BB118D8130F0}">
  <dimension ref="B1:Q119"/>
  <sheetViews>
    <sheetView workbookViewId="0">
      <pane xSplit="4" ySplit="2" topLeftCell="E62" activePane="bottomRight" state="frozen"/>
      <selection pane="bottomRight" activeCell="I88" sqref="I88"/>
      <selection pane="bottomLeft" activeCell="A3" sqref="A3"/>
      <selection pane="topRight" activeCell="E1" sqref="E1"/>
    </sheetView>
  </sheetViews>
  <sheetFormatPr defaultColWidth="11.42578125" defaultRowHeight="15"/>
  <cols>
    <col min="1" max="1" width="3.5703125" customWidth="1"/>
    <col min="2" max="2" width="12.28515625" bestFit="1" customWidth="1"/>
    <col min="3" max="3" width="9.28515625" bestFit="1" customWidth="1"/>
    <col min="4" max="4" width="11.7109375" bestFit="1" customWidth="1"/>
    <col min="5" max="5" width="20.85546875" bestFit="1" customWidth="1"/>
    <col min="6" max="6" width="25.140625" bestFit="1" customWidth="1"/>
    <col min="7" max="7" width="23.85546875" bestFit="1" customWidth="1"/>
    <col min="8" max="8" width="23.28515625" bestFit="1" customWidth="1"/>
    <col min="9" max="9" width="32.28515625" bestFit="1" customWidth="1"/>
    <col min="10" max="10" width="20.5703125" bestFit="1" customWidth="1"/>
    <col min="11" max="11" width="41.85546875" bestFit="1" customWidth="1"/>
    <col min="12" max="12" width="12" bestFit="1" customWidth="1"/>
    <col min="13" max="13" width="3.42578125" bestFit="1" customWidth="1"/>
    <col min="14" max="14" width="14.42578125" bestFit="1" customWidth="1"/>
    <col min="15" max="15" width="6.7109375" customWidth="1"/>
    <col min="16" max="16" width="6.7109375" bestFit="1" customWidth="1"/>
    <col min="17" max="17" width="7.42578125" bestFit="1" customWidth="1"/>
  </cols>
  <sheetData>
    <row r="1" spans="2:17" ht="15.75" thickBot="1"/>
    <row r="2" spans="2:17" ht="15.75" thickBot="1">
      <c r="B2" s="268" t="s">
        <v>472</v>
      </c>
      <c r="C2" s="269" t="s">
        <v>250</v>
      </c>
      <c r="D2" s="269" t="s">
        <v>473</v>
      </c>
      <c r="E2" s="269" t="s">
        <v>405</v>
      </c>
      <c r="F2" s="270" t="s">
        <v>474</v>
      </c>
      <c r="G2" s="270" t="s">
        <v>407</v>
      </c>
      <c r="H2" s="269" t="s">
        <v>408</v>
      </c>
      <c r="I2" s="269" t="s">
        <v>409</v>
      </c>
      <c r="J2" s="269" t="s">
        <v>426</v>
      </c>
      <c r="K2" s="269" t="s">
        <v>427</v>
      </c>
      <c r="L2" s="269" t="s">
        <v>410</v>
      </c>
      <c r="N2" s="45" t="s">
        <v>475</v>
      </c>
    </row>
    <row r="3" spans="2:17">
      <c r="B3" s="292">
        <v>1</v>
      </c>
      <c r="C3" s="276" t="s">
        <v>257</v>
      </c>
      <c r="D3" s="277" t="s">
        <v>0</v>
      </c>
      <c r="E3" s="266">
        <v>4.2711300092262094E-2</v>
      </c>
      <c r="F3" s="278">
        <v>0.33333000000000002</v>
      </c>
      <c r="G3" s="278">
        <v>190</v>
      </c>
      <c r="H3" s="266">
        <v>0.43891531874405326</v>
      </c>
      <c r="I3" s="266">
        <v>0</v>
      </c>
      <c r="J3" s="266">
        <v>0.97784810126582278</v>
      </c>
      <c r="K3" s="266">
        <v>0.6</v>
      </c>
      <c r="L3" s="312">
        <f t="shared" ref="L3:L34" si="0">E3*$Q$8+H3*$Q$9+I3*$Q$10+J3*$Q$11+K3*$Q$12</f>
        <v>0.66491009164502013</v>
      </c>
      <c r="N3" s="258">
        <f>SUM(E3,H3:K3)</f>
        <v>2.0594747201021382</v>
      </c>
    </row>
    <row r="4" spans="2:17">
      <c r="B4" s="294">
        <v>2</v>
      </c>
      <c r="C4" s="279" t="s">
        <v>261</v>
      </c>
      <c r="D4" s="280" t="s">
        <v>0</v>
      </c>
      <c r="E4" s="266">
        <v>4.5218420313690944E-2</v>
      </c>
      <c r="F4" s="278">
        <v>0.33333000000000002</v>
      </c>
      <c r="G4" s="278">
        <v>190</v>
      </c>
      <c r="H4" s="266">
        <v>0.43891531874405326</v>
      </c>
      <c r="I4" s="266">
        <v>0</v>
      </c>
      <c r="J4" s="266">
        <v>0.9866129843985908</v>
      </c>
      <c r="K4" s="266">
        <v>0.4</v>
      </c>
      <c r="L4" s="313">
        <f t="shared" si="0"/>
        <v>0.67112424131953363</v>
      </c>
      <c r="N4" s="259">
        <f t="shared" ref="N4:N56" si="1">SUM(E4,H4:K4)</f>
        <v>1.8707467234563349</v>
      </c>
    </row>
    <row r="5" spans="2:17" ht="15.75" thickBot="1">
      <c r="B5" s="298">
        <v>3</v>
      </c>
      <c r="C5" s="282" t="s">
        <v>257</v>
      </c>
      <c r="D5" s="283" t="s">
        <v>4</v>
      </c>
      <c r="E5" s="266">
        <v>3.5517871172467297E-2</v>
      </c>
      <c r="F5" s="278">
        <v>1.5</v>
      </c>
      <c r="G5" s="278">
        <v>1112.5999999999999</v>
      </c>
      <c r="H5" s="266">
        <v>0.44987159416042638</v>
      </c>
      <c r="I5" s="266">
        <v>0.16666666666666663</v>
      </c>
      <c r="J5" s="266">
        <v>0.97784810126582278</v>
      </c>
      <c r="K5" s="266">
        <v>0.6</v>
      </c>
      <c r="L5" s="284">
        <f t="shared" si="0"/>
        <v>0.67397978399072478</v>
      </c>
      <c r="N5" s="147">
        <f t="shared" si="1"/>
        <v>2.2299042332653833</v>
      </c>
    </row>
    <row r="6" spans="2:17" ht="15.75" thickBot="1">
      <c r="B6" s="300">
        <v>4</v>
      </c>
      <c r="C6" s="285" t="s">
        <v>268</v>
      </c>
      <c r="D6" s="286" t="s">
        <v>0</v>
      </c>
      <c r="E6" s="266">
        <v>4.5218420313690944E-2</v>
      </c>
      <c r="F6" s="278">
        <v>0.33333000000000002</v>
      </c>
      <c r="G6" s="278">
        <v>190</v>
      </c>
      <c r="H6" s="266">
        <v>0.43891531874405326</v>
      </c>
      <c r="I6" s="266">
        <v>0.1428571428571429</v>
      </c>
      <c r="J6" s="266">
        <v>0.97784810126582278</v>
      </c>
      <c r="K6" s="266">
        <v>0.6</v>
      </c>
      <c r="L6" s="287">
        <f t="shared" si="0"/>
        <v>0.6747896605909417</v>
      </c>
      <c r="N6" s="258">
        <f t="shared" si="1"/>
        <v>2.2048389831807098</v>
      </c>
    </row>
    <row r="7" spans="2:17" ht="15.75" thickBot="1">
      <c r="B7" s="272">
        <v>5</v>
      </c>
      <c r="C7" s="264" t="s">
        <v>286</v>
      </c>
      <c r="D7" s="265" t="s">
        <v>0</v>
      </c>
      <c r="E7" s="266">
        <v>4.2470616551004925E-2</v>
      </c>
      <c r="F7" s="278">
        <v>0.33333000000000002</v>
      </c>
      <c r="G7" s="278">
        <v>190</v>
      </c>
      <c r="H7" s="266">
        <v>0.43891531874405326</v>
      </c>
      <c r="I7" s="266">
        <v>0</v>
      </c>
      <c r="J7" s="266">
        <v>0.99333777481678875</v>
      </c>
      <c r="K7" s="266">
        <v>1</v>
      </c>
      <c r="L7" s="266">
        <f t="shared" si="0"/>
        <v>0.67555833226057649</v>
      </c>
      <c r="N7" s="259">
        <f t="shared" si="1"/>
        <v>2.4747237101118467</v>
      </c>
      <c r="P7" s="458" t="s">
        <v>476</v>
      </c>
      <c r="Q7" s="459"/>
    </row>
    <row r="8" spans="2:17" ht="15.75" thickBot="1">
      <c r="B8" s="300">
        <v>6</v>
      </c>
      <c r="C8" s="285" t="s">
        <v>264</v>
      </c>
      <c r="D8" s="286" t="s">
        <v>0</v>
      </c>
      <c r="E8" s="266">
        <v>4.5218420313690944E-2</v>
      </c>
      <c r="F8" s="278">
        <v>0.33333000000000002</v>
      </c>
      <c r="G8" s="278">
        <v>190</v>
      </c>
      <c r="H8" s="266">
        <v>0.43891531874405326</v>
      </c>
      <c r="I8" s="266">
        <v>0.16666666666666663</v>
      </c>
      <c r="J8" s="266">
        <v>0.97784810126582278</v>
      </c>
      <c r="K8" s="266">
        <v>0.4</v>
      </c>
      <c r="L8" s="287">
        <f t="shared" si="0"/>
        <v>0.67609656388170003</v>
      </c>
      <c r="N8" s="147">
        <f t="shared" si="1"/>
        <v>2.0286485069902334</v>
      </c>
      <c r="P8" s="82" t="s">
        <v>477</v>
      </c>
      <c r="Q8" s="260">
        <v>0.25832386126877338</v>
      </c>
    </row>
    <row r="9" spans="2:17">
      <c r="B9" s="272">
        <v>7</v>
      </c>
      <c r="C9" s="264" t="s">
        <v>274</v>
      </c>
      <c r="D9" s="265" t="s">
        <v>0</v>
      </c>
      <c r="E9" s="266">
        <v>4.5218420313690944E-2</v>
      </c>
      <c r="F9" s="278">
        <v>0.33333000000000002</v>
      </c>
      <c r="G9" s="278">
        <v>190</v>
      </c>
      <c r="H9" s="266">
        <v>0.43891531874405326</v>
      </c>
      <c r="I9" s="266">
        <v>0</v>
      </c>
      <c r="J9" s="266">
        <v>0.99585218702865763</v>
      </c>
      <c r="K9" s="266">
        <v>0.8</v>
      </c>
      <c r="L9" s="266">
        <f t="shared" si="0"/>
        <v>0.67769976965965883</v>
      </c>
      <c r="N9" s="258">
        <f t="shared" si="1"/>
        <v>2.2799859260864022</v>
      </c>
      <c r="P9" s="83" t="s">
        <v>478</v>
      </c>
      <c r="Q9" s="261">
        <v>1.4361941089954729E-2</v>
      </c>
    </row>
    <row r="10" spans="2:17">
      <c r="B10" s="272">
        <v>8</v>
      </c>
      <c r="C10" s="264" t="s">
        <v>290</v>
      </c>
      <c r="D10" s="265" t="s">
        <v>0</v>
      </c>
      <c r="E10" s="266">
        <v>4.4977736772433774E-2</v>
      </c>
      <c r="F10" s="278">
        <v>0.33333000000000002</v>
      </c>
      <c r="G10" s="278">
        <v>190</v>
      </c>
      <c r="H10" s="266">
        <v>0.43891531874405326</v>
      </c>
      <c r="I10" s="266">
        <v>0</v>
      </c>
      <c r="J10" s="266">
        <v>0.99597382989431305</v>
      </c>
      <c r="K10" s="266">
        <v>0.8</v>
      </c>
      <c r="L10" s="266">
        <f t="shared" si="0"/>
        <v>0.67771806600707263</v>
      </c>
      <c r="N10" s="259">
        <f t="shared" si="1"/>
        <v>2.2798668854108</v>
      </c>
      <c r="P10" s="83" t="s">
        <v>479</v>
      </c>
      <c r="Q10" s="261">
        <v>6.462343978759974E-2</v>
      </c>
    </row>
    <row r="11" spans="2:17" ht="15.75" thickBot="1">
      <c r="B11" s="272">
        <v>9</v>
      </c>
      <c r="C11" s="264" t="s">
        <v>280</v>
      </c>
      <c r="D11" s="265" t="s">
        <v>0</v>
      </c>
      <c r="E11" s="266">
        <v>4.4867423482690794E-2</v>
      </c>
      <c r="F11" s="278">
        <v>0.33333000000000002</v>
      </c>
      <c r="G11" s="278">
        <v>190</v>
      </c>
      <c r="H11" s="266">
        <v>0.43891531874405326</v>
      </c>
      <c r="I11" s="266">
        <v>0</v>
      </c>
      <c r="J11" s="266">
        <v>0.99849170437405732</v>
      </c>
      <c r="K11" s="266">
        <v>1</v>
      </c>
      <c r="L11" s="266">
        <f t="shared" si="0"/>
        <v>0.67958697404926793</v>
      </c>
      <c r="N11" s="147">
        <f t="shared" si="1"/>
        <v>2.4822744466008011</v>
      </c>
      <c r="P11" s="83" t="s">
        <v>480</v>
      </c>
      <c r="Q11" s="261">
        <v>0.66153200766474973</v>
      </c>
    </row>
    <row r="12" spans="2:17" ht="15.75" thickBot="1">
      <c r="B12" s="272">
        <v>9</v>
      </c>
      <c r="C12" s="264" t="s">
        <v>308</v>
      </c>
      <c r="D12" s="265" t="s">
        <v>0</v>
      </c>
      <c r="E12" s="266">
        <v>4.4867423482690794E-2</v>
      </c>
      <c r="F12" s="278">
        <v>0.33333000000000002</v>
      </c>
      <c r="G12" s="278">
        <v>190</v>
      </c>
      <c r="H12" s="266">
        <v>0.43891531874405326</v>
      </c>
      <c r="I12" s="266">
        <v>0</v>
      </c>
      <c r="J12" s="266">
        <v>0.99849170437405732</v>
      </c>
      <c r="K12" s="266">
        <v>1</v>
      </c>
      <c r="L12" s="266">
        <f t="shared" si="0"/>
        <v>0.67958697404926793</v>
      </c>
      <c r="N12" s="258">
        <f t="shared" si="1"/>
        <v>2.4822744466008011</v>
      </c>
      <c r="P12" s="84" t="s">
        <v>481</v>
      </c>
      <c r="Q12" s="262">
        <v>1.1587501875892489E-3</v>
      </c>
    </row>
    <row r="13" spans="2:17" ht="15.75" thickBot="1">
      <c r="B13" s="272">
        <v>9</v>
      </c>
      <c r="C13" s="264" t="s">
        <v>304</v>
      </c>
      <c r="D13" s="265" t="s">
        <v>0</v>
      </c>
      <c r="E13" s="266">
        <v>4.4867423482690794E-2</v>
      </c>
      <c r="F13" s="278">
        <v>0.33333000000000002</v>
      </c>
      <c r="G13" s="278">
        <v>190</v>
      </c>
      <c r="H13" s="266">
        <v>0.43891531874405326</v>
      </c>
      <c r="I13" s="266">
        <v>0</v>
      </c>
      <c r="J13" s="266">
        <v>0.99849170437405732</v>
      </c>
      <c r="K13" s="266">
        <v>1</v>
      </c>
      <c r="L13" s="266">
        <f t="shared" si="0"/>
        <v>0.67958697404926793</v>
      </c>
      <c r="N13" s="259">
        <f t="shared" si="1"/>
        <v>2.4822744466008011</v>
      </c>
    </row>
    <row r="14" spans="2:17" ht="15.75" thickBot="1">
      <c r="B14" s="300">
        <v>10</v>
      </c>
      <c r="C14" s="285" t="s">
        <v>298</v>
      </c>
      <c r="D14" s="286" t="s">
        <v>0</v>
      </c>
      <c r="E14" s="266">
        <v>4.4867423482690794E-2</v>
      </c>
      <c r="F14" s="278">
        <v>0.33333000000000002</v>
      </c>
      <c r="G14" s="278">
        <v>190</v>
      </c>
      <c r="H14" s="266">
        <v>0.43891531874405326</v>
      </c>
      <c r="I14" s="266">
        <v>0.11111111111111116</v>
      </c>
      <c r="J14" s="266">
        <v>0.99333777481678875</v>
      </c>
      <c r="K14" s="266">
        <v>0.8</v>
      </c>
      <c r="L14" s="287">
        <f t="shared" si="0"/>
        <v>0.68312611684298963</v>
      </c>
      <c r="N14" s="147">
        <f t="shared" si="1"/>
        <v>2.3882316281546441</v>
      </c>
      <c r="P14" s="189" t="s">
        <v>482</v>
      </c>
      <c r="Q14" s="196">
        <f>SUM(Q8:Q12)</f>
        <v>0.99999999999866684</v>
      </c>
    </row>
    <row r="15" spans="2:17">
      <c r="B15" s="300">
        <v>10</v>
      </c>
      <c r="C15" s="285" t="s">
        <v>272</v>
      </c>
      <c r="D15" s="286" t="s">
        <v>0</v>
      </c>
      <c r="E15" s="266">
        <v>4.4867423482690794E-2</v>
      </c>
      <c r="F15" s="278">
        <v>0.33333000000000002</v>
      </c>
      <c r="G15" s="278">
        <v>190</v>
      </c>
      <c r="H15" s="266">
        <v>0.43891531874405326</v>
      </c>
      <c r="I15" s="266">
        <v>0.11111111111111116</v>
      </c>
      <c r="J15" s="266">
        <v>0.99333777481678875</v>
      </c>
      <c r="K15" s="266">
        <v>0.8</v>
      </c>
      <c r="L15" s="287">
        <f t="shared" si="0"/>
        <v>0.68312611684298963</v>
      </c>
      <c r="N15" s="258">
        <f t="shared" si="1"/>
        <v>2.3882316281546441</v>
      </c>
    </row>
    <row r="16" spans="2:17">
      <c r="B16" s="300">
        <v>10</v>
      </c>
      <c r="C16" s="285" t="s">
        <v>301</v>
      </c>
      <c r="D16" s="286" t="s">
        <v>0</v>
      </c>
      <c r="E16" s="266">
        <v>4.4867423482690794E-2</v>
      </c>
      <c r="F16" s="278">
        <v>0.33333000000000002</v>
      </c>
      <c r="G16" s="278">
        <v>190</v>
      </c>
      <c r="H16" s="266">
        <v>0.43891531874405326</v>
      </c>
      <c r="I16" s="266">
        <v>0.11111111111111116</v>
      </c>
      <c r="J16" s="266">
        <v>0.99333777481678875</v>
      </c>
      <c r="K16" s="266">
        <v>0.8</v>
      </c>
      <c r="L16" s="287">
        <f t="shared" si="0"/>
        <v>0.68312611684298963</v>
      </c>
      <c r="N16" s="259">
        <f t="shared" si="1"/>
        <v>2.3882316281546441</v>
      </c>
    </row>
    <row r="17" spans="2:14" ht="15.75" thickBot="1">
      <c r="B17" s="300">
        <v>11</v>
      </c>
      <c r="C17" s="285" t="s">
        <v>294</v>
      </c>
      <c r="D17" s="286" t="s">
        <v>0</v>
      </c>
      <c r="E17" s="266">
        <v>4.4977736772433774E-2</v>
      </c>
      <c r="F17" s="278">
        <v>0.33333000000000002</v>
      </c>
      <c r="G17" s="278">
        <v>190</v>
      </c>
      <c r="H17" s="266">
        <v>0.43891531874405326</v>
      </c>
      <c r="I17" s="266">
        <v>0.125</v>
      </c>
      <c r="J17" s="266">
        <v>0.99333777481678875</v>
      </c>
      <c r="K17" s="266">
        <v>0.8</v>
      </c>
      <c r="L17" s="287">
        <f t="shared" si="0"/>
        <v>0.68405216117277312</v>
      </c>
      <c r="N17" s="147">
        <f t="shared" si="1"/>
        <v>2.4022308303332762</v>
      </c>
    </row>
    <row r="18" spans="2:14">
      <c r="B18" s="300">
        <v>12</v>
      </c>
      <c r="C18" s="285" t="s">
        <v>276</v>
      </c>
      <c r="D18" s="286" t="s">
        <v>0</v>
      </c>
      <c r="E18" s="266">
        <v>4.5218420313690944E-2</v>
      </c>
      <c r="F18" s="278">
        <v>0.33333000000000002</v>
      </c>
      <c r="G18" s="278">
        <v>190</v>
      </c>
      <c r="H18" s="266">
        <v>0.43891531874405326</v>
      </c>
      <c r="I18" s="266">
        <v>0.125</v>
      </c>
      <c r="J18" s="266">
        <v>0.99608408903544932</v>
      </c>
      <c r="K18" s="266">
        <v>0.8</v>
      </c>
      <c r="L18" s="287">
        <f t="shared" si="0"/>
        <v>0.68593111023324327</v>
      </c>
      <c r="N18" s="258">
        <f t="shared" si="1"/>
        <v>2.4052178280931935</v>
      </c>
    </row>
    <row r="19" spans="2:14">
      <c r="B19" s="304">
        <v>13</v>
      </c>
      <c r="C19" s="289" t="s">
        <v>282</v>
      </c>
      <c r="D19" s="290" t="s">
        <v>0</v>
      </c>
      <c r="E19" s="266">
        <v>4.4867423482690794E-2</v>
      </c>
      <c r="F19" s="278">
        <v>0.33333000000000002</v>
      </c>
      <c r="G19" s="278">
        <v>190</v>
      </c>
      <c r="H19" s="266">
        <v>0.43891531874405326</v>
      </c>
      <c r="I19" s="266">
        <v>9.9999999999999978E-2</v>
      </c>
      <c r="J19" s="266">
        <v>0.99882228241667648</v>
      </c>
      <c r="K19" s="266">
        <v>1</v>
      </c>
      <c r="L19" s="291">
        <f t="shared" si="0"/>
        <v>0.68626800598425164</v>
      </c>
      <c r="N19" s="259">
        <f t="shared" si="1"/>
        <v>2.5826050246434207</v>
      </c>
    </row>
    <row r="20" spans="2:14" ht="15.75" thickBot="1">
      <c r="B20" s="304">
        <v>13</v>
      </c>
      <c r="C20" s="289" t="s">
        <v>310</v>
      </c>
      <c r="D20" s="290" t="s">
        <v>0</v>
      </c>
      <c r="E20" s="266">
        <v>4.4867423482690794E-2</v>
      </c>
      <c r="F20" s="278">
        <v>0.33333000000000002</v>
      </c>
      <c r="G20" s="278">
        <v>190</v>
      </c>
      <c r="H20" s="266">
        <v>0.43891531874405326</v>
      </c>
      <c r="I20" s="266">
        <v>9.9999999999999978E-2</v>
      </c>
      <c r="J20" s="266">
        <v>0.99882228241667648</v>
      </c>
      <c r="K20" s="266">
        <v>1</v>
      </c>
      <c r="L20" s="291">
        <f t="shared" si="0"/>
        <v>0.68626800598425164</v>
      </c>
      <c r="N20" s="147">
        <f t="shared" si="1"/>
        <v>2.5826050246434207</v>
      </c>
    </row>
    <row r="21" spans="2:14">
      <c r="B21" s="304">
        <v>13</v>
      </c>
      <c r="C21" s="289" t="s">
        <v>306</v>
      </c>
      <c r="D21" s="290" t="s">
        <v>0</v>
      </c>
      <c r="E21" s="266">
        <v>4.4867423482690794E-2</v>
      </c>
      <c r="F21" s="278">
        <v>0.33333000000000002</v>
      </c>
      <c r="G21" s="278">
        <v>190</v>
      </c>
      <c r="H21" s="266">
        <v>0.43891531874405326</v>
      </c>
      <c r="I21" s="266">
        <v>9.9999999999999978E-2</v>
      </c>
      <c r="J21" s="266">
        <v>0.99882228241667648</v>
      </c>
      <c r="K21" s="266">
        <v>1</v>
      </c>
      <c r="L21" s="291">
        <f t="shared" si="0"/>
        <v>0.68626800598425164</v>
      </c>
      <c r="N21" s="258">
        <f t="shared" si="1"/>
        <v>2.5826050246434207</v>
      </c>
    </row>
    <row r="22" spans="2:14">
      <c r="B22" s="272">
        <v>14</v>
      </c>
      <c r="C22" s="264" t="s">
        <v>261</v>
      </c>
      <c r="D22" s="265" t="s">
        <v>4</v>
      </c>
      <c r="E22" s="266">
        <v>3.8017692613792953E-2</v>
      </c>
      <c r="F22" s="278">
        <v>1.5</v>
      </c>
      <c r="G22" s="278">
        <v>1112.5999999999999</v>
      </c>
      <c r="H22" s="266">
        <v>0.44987159416042638</v>
      </c>
      <c r="I22" s="266">
        <v>0.33333333333333337</v>
      </c>
      <c r="J22" s="266">
        <v>0.9866129843985908</v>
      </c>
      <c r="K22" s="266">
        <v>0.4</v>
      </c>
      <c r="L22" s="266">
        <f t="shared" si="0"/>
        <v>0.69096262151411281</v>
      </c>
      <c r="N22" s="259">
        <f t="shared" si="1"/>
        <v>2.2078356045061436</v>
      </c>
    </row>
    <row r="23" spans="2:14" ht="15.75" thickBot="1">
      <c r="B23" s="300">
        <v>15</v>
      </c>
      <c r="C23" s="285" t="s">
        <v>268</v>
      </c>
      <c r="D23" s="286" t="s">
        <v>4</v>
      </c>
      <c r="E23" s="266">
        <v>3.68443070392932E-2</v>
      </c>
      <c r="F23" s="278">
        <v>1.5</v>
      </c>
      <c r="G23" s="278">
        <v>1112.5999999999999</v>
      </c>
      <c r="H23" s="266">
        <v>0.44987159416042638</v>
      </c>
      <c r="I23" s="266">
        <v>0.4285714285714286</v>
      </c>
      <c r="J23" s="266">
        <v>0.97784810126582278</v>
      </c>
      <c r="K23" s="266">
        <v>0.6</v>
      </c>
      <c r="L23" s="287">
        <f t="shared" si="0"/>
        <v>0.69124762063660672</v>
      </c>
      <c r="N23" s="147">
        <f t="shared" si="1"/>
        <v>2.4931354310369711</v>
      </c>
    </row>
    <row r="24" spans="2:14">
      <c r="B24" s="272">
        <v>16</v>
      </c>
      <c r="C24" s="264" t="s">
        <v>274</v>
      </c>
      <c r="D24" s="265" t="s">
        <v>4</v>
      </c>
      <c r="E24" s="266">
        <v>3.68443070392932E-2</v>
      </c>
      <c r="F24" s="278">
        <v>1.5</v>
      </c>
      <c r="G24" s="278">
        <v>1112.5999999999999</v>
      </c>
      <c r="H24" s="266">
        <v>0.44987159416042638</v>
      </c>
      <c r="I24" s="266">
        <v>0.25</v>
      </c>
      <c r="J24" s="266">
        <v>0.99585218702865763</v>
      </c>
      <c r="K24" s="266">
        <v>0.8</v>
      </c>
      <c r="L24" s="266">
        <f t="shared" si="0"/>
        <v>0.69184974971290958</v>
      </c>
      <c r="N24" s="258">
        <f t="shared" si="1"/>
        <v>2.532568088228377</v>
      </c>
    </row>
    <row r="25" spans="2:14">
      <c r="B25" s="300">
        <v>17</v>
      </c>
      <c r="C25" s="285" t="s">
        <v>264</v>
      </c>
      <c r="D25" s="286" t="s">
        <v>4</v>
      </c>
      <c r="E25" s="266">
        <v>3.8017692613792953E-2</v>
      </c>
      <c r="F25" s="278">
        <v>1.5</v>
      </c>
      <c r="G25" s="278">
        <v>1112.5999999999999</v>
      </c>
      <c r="H25" s="266">
        <v>0.44987159416042638</v>
      </c>
      <c r="I25" s="266">
        <v>0.5</v>
      </c>
      <c r="J25" s="266">
        <v>0.97784810126582278</v>
      </c>
      <c r="K25" s="266">
        <v>0.4</v>
      </c>
      <c r="L25" s="287">
        <f t="shared" si="0"/>
        <v>0.6959349440762792</v>
      </c>
      <c r="N25" s="259">
        <f t="shared" si="1"/>
        <v>2.3657373880400421</v>
      </c>
    </row>
    <row r="26" spans="2:14" ht="15.75" thickBot="1">
      <c r="B26" s="272">
        <v>18</v>
      </c>
      <c r="C26" s="264" t="s">
        <v>286</v>
      </c>
      <c r="D26" s="265" t="s">
        <v>4</v>
      </c>
      <c r="E26" s="266">
        <v>3.5517871172467297E-2</v>
      </c>
      <c r="F26" s="278">
        <v>1.5</v>
      </c>
      <c r="G26" s="278">
        <v>1112.5999999999999</v>
      </c>
      <c r="H26" s="266">
        <v>0.44987159416042638</v>
      </c>
      <c r="I26" s="266">
        <v>0.375</v>
      </c>
      <c r="J26" s="266">
        <v>0.99333777481678875</v>
      </c>
      <c r="K26" s="266">
        <v>1</v>
      </c>
      <c r="L26" s="266">
        <f t="shared" si="0"/>
        <v>0.69815341553041921</v>
      </c>
      <c r="N26" s="147">
        <f t="shared" si="1"/>
        <v>2.8537272401496825</v>
      </c>
    </row>
    <row r="27" spans="2:14">
      <c r="B27" s="300">
        <v>19</v>
      </c>
      <c r="C27" s="285" t="s">
        <v>276</v>
      </c>
      <c r="D27" s="286" t="s">
        <v>4</v>
      </c>
      <c r="E27" s="266">
        <v>3.68443070392932E-2</v>
      </c>
      <c r="F27" s="278">
        <v>1.5</v>
      </c>
      <c r="G27" s="278">
        <v>1112.5999999999999</v>
      </c>
      <c r="H27" s="266">
        <v>0.44987159416042638</v>
      </c>
      <c r="I27" s="266">
        <v>0.375</v>
      </c>
      <c r="J27" s="266">
        <v>0.99608408903544932</v>
      </c>
      <c r="K27" s="266">
        <v>0.8</v>
      </c>
      <c r="L27" s="287">
        <f t="shared" si="0"/>
        <v>0.7000810902864939</v>
      </c>
      <c r="N27" s="258">
        <f t="shared" si="1"/>
        <v>2.6577999902351692</v>
      </c>
    </row>
    <row r="28" spans="2:14">
      <c r="B28" s="272">
        <v>20</v>
      </c>
      <c r="C28" s="264" t="s">
        <v>280</v>
      </c>
      <c r="D28" s="265" t="s">
        <v>4</v>
      </c>
      <c r="E28" s="266">
        <v>3.68443070392932E-2</v>
      </c>
      <c r="F28" s="278">
        <v>1.5</v>
      </c>
      <c r="G28" s="278">
        <v>1112.5999999999999</v>
      </c>
      <c r="H28" s="266">
        <v>0.44987159416042638</v>
      </c>
      <c r="I28" s="266">
        <v>0.4</v>
      </c>
      <c r="J28" s="266">
        <v>0.99849170437405732</v>
      </c>
      <c r="K28" s="266">
        <v>1</v>
      </c>
      <c r="L28" s="266">
        <f t="shared" si="0"/>
        <v>0.70352114092733564</v>
      </c>
      <c r="N28" s="259">
        <f t="shared" si="1"/>
        <v>2.8852076055737772</v>
      </c>
    </row>
    <row r="29" spans="2:14" ht="15.75" thickBot="1">
      <c r="B29" s="272">
        <v>20</v>
      </c>
      <c r="C29" s="264" t="s">
        <v>308</v>
      </c>
      <c r="D29" s="265" t="s">
        <v>4</v>
      </c>
      <c r="E29" s="266">
        <v>3.68443070392932E-2</v>
      </c>
      <c r="F29" s="278">
        <v>1.5</v>
      </c>
      <c r="G29" s="278">
        <v>1112.5999999999999</v>
      </c>
      <c r="H29" s="266">
        <v>0.44987159416042638</v>
      </c>
      <c r="I29" s="266">
        <v>0.4</v>
      </c>
      <c r="J29" s="266">
        <v>0.99849170437405732</v>
      </c>
      <c r="K29" s="266">
        <v>1</v>
      </c>
      <c r="L29" s="266">
        <f t="shared" si="0"/>
        <v>0.70352114092733564</v>
      </c>
      <c r="N29" s="147">
        <f t="shared" si="1"/>
        <v>2.8852076055737772</v>
      </c>
    </row>
    <row r="30" spans="2:14">
      <c r="B30" s="272">
        <v>20</v>
      </c>
      <c r="C30" s="264" t="s">
        <v>304</v>
      </c>
      <c r="D30" s="265" t="s">
        <v>4</v>
      </c>
      <c r="E30" s="266">
        <v>3.68443070392932E-2</v>
      </c>
      <c r="F30" s="278">
        <v>1.5</v>
      </c>
      <c r="G30" s="278">
        <v>1112.5999999999999</v>
      </c>
      <c r="H30" s="266">
        <v>0.44987159416042638</v>
      </c>
      <c r="I30" s="266">
        <v>0.4</v>
      </c>
      <c r="J30" s="266">
        <v>0.99849170437405732</v>
      </c>
      <c r="K30" s="266">
        <v>1</v>
      </c>
      <c r="L30" s="266">
        <f t="shared" si="0"/>
        <v>0.70352114092733564</v>
      </c>
      <c r="N30" s="258">
        <f t="shared" si="1"/>
        <v>2.8852076055737772</v>
      </c>
    </row>
    <row r="31" spans="2:14">
      <c r="B31" s="298">
        <v>21</v>
      </c>
      <c r="C31" s="282" t="s">
        <v>280</v>
      </c>
      <c r="D31" s="283" t="s">
        <v>2</v>
      </c>
      <c r="E31" s="266">
        <v>3.3316775475447091E-2</v>
      </c>
      <c r="F31" s="278">
        <v>1.63</v>
      </c>
      <c r="G31" s="278">
        <v>61.6</v>
      </c>
      <c r="H31" s="266">
        <v>1</v>
      </c>
      <c r="I31" s="266">
        <v>0.30000000000000004</v>
      </c>
      <c r="J31" s="266">
        <v>0.99849170437405732</v>
      </c>
      <c r="K31" s="266">
        <v>1</v>
      </c>
      <c r="L31" s="284">
        <f t="shared" si="0"/>
        <v>0.70404846313083413</v>
      </c>
      <c r="N31" s="259">
        <f t="shared" si="1"/>
        <v>3.3318084798495047</v>
      </c>
    </row>
    <row r="32" spans="2:14" ht="15.75" thickBot="1">
      <c r="B32" s="272">
        <v>21</v>
      </c>
      <c r="C32" s="264" t="s">
        <v>308</v>
      </c>
      <c r="D32" s="265" t="s">
        <v>2</v>
      </c>
      <c r="E32" s="266">
        <v>3.3316775475447091E-2</v>
      </c>
      <c r="F32" s="278">
        <v>1.63</v>
      </c>
      <c r="G32" s="278">
        <v>61.6</v>
      </c>
      <c r="H32" s="266">
        <v>1</v>
      </c>
      <c r="I32" s="266">
        <v>0.30000000000000004</v>
      </c>
      <c r="J32" s="266">
        <v>0.99849170437405732</v>
      </c>
      <c r="K32" s="266">
        <v>1</v>
      </c>
      <c r="L32" s="266">
        <f t="shared" si="0"/>
        <v>0.70404846313083413</v>
      </c>
      <c r="N32" s="147">
        <f t="shared" si="1"/>
        <v>3.3318084798495047</v>
      </c>
    </row>
    <row r="33" spans="2:14">
      <c r="B33" s="272">
        <v>21</v>
      </c>
      <c r="C33" s="264" t="s">
        <v>304</v>
      </c>
      <c r="D33" s="265" t="s">
        <v>2</v>
      </c>
      <c r="E33" s="266">
        <v>3.3316775475447091E-2</v>
      </c>
      <c r="F33" s="278">
        <v>1.63</v>
      </c>
      <c r="G33" s="278">
        <v>61.6</v>
      </c>
      <c r="H33" s="266">
        <v>1</v>
      </c>
      <c r="I33" s="266">
        <v>0.30000000000000004</v>
      </c>
      <c r="J33" s="266">
        <v>0.99849170437405732</v>
      </c>
      <c r="K33" s="266">
        <v>1</v>
      </c>
      <c r="L33" s="266">
        <f t="shared" si="0"/>
        <v>0.70404846313083413</v>
      </c>
      <c r="N33" s="258">
        <f t="shared" si="1"/>
        <v>3.3318084798495047</v>
      </c>
    </row>
    <row r="34" spans="2:14">
      <c r="B34" s="272">
        <v>22</v>
      </c>
      <c r="C34" s="264" t="s">
        <v>274</v>
      </c>
      <c r="D34" s="265" t="s">
        <v>2</v>
      </c>
      <c r="E34" s="266">
        <v>3.3316775475447098E-2</v>
      </c>
      <c r="F34" s="278">
        <v>1.63</v>
      </c>
      <c r="G34" s="278">
        <v>61.6</v>
      </c>
      <c r="H34" s="266">
        <v>1</v>
      </c>
      <c r="I34" s="266">
        <v>0.375</v>
      </c>
      <c r="J34" s="266">
        <v>0.99585218702865763</v>
      </c>
      <c r="K34" s="266">
        <v>0.8</v>
      </c>
      <c r="L34" s="266">
        <f t="shared" si="0"/>
        <v>0.70691734586861799</v>
      </c>
      <c r="N34" s="259">
        <f t="shared" si="1"/>
        <v>3.204168962504105</v>
      </c>
    </row>
    <row r="35" spans="2:14" ht="15.75" thickBot="1">
      <c r="B35" s="272">
        <v>23</v>
      </c>
      <c r="C35" s="264" t="s">
        <v>290</v>
      </c>
      <c r="D35" s="265" t="s">
        <v>4</v>
      </c>
      <c r="E35" s="266">
        <v>3.8017692613792953E-2</v>
      </c>
      <c r="F35" s="278">
        <v>1.5</v>
      </c>
      <c r="G35" s="278">
        <v>1112.5999999999999</v>
      </c>
      <c r="H35" s="266">
        <v>0.44987159416042638</v>
      </c>
      <c r="I35" s="266">
        <v>0.5</v>
      </c>
      <c r="J35" s="266">
        <v>0.99597382989431305</v>
      </c>
      <c r="K35" s="266">
        <v>0.8</v>
      </c>
      <c r="L35" s="266">
        <f t="shared" ref="L35:L56" si="2">E35*$Q$8+H35*$Q$9+I35*$Q$10+J35*$Q$11+K35*$Q$12</f>
        <v>0.70838919380130649</v>
      </c>
      <c r="N35" s="147">
        <f t="shared" si="1"/>
        <v>2.7838631166685324</v>
      </c>
    </row>
    <row r="36" spans="2:14">
      <c r="B36" s="300">
        <v>24</v>
      </c>
      <c r="C36" s="285" t="s">
        <v>298</v>
      </c>
      <c r="D36" s="286" t="s">
        <v>4</v>
      </c>
      <c r="E36" s="266">
        <v>3.68443070392932E-2</v>
      </c>
      <c r="F36" s="278">
        <v>1.5</v>
      </c>
      <c r="G36" s="278">
        <v>1112.5999999999999</v>
      </c>
      <c r="H36" s="266">
        <v>0.44987159416042638</v>
      </c>
      <c r="I36" s="266">
        <v>0.55555555555555558</v>
      </c>
      <c r="J36" s="266">
        <v>0.99333777481678875</v>
      </c>
      <c r="K36" s="266">
        <v>0.8</v>
      </c>
      <c r="L36" s="287">
        <f t="shared" si="2"/>
        <v>0.7099324366005062</v>
      </c>
      <c r="N36" s="258">
        <f t="shared" si="1"/>
        <v>2.8356092315720636</v>
      </c>
    </row>
    <row r="37" spans="2:14">
      <c r="B37" s="300">
        <v>24</v>
      </c>
      <c r="C37" s="285" t="s">
        <v>272</v>
      </c>
      <c r="D37" s="286" t="s">
        <v>4</v>
      </c>
      <c r="E37" s="266">
        <v>3.68443070392932E-2</v>
      </c>
      <c r="F37" s="278">
        <v>1.5</v>
      </c>
      <c r="G37" s="278">
        <v>1112.5999999999999</v>
      </c>
      <c r="H37" s="266">
        <v>0.44987159416042638</v>
      </c>
      <c r="I37" s="266">
        <v>0.55555555555555558</v>
      </c>
      <c r="J37" s="266">
        <v>0.99333777481678875</v>
      </c>
      <c r="K37" s="266">
        <v>0.8</v>
      </c>
      <c r="L37" s="287">
        <f t="shared" si="2"/>
        <v>0.7099324366005062</v>
      </c>
      <c r="N37" s="259">
        <f t="shared" si="1"/>
        <v>2.8356092315720636</v>
      </c>
    </row>
    <row r="38" spans="2:14" ht="15.75" thickBot="1">
      <c r="B38" s="300">
        <v>24</v>
      </c>
      <c r="C38" s="285" t="s">
        <v>301</v>
      </c>
      <c r="D38" s="286" t="s">
        <v>4</v>
      </c>
      <c r="E38" s="266">
        <v>3.68443070392932E-2</v>
      </c>
      <c r="F38" s="278">
        <v>1.5</v>
      </c>
      <c r="G38" s="278">
        <v>1112.5999999999999</v>
      </c>
      <c r="H38" s="266">
        <v>0.44987159416042638</v>
      </c>
      <c r="I38" s="266">
        <v>0.55555555555555558</v>
      </c>
      <c r="J38" s="266">
        <v>0.99333777481678875</v>
      </c>
      <c r="K38" s="266">
        <v>0.8</v>
      </c>
      <c r="L38" s="287">
        <f t="shared" si="2"/>
        <v>0.7099324366005062</v>
      </c>
      <c r="N38" s="147">
        <f t="shared" si="1"/>
        <v>2.8356092315720636</v>
      </c>
    </row>
    <row r="39" spans="2:14">
      <c r="B39" s="300">
        <v>25</v>
      </c>
      <c r="C39" s="285" t="s">
        <v>282</v>
      </c>
      <c r="D39" s="286" t="s">
        <v>4</v>
      </c>
      <c r="E39" s="266">
        <v>3.68443070392932E-2</v>
      </c>
      <c r="F39" s="278">
        <v>1.5</v>
      </c>
      <c r="G39" s="278">
        <v>1112.5999999999999</v>
      </c>
      <c r="H39" s="266">
        <v>0.44987159416042638</v>
      </c>
      <c r="I39" s="266">
        <v>0.5</v>
      </c>
      <c r="J39" s="266">
        <v>0.99882228241667648</v>
      </c>
      <c r="K39" s="266">
        <v>1</v>
      </c>
      <c r="L39" s="287">
        <f t="shared" si="2"/>
        <v>0.71020217286231935</v>
      </c>
      <c r="N39" s="258">
        <f t="shared" si="1"/>
        <v>2.9855381836163959</v>
      </c>
    </row>
    <row r="40" spans="2:14">
      <c r="B40" s="300">
        <v>25</v>
      </c>
      <c r="C40" s="285" t="s">
        <v>310</v>
      </c>
      <c r="D40" s="286" t="s">
        <v>4</v>
      </c>
      <c r="E40" s="266">
        <v>3.68443070392932E-2</v>
      </c>
      <c r="F40" s="278">
        <v>1.5</v>
      </c>
      <c r="G40" s="278">
        <v>1112.5999999999999</v>
      </c>
      <c r="H40" s="266">
        <v>0.44987159416042638</v>
      </c>
      <c r="I40" s="266">
        <v>0.5</v>
      </c>
      <c r="J40" s="266">
        <v>0.99882228241667648</v>
      </c>
      <c r="K40" s="266">
        <v>1</v>
      </c>
      <c r="L40" s="287">
        <f t="shared" si="2"/>
        <v>0.71020217286231935</v>
      </c>
      <c r="N40" s="259">
        <f t="shared" si="1"/>
        <v>2.9855381836163959</v>
      </c>
    </row>
    <row r="41" spans="2:14" ht="15.75" thickBot="1">
      <c r="B41" s="300">
        <v>25</v>
      </c>
      <c r="C41" s="285" t="s">
        <v>306</v>
      </c>
      <c r="D41" s="286" t="s">
        <v>4</v>
      </c>
      <c r="E41" s="266">
        <v>3.68443070392932E-2</v>
      </c>
      <c r="F41" s="278">
        <v>1.5</v>
      </c>
      <c r="G41" s="278">
        <v>1112.5999999999999</v>
      </c>
      <c r="H41" s="266">
        <v>0.44987159416042638</v>
      </c>
      <c r="I41" s="266">
        <v>0.5</v>
      </c>
      <c r="J41" s="266">
        <v>0.99882228241667648</v>
      </c>
      <c r="K41" s="266">
        <v>1</v>
      </c>
      <c r="L41" s="287">
        <f t="shared" si="2"/>
        <v>0.71020217286231935</v>
      </c>
      <c r="N41" s="147">
        <f t="shared" si="1"/>
        <v>2.9855381836163959</v>
      </c>
    </row>
    <row r="42" spans="2:14">
      <c r="B42" s="300">
        <v>26</v>
      </c>
      <c r="C42" s="285" t="s">
        <v>282</v>
      </c>
      <c r="D42" s="286" t="s">
        <v>2</v>
      </c>
      <c r="E42" s="266">
        <v>3.3316775475447091E-2</v>
      </c>
      <c r="F42" s="278">
        <v>1.63</v>
      </c>
      <c r="G42" s="278">
        <v>61.6</v>
      </c>
      <c r="H42" s="266">
        <v>1</v>
      </c>
      <c r="I42" s="266">
        <v>0.4</v>
      </c>
      <c r="J42" s="266">
        <v>0.99882228241667648</v>
      </c>
      <c r="K42" s="266">
        <v>1</v>
      </c>
      <c r="L42" s="287">
        <f t="shared" si="2"/>
        <v>0.71072949506581784</v>
      </c>
      <c r="N42" s="258">
        <f t="shared" si="1"/>
        <v>3.4321390578921234</v>
      </c>
    </row>
    <row r="43" spans="2:14">
      <c r="B43" s="300">
        <v>26</v>
      </c>
      <c r="C43" s="285" t="s">
        <v>310</v>
      </c>
      <c r="D43" s="286" t="s">
        <v>2</v>
      </c>
      <c r="E43" s="266">
        <v>3.3316775475447091E-2</v>
      </c>
      <c r="F43" s="278">
        <v>1.63</v>
      </c>
      <c r="G43" s="278">
        <v>61.6</v>
      </c>
      <c r="H43" s="266">
        <v>1</v>
      </c>
      <c r="I43" s="266">
        <v>0.4</v>
      </c>
      <c r="J43" s="266">
        <v>0.99882228241667648</v>
      </c>
      <c r="K43" s="266">
        <v>1</v>
      </c>
      <c r="L43" s="287">
        <f t="shared" si="2"/>
        <v>0.71072949506581784</v>
      </c>
      <c r="N43" s="259">
        <f t="shared" si="1"/>
        <v>3.4321390578921234</v>
      </c>
    </row>
    <row r="44" spans="2:14" ht="15.75" thickBot="1">
      <c r="B44" s="300">
        <v>26</v>
      </c>
      <c r="C44" s="285" t="s">
        <v>306</v>
      </c>
      <c r="D44" s="286" t="s">
        <v>2</v>
      </c>
      <c r="E44" s="266">
        <v>3.3316775475447091E-2</v>
      </c>
      <c r="F44" s="278">
        <v>1.63</v>
      </c>
      <c r="G44" s="278">
        <v>61.6</v>
      </c>
      <c r="H44" s="266">
        <v>1</v>
      </c>
      <c r="I44" s="266">
        <v>0.4</v>
      </c>
      <c r="J44" s="266">
        <v>0.99882228241667648</v>
      </c>
      <c r="K44" s="266">
        <v>1</v>
      </c>
      <c r="L44" s="287">
        <f t="shared" si="2"/>
        <v>0.71072949506581784</v>
      </c>
      <c r="N44" s="147">
        <f t="shared" si="1"/>
        <v>3.4321390578921234</v>
      </c>
    </row>
    <row r="45" spans="2:14">
      <c r="B45" s="272">
        <v>27</v>
      </c>
      <c r="C45" s="264" t="s">
        <v>286</v>
      </c>
      <c r="D45" s="265" t="s">
        <v>2</v>
      </c>
      <c r="E45" s="266">
        <v>3.3316775475447091E-2</v>
      </c>
      <c r="F45" s="278">
        <v>1.63</v>
      </c>
      <c r="G45" s="278">
        <v>61.6</v>
      </c>
      <c r="H45" s="266">
        <v>1</v>
      </c>
      <c r="I45" s="266">
        <v>0.5</v>
      </c>
      <c r="J45" s="266">
        <v>0.99333777481678875</v>
      </c>
      <c r="K45" s="266">
        <v>1</v>
      </c>
      <c r="L45" s="266">
        <f t="shared" si="2"/>
        <v>0.71356366172097141</v>
      </c>
      <c r="N45" s="258">
        <f t="shared" si="1"/>
        <v>3.526654550292236</v>
      </c>
    </row>
    <row r="46" spans="2:14">
      <c r="B46" s="272">
        <v>28</v>
      </c>
      <c r="C46" s="264" t="s">
        <v>257</v>
      </c>
      <c r="D46" s="265" t="s">
        <v>2</v>
      </c>
      <c r="E46" s="266">
        <v>3.3316775475447091E-2</v>
      </c>
      <c r="F46" s="278">
        <v>1.63</v>
      </c>
      <c r="G46" s="278">
        <v>61.6</v>
      </c>
      <c r="H46" s="266">
        <v>1</v>
      </c>
      <c r="I46" s="266">
        <v>0.66666666666666674</v>
      </c>
      <c r="J46" s="266">
        <v>0.97784810126582278</v>
      </c>
      <c r="K46" s="266">
        <v>0.6</v>
      </c>
      <c r="L46" s="266">
        <f t="shared" si="2"/>
        <v>0.71362382010162706</v>
      </c>
      <c r="N46" s="259">
        <f t="shared" si="1"/>
        <v>3.2778315434079368</v>
      </c>
    </row>
    <row r="47" spans="2:14" ht="15.75" thickBot="1">
      <c r="B47" s="304">
        <v>29</v>
      </c>
      <c r="C47" s="289" t="s">
        <v>294</v>
      </c>
      <c r="D47" s="290" t="s">
        <v>4</v>
      </c>
      <c r="E47" s="266">
        <v>3.8017692613792953E-2</v>
      </c>
      <c r="F47" s="278">
        <v>1.5</v>
      </c>
      <c r="G47" s="278">
        <v>1112.5999999999999</v>
      </c>
      <c r="H47" s="266">
        <v>0.44987159416042638</v>
      </c>
      <c r="I47" s="266">
        <v>0.625</v>
      </c>
      <c r="J47" s="266">
        <v>0.99333777481678875</v>
      </c>
      <c r="K47" s="266">
        <v>0.8</v>
      </c>
      <c r="L47" s="291">
        <f t="shared" si="2"/>
        <v>0.71472328896700699</v>
      </c>
      <c r="N47" s="147">
        <f t="shared" si="1"/>
        <v>2.9062270615910082</v>
      </c>
    </row>
    <row r="48" spans="2:14">
      <c r="B48" s="272">
        <v>30</v>
      </c>
      <c r="C48" s="264" t="s">
        <v>290</v>
      </c>
      <c r="D48" s="265" t="s">
        <v>2</v>
      </c>
      <c r="E48" s="266">
        <v>3.3316775475447091E-2</v>
      </c>
      <c r="F48" s="278">
        <v>1.63</v>
      </c>
      <c r="G48" s="278">
        <v>61.6</v>
      </c>
      <c r="H48" s="266">
        <v>1</v>
      </c>
      <c r="I48" s="266">
        <v>0.5</v>
      </c>
      <c r="J48" s="266">
        <v>0.99597382989431305</v>
      </c>
      <c r="K48" s="266">
        <v>0.8</v>
      </c>
      <c r="L48" s="266">
        <f t="shared" si="2"/>
        <v>0.7150757464912032</v>
      </c>
      <c r="N48" s="258">
        <f t="shared" si="1"/>
        <v>3.32929060536976</v>
      </c>
    </row>
    <row r="49" spans="2:14">
      <c r="B49" s="300">
        <v>31</v>
      </c>
      <c r="C49" s="285" t="s">
        <v>276</v>
      </c>
      <c r="D49" s="286" t="s">
        <v>2</v>
      </c>
      <c r="E49" s="266">
        <v>3.3316775475447091E-2</v>
      </c>
      <c r="F49" s="278">
        <v>1.63</v>
      </c>
      <c r="G49" s="278">
        <v>61.6</v>
      </c>
      <c r="H49" s="266">
        <v>1</v>
      </c>
      <c r="I49" s="266">
        <v>0.5</v>
      </c>
      <c r="J49" s="266">
        <v>0.99608408903544932</v>
      </c>
      <c r="K49" s="266">
        <v>0.8</v>
      </c>
      <c r="L49" s="287">
        <f t="shared" si="2"/>
        <v>0.71514868644220231</v>
      </c>
      <c r="N49" s="259">
        <f t="shared" si="1"/>
        <v>3.3294008645108963</v>
      </c>
    </row>
    <row r="50" spans="2:14" ht="15.75" thickBot="1">
      <c r="B50" s="300">
        <v>32</v>
      </c>
      <c r="C50" s="285" t="s">
        <v>268</v>
      </c>
      <c r="D50" s="286" t="s">
        <v>2</v>
      </c>
      <c r="E50" s="266">
        <v>3.3316775475447091E-2</v>
      </c>
      <c r="F50" s="278">
        <v>1.63</v>
      </c>
      <c r="G50" s="278">
        <v>61.6</v>
      </c>
      <c r="H50" s="266">
        <v>1</v>
      </c>
      <c r="I50" s="266">
        <v>0.7142857142857143</v>
      </c>
      <c r="J50" s="266">
        <v>0.97784810126582278</v>
      </c>
      <c r="K50" s="266">
        <v>0.6</v>
      </c>
      <c r="L50" s="287">
        <f t="shared" si="2"/>
        <v>0.71670112675817932</v>
      </c>
      <c r="N50" s="147">
        <f t="shared" si="1"/>
        <v>3.3254505910269843</v>
      </c>
    </row>
    <row r="51" spans="2:14">
      <c r="B51" s="300">
        <v>33</v>
      </c>
      <c r="C51" s="285" t="s">
        <v>298</v>
      </c>
      <c r="D51" s="286" t="s">
        <v>2</v>
      </c>
      <c r="E51" s="266">
        <v>3.3316775475447091E-2</v>
      </c>
      <c r="F51" s="278">
        <v>1.63</v>
      </c>
      <c r="G51" s="278">
        <v>61.6</v>
      </c>
      <c r="H51" s="266">
        <v>1</v>
      </c>
      <c r="I51" s="266">
        <v>0.55555555555555558</v>
      </c>
      <c r="J51" s="266">
        <v>0.99333777481678875</v>
      </c>
      <c r="K51" s="266">
        <v>0.8</v>
      </c>
      <c r="L51" s="287">
        <f t="shared" si="2"/>
        <v>0.71692210278276469</v>
      </c>
      <c r="N51" s="258">
        <f t="shared" si="1"/>
        <v>3.3822101058477916</v>
      </c>
    </row>
    <row r="52" spans="2:14">
      <c r="B52" s="300">
        <v>33</v>
      </c>
      <c r="C52" s="285" t="s">
        <v>272</v>
      </c>
      <c r="D52" s="286" t="s">
        <v>2</v>
      </c>
      <c r="E52" s="266">
        <v>3.3316775475447091E-2</v>
      </c>
      <c r="F52" s="278">
        <v>1.63</v>
      </c>
      <c r="G52" s="278">
        <v>61.6</v>
      </c>
      <c r="H52" s="266">
        <v>1</v>
      </c>
      <c r="I52" s="266">
        <v>0.55555555555555558</v>
      </c>
      <c r="J52" s="266">
        <v>0.99333777481678875</v>
      </c>
      <c r="K52" s="266">
        <v>0.8</v>
      </c>
      <c r="L52" s="287">
        <f t="shared" si="2"/>
        <v>0.71692210278276469</v>
      </c>
      <c r="N52" s="259">
        <f t="shared" si="1"/>
        <v>3.3822101058477916</v>
      </c>
    </row>
    <row r="53" spans="2:14" ht="15.75" thickBot="1">
      <c r="B53" s="300">
        <v>33</v>
      </c>
      <c r="C53" s="285" t="s">
        <v>301</v>
      </c>
      <c r="D53" s="286" t="s">
        <v>2</v>
      </c>
      <c r="E53" s="266">
        <v>3.3316775475447091E-2</v>
      </c>
      <c r="F53" s="278">
        <v>1.63</v>
      </c>
      <c r="G53" s="278">
        <v>61.6</v>
      </c>
      <c r="H53" s="266">
        <v>1</v>
      </c>
      <c r="I53" s="266">
        <v>0.55555555555555558</v>
      </c>
      <c r="J53" s="266">
        <v>0.99333777481678875</v>
      </c>
      <c r="K53" s="266">
        <v>0.8</v>
      </c>
      <c r="L53" s="287">
        <f t="shared" si="2"/>
        <v>0.71692210278276469</v>
      </c>
      <c r="N53" s="147">
        <f t="shared" si="1"/>
        <v>3.3822101058477916</v>
      </c>
    </row>
    <row r="54" spans="2:14">
      <c r="B54" s="272">
        <v>34</v>
      </c>
      <c r="C54" s="264" t="s">
        <v>261</v>
      </c>
      <c r="D54" s="265" t="s">
        <v>2</v>
      </c>
      <c r="E54" s="266">
        <v>3.3316775475447091E-2</v>
      </c>
      <c r="F54" s="278">
        <v>1.63</v>
      </c>
      <c r="G54" s="278">
        <v>61.6</v>
      </c>
      <c r="H54" s="266">
        <v>1</v>
      </c>
      <c r="I54" s="266">
        <v>0.66666666666666674</v>
      </c>
      <c r="J54" s="266">
        <v>0.9866129843985908</v>
      </c>
      <c r="K54" s="266">
        <v>0.4</v>
      </c>
      <c r="L54" s="266">
        <f t="shared" si="2"/>
        <v>0.71919032079987599</v>
      </c>
      <c r="N54" s="258">
        <f t="shared" si="1"/>
        <v>3.0865964265407047</v>
      </c>
    </row>
    <row r="55" spans="2:14">
      <c r="B55" s="300">
        <v>35</v>
      </c>
      <c r="C55" s="285" t="s">
        <v>294</v>
      </c>
      <c r="D55" s="286" t="s">
        <v>2</v>
      </c>
      <c r="E55" s="266">
        <v>3.3316775475447091E-2</v>
      </c>
      <c r="F55" s="278">
        <v>1.63</v>
      </c>
      <c r="G55" s="278">
        <v>61.6</v>
      </c>
      <c r="H55" s="266">
        <v>1</v>
      </c>
      <c r="I55" s="266">
        <v>0.625</v>
      </c>
      <c r="J55" s="266">
        <v>0.99333777481678875</v>
      </c>
      <c r="K55" s="266">
        <v>0.8</v>
      </c>
      <c r="L55" s="287">
        <f t="shared" si="2"/>
        <v>0.72140984165690358</v>
      </c>
      <c r="N55" s="259">
        <f t="shared" si="1"/>
        <v>3.4516545502922362</v>
      </c>
    </row>
    <row r="56" spans="2:14" ht="15.75" thickBot="1">
      <c r="B56" s="306">
        <v>36</v>
      </c>
      <c r="C56" s="307" t="s">
        <v>264</v>
      </c>
      <c r="D56" s="308" t="s">
        <v>2</v>
      </c>
      <c r="E56" s="275">
        <v>3.3316775475447091E-2</v>
      </c>
      <c r="F56" s="309">
        <v>1.63</v>
      </c>
      <c r="G56" s="309">
        <v>61.6</v>
      </c>
      <c r="H56" s="275">
        <v>1</v>
      </c>
      <c r="I56" s="275">
        <v>0.83333333333333337</v>
      </c>
      <c r="J56" s="275">
        <v>0.97784810126582278</v>
      </c>
      <c r="K56" s="275">
        <v>0.4</v>
      </c>
      <c r="L56" s="314">
        <f t="shared" si="2"/>
        <v>0.72416264336204239</v>
      </c>
      <c r="N56" s="147">
        <f t="shared" si="1"/>
        <v>3.2444982100746032</v>
      </c>
    </row>
    <row r="57" spans="2:14" ht="15.75" thickBot="1"/>
    <row r="58" spans="2:14" ht="15.75" thickBot="1">
      <c r="B58" s="45"/>
      <c r="C58" s="45" t="s">
        <v>250</v>
      </c>
      <c r="D58" s="145" t="s">
        <v>473</v>
      </c>
      <c r="E58" s="146" t="s">
        <v>405</v>
      </c>
      <c r="F58" s="254" t="s">
        <v>474</v>
      </c>
      <c r="G58" s="254" t="s">
        <v>407</v>
      </c>
      <c r="H58" s="146" t="s">
        <v>408</v>
      </c>
      <c r="I58" s="146" t="s">
        <v>409</v>
      </c>
      <c r="J58" s="185" t="s">
        <v>426</v>
      </c>
      <c r="K58" s="45" t="s">
        <v>427</v>
      </c>
      <c r="L58" s="145" t="s">
        <v>410</v>
      </c>
      <c r="N58" s="45" t="s">
        <v>475</v>
      </c>
    </row>
    <row r="59" spans="2:14">
      <c r="B59" s="251"/>
      <c r="C59" s="251" t="s">
        <v>257</v>
      </c>
      <c r="D59" s="35" t="s">
        <v>0</v>
      </c>
      <c r="E59" s="186">
        <f>E3*$Q$8</f>
        <v>1.1033347959642462E-2</v>
      </c>
      <c r="F59" s="216"/>
      <c r="G59" s="216"/>
      <c r="H59" s="186">
        <f>H3*$Q$9</f>
        <v>6.3036759512807954E-3</v>
      </c>
      <c r="I59" s="135">
        <f>I3*$Q$10</f>
        <v>0</v>
      </c>
      <c r="J59" s="258">
        <f>J3*$Q$11</f>
        <v>0.64687781762154328</v>
      </c>
      <c r="K59" s="258">
        <f>K3*$Q$12</f>
        <v>6.9525011255354928E-4</v>
      </c>
      <c r="L59" s="315">
        <f>E59*$Q$8+H59*$Q$9+I59*$Q$10+J59*$Q$11+K59*$Q$12</f>
        <v>0.43087189709648899</v>
      </c>
      <c r="N59" s="258">
        <f>SUM(E59,H59:K59)</f>
        <v>0.66491009164502013</v>
      </c>
    </row>
    <row r="60" spans="2:14">
      <c r="B60" s="252"/>
      <c r="C60" s="252" t="s">
        <v>257</v>
      </c>
      <c r="D60" s="36" t="s">
        <v>2</v>
      </c>
      <c r="E60" s="187">
        <f t="shared" ref="E60:E112" si="3">E4*$Q$8</f>
        <v>1.1680996935906983E-2</v>
      </c>
      <c r="F60" s="218"/>
      <c r="G60" s="218"/>
      <c r="H60" s="187">
        <f t="shared" ref="H60:H112" si="4">H4*$Q$9</f>
        <v>6.3036759512807954E-3</v>
      </c>
      <c r="I60" s="2">
        <f t="shared" ref="I60:I112" si="5">I4*$Q$10</f>
        <v>0</v>
      </c>
      <c r="J60" s="259">
        <f t="shared" ref="J60:J112" si="6">J4*$Q$11</f>
        <v>0.65267606835731018</v>
      </c>
      <c r="K60" s="259">
        <f t="shared" ref="K60:K112" si="7">K4*$Q$12</f>
        <v>4.635000750356996E-4</v>
      </c>
      <c r="L60" s="316">
        <f t="shared" ref="L60:L112" si="8">E60*$Q$8+H60*$Q$9+I60*$Q$10+J60*$Q$11+K60*$Q$12</f>
        <v>0.43487466019056042</v>
      </c>
      <c r="N60" s="259">
        <f t="shared" ref="N60:N112" si="9">SUM(E60,H60:K60)</f>
        <v>0.67112424131953363</v>
      </c>
    </row>
    <row r="61" spans="2:14" ht="15.75" thickBot="1">
      <c r="B61" s="253"/>
      <c r="C61" s="253" t="s">
        <v>257</v>
      </c>
      <c r="D61" s="37" t="s">
        <v>4</v>
      </c>
      <c r="E61" s="188">
        <f t="shared" si="3"/>
        <v>9.175113625318608E-3</v>
      </c>
      <c r="F61" s="220"/>
      <c r="G61" s="220"/>
      <c r="H61" s="188">
        <f t="shared" si="4"/>
        <v>6.4610293333760655E-3</v>
      </c>
      <c r="I61" s="136">
        <f t="shared" si="5"/>
        <v>1.0770573297933288E-2</v>
      </c>
      <c r="J61" s="147">
        <f t="shared" si="6"/>
        <v>0.64687781762154328</v>
      </c>
      <c r="K61" s="147">
        <f t="shared" si="7"/>
        <v>6.9525011255354928E-4</v>
      </c>
      <c r="L61" s="317">
        <f t="shared" si="8"/>
        <v>0.43109016222310509</v>
      </c>
      <c r="N61" s="147">
        <f t="shared" si="9"/>
        <v>0.67397978399072478</v>
      </c>
    </row>
    <row r="62" spans="2:14">
      <c r="B62" s="251"/>
      <c r="C62" s="251" t="s">
        <v>261</v>
      </c>
      <c r="D62" s="38" t="s">
        <v>0</v>
      </c>
      <c r="E62" s="186">
        <f t="shared" si="3"/>
        <v>1.1680996935906983E-2</v>
      </c>
      <c r="F62" s="216"/>
      <c r="G62" s="216"/>
      <c r="H62" s="186">
        <f t="shared" si="4"/>
        <v>6.3036759512807954E-3</v>
      </c>
      <c r="I62" s="186">
        <f t="shared" si="5"/>
        <v>9.231919969657108E-3</v>
      </c>
      <c r="J62" s="258">
        <f t="shared" si="6"/>
        <v>0.64687781762154328</v>
      </c>
      <c r="K62" s="258">
        <f t="shared" si="7"/>
        <v>6.9525011255354928E-4</v>
      </c>
      <c r="L62" s="318">
        <f t="shared" si="8"/>
        <v>0.43163579870506746</v>
      </c>
      <c r="N62" s="258">
        <f t="shared" si="9"/>
        <v>0.6747896605909417</v>
      </c>
    </row>
    <row r="63" spans="2:14">
      <c r="B63" s="252"/>
      <c r="C63" s="252" t="s">
        <v>261</v>
      </c>
      <c r="D63" s="39" t="s">
        <v>2</v>
      </c>
      <c r="E63" s="187">
        <f t="shared" si="3"/>
        <v>1.0971173657921067E-2</v>
      </c>
      <c r="F63" s="218"/>
      <c r="G63" s="218"/>
      <c r="H63" s="187">
        <f t="shared" si="4"/>
        <v>6.3036759512807954E-3</v>
      </c>
      <c r="I63" s="187">
        <f t="shared" si="5"/>
        <v>0</v>
      </c>
      <c r="J63" s="259">
        <f t="shared" si="6"/>
        <v>0.65712473246378533</v>
      </c>
      <c r="K63" s="259">
        <f t="shared" si="7"/>
        <v>1.1587501875892489E-3</v>
      </c>
      <c r="L63" s="319">
        <f t="shared" si="8"/>
        <v>0.4376350352195536</v>
      </c>
      <c r="N63" s="259">
        <f t="shared" si="9"/>
        <v>0.67555833226057649</v>
      </c>
    </row>
    <row r="64" spans="2:14" ht="15.75" thickBot="1">
      <c r="B64" s="253"/>
      <c r="C64" s="253" t="s">
        <v>261</v>
      </c>
      <c r="D64" s="40" t="s">
        <v>4</v>
      </c>
      <c r="E64" s="188">
        <f t="shared" si="3"/>
        <v>1.1680996935906983E-2</v>
      </c>
      <c r="F64" s="220"/>
      <c r="G64" s="220"/>
      <c r="H64" s="188">
        <f t="shared" si="4"/>
        <v>6.3036759512807954E-3</v>
      </c>
      <c r="I64" s="188">
        <f t="shared" si="5"/>
        <v>1.0770573297933288E-2</v>
      </c>
      <c r="J64" s="147">
        <f t="shared" si="6"/>
        <v>0.64687781762154328</v>
      </c>
      <c r="K64" s="147">
        <f t="shared" si="7"/>
        <v>4.635000750356996E-4</v>
      </c>
      <c r="L64" s="320">
        <f t="shared" si="8"/>
        <v>0.43173496323538185</v>
      </c>
      <c r="N64" s="147">
        <f t="shared" si="9"/>
        <v>0.67609656388170003</v>
      </c>
    </row>
    <row r="65" spans="2:14">
      <c r="B65" s="251"/>
      <c r="C65" s="251" t="s">
        <v>264</v>
      </c>
      <c r="D65" s="35" t="s">
        <v>0</v>
      </c>
      <c r="E65" s="186">
        <f t="shared" si="3"/>
        <v>1.1680996935906983E-2</v>
      </c>
      <c r="F65" s="216"/>
      <c r="G65" s="216"/>
      <c r="H65" s="186">
        <f t="shared" si="4"/>
        <v>6.3036759512807954E-3</v>
      </c>
      <c r="I65" s="186">
        <f t="shared" si="5"/>
        <v>0</v>
      </c>
      <c r="J65" s="258">
        <f t="shared" si="6"/>
        <v>0.65878809662239968</v>
      </c>
      <c r="K65" s="258">
        <f t="shared" si="7"/>
        <v>9.2700015007139919E-4</v>
      </c>
      <c r="L65" s="315">
        <f t="shared" si="8"/>
        <v>0.43891849960046764</v>
      </c>
      <c r="N65" s="258">
        <f t="shared" si="9"/>
        <v>0.67769976965965883</v>
      </c>
    </row>
    <row r="66" spans="2:14">
      <c r="B66" s="252"/>
      <c r="C66" s="252" t="s">
        <v>264</v>
      </c>
      <c r="D66" s="36" t="s">
        <v>2</v>
      </c>
      <c r="E66" s="187">
        <f t="shared" si="3"/>
        <v>1.1618822634185589E-2</v>
      </c>
      <c r="F66" s="218"/>
      <c r="G66" s="218"/>
      <c r="H66" s="187">
        <f t="shared" si="4"/>
        <v>6.3036759512807954E-3</v>
      </c>
      <c r="I66" s="187">
        <f t="shared" si="5"/>
        <v>0</v>
      </c>
      <c r="J66" s="259">
        <f t="shared" si="6"/>
        <v>0.65886856727153487</v>
      </c>
      <c r="K66" s="259">
        <f t="shared" si="7"/>
        <v>9.2700015007139919E-4</v>
      </c>
      <c r="L66" s="316">
        <f t="shared" si="8"/>
        <v>0.43895567240485578</v>
      </c>
      <c r="N66" s="259">
        <f t="shared" si="9"/>
        <v>0.67771806600707263</v>
      </c>
    </row>
    <row r="67" spans="2:14" ht="15.75" thickBot="1">
      <c r="B67" s="253"/>
      <c r="C67" s="253" t="s">
        <v>264</v>
      </c>
      <c r="D67" s="37" t="s">
        <v>4</v>
      </c>
      <c r="E67" s="188">
        <f t="shared" si="3"/>
        <v>1.1590326079229921E-2</v>
      </c>
      <c r="F67" s="220"/>
      <c r="G67" s="220"/>
      <c r="H67" s="188">
        <f t="shared" si="4"/>
        <v>6.3036759512807954E-3</v>
      </c>
      <c r="I67" s="188">
        <f t="shared" si="5"/>
        <v>0</v>
      </c>
      <c r="J67" s="147">
        <f t="shared" si="6"/>
        <v>0.66053422183116794</v>
      </c>
      <c r="K67" s="147">
        <f t="shared" si="7"/>
        <v>1.1587501875892489E-3</v>
      </c>
      <c r="L67" s="317">
        <f t="shared" si="8"/>
        <v>0.44005046341005621</v>
      </c>
      <c r="N67" s="147">
        <f t="shared" si="9"/>
        <v>0.67958697404926793</v>
      </c>
    </row>
    <row r="68" spans="2:14">
      <c r="B68" s="251"/>
      <c r="C68" s="251" t="s">
        <v>268</v>
      </c>
      <c r="D68" s="35" t="s">
        <v>0</v>
      </c>
      <c r="E68" s="186">
        <f t="shared" si="3"/>
        <v>1.1590326079229921E-2</v>
      </c>
      <c r="F68" s="216"/>
      <c r="G68" s="216"/>
      <c r="H68" s="186">
        <f t="shared" si="4"/>
        <v>6.3036759512807954E-3</v>
      </c>
      <c r="I68" s="186">
        <f t="shared" si="5"/>
        <v>0</v>
      </c>
      <c r="J68" s="258">
        <f t="shared" si="6"/>
        <v>0.66053422183116794</v>
      </c>
      <c r="K68" s="258">
        <f t="shared" si="7"/>
        <v>1.1587501875892489E-3</v>
      </c>
      <c r="L68" s="315">
        <f t="shared" si="8"/>
        <v>0.44005046341005621</v>
      </c>
      <c r="N68" s="258">
        <f t="shared" si="9"/>
        <v>0.67958697404926793</v>
      </c>
    </row>
    <row r="69" spans="2:14">
      <c r="B69" s="252"/>
      <c r="C69" s="252" t="s">
        <v>268</v>
      </c>
      <c r="D69" s="36" t="s">
        <v>2</v>
      </c>
      <c r="E69" s="187">
        <f t="shared" si="3"/>
        <v>1.1590326079229921E-2</v>
      </c>
      <c r="F69" s="218"/>
      <c r="G69" s="218"/>
      <c r="H69" s="187">
        <f t="shared" si="4"/>
        <v>6.3036759512807954E-3</v>
      </c>
      <c r="I69" s="187">
        <f t="shared" si="5"/>
        <v>0</v>
      </c>
      <c r="J69" s="259">
        <f t="shared" si="6"/>
        <v>0.66053422183116794</v>
      </c>
      <c r="K69" s="259">
        <f t="shared" si="7"/>
        <v>1.1587501875892489E-3</v>
      </c>
      <c r="L69" s="316">
        <f t="shared" si="8"/>
        <v>0.44005046341005621</v>
      </c>
      <c r="N69" s="259">
        <f t="shared" si="9"/>
        <v>0.67958697404926793</v>
      </c>
    </row>
    <row r="70" spans="2:14" ht="15.75" thickBot="1">
      <c r="B70" s="253"/>
      <c r="C70" s="253" t="s">
        <v>268</v>
      </c>
      <c r="D70" s="37" t="s">
        <v>4</v>
      </c>
      <c r="E70" s="188">
        <f t="shared" si="3"/>
        <v>1.1590326079229921E-2</v>
      </c>
      <c r="F70" s="220"/>
      <c r="G70" s="220"/>
      <c r="H70" s="188">
        <f t="shared" si="4"/>
        <v>6.3036759512807954E-3</v>
      </c>
      <c r="I70" s="188">
        <f t="shared" si="5"/>
        <v>7.1803821986221967E-3</v>
      </c>
      <c r="J70" s="147">
        <f t="shared" si="6"/>
        <v>0.65712473246378533</v>
      </c>
      <c r="K70" s="147">
        <f t="shared" si="7"/>
        <v>9.2700015007139919E-4</v>
      </c>
      <c r="L70" s="317">
        <f t="shared" si="8"/>
        <v>0.43825872952000511</v>
      </c>
      <c r="N70" s="147">
        <f t="shared" si="9"/>
        <v>0.68312611684298963</v>
      </c>
    </row>
    <row r="71" spans="2:14">
      <c r="B71" s="251"/>
      <c r="C71" s="251" t="s">
        <v>272</v>
      </c>
      <c r="D71" s="35" t="s">
        <v>0</v>
      </c>
      <c r="E71" s="186">
        <f t="shared" si="3"/>
        <v>1.1590326079229921E-2</v>
      </c>
      <c r="F71" s="216"/>
      <c r="G71" s="216"/>
      <c r="H71" s="186">
        <f t="shared" si="4"/>
        <v>6.3036759512807954E-3</v>
      </c>
      <c r="I71" s="186">
        <f t="shared" si="5"/>
        <v>7.1803821986221967E-3</v>
      </c>
      <c r="J71" s="258">
        <f t="shared" si="6"/>
        <v>0.65712473246378533</v>
      </c>
      <c r="K71" s="258">
        <f t="shared" si="7"/>
        <v>9.2700015007139919E-4</v>
      </c>
      <c r="L71" s="315">
        <f t="shared" si="8"/>
        <v>0.43825872952000511</v>
      </c>
      <c r="N71" s="258">
        <f t="shared" si="9"/>
        <v>0.68312611684298963</v>
      </c>
    </row>
    <row r="72" spans="2:14">
      <c r="B72" s="252"/>
      <c r="C72" s="252" t="s">
        <v>272</v>
      </c>
      <c r="D72" s="36" t="s">
        <v>2</v>
      </c>
      <c r="E72" s="187">
        <f t="shared" si="3"/>
        <v>1.1590326079229921E-2</v>
      </c>
      <c r="F72" s="218"/>
      <c r="G72" s="218"/>
      <c r="H72" s="187">
        <f t="shared" si="4"/>
        <v>6.3036759512807954E-3</v>
      </c>
      <c r="I72" s="187">
        <f t="shared" si="5"/>
        <v>7.1803821986221967E-3</v>
      </c>
      <c r="J72" s="259">
        <f t="shared" si="6"/>
        <v>0.65712473246378533</v>
      </c>
      <c r="K72" s="259">
        <f t="shared" si="7"/>
        <v>9.2700015007139919E-4</v>
      </c>
      <c r="L72" s="316">
        <f t="shared" si="8"/>
        <v>0.43825872952000511</v>
      </c>
      <c r="N72" s="259">
        <f t="shared" si="9"/>
        <v>0.68312611684298963</v>
      </c>
    </row>
    <row r="73" spans="2:14" ht="15.75" thickBot="1">
      <c r="B73" s="253"/>
      <c r="C73" s="253" t="s">
        <v>272</v>
      </c>
      <c r="D73" s="37" t="s">
        <v>4</v>
      </c>
      <c r="E73" s="188">
        <f t="shared" si="3"/>
        <v>1.1618822634185589E-2</v>
      </c>
      <c r="F73" s="220"/>
      <c r="G73" s="220"/>
      <c r="H73" s="188">
        <f t="shared" si="4"/>
        <v>6.3036759512807954E-3</v>
      </c>
      <c r="I73" s="188">
        <f t="shared" si="5"/>
        <v>8.0779299734499675E-3</v>
      </c>
      <c r="J73" s="147">
        <f t="shared" si="6"/>
        <v>0.65712473246378533</v>
      </c>
      <c r="K73" s="147">
        <f t="shared" si="7"/>
        <v>9.2700015007139919E-4</v>
      </c>
      <c r="L73" s="317">
        <f t="shared" si="8"/>
        <v>0.4383240934846972</v>
      </c>
      <c r="N73" s="147">
        <f t="shared" si="9"/>
        <v>0.68405216117277312</v>
      </c>
    </row>
    <row r="74" spans="2:14">
      <c r="B74" s="251"/>
      <c r="C74" s="251" t="s">
        <v>274</v>
      </c>
      <c r="D74" s="35" t="s">
        <v>0</v>
      </c>
      <c r="E74" s="186">
        <f t="shared" si="3"/>
        <v>1.1680996935906983E-2</v>
      </c>
      <c r="F74" s="216"/>
      <c r="G74" s="216"/>
      <c r="H74" s="186">
        <f t="shared" si="4"/>
        <v>6.3036759512807954E-3</v>
      </c>
      <c r="I74" s="186">
        <f t="shared" si="5"/>
        <v>8.0779299734499675E-3</v>
      </c>
      <c r="J74" s="258">
        <f t="shared" si="6"/>
        <v>0.65894150722253408</v>
      </c>
      <c r="K74" s="258">
        <f t="shared" si="7"/>
        <v>9.2700015007139919E-4</v>
      </c>
      <c r="L74" s="315">
        <f t="shared" si="8"/>
        <v>0.43954200924401926</v>
      </c>
      <c r="N74" s="258">
        <f t="shared" si="9"/>
        <v>0.68593111023324327</v>
      </c>
    </row>
    <row r="75" spans="2:14">
      <c r="B75" s="252"/>
      <c r="C75" s="252" t="s">
        <v>274</v>
      </c>
      <c r="D75" s="36" t="s">
        <v>2</v>
      </c>
      <c r="E75" s="187">
        <f t="shared" si="3"/>
        <v>1.1590326079229921E-2</v>
      </c>
      <c r="F75" s="218"/>
      <c r="G75" s="218"/>
      <c r="H75" s="187">
        <f t="shared" si="4"/>
        <v>6.3036759512807954E-3</v>
      </c>
      <c r="I75" s="187">
        <f t="shared" si="5"/>
        <v>6.462343978759973E-3</v>
      </c>
      <c r="J75" s="259">
        <f t="shared" si="6"/>
        <v>0.66075290978739165</v>
      </c>
      <c r="K75" s="259">
        <f t="shared" si="7"/>
        <v>1.1587501875892489E-3</v>
      </c>
      <c r="L75" s="316">
        <f t="shared" si="8"/>
        <v>0.44061275138978717</v>
      </c>
      <c r="N75" s="259">
        <f t="shared" si="9"/>
        <v>0.68626800598425164</v>
      </c>
    </row>
    <row r="76" spans="2:14" ht="15.75" thickBot="1">
      <c r="B76" s="253"/>
      <c r="C76" s="253" t="s">
        <v>274</v>
      </c>
      <c r="D76" s="37" t="s">
        <v>4</v>
      </c>
      <c r="E76" s="188">
        <f t="shared" si="3"/>
        <v>1.1590326079229921E-2</v>
      </c>
      <c r="F76" s="220"/>
      <c r="G76" s="220"/>
      <c r="H76" s="188">
        <f t="shared" si="4"/>
        <v>6.3036759512807954E-3</v>
      </c>
      <c r="I76" s="188">
        <f t="shared" si="5"/>
        <v>6.462343978759973E-3</v>
      </c>
      <c r="J76" s="147">
        <f t="shared" si="6"/>
        <v>0.66075290978739165</v>
      </c>
      <c r="K76" s="147">
        <f t="shared" si="7"/>
        <v>1.1587501875892489E-3</v>
      </c>
      <c r="L76" s="317">
        <f t="shared" si="8"/>
        <v>0.44061275138978717</v>
      </c>
      <c r="N76" s="147">
        <f t="shared" si="9"/>
        <v>0.68626800598425164</v>
      </c>
    </row>
    <row r="77" spans="2:14">
      <c r="B77" s="251"/>
      <c r="C77" s="251" t="s">
        <v>276</v>
      </c>
      <c r="D77" s="35" t="s">
        <v>0</v>
      </c>
      <c r="E77" s="186">
        <f t="shared" si="3"/>
        <v>1.1590326079229921E-2</v>
      </c>
      <c r="F77" s="216"/>
      <c r="G77" s="216"/>
      <c r="H77" s="186">
        <f t="shared" si="4"/>
        <v>6.3036759512807954E-3</v>
      </c>
      <c r="I77" s="186">
        <f t="shared" si="5"/>
        <v>6.462343978759973E-3</v>
      </c>
      <c r="J77" s="258">
        <f t="shared" si="6"/>
        <v>0.66075290978739165</v>
      </c>
      <c r="K77" s="258">
        <f t="shared" si="7"/>
        <v>1.1587501875892489E-3</v>
      </c>
      <c r="L77" s="315">
        <f t="shared" si="8"/>
        <v>0.44061275138978717</v>
      </c>
      <c r="N77" s="258">
        <f t="shared" si="9"/>
        <v>0.68626800598425164</v>
      </c>
    </row>
    <row r="78" spans="2:14">
      <c r="B78" s="252"/>
      <c r="C78" s="252" t="s">
        <v>276</v>
      </c>
      <c r="D78" s="36" t="s">
        <v>2</v>
      </c>
      <c r="E78" s="187">
        <f t="shared" si="3"/>
        <v>9.8208771525243217E-3</v>
      </c>
      <c r="F78" s="218"/>
      <c r="G78" s="218"/>
      <c r="H78" s="187">
        <f t="shared" si="4"/>
        <v>6.4610293333760655E-3</v>
      </c>
      <c r="I78" s="187">
        <f t="shared" si="5"/>
        <v>2.1541146595866582E-2</v>
      </c>
      <c r="J78" s="259">
        <f t="shared" si="6"/>
        <v>0.65267606835731018</v>
      </c>
      <c r="K78" s="259">
        <f t="shared" si="7"/>
        <v>4.635000750356996E-4</v>
      </c>
      <c r="L78" s="316">
        <f t="shared" si="8"/>
        <v>0.43578846975569235</v>
      </c>
      <c r="N78" s="259">
        <f t="shared" si="9"/>
        <v>0.69096262151411281</v>
      </c>
    </row>
    <row r="79" spans="2:14" ht="15.75" thickBot="1">
      <c r="B79" s="253"/>
      <c r="C79" s="253" t="s">
        <v>276</v>
      </c>
      <c r="D79" s="37" t="s">
        <v>4</v>
      </c>
      <c r="E79" s="188">
        <f t="shared" si="3"/>
        <v>9.5177636601624666E-3</v>
      </c>
      <c r="F79" s="220"/>
      <c r="G79" s="220"/>
      <c r="H79" s="188">
        <f t="shared" si="4"/>
        <v>6.4610293333760655E-3</v>
      </c>
      <c r="I79" s="188">
        <f t="shared" si="5"/>
        <v>2.7695759908971319E-2</v>
      </c>
      <c r="J79" s="147">
        <f t="shared" si="6"/>
        <v>0.64687781762154328</v>
      </c>
      <c r="K79" s="147">
        <f t="shared" si="7"/>
        <v>6.9525011255354928E-4</v>
      </c>
      <c r="L79" s="317">
        <f t="shared" si="8"/>
        <v>0.43227244068102216</v>
      </c>
      <c r="N79" s="147">
        <f t="shared" si="9"/>
        <v>0.69124762063660672</v>
      </c>
    </row>
    <row r="80" spans="2:14">
      <c r="B80" s="251"/>
      <c r="C80" s="251" t="s">
        <v>280</v>
      </c>
      <c r="D80" s="35" t="s">
        <v>0</v>
      </c>
      <c r="E80" s="186">
        <f t="shared" si="3"/>
        <v>9.5177636601624666E-3</v>
      </c>
      <c r="F80" s="216"/>
      <c r="G80" s="216"/>
      <c r="H80" s="186">
        <f t="shared" si="4"/>
        <v>6.4610293333760655E-3</v>
      </c>
      <c r="I80" s="186">
        <f t="shared" si="5"/>
        <v>1.6155859946899935E-2</v>
      </c>
      <c r="J80" s="258">
        <f t="shared" si="6"/>
        <v>0.65878809662239968</v>
      </c>
      <c r="K80" s="258">
        <f t="shared" si="7"/>
        <v>9.2700015007139919E-4</v>
      </c>
      <c r="L80" s="315">
        <f t="shared" si="8"/>
        <v>0.43940599197035152</v>
      </c>
      <c r="N80" s="258">
        <f t="shared" si="9"/>
        <v>0.69184974971290958</v>
      </c>
    </row>
    <row r="81" spans="2:14">
      <c r="B81" s="252"/>
      <c r="C81" s="252" t="s">
        <v>280</v>
      </c>
      <c r="D81" s="36" t="s">
        <v>2</v>
      </c>
      <c r="E81" s="187">
        <f t="shared" si="3"/>
        <v>9.8208771525243217E-3</v>
      </c>
      <c r="F81" s="218"/>
      <c r="G81" s="218"/>
      <c r="H81" s="187">
        <f t="shared" si="4"/>
        <v>6.4610293333760655E-3</v>
      </c>
      <c r="I81" s="187">
        <f t="shared" si="5"/>
        <v>3.231171989379987E-2</v>
      </c>
      <c r="J81" s="259">
        <f t="shared" si="6"/>
        <v>0.64687781762154328</v>
      </c>
      <c r="K81" s="259">
        <f t="shared" si="7"/>
        <v>4.635000750356996E-4</v>
      </c>
      <c r="L81" s="316">
        <f t="shared" si="8"/>
        <v>0.43264877280051378</v>
      </c>
      <c r="N81" s="259">
        <f t="shared" si="9"/>
        <v>0.6959349440762792</v>
      </c>
    </row>
    <row r="82" spans="2:14" ht="15.75" thickBot="1">
      <c r="B82" s="253"/>
      <c r="C82" s="253" t="s">
        <v>280</v>
      </c>
      <c r="D82" s="37" t="s">
        <v>4</v>
      </c>
      <c r="E82" s="188">
        <f t="shared" si="3"/>
        <v>9.175113625318608E-3</v>
      </c>
      <c r="F82" s="220"/>
      <c r="G82" s="220"/>
      <c r="H82" s="188">
        <f t="shared" si="4"/>
        <v>6.4610293333760655E-3</v>
      </c>
      <c r="I82" s="188">
        <f t="shared" si="5"/>
        <v>2.4233789920349903E-2</v>
      </c>
      <c r="J82" s="147">
        <f t="shared" si="6"/>
        <v>0.65712473246378533</v>
      </c>
      <c r="K82" s="147">
        <f t="shared" si="7"/>
        <v>1.1587501875892489E-3</v>
      </c>
      <c r="L82" s="317">
        <f t="shared" si="8"/>
        <v>0.43873940082060819</v>
      </c>
      <c r="N82" s="147">
        <f t="shared" si="9"/>
        <v>0.69815341553041921</v>
      </c>
    </row>
    <row r="83" spans="2:14">
      <c r="B83" s="251"/>
      <c r="C83" s="251" t="s">
        <v>282</v>
      </c>
      <c r="D83" s="35" t="s">
        <v>0</v>
      </c>
      <c r="E83" s="186">
        <f t="shared" si="3"/>
        <v>9.5177636601624666E-3</v>
      </c>
      <c r="F83" s="216"/>
      <c r="G83" s="216"/>
      <c r="H83" s="186">
        <f t="shared" si="4"/>
        <v>6.4610293333760655E-3</v>
      </c>
      <c r="I83" s="186">
        <f t="shared" si="5"/>
        <v>2.4233789920349903E-2</v>
      </c>
      <c r="J83" s="258">
        <f t="shared" si="6"/>
        <v>0.65894150722253408</v>
      </c>
      <c r="K83" s="258">
        <f t="shared" si="7"/>
        <v>9.2700015007139919E-4</v>
      </c>
      <c r="L83" s="315">
        <f t="shared" si="8"/>
        <v>0.4400295016139032</v>
      </c>
      <c r="N83" s="258">
        <f t="shared" si="9"/>
        <v>0.7000810902864939</v>
      </c>
    </row>
    <row r="84" spans="2:14">
      <c r="B84" s="252"/>
      <c r="C84" s="252" t="s">
        <v>282</v>
      </c>
      <c r="D84" s="36" t="s">
        <v>2</v>
      </c>
      <c r="E84" s="187">
        <f t="shared" si="3"/>
        <v>9.5177636601624666E-3</v>
      </c>
      <c r="F84" s="218"/>
      <c r="G84" s="218"/>
      <c r="H84" s="187">
        <f t="shared" si="4"/>
        <v>6.4610293333760655E-3</v>
      </c>
      <c r="I84" s="187">
        <f t="shared" si="5"/>
        <v>2.5849375915039899E-2</v>
      </c>
      <c r="J84" s="259">
        <f t="shared" si="6"/>
        <v>0.66053422183116794</v>
      </c>
      <c r="K84" s="259">
        <f t="shared" si="7"/>
        <v>1.1587501875892489E-3</v>
      </c>
      <c r="L84" s="316">
        <f t="shared" si="8"/>
        <v>0.44118780657123874</v>
      </c>
      <c r="N84" s="259">
        <f t="shared" si="9"/>
        <v>0.70352114092733564</v>
      </c>
    </row>
    <row r="85" spans="2:14" ht="15.75" thickBot="1">
      <c r="B85" s="253"/>
      <c r="C85" s="253" t="s">
        <v>282</v>
      </c>
      <c r="D85" s="37" t="s">
        <v>4</v>
      </c>
      <c r="E85" s="188">
        <f t="shared" si="3"/>
        <v>9.5177636601624666E-3</v>
      </c>
      <c r="F85" s="220"/>
      <c r="G85" s="220"/>
      <c r="H85" s="188">
        <f t="shared" si="4"/>
        <v>6.4610293333760655E-3</v>
      </c>
      <c r="I85" s="188">
        <f t="shared" si="5"/>
        <v>2.5849375915039899E-2</v>
      </c>
      <c r="J85" s="147">
        <f t="shared" si="6"/>
        <v>0.66053422183116794</v>
      </c>
      <c r="K85" s="147">
        <f t="shared" si="7"/>
        <v>1.1587501875892489E-3</v>
      </c>
      <c r="L85" s="317">
        <f t="shared" si="8"/>
        <v>0.44118780657123874</v>
      </c>
      <c r="N85" s="147">
        <f t="shared" si="9"/>
        <v>0.70352114092733564</v>
      </c>
    </row>
    <row r="86" spans="2:14">
      <c r="B86" s="251"/>
      <c r="C86" s="251" t="s">
        <v>286</v>
      </c>
      <c r="D86" s="35" t="s">
        <v>0</v>
      </c>
      <c r="E86" s="186">
        <f t="shared" si="3"/>
        <v>9.5177636601624666E-3</v>
      </c>
      <c r="F86" s="216"/>
      <c r="G86" s="216"/>
      <c r="H86" s="186">
        <f t="shared" si="4"/>
        <v>6.4610293333760655E-3</v>
      </c>
      <c r="I86" s="186">
        <f t="shared" si="5"/>
        <v>2.5849375915039899E-2</v>
      </c>
      <c r="J86" s="258">
        <f t="shared" si="6"/>
        <v>0.66053422183116794</v>
      </c>
      <c r="K86" s="258">
        <f t="shared" si="7"/>
        <v>1.1587501875892489E-3</v>
      </c>
      <c r="L86" s="315">
        <f t="shared" si="8"/>
        <v>0.44118780657123874</v>
      </c>
      <c r="N86" s="258">
        <f t="shared" si="9"/>
        <v>0.70352114092733564</v>
      </c>
    </row>
    <row r="87" spans="2:14">
      <c r="B87" s="252"/>
      <c r="C87" s="252" t="s">
        <v>286</v>
      </c>
      <c r="D87" s="36" t="s">
        <v>2</v>
      </c>
      <c r="E87" s="187">
        <f t="shared" si="3"/>
        <v>8.6065180858422661E-3</v>
      </c>
      <c r="F87" s="218"/>
      <c r="G87" s="218"/>
      <c r="H87" s="187">
        <f t="shared" si="4"/>
        <v>1.4361941089954729E-2</v>
      </c>
      <c r="I87" s="187">
        <f t="shared" si="5"/>
        <v>1.9387031936279924E-2</v>
      </c>
      <c r="J87" s="259">
        <f t="shared" si="6"/>
        <v>0.66053422183116794</v>
      </c>
      <c r="K87" s="259">
        <f t="shared" si="7"/>
        <v>1.1587501875892489E-3</v>
      </c>
      <c r="L87" s="316">
        <f t="shared" si="8"/>
        <v>0.44064826362812304</v>
      </c>
      <c r="N87" s="259">
        <f t="shared" si="9"/>
        <v>0.70404846313083413</v>
      </c>
    </row>
    <row r="88" spans="2:14" ht="15.75" thickBot="1">
      <c r="B88" s="253"/>
      <c r="C88" s="253" t="s">
        <v>286</v>
      </c>
      <c r="D88" s="37" t="s">
        <v>4</v>
      </c>
      <c r="E88" s="188">
        <f t="shared" si="3"/>
        <v>8.6065180858422661E-3</v>
      </c>
      <c r="F88" s="220"/>
      <c r="G88" s="220"/>
      <c r="H88" s="188">
        <f t="shared" si="4"/>
        <v>1.4361941089954729E-2</v>
      </c>
      <c r="I88" s="188">
        <f t="shared" si="5"/>
        <v>1.9387031936279924E-2</v>
      </c>
      <c r="J88" s="147">
        <f t="shared" si="6"/>
        <v>0.66053422183116794</v>
      </c>
      <c r="K88" s="147">
        <f t="shared" si="7"/>
        <v>1.1587501875892489E-3</v>
      </c>
      <c r="L88" s="317">
        <f t="shared" si="8"/>
        <v>0.44064826362812304</v>
      </c>
      <c r="N88" s="147">
        <f t="shared" si="9"/>
        <v>0.70404846313083413</v>
      </c>
    </row>
    <row r="89" spans="2:14">
      <c r="B89" s="251"/>
      <c r="C89" s="251" t="s">
        <v>290</v>
      </c>
      <c r="D89" s="38" t="s">
        <v>0</v>
      </c>
      <c r="E89" s="186">
        <f t="shared" si="3"/>
        <v>8.6065180858422661E-3</v>
      </c>
      <c r="F89" s="216"/>
      <c r="G89" s="216"/>
      <c r="H89" s="186">
        <f t="shared" si="4"/>
        <v>1.4361941089954729E-2</v>
      </c>
      <c r="I89" s="186">
        <f t="shared" si="5"/>
        <v>1.9387031936279924E-2</v>
      </c>
      <c r="J89" s="258">
        <f t="shared" si="6"/>
        <v>0.66053422183116794</v>
      </c>
      <c r="K89" s="258">
        <f t="shared" si="7"/>
        <v>1.1587501875892489E-3</v>
      </c>
      <c r="L89" s="318">
        <f t="shared" si="8"/>
        <v>0.44064826362812304</v>
      </c>
      <c r="N89" s="258">
        <f t="shared" si="9"/>
        <v>0.70404846313083413</v>
      </c>
    </row>
    <row r="90" spans="2:14">
      <c r="B90" s="252"/>
      <c r="C90" s="252" t="s">
        <v>290</v>
      </c>
      <c r="D90" s="39" t="s">
        <v>2</v>
      </c>
      <c r="E90" s="187">
        <f t="shared" si="3"/>
        <v>8.6065180858422678E-3</v>
      </c>
      <c r="F90" s="218"/>
      <c r="G90" s="218"/>
      <c r="H90" s="187">
        <f t="shared" si="4"/>
        <v>1.4361941089954729E-2</v>
      </c>
      <c r="I90" s="187">
        <f t="shared" si="5"/>
        <v>2.4233789920349903E-2</v>
      </c>
      <c r="J90" s="259">
        <f t="shared" si="6"/>
        <v>0.65878809662239968</v>
      </c>
      <c r="K90" s="259">
        <f t="shared" si="7"/>
        <v>9.2700015007139919E-4</v>
      </c>
      <c r="L90" s="319">
        <f t="shared" si="8"/>
        <v>0.43980609154548167</v>
      </c>
      <c r="N90" s="259">
        <f t="shared" si="9"/>
        <v>0.70691734586861799</v>
      </c>
    </row>
    <row r="91" spans="2:14" ht="15.75" thickBot="1">
      <c r="B91" s="253"/>
      <c r="C91" s="253" t="s">
        <v>290</v>
      </c>
      <c r="D91" s="40" t="s">
        <v>4</v>
      </c>
      <c r="E91" s="188">
        <f t="shared" si="3"/>
        <v>9.8208771525243217E-3</v>
      </c>
      <c r="F91" s="220"/>
      <c r="G91" s="220"/>
      <c r="H91" s="188">
        <f t="shared" si="4"/>
        <v>6.4610293333760655E-3</v>
      </c>
      <c r="I91" s="188">
        <f t="shared" si="5"/>
        <v>3.231171989379987E-2</v>
      </c>
      <c r="J91" s="147">
        <f t="shared" si="6"/>
        <v>0.65886856727153487</v>
      </c>
      <c r="K91" s="147">
        <f t="shared" si="7"/>
        <v>9.2700015007139919E-4</v>
      </c>
      <c r="L91" s="320">
        <f t="shared" si="8"/>
        <v>0.44058157457067698</v>
      </c>
      <c r="N91" s="147">
        <f t="shared" si="9"/>
        <v>0.70838919380130649</v>
      </c>
    </row>
    <row r="92" spans="2:14">
      <c r="B92" s="251"/>
      <c r="C92" s="251" t="s">
        <v>294</v>
      </c>
      <c r="D92" s="35" t="s">
        <v>0</v>
      </c>
      <c r="E92" s="186">
        <f t="shared" si="3"/>
        <v>9.5177636601624666E-3</v>
      </c>
      <c r="F92" s="216"/>
      <c r="G92" s="216"/>
      <c r="H92" s="186">
        <f t="shared" si="4"/>
        <v>6.4610293333760655E-3</v>
      </c>
      <c r="I92" s="186">
        <f t="shared" si="5"/>
        <v>3.5901910993110971E-2</v>
      </c>
      <c r="J92" s="258">
        <f t="shared" si="6"/>
        <v>0.65712473246378533</v>
      </c>
      <c r="K92" s="258">
        <f t="shared" si="7"/>
        <v>9.2700015007139919E-4</v>
      </c>
      <c r="L92" s="315">
        <f t="shared" si="8"/>
        <v>0.43958168107985351</v>
      </c>
      <c r="N92" s="258">
        <f t="shared" si="9"/>
        <v>0.7099324366005062</v>
      </c>
    </row>
    <row r="93" spans="2:14">
      <c r="B93" s="252"/>
      <c r="C93" s="252" t="s">
        <v>294</v>
      </c>
      <c r="D93" s="36" t="s">
        <v>2</v>
      </c>
      <c r="E93" s="187">
        <f t="shared" si="3"/>
        <v>9.5177636601624666E-3</v>
      </c>
      <c r="F93" s="218"/>
      <c r="G93" s="218"/>
      <c r="H93" s="187">
        <f t="shared" si="4"/>
        <v>6.4610293333760655E-3</v>
      </c>
      <c r="I93" s="187">
        <f t="shared" si="5"/>
        <v>3.5901910993110971E-2</v>
      </c>
      <c r="J93" s="259">
        <f t="shared" si="6"/>
        <v>0.65712473246378533</v>
      </c>
      <c r="K93" s="259">
        <f t="shared" si="7"/>
        <v>9.2700015007139919E-4</v>
      </c>
      <c r="L93" s="316">
        <f t="shared" si="8"/>
        <v>0.43958168107985351</v>
      </c>
      <c r="N93" s="259">
        <f t="shared" si="9"/>
        <v>0.7099324366005062</v>
      </c>
    </row>
    <row r="94" spans="2:14" ht="15.75" thickBot="1">
      <c r="B94" s="253"/>
      <c r="C94" s="253" t="s">
        <v>294</v>
      </c>
      <c r="D94" s="37" t="s">
        <v>4</v>
      </c>
      <c r="E94" s="188">
        <f t="shared" si="3"/>
        <v>9.5177636601624666E-3</v>
      </c>
      <c r="F94" s="220"/>
      <c r="G94" s="220"/>
      <c r="H94" s="188">
        <f t="shared" si="4"/>
        <v>6.4610293333760655E-3</v>
      </c>
      <c r="I94" s="188">
        <f t="shared" si="5"/>
        <v>3.5901910993110971E-2</v>
      </c>
      <c r="J94" s="147">
        <f t="shared" si="6"/>
        <v>0.65712473246378533</v>
      </c>
      <c r="K94" s="147">
        <f t="shared" si="7"/>
        <v>9.2700015007139919E-4</v>
      </c>
      <c r="L94" s="317">
        <f t="shared" si="8"/>
        <v>0.43958168107985351</v>
      </c>
      <c r="N94" s="147">
        <f t="shared" si="9"/>
        <v>0.7099324366005062</v>
      </c>
    </row>
    <row r="95" spans="2:14">
      <c r="B95" s="251"/>
      <c r="C95" s="251" t="s">
        <v>298</v>
      </c>
      <c r="D95" s="35" t="s">
        <v>0</v>
      </c>
      <c r="E95" s="186">
        <f t="shared" si="3"/>
        <v>9.5177636601624666E-3</v>
      </c>
      <c r="F95" s="216"/>
      <c r="G95" s="216"/>
      <c r="H95" s="186">
        <f t="shared" si="4"/>
        <v>6.4610293333760655E-3</v>
      </c>
      <c r="I95" s="186">
        <f t="shared" si="5"/>
        <v>3.231171989379987E-2</v>
      </c>
      <c r="J95" s="258">
        <f t="shared" si="6"/>
        <v>0.66075290978739165</v>
      </c>
      <c r="K95" s="258">
        <f t="shared" si="7"/>
        <v>1.1587501875892489E-3</v>
      </c>
      <c r="L95" s="315">
        <f t="shared" si="8"/>
        <v>0.4417500945509697</v>
      </c>
      <c r="N95" s="258">
        <f t="shared" si="9"/>
        <v>0.71020217286231935</v>
      </c>
    </row>
    <row r="96" spans="2:14">
      <c r="B96" s="252"/>
      <c r="C96" s="252" t="s">
        <v>298</v>
      </c>
      <c r="D96" s="36" t="s">
        <v>2</v>
      </c>
      <c r="E96" s="187">
        <f t="shared" si="3"/>
        <v>9.5177636601624666E-3</v>
      </c>
      <c r="F96" s="218"/>
      <c r="G96" s="218"/>
      <c r="H96" s="187">
        <f t="shared" si="4"/>
        <v>6.4610293333760655E-3</v>
      </c>
      <c r="I96" s="187">
        <f t="shared" si="5"/>
        <v>3.231171989379987E-2</v>
      </c>
      <c r="J96" s="259">
        <f t="shared" si="6"/>
        <v>0.66075290978739165</v>
      </c>
      <c r="K96" s="259">
        <f t="shared" si="7"/>
        <v>1.1587501875892489E-3</v>
      </c>
      <c r="L96" s="316">
        <f t="shared" si="8"/>
        <v>0.4417500945509697</v>
      </c>
      <c r="N96" s="259">
        <f t="shared" si="9"/>
        <v>0.71020217286231935</v>
      </c>
    </row>
    <row r="97" spans="2:14" ht="15.75" thickBot="1">
      <c r="B97" s="253"/>
      <c r="C97" s="253" t="s">
        <v>298</v>
      </c>
      <c r="D97" s="37" t="s">
        <v>4</v>
      </c>
      <c r="E97" s="188">
        <f t="shared" si="3"/>
        <v>9.5177636601624666E-3</v>
      </c>
      <c r="F97" s="220"/>
      <c r="G97" s="220"/>
      <c r="H97" s="188">
        <f t="shared" si="4"/>
        <v>6.4610293333760655E-3</v>
      </c>
      <c r="I97" s="188">
        <f t="shared" si="5"/>
        <v>3.231171989379987E-2</v>
      </c>
      <c r="J97" s="147">
        <f t="shared" si="6"/>
        <v>0.66075290978739165</v>
      </c>
      <c r="K97" s="147">
        <f t="shared" si="7"/>
        <v>1.1587501875892489E-3</v>
      </c>
      <c r="L97" s="317">
        <f t="shared" si="8"/>
        <v>0.4417500945509697</v>
      </c>
      <c r="N97" s="147">
        <f t="shared" si="9"/>
        <v>0.71020217286231935</v>
      </c>
    </row>
    <row r="98" spans="2:14">
      <c r="B98" s="251"/>
      <c r="C98" s="251" t="s">
        <v>301</v>
      </c>
      <c r="D98" s="35" t="s">
        <v>0</v>
      </c>
      <c r="E98" s="186">
        <f t="shared" si="3"/>
        <v>8.6065180858422661E-3</v>
      </c>
      <c r="F98" s="216"/>
      <c r="G98" s="216"/>
      <c r="H98" s="186">
        <f t="shared" si="4"/>
        <v>1.4361941089954729E-2</v>
      </c>
      <c r="I98" s="186">
        <f t="shared" si="5"/>
        <v>2.5849375915039899E-2</v>
      </c>
      <c r="J98" s="258">
        <f t="shared" si="6"/>
        <v>0.66075290978739165</v>
      </c>
      <c r="K98" s="258">
        <f t="shared" si="7"/>
        <v>1.1587501875892489E-3</v>
      </c>
      <c r="L98" s="315">
        <f t="shared" si="8"/>
        <v>0.441210551607854</v>
      </c>
      <c r="N98" s="258">
        <f t="shared" si="9"/>
        <v>0.71072949506581784</v>
      </c>
    </row>
    <row r="99" spans="2:14">
      <c r="B99" s="252"/>
      <c r="C99" s="252" t="s">
        <v>301</v>
      </c>
      <c r="D99" s="36" t="s">
        <v>2</v>
      </c>
      <c r="E99" s="187">
        <f t="shared" si="3"/>
        <v>8.6065180858422661E-3</v>
      </c>
      <c r="F99" s="218"/>
      <c r="G99" s="218"/>
      <c r="H99" s="187">
        <f t="shared" si="4"/>
        <v>1.4361941089954729E-2</v>
      </c>
      <c r="I99" s="187">
        <f t="shared" si="5"/>
        <v>2.5849375915039899E-2</v>
      </c>
      <c r="J99" s="259">
        <f t="shared" si="6"/>
        <v>0.66075290978739165</v>
      </c>
      <c r="K99" s="259">
        <f t="shared" si="7"/>
        <v>1.1587501875892489E-3</v>
      </c>
      <c r="L99" s="316">
        <f t="shared" si="8"/>
        <v>0.441210551607854</v>
      </c>
      <c r="N99" s="259">
        <f t="shared" si="9"/>
        <v>0.71072949506581784</v>
      </c>
    </row>
    <row r="100" spans="2:14" ht="15.75" thickBot="1">
      <c r="B100" s="253"/>
      <c r="C100" s="253" t="s">
        <v>301</v>
      </c>
      <c r="D100" s="37" t="s">
        <v>4</v>
      </c>
      <c r="E100" s="188">
        <f t="shared" si="3"/>
        <v>8.6065180858422661E-3</v>
      </c>
      <c r="F100" s="220"/>
      <c r="G100" s="220"/>
      <c r="H100" s="188">
        <f t="shared" si="4"/>
        <v>1.4361941089954729E-2</v>
      </c>
      <c r="I100" s="188">
        <f t="shared" si="5"/>
        <v>2.5849375915039899E-2</v>
      </c>
      <c r="J100" s="147">
        <f t="shared" si="6"/>
        <v>0.66075290978739165</v>
      </c>
      <c r="K100" s="147">
        <f t="shared" si="7"/>
        <v>1.1587501875892489E-3</v>
      </c>
      <c r="L100" s="317">
        <f t="shared" si="8"/>
        <v>0.441210551607854</v>
      </c>
      <c r="N100" s="147">
        <f t="shared" si="9"/>
        <v>0.71072949506581784</v>
      </c>
    </row>
    <row r="101" spans="2:14">
      <c r="B101" s="251"/>
      <c r="C101" s="251" t="s">
        <v>304</v>
      </c>
      <c r="D101" s="35" t="s">
        <v>0</v>
      </c>
      <c r="E101" s="186">
        <f t="shared" si="3"/>
        <v>8.6065180858422661E-3</v>
      </c>
      <c r="F101" s="216"/>
      <c r="G101" s="216"/>
      <c r="H101" s="186">
        <f t="shared" si="4"/>
        <v>1.4361941089954729E-2</v>
      </c>
      <c r="I101" s="186">
        <f t="shared" si="5"/>
        <v>3.231171989379987E-2</v>
      </c>
      <c r="J101" s="258">
        <f t="shared" si="6"/>
        <v>0.65712473246378533</v>
      </c>
      <c r="K101" s="258">
        <f t="shared" si="7"/>
        <v>1.1587501875892489E-3</v>
      </c>
      <c r="L101" s="315">
        <f t="shared" si="8"/>
        <v>0.43922801507580311</v>
      </c>
      <c r="N101" s="258">
        <f t="shared" si="9"/>
        <v>0.71356366172097141</v>
      </c>
    </row>
    <row r="102" spans="2:14">
      <c r="B102" s="252"/>
      <c r="C102" s="252" t="s">
        <v>304</v>
      </c>
      <c r="D102" s="36" t="s">
        <v>2</v>
      </c>
      <c r="E102" s="187">
        <f t="shared" si="3"/>
        <v>8.6065180858422661E-3</v>
      </c>
      <c r="F102" s="218"/>
      <c r="G102" s="218"/>
      <c r="H102" s="187">
        <f t="shared" si="4"/>
        <v>1.4361941089954729E-2</v>
      </c>
      <c r="I102" s="187">
        <f t="shared" si="5"/>
        <v>4.3082293191733165E-2</v>
      </c>
      <c r="J102" s="259">
        <f t="shared" si="6"/>
        <v>0.64687781762154328</v>
      </c>
      <c r="K102" s="259">
        <f t="shared" si="7"/>
        <v>6.9525011255354928E-4</v>
      </c>
      <c r="L102" s="316">
        <f t="shared" si="8"/>
        <v>0.43314484734204306</v>
      </c>
      <c r="N102" s="259">
        <f t="shared" si="9"/>
        <v>0.71362382010162706</v>
      </c>
    </row>
    <row r="103" spans="2:14" ht="15.75" thickBot="1">
      <c r="B103" s="253"/>
      <c r="C103" s="253" t="s">
        <v>304</v>
      </c>
      <c r="D103" s="37" t="s">
        <v>4</v>
      </c>
      <c r="E103" s="188">
        <f t="shared" si="3"/>
        <v>9.8208771525243217E-3</v>
      </c>
      <c r="F103" s="220"/>
      <c r="G103" s="220"/>
      <c r="H103" s="188">
        <f t="shared" si="4"/>
        <v>6.4610293333760655E-3</v>
      </c>
      <c r="I103" s="188">
        <f t="shared" si="5"/>
        <v>4.0389649867249841E-2</v>
      </c>
      <c r="J103" s="147">
        <f t="shared" si="6"/>
        <v>0.65712473246378533</v>
      </c>
      <c r="K103" s="147">
        <f t="shared" si="7"/>
        <v>9.2700015007139919E-4</v>
      </c>
      <c r="L103" s="317">
        <f t="shared" si="8"/>
        <v>0.43994999565051846</v>
      </c>
      <c r="N103" s="147">
        <f t="shared" si="9"/>
        <v>0.71472328896700699</v>
      </c>
    </row>
    <row r="104" spans="2:14">
      <c r="B104" s="251"/>
      <c r="C104" s="251" t="s">
        <v>306</v>
      </c>
      <c r="D104" s="35" t="s">
        <v>0</v>
      </c>
      <c r="E104" s="186">
        <f t="shared" si="3"/>
        <v>8.6065180858422661E-3</v>
      </c>
      <c r="F104" s="216"/>
      <c r="G104" s="216"/>
      <c r="H104" s="186">
        <f t="shared" si="4"/>
        <v>1.4361941089954729E-2</v>
      </c>
      <c r="I104" s="186">
        <f t="shared" si="5"/>
        <v>3.231171989379987E-2</v>
      </c>
      <c r="J104" s="258">
        <f t="shared" si="6"/>
        <v>0.65886856727153487</v>
      </c>
      <c r="K104" s="258">
        <f t="shared" si="7"/>
        <v>9.2700015007139919E-4</v>
      </c>
      <c r="L104" s="315">
        <f t="shared" si="8"/>
        <v>0.44038134907680987</v>
      </c>
      <c r="N104" s="258">
        <f t="shared" si="9"/>
        <v>0.7150757464912032</v>
      </c>
    </row>
    <row r="105" spans="2:14">
      <c r="B105" s="252"/>
      <c r="C105" s="252" t="s">
        <v>306</v>
      </c>
      <c r="D105" s="36" t="s">
        <v>2</v>
      </c>
      <c r="E105" s="187">
        <f t="shared" si="3"/>
        <v>8.6065180858422661E-3</v>
      </c>
      <c r="F105" s="218"/>
      <c r="G105" s="218"/>
      <c r="H105" s="187">
        <f t="shared" si="4"/>
        <v>1.4361941089954729E-2</v>
      </c>
      <c r="I105" s="187">
        <f t="shared" si="5"/>
        <v>3.231171989379987E-2</v>
      </c>
      <c r="J105" s="259">
        <f t="shared" si="6"/>
        <v>0.65894150722253408</v>
      </c>
      <c r="K105" s="259">
        <f t="shared" si="7"/>
        <v>9.2700015007139919E-4</v>
      </c>
      <c r="L105" s="316">
        <f t="shared" si="8"/>
        <v>0.44042960118903335</v>
      </c>
      <c r="N105" s="259">
        <f t="shared" si="9"/>
        <v>0.71514868644220231</v>
      </c>
    </row>
    <row r="106" spans="2:14" ht="15.75" thickBot="1">
      <c r="B106" s="253"/>
      <c r="C106" s="253" t="s">
        <v>306</v>
      </c>
      <c r="D106" s="37" t="s">
        <v>4</v>
      </c>
      <c r="E106" s="188">
        <f t="shared" si="3"/>
        <v>8.6065180858422661E-3</v>
      </c>
      <c r="F106" s="220"/>
      <c r="G106" s="220"/>
      <c r="H106" s="188">
        <f t="shared" si="4"/>
        <v>1.4361941089954729E-2</v>
      </c>
      <c r="I106" s="188">
        <f t="shared" si="5"/>
        <v>4.6159599848285528E-2</v>
      </c>
      <c r="J106" s="147">
        <f t="shared" si="6"/>
        <v>0.64687781762154328</v>
      </c>
      <c r="K106" s="147">
        <f t="shared" si="7"/>
        <v>6.9525011255354928E-4</v>
      </c>
      <c r="L106" s="317">
        <f t="shared" si="8"/>
        <v>0.43334371348347073</v>
      </c>
      <c r="N106" s="147">
        <f t="shared" si="9"/>
        <v>0.71670112675817932</v>
      </c>
    </row>
    <row r="107" spans="2:14">
      <c r="B107" s="251"/>
      <c r="C107" s="251" t="s">
        <v>308</v>
      </c>
      <c r="D107" s="35" t="s">
        <v>0</v>
      </c>
      <c r="E107" s="186">
        <f t="shared" si="3"/>
        <v>8.6065180858422661E-3</v>
      </c>
      <c r="F107" s="216"/>
      <c r="G107" s="216"/>
      <c r="H107" s="186">
        <f t="shared" si="4"/>
        <v>1.4361941089954729E-2</v>
      </c>
      <c r="I107" s="186">
        <f t="shared" si="5"/>
        <v>3.5901910993110971E-2</v>
      </c>
      <c r="J107" s="258">
        <f t="shared" si="6"/>
        <v>0.65712473246378533</v>
      </c>
      <c r="K107" s="258">
        <f t="shared" si="7"/>
        <v>9.2700015007139919E-4</v>
      </c>
      <c r="L107" s="315">
        <f t="shared" si="8"/>
        <v>0.43945975703373591</v>
      </c>
      <c r="N107" s="258">
        <f t="shared" si="9"/>
        <v>0.71692210278276469</v>
      </c>
    </row>
    <row r="108" spans="2:14">
      <c r="B108" s="252"/>
      <c r="C108" s="252" t="s">
        <v>308</v>
      </c>
      <c r="D108" s="36" t="s">
        <v>2</v>
      </c>
      <c r="E108" s="187">
        <f t="shared" si="3"/>
        <v>8.6065180858422661E-3</v>
      </c>
      <c r="F108" s="218"/>
      <c r="G108" s="218"/>
      <c r="H108" s="187">
        <f t="shared" si="4"/>
        <v>1.4361941089954729E-2</v>
      </c>
      <c r="I108" s="187">
        <f t="shared" si="5"/>
        <v>3.5901910993110971E-2</v>
      </c>
      <c r="J108" s="259">
        <f t="shared" si="6"/>
        <v>0.65712473246378533</v>
      </c>
      <c r="K108" s="259">
        <f t="shared" si="7"/>
        <v>9.2700015007139919E-4</v>
      </c>
      <c r="L108" s="316">
        <f t="shared" si="8"/>
        <v>0.43945975703373591</v>
      </c>
      <c r="N108" s="259">
        <f t="shared" si="9"/>
        <v>0.71692210278276469</v>
      </c>
    </row>
    <row r="109" spans="2:14" ht="15.75" thickBot="1">
      <c r="B109" s="253"/>
      <c r="C109" s="253" t="s">
        <v>308</v>
      </c>
      <c r="D109" s="37" t="s">
        <v>4</v>
      </c>
      <c r="E109" s="188">
        <f t="shared" si="3"/>
        <v>8.6065180858422661E-3</v>
      </c>
      <c r="F109" s="220"/>
      <c r="G109" s="220"/>
      <c r="H109" s="188">
        <f t="shared" si="4"/>
        <v>1.4361941089954729E-2</v>
      </c>
      <c r="I109" s="188">
        <f t="shared" si="5"/>
        <v>3.5901910993110971E-2</v>
      </c>
      <c r="J109" s="147">
        <f t="shared" si="6"/>
        <v>0.65712473246378533</v>
      </c>
      <c r="K109" s="147">
        <f t="shared" si="7"/>
        <v>9.2700015007139919E-4</v>
      </c>
      <c r="L109" s="317">
        <f t="shared" si="8"/>
        <v>0.43945975703373591</v>
      </c>
      <c r="N109" s="147">
        <f t="shared" si="9"/>
        <v>0.71692210278276469</v>
      </c>
    </row>
    <row r="110" spans="2:14">
      <c r="B110" s="251"/>
      <c r="C110" s="251" t="s">
        <v>310</v>
      </c>
      <c r="D110" s="35" t="s">
        <v>0</v>
      </c>
      <c r="E110" s="186">
        <f t="shared" si="3"/>
        <v>8.6065180858422661E-3</v>
      </c>
      <c r="F110" s="216"/>
      <c r="G110" s="216"/>
      <c r="H110" s="186">
        <f t="shared" si="4"/>
        <v>1.4361941089954729E-2</v>
      </c>
      <c r="I110" s="186">
        <f t="shared" si="5"/>
        <v>4.3082293191733165E-2</v>
      </c>
      <c r="J110" s="258">
        <f t="shared" si="6"/>
        <v>0.65267606835731018</v>
      </c>
      <c r="K110" s="258">
        <f t="shared" si="7"/>
        <v>4.635000750356996E-4</v>
      </c>
      <c r="L110" s="315">
        <f t="shared" si="8"/>
        <v>0.43698030725181908</v>
      </c>
      <c r="N110" s="258">
        <f t="shared" si="9"/>
        <v>0.71919032079987599</v>
      </c>
    </row>
    <row r="111" spans="2:14">
      <c r="B111" s="252"/>
      <c r="C111" s="252" t="s">
        <v>310</v>
      </c>
      <c r="D111" s="36" t="s">
        <v>2</v>
      </c>
      <c r="E111" s="187">
        <f t="shared" si="3"/>
        <v>8.6065180858422661E-3</v>
      </c>
      <c r="F111" s="218"/>
      <c r="G111" s="218"/>
      <c r="H111" s="187">
        <f t="shared" si="4"/>
        <v>1.4361941089954729E-2</v>
      </c>
      <c r="I111" s="187">
        <f t="shared" si="5"/>
        <v>4.0389649867249841E-2</v>
      </c>
      <c r="J111" s="259">
        <f t="shared" si="6"/>
        <v>0.65712473246378533</v>
      </c>
      <c r="K111" s="259">
        <f t="shared" si="7"/>
        <v>9.2700015007139919E-4</v>
      </c>
      <c r="L111" s="316">
        <f t="shared" si="8"/>
        <v>0.43974977015665129</v>
      </c>
      <c r="N111" s="259">
        <f t="shared" si="9"/>
        <v>0.72140984165690358</v>
      </c>
    </row>
    <row r="112" spans="2:14" ht="15.75" thickBot="1">
      <c r="B112" s="253"/>
      <c r="C112" s="253" t="s">
        <v>310</v>
      </c>
      <c r="D112" s="37" t="s">
        <v>4</v>
      </c>
      <c r="E112" s="188">
        <f t="shared" si="3"/>
        <v>8.6065180858422661E-3</v>
      </c>
      <c r="F112" s="220"/>
      <c r="G112" s="220"/>
      <c r="H112" s="188">
        <f t="shared" si="4"/>
        <v>1.4361941089954729E-2</v>
      </c>
      <c r="I112" s="188">
        <f t="shared" si="5"/>
        <v>5.3852866489666452E-2</v>
      </c>
      <c r="J112" s="147">
        <f t="shared" si="6"/>
        <v>0.64687781762154328</v>
      </c>
      <c r="K112" s="147">
        <f t="shared" si="7"/>
        <v>4.635000750356996E-4</v>
      </c>
      <c r="L112" s="317">
        <f t="shared" si="8"/>
        <v>0.43384061029664051</v>
      </c>
      <c r="N112" s="147">
        <f t="shared" si="9"/>
        <v>0.72416264336204239</v>
      </c>
    </row>
    <row r="114" spans="4:14">
      <c r="K114" s="73" t="s">
        <v>483</v>
      </c>
      <c r="L114">
        <f>AVERAGE(L59:L112)</f>
        <v>0.43848488039000189</v>
      </c>
    </row>
    <row r="116" spans="4:14">
      <c r="M116" s="182" t="s">
        <v>484</v>
      </c>
      <c r="N116" s="184">
        <f>_xlfn.VAR.P(N59:N112)</f>
        <v>2.5025069824135865E-4</v>
      </c>
    </row>
    <row r="117" spans="4:14">
      <c r="D117" s="182" t="s">
        <v>485</v>
      </c>
      <c r="E117" s="181">
        <v>54</v>
      </c>
      <c r="L117" s="182" t="s">
        <v>486</v>
      </c>
    </row>
    <row r="118" spans="4:14">
      <c r="D118" t="s">
        <v>487</v>
      </c>
      <c r="E118" s="197">
        <f>_xlfn.VAR.P(E59:E112)</f>
        <v>1.5344409927317436E-6</v>
      </c>
      <c r="F118" s="197"/>
      <c r="G118" s="197"/>
      <c r="H118" s="197">
        <f>_xlfn.VAR.P(H59:H112)</f>
        <v>1.4153867079696349E-5</v>
      </c>
      <c r="I118" s="197">
        <f>_xlfn.VAR.P(I59:I112)</f>
        <v>2.1151479452228105E-4</v>
      </c>
      <c r="J118" s="197">
        <f>_xlfn.VAR.P(J59:J112)</f>
        <v>2.2994890838845285E-5</v>
      </c>
      <c r="K118" s="197">
        <f>_xlfn.VAR.P(K59:K112)</f>
        <v>5.0558531994768717E-8</v>
      </c>
      <c r="L118">
        <f>SUM(E118,H118:K118)</f>
        <v>2.5024855196554917E-4</v>
      </c>
    </row>
    <row r="119" spans="4:14">
      <c r="D119" s="182" t="s">
        <v>488</v>
      </c>
      <c r="E119" s="183">
        <f>(E117/(E117-1))*(1-(L118/N116))</f>
        <v>8.7383235884932758E-6</v>
      </c>
      <c r="L119" s="182"/>
    </row>
  </sheetData>
  <autoFilter ref="B2:L2" xr:uid="{12215E7A-C483-44EF-B122-F52455C4C678}">
    <sortState xmlns:xlrd2="http://schemas.microsoft.com/office/spreadsheetml/2017/richdata2" ref="B3:L56">
      <sortCondition ref="B2"/>
    </sortState>
  </autoFilter>
  <mergeCells count="1">
    <mergeCell ref="P7:Q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6703-3F4C-4C7E-AA73-6C260DAEDC46}">
  <dimension ref="B1:V114"/>
  <sheetViews>
    <sheetView workbookViewId="0">
      <pane xSplit="4" ySplit="2" topLeftCell="E3" activePane="bottomRight" state="frozen"/>
      <selection pane="bottomRight" activeCell="G5" sqref="G5"/>
      <selection pane="bottomLeft" activeCell="A3" sqref="A3"/>
      <selection pane="topRight" activeCell="E1" sqref="E1"/>
    </sheetView>
  </sheetViews>
  <sheetFormatPr defaultColWidth="11.42578125" defaultRowHeight="15"/>
  <cols>
    <col min="1" max="1" width="3.42578125" customWidth="1"/>
    <col min="2" max="2" width="12.28515625" bestFit="1" customWidth="1"/>
    <col min="3" max="3" width="9.28515625" bestFit="1" customWidth="1"/>
    <col min="4" max="4" width="11.7109375" bestFit="1" customWidth="1"/>
    <col min="5" max="5" width="20.85546875" bestFit="1" customWidth="1"/>
    <col min="6" max="6" width="25.140625" bestFit="1" customWidth="1"/>
    <col min="7" max="7" width="23.85546875" bestFit="1" customWidth="1"/>
    <col min="8" max="8" width="23.28515625" bestFit="1" customWidth="1"/>
    <col min="9" max="9" width="32.28515625" bestFit="1" customWidth="1"/>
    <col min="10" max="10" width="20.5703125" bestFit="1" customWidth="1"/>
    <col min="11" max="11" width="38.28515625" bestFit="1" customWidth="1"/>
    <col min="12" max="12" width="12" bestFit="1" customWidth="1"/>
    <col min="13" max="13" width="3.42578125" bestFit="1" customWidth="1"/>
    <col min="14" max="14" width="7.7109375" bestFit="1" customWidth="1"/>
    <col min="15" max="15" width="7.42578125" bestFit="1" customWidth="1"/>
    <col min="17" max="17" width="7.5703125" bestFit="1" customWidth="1"/>
  </cols>
  <sheetData>
    <row r="1" spans="2:22" ht="15.75" thickBot="1"/>
    <row r="2" spans="2:22">
      <c r="B2" s="268" t="s">
        <v>472</v>
      </c>
      <c r="C2" s="269" t="s">
        <v>250</v>
      </c>
      <c r="D2" s="269" t="s">
        <v>473</v>
      </c>
      <c r="E2" s="269" t="s">
        <v>405</v>
      </c>
      <c r="F2" s="270" t="s">
        <v>474</v>
      </c>
      <c r="G2" s="270" t="s">
        <v>407</v>
      </c>
      <c r="H2" s="269" t="s">
        <v>408</v>
      </c>
      <c r="I2" s="269" t="s">
        <v>409</v>
      </c>
      <c r="J2" s="269" t="s">
        <v>426</v>
      </c>
      <c r="K2" s="269" t="s">
        <v>489</v>
      </c>
      <c r="L2" s="269" t="s">
        <v>410</v>
      </c>
    </row>
    <row r="3" spans="2:22">
      <c r="B3" s="292">
        <v>1</v>
      </c>
      <c r="C3" s="276" t="s">
        <v>257</v>
      </c>
      <c r="D3" s="276" t="s">
        <v>0</v>
      </c>
      <c r="E3" s="266">
        <v>4.2711300092262094E-2</v>
      </c>
      <c r="F3" s="266">
        <v>0.33333000000000002</v>
      </c>
      <c r="G3" s="266">
        <v>190</v>
      </c>
      <c r="H3" s="266">
        <v>0.43891531874405326</v>
      </c>
      <c r="I3" s="266">
        <v>0</v>
      </c>
      <c r="J3" s="266">
        <v>0.97784810126582278</v>
      </c>
      <c r="K3" s="266">
        <v>0.6</v>
      </c>
      <c r="L3" s="367">
        <f t="shared" ref="L3:L34" si="0">E3*$O$8+H3*$O$9+I3*$O$10+J3*$O$11+K3*$O$12</f>
        <v>0.10893816876963251</v>
      </c>
    </row>
    <row r="4" spans="2:22">
      <c r="B4" s="292">
        <v>5</v>
      </c>
      <c r="C4" s="276" t="s">
        <v>257</v>
      </c>
      <c r="D4" s="276" t="s">
        <v>4</v>
      </c>
      <c r="E4" s="266">
        <v>3.5517871172467297E-2</v>
      </c>
      <c r="F4" s="266">
        <v>1.5</v>
      </c>
      <c r="G4" s="266">
        <v>1112.5999999999999</v>
      </c>
      <c r="H4" s="266">
        <v>0.44987159416042638</v>
      </c>
      <c r="I4" s="266">
        <v>0.16666666666666663</v>
      </c>
      <c r="J4" s="266">
        <v>0.97784810126582278</v>
      </c>
      <c r="K4" s="266">
        <v>0.6</v>
      </c>
      <c r="L4" s="367">
        <f t="shared" si="0"/>
        <v>0.11872510169076032</v>
      </c>
      <c r="U4">
        <v>0.6</v>
      </c>
      <c r="V4">
        <v>1.1000000000000001</v>
      </c>
    </row>
    <row r="5" spans="2:22">
      <c r="B5" s="272">
        <v>50</v>
      </c>
      <c r="C5" s="264" t="s">
        <v>257</v>
      </c>
      <c r="D5" s="264" t="s">
        <v>2</v>
      </c>
      <c r="E5" s="266">
        <v>3.3316775475447091E-2</v>
      </c>
      <c r="F5" s="266">
        <v>1.63</v>
      </c>
      <c r="G5" s="266">
        <v>61.6</v>
      </c>
      <c r="H5" s="266">
        <v>1</v>
      </c>
      <c r="I5" s="266">
        <v>0.66666666666666674</v>
      </c>
      <c r="J5" s="266">
        <v>0.97784810126582278</v>
      </c>
      <c r="K5" s="266">
        <v>0.6</v>
      </c>
      <c r="L5" s="267">
        <f t="shared" si="0"/>
        <v>0.18833686995809695</v>
      </c>
      <c r="U5">
        <v>0.8</v>
      </c>
      <c r="V5">
        <v>1.2</v>
      </c>
    </row>
    <row r="6" spans="2:22" ht="15.75" thickBot="1">
      <c r="B6" s="272">
        <v>4</v>
      </c>
      <c r="C6" s="264" t="s">
        <v>286</v>
      </c>
      <c r="D6" s="264" t="s">
        <v>0</v>
      </c>
      <c r="E6" s="266">
        <v>4.2470616551004925E-2</v>
      </c>
      <c r="F6" s="266">
        <v>0.33333000000000002</v>
      </c>
      <c r="G6" s="266">
        <v>190</v>
      </c>
      <c r="H6" s="266">
        <v>0.43891531874405326</v>
      </c>
      <c r="I6" s="266">
        <v>0</v>
      </c>
      <c r="J6" s="266">
        <v>0.99333777481678875</v>
      </c>
      <c r="K6" s="266">
        <v>0.8</v>
      </c>
      <c r="L6" s="267">
        <f t="shared" si="0"/>
        <v>0.1172515460787287</v>
      </c>
      <c r="U6">
        <v>0.60000000000000009</v>
      </c>
      <c r="V6">
        <v>2.1</v>
      </c>
    </row>
    <row r="7" spans="2:22" ht="15.75" thickBot="1">
      <c r="B7" s="272">
        <v>24</v>
      </c>
      <c r="C7" s="264" t="s">
        <v>286</v>
      </c>
      <c r="D7" s="264" t="s">
        <v>4</v>
      </c>
      <c r="E7" s="266">
        <v>3.5517871172467297E-2</v>
      </c>
      <c r="F7" s="266">
        <v>1.5</v>
      </c>
      <c r="G7" s="266">
        <v>1112.5999999999999</v>
      </c>
      <c r="H7" s="266">
        <v>0.44987159416042599</v>
      </c>
      <c r="I7" s="266">
        <v>0.375</v>
      </c>
      <c r="J7" s="266">
        <v>0.99333777481678875</v>
      </c>
      <c r="K7" s="266">
        <v>0.8</v>
      </c>
      <c r="L7" s="267">
        <f t="shared" si="0"/>
        <v>0.14591894502667829</v>
      </c>
      <c r="N7" s="458" t="s">
        <v>476</v>
      </c>
      <c r="O7" s="459"/>
      <c r="P7" s="458" t="s">
        <v>490</v>
      </c>
      <c r="Q7" s="459"/>
      <c r="U7">
        <v>0.8</v>
      </c>
      <c r="V7">
        <v>2.2000000000000002</v>
      </c>
    </row>
    <row r="8" spans="2:22">
      <c r="B8" s="272">
        <v>45</v>
      </c>
      <c r="C8" s="264" t="s">
        <v>286</v>
      </c>
      <c r="D8" s="264" t="s">
        <v>2</v>
      </c>
      <c r="E8" s="266">
        <v>3.3316775475447091E-2</v>
      </c>
      <c r="F8" s="266">
        <v>1.63</v>
      </c>
      <c r="G8" s="266">
        <v>61.6</v>
      </c>
      <c r="H8" s="266">
        <v>1</v>
      </c>
      <c r="I8" s="266">
        <v>0.5</v>
      </c>
      <c r="J8" s="266">
        <v>0.99333777481678875</v>
      </c>
      <c r="K8" s="266">
        <v>0.8</v>
      </c>
      <c r="L8" s="267">
        <f t="shared" si="0"/>
        <v>0.18188872727664962</v>
      </c>
      <c r="N8" s="82" t="s">
        <v>491</v>
      </c>
      <c r="O8" s="260">
        <v>0.79138687239386862</v>
      </c>
      <c r="P8" s="82" t="s">
        <v>491</v>
      </c>
      <c r="Q8" s="260">
        <v>0.79466479156724845</v>
      </c>
      <c r="U8">
        <v>0.60000000000000009</v>
      </c>
      <c r="V8">
        <v>3.1</v>
      </c>
    </row>
    <row r="9" spans="2:22">
      <c r="B9" s="298">
        <v>2</v>
      </c>
      <c r="C9" s="282" t="s">
        <v>261</v>
      </c>
      <c r="D9" s="282" t="s">
        <v>0</v>
      </c>
      <c r="E9" s="266">
        <v>4.5218420313690944E-2</v>
      </c>
      <c r="F9" s="266">
        <v>0.33333000000000002</v>
      </c>
      <c r="G9" s="266">
        <v>190</v>
      </c>
      <c r="H9" s="266">
        <v>0.43891531874405326</v>
      </c>
      <c r="I9" s="266">
        <v>0</v>
      </c>
      <c r="J9" s="266">
        <v>0.9866129843985908</v>
      </c>
      <c r="K9" s="266">
        <v>0.6</v>
      </c>
      <c r="L9" s="369">
        <f t="shared" si="0"/>
        <v>0.11119032831087863</v>
      </c>
      <c r="N9" s="83" t="s">
        <v>492</v>
      </c>
      <c r="O9" s="261">
        <v>4.8166400551367082E-2</v>
      </c>
      <c r="P9" s="83" t="s">
        <v>492</v>
      </c>
      <c r="Q9" s="261">
        <v>4.8358655766572022E-2</v>
      </c>
      <c r="U9">
        <v>0.8</v>
      </c>
      <c r="V9">
        <v>3.2</v>
      </c>
    </row>
    <row r="10" spans="2:22">
      <c r="B10" s="272">
        <v>21</v>
      </c>
      <c r="C10" s="264" t="s">
        <v>261</v>
      </c>
      <c r="D10" s="264" t="s">
        <v>4</v>
      </c>
      <c r="E10" s="266">
        <v>3.8017692613792953E-2</v>
      </c>
      <c r="F10" s="266">
        <v>1.5</v>
      </c>
      <c r="G10" s="266">
        <v>1112.5999999999999</v>
      </c>
      <c r="H10" s="266">
        <v>0.44987159416042638</v>
      </c>
      <c r="I10" s="266">
        <v>0.33333333333333337</v>
      </c>
      <c r="J10" s="266">
        <v>0.9866129843985908</v>
      </c>
      <c r="K10" s="266">
        <v>0.6</v>
      </c>
      <c r="L10" s="267">
        <f t="shared" si="0"/>
        <v>0.13592347885874401</v>
      </c>
      <c r="N10" s="83" t="s">
        <v>493</v>
      </c>
      <c r="O10" s="261">
        <v>8.97119627129742E-2</v>
      </c>
      <c r="P10" s="83" t="s">
        <v>493</v>
      </c>
      <c r="Q10" s="261">
        <v>9.0102412076106198E-2</v>
      </c>
      <c r="U10">
        <v>0.5</v>
      </c>
      <c r="V10">
        <v>4.0999999999999996</v>
      </c>
    </row>
    <row r="11" spans="2:22">
      <c r="B11" s="272">
        <v>52</v>
      </c>
      <c r="C11" s="264" t="s">
        <v>261</v>
      </c>
      <c r="D11" s="264" t="s">
        <v>2</v>
      </c>
      <c r="E11" s="266">
        <v>3.3316775475447091E-2</v>
      </c>
      <c r="F11" s="266">
        <v>1.63</v>
      </c>
      <c r="G11" s="266">
        <v>61.6</v>
      </c>
      <c r="H11" s="266">
        <v>1</v>
      </c>
      <c r="I11" s="266">
        <v>0.66666666666666674</v>
      </c>
      <c r="J11" s="266">
        <v>0.9866129843985908</v>
      </c>
      <c r="K11" s="266">
        <v>0.6</v>
      </c>
      <c r="L11" s="267">
        <f t="shared" si="0"/>
        <v>0.18860492746859109</v>
      </c>
      <c r="N11" s="83" t="s">
        <v>494</v>
      </c>
      <c r="O11" s="261">
        <v>3.0583124319363015E-2</v>
      </c>
      <c r="P11" s="83" t="s">
        <v>494</v>
      </c>
      <c r="Q11" s="261">
        <v>3.0663830300672726E-2</v>
      </c>
      <c r="U11">
        <v>0.7</v>
      </c>
      <c r="V11">
        <v>4.2</v>
      </c>
    </row>
    <row r="12" spans="2:22" ht="15.75" thickBot="1">
      <c r="B12" s="272">
        <v>6</v>
      </c>
      <c r="C12" s="264" t="s">
        <v>290</v>
      </c>
      <c r="D12" s="264" t="s">
        <v>0</v>
      </c>
      <c r="E12" s="266">
        <v>4.4977736772433774E-2</v>
      </c>
      <c r="F12" s="266">
        <v>0.33333000000000002</v>
      </c>
      <c r="G12" s="266">
        <v>190</v>
      </c>
      <c r="H12" s="266">
        <v>0.43891531874405326</v>
      </c>
      <c r="I12" s="266">
        <v>0</v>
      </c>
      <c r="J12" s="266">
        <v>0.99597382989431305</v>
      </c>
      <c r="K12" s="266">
        <v>0.8</v>
      </c>
      <c r="L12" s="267">
        <f t="shared" si="0"/>
        <v>0.11931626690962929</v>
      </c>
      <c r="N12" s="84" t="s">
        <v>495</v>
      </c>
      <c r="O12" s="262">
        <v>4.0150642460864167E-2</v>
      </c>
      <c r="P12" s="84" t="s">
        <v>495</v>
      </c>
      <c r="Q12" s="262">
        <v>3.6209312736379208E-2</v>
      </c>
      <c r="U12">
        <v>0.7</v>
      </c>
      <c r="V12">
        <v>5.0999999999999996</v>
      </c>
    </row>
    <row r="13" spans="2:22" ht="15.75" thickBot="1">
      <c r="B13" s="272">
        <v>32</v>
      </c>
      <c r="C13" s="264" t="s">
        <v>290</v>
      </c>
      <c r="D13" s="264" t="s">
        <v>4</v>
      </c>
      <c r="E13" s="266">
        <v>3.8017692613792953E-2</v>
      </c>
      <c r="F13" s="266">
        <v>1.5</v>
      </c>
      <c r="G13" s="266">
        <v>1112.5999999999999</v>
      </c>
      <c r="H13" s="266">
        <v>0.44987159416042638</v>
      </c>
      <c r="I13" s="266">
        <v>0.5</v>
      </c>
      <c r="J13" s="266">
        <v>0.99597382989431305</v>
      </c>
      <c r="K13" s="266">
        <v>0.8</v>
      </c>
      <c r="L13" s="267">
        <f t="shared" si="0"/>
        <v>0.15919188503794254</v>
      </c>
      <c r="U13">
        <v>0.7</v>
      </c>
      <c r="V13">
        <v>5.2</v>
      </c>
    </row>
    <row r="14" spans="2:22" ht="15.75" thickBot="1">
      <c r="B14" s="272">
        <v>46</v>
      </c>
      <c r="C14" s="264" t="s">
        <v>290</v>
      </c>
      <c r="D14" s="264" t="s">
        <v>2</v>
      </c>
      <c r="E14" s="266">
        <v>3.3316775475447091E-2</v>
      </c>
      <c r="F14" s="266">
        <v>1.63</v>
      </c>
      <c r="G14" s="266">
        <v>61.6</v>
      </c>
      <c r="H14" s="266">
        <v>1</v>
      </c>
      <c r="I14" s="266">
        <v>0.5</v>
      </c>
      <c r="J14" s="266">
        <v>0.99597382989431305</v>
      </c>
      <c r="K14" s="266">
        <v>0.8</v>
      </c>
      <c r="L14" s="267">
        <f t="shared" si="0"/>
        <v>0.18196934607679821</v>
      </c>
      <c r="N14" s="189" t="s">
        <v>482</v>
      </c>
      <c r="O14" s="196">
        <f>SUM(O8:O12)</f>
        <v>0.9999990024384372</v>
      </c>
      <c r="P14" s="189" t="s">
        <v>482</v>
      </c>
      <c r="Q14" s="196">
        <f>SUM(Q8:Q12)</f>
        <v>0.9999990024469787</v>
      </c>
    </row>
    <row r="15" spans="2:22" ht="15.75" thickBot="1">
      <c r="B15" s="300">
        <v>14</v>
      </c>
      <c r="C15" s="285" t="s">
        <v>264</v>
      </c>
      <c r="D15" s="285" t="s">
        <v>0</v>
      </c>
      <c r="E15" s="266">
        <v>4.5218420313690944E-2</v>
      </c>
      <c r="F15" s="266">
        <v>0.33333000000000002</v>
      </c>
      <c r="G15" s="266">
        <v>190</v>
      </c>
      <c r="H15" s="266">
        <v>0.43891531874405326</v>
      </c>
      <c r="I15" s="266">
        <v>0.16666666666666663</v>
      </c>
      <c r="J15" s="266">
        <v>0.97784810126582278</v>
      </c>
      <c r="K15" s="266">
        <v>0.6</v>
      </c>
      <c r="L15" s="311">
        <f t="shared" si="0"/>
        <v>0.12587426458588022</v>
      </c>
    </row>
    <row r="16" spans="2:22" ht="15.75" thickBot="1">
      <c r="B16" s="300">
        <v>25</v>
      </c>
      <c r="C16" s="285" t="s">
        <v>264</v>
      </c>
      <c r="D16" s="285" t="s">
        <v>4</v>
      </c>
      <c r="E16" s="266">
        <v>3.8017692613792953E-2</v>
      </c>
      <c r="F16" s="266">
        <v>1.5</v>
      </c>
      <c r="G16" s="266">
        <v>1112.5999999999999</v>
      </c>
      <c r="H16" s="266">
        <v>0.44987159416042638</v>
      </c>
      <c r="I16" s="266">
        <v>0.5</v>
      </c>
      <c r="J16" s="266">
        <v>0.97784810126582278</v>
      </c>
      <c r="K16" s="266">
        <v>0.6</v>
      </c>
      <c r="L16" s="311">
        <f t="shared" si="0"/>
        <v>0.15060741513374556</v>
      </c>
      <c r="N16" s="426" t="s">
        <v>490</v>
      </c>
      <c r="O16" s="427"/>
      <c r="P16" s="427"/>
      <c r="Q16" s="428"/>
    </row>
    <row r="17" spans="2:22">
      <c r="B17" s="304">
        <v>54</v>
      </c>
      <c r="C17" s="289" t="s">
        <v>264</v>
      </c>
      <c r="D17" s="289" t="s">
        <v>2</v>
      </c>
      <c r="E17" s="266">
        <v>3.3316775475447091E-2</v>
      </c>
      <c r="F17" s="266">
        <v>1.63</v>
      </c>
      <c r="G17" s="266">
        <v>61.6</v>
      </c>
      <c r="H17" s="266">
        <v>1</v>
      </c>
      <c r="I17" s="266">
        <v>0.83333333333333337</v>
      </c>
      <c r="J17" s="266">
        <v>0.97784810126582278</v>
      </c>
      <c r="K17" s="266">
        <v>0.6</v>
      </c>
      <c r="L17" s="370">
        <f t="shared" si="0"/>
        <v>0.20328886374359265</v>
      </c>
      <c r="N17" s="268" t="s">
        <v>472</v>
      </c>
      <c r="O17" s="269" t="s">
        <v>250</v>
      </c>
      <c r="P17" s="269" t="s">
        <v>473</v>
      </c>
      <c r="Q17" s="271" t="s">
        <v>410</v>
      </c>
    </row>
    <row r="18" spans="2:22">
      <c r="B18" s="300">
        <v>16</v>
      </c>
      <c r="C18" s="285" t="s">
        <v>294</v>
      </c>
      <c r="D18" s="285" t="s">
        <v>0</v>
      </c>
      <c r="E18" s="266">
        <v>4.4977736772433774E-2</v>
      </c>
      <c r="F18" s="266">
        <v>0.33333000000000002</v>
      </c>
      <c r="G18" s="266">
        <v>190</v>
      </c>
      <c r="H18" s="266">
        <v>0.43891531874405326</v>
      </c>
      <c r="I18" s="266">
        <v>0.125</v>
      </c>
      <c r="J18" s="266">
        <v>0.99333777481678875</v>
      </c>
      <c r="K18" s="266">
        <v>0.8</v>
      </c>
      <c r="L18" s="311">
        <f t="shared" si="0"/>
        <v>0.13044964344860246</v>
      </c>
      <c r="N18" s="292">
        <v>1</v>
      </c>
      <c r="O18" s="276" t="s">
        <v>261</v>
      </c>
      <c r="P18" s="276" t="s">
        <v>0</v>
      </c>
      <c r="Q18" s="293">
        <v>0.10232946762468062</v>
      </c>
    </row>
    <row r="19" spans="2:22">
      <c r="B19" s="304">
        <v>40</v>
      </c>
      <c r="C19" s="289" t="s">
        <v>294</v>
      </c>
      <c r="D19" s="289" t="s">
        <v>4</v>
      </c>
      <c r="E19" s="266">
        <v>3.8017692613792953E-2</v>
      </c>
      <c r="F19" s="266">
        <v>1.5</v>
      </c>
      <c r="G19" s="266">
        <v>1112.5999999999999</v>
      </c>
      <c r="H19" s="266">
        <v>0.44987159416042638</v>
      </c>
      <c r="I19" s="266">
        <v>0.625</v>
      </c>
      <c r="J19" s="266">
        <v>0.99333777481678875</v>
      </c>
      <c r="K19" s="266">
        <v>0.8</v>
      </c>
      <c r="L19" s="370">
        <f t="shared" si="0"/>
        <v>0.17032526157691574</v>
      </c>
      <c r="N19" s="298">
        <v>2</v>
      </c>
      <c r="O19" s="282" t="s">
        <v>257</v>
      </c>
      <c r="P19" s="282" t="s">
        <v>0</v>
      </c>
      <c r="Q19" s="325">
        <v>0.1075720905399897</v>
      </c>
    </row>
    <row r="20" spans="2:22">
      <c r="B20" s="300">
        <v>53</v>
      </c>
      <c r="C20" s="285" t="s">
        <v>294</v>
      </c>
      <c r="D20" s="285" t="s">
        <v>2</v>
      </c>
      <c r="E20" s="266">
        <v>3.3316775475447091E-2</v>
      </c>
      <c r="F20" s="266">
        <v>1.63</v>
      </c>
      <c r="G20" s="266">
        <v>61.6</v>
      </c>
      <c r="H20" s="266">
        <v>1</v>
      </c>
      <c r="I20" s="266">
        <v>0.625</v>
      </c>
      <c r="J20" s="266">
        <v>0.99333777481678875</v>
      </c>
      <c r="K20" s="266">
        <v>0.8</v>
      </c>
      <c r="L20" s="311">
        <f t="shared" si="0"/>
        <v>0.19310272261577141</v>
      </c>
      <c r="N20" s="300">
        <v>3</v>
      </c>
      <c r="O20" s="285" t="s">
        <v>264</v>
      </c>
      <c r="P20" s="285" t="s">
        <v>0</v>
      </c>
      <c r="Q20" s="324">
        <v>0.11705369318629602</v>
      </c>
    </row>
    <row r="21" spans="2:22">
      <c r="B21" s="300">
        <v>7</v>
      </c>
      <c r="C21" s="285" t="s">
        <v>268</v>
      </c>
      <c r="D21" s="285" t="s">
        <v>0</v>
      </c>
      <c r="E21" s="266">
        <v>4.5218420313690944E-2</v>
      </c>
      <c r="F21" s="266">
        <v>0.33333000000000002</v>
      </c>
      <c r="G21" s="266">
        <v>190</v>
      </c>
      <c r="H21" s="266">
        <v>0.43891531874405326</v>
      </c>
      <c r="I21" s="266">
        <v>0.1428571428571429</v>
      </c>
      <c r="J21" s="266">
        <v>0.97784810126582278</v>
      </c>
      <c r="K21" s="266">
        <v>0.5</v>
      </c>
      <c r="L21" s="311">
        <f t="shared" si="0"/>
        <v>0.11972320122758014</v>
      </c>
      <c r="N21" s="292">
        <v>4</v>
      </c>
      <c r="O21" s="276" t="s">
        <v>257</v>
      </c>
      <c r="P21" s="276" t="s">
        <v>4</v>
      </c>
      <c r="Q21" s="293">
        <v>0.11738578540544134</v>
      </c>
    </row>
    <row r="22" spans="2:22">
      <c r="B22" s="300">
        <v>22</v>
      </c>
      <c r="C22" s="285" t="s">
        <v>268</v>
      </c>
      <c r="D22" s="285" t="s">
        <v>4</v>
      </c>
      <c r="E22" s="266">
        <v>3.68443070392932E-2</v>
      </c>
      <c r="F22" s="266">
        <v>1.5</v>
      </c>
      <c r="G22" s="266">
        <v>1112.5999999999999</v>
      </c>
      <c r="H22" s="266">
        <v>0.44987159416042638</v>
      </c>
      <c r="I22" s="266">
        <v>0.4285714285714286</v>
      </c>
      <c r="J22" s="266">
        <v>0.97784810126582278</v>
      </c>
      <c r="K22" s="266">
        <v>0.5</v>
      </c>
      <c r="L22" s="311">
        <f t="shared" si="0"/>
        <v>0.13925575161110271</v>
      </c>
      <c r="N22" s="272">
        <v>5</v>
      </c>
      <c r="O22" s="264" t="s">
        <v>290</v>
      </c>
      <c r="P22" s="264" t="s">
        <v>0</v>
      </c>
      <c r="Q22" s="326">
        <v>0.11742700052737666</v>
      </c>
    </row>
    <row r="23" spans="2:22">
      <c r="B23" s="300">
        <v>51</v>
      </c>
      <c r="C23" s="285" t="s">
        <v>268</v>
      </c>
      <c r="D23" s="285" t="s">
        <v>2</v>
      </c>
      <c r="E23" s="266">
        <v>3.3316775475447091E-2</v>
      </c>
      <c r="F23" s="266">
        <v>1.63</v>
      </c>
      <c r="G23" s="266">
        <v>61.6</v>
      </c>
      <c r="H23" s="266">
        <v>1</v>
      </c>
      <c r="I23" s="266">
        <v>0.7142857142857143</v>
      </c>
      <c r="J23" s="266">
        <v>0.97784810126582278</v>
      </c>
      <c r="K23" s="266">
        <v>0.5</v>
      </c>
      <c r="L23" s="311">
        <f t="shared" si="0"/>
        <v>0.18859380393643788</v>
      </c>
      <c r="N23" s="294">
        <v>6</v>
      </c>
      <c r="O23" s="279" t="s">
        <v>274</v>
      </c>
      <c r="P23" s="279" t="s">
        <v>0</v>
      </c>
      <c r="Q23" s="295">
        <v>0.11761427277338429</v>
      </c>
    </row>
    <row r="24" spans="2:22">
      <c r="B24" s="300">
        <v>11</v>
      </c>
      <c r="C24" s="285" t="s">
        <v>298</v>
      </c>
      <c r="D24" s="285" t="s">
        <v>0</v>
      </c>
      <c r="E24" s="266">
        <v>4.4867423482690794E-2</v>
      </c>
      <c r="F24" s="266">
        <v>0.33333000000000002</v>
      </c>
      <c r="G24" s="266">
        <v>190</v>
      </c>
      <c r="H24" s="266">
        <v>0.43891531874405326</v>
      </c>
      <c r="I24" s="266">
        <v>0.11111111111111116</v>
      </c>
      <c r="J24" s="266">
        <v>0.99333777481678875</v>
      </c>
      <c r="K24" s="266">
        <v>0.7</v>
      </c>
      <c r="L24" s="311">
        <f t="shared" si="0"/>
        <v>0.12510127923103823</v>
      </c>
      <c r="N24" s="300">
        <v>7</v>
      </c>
      <c r="O24" s="285" t="s">
        <v>268</v>
      </c>
      <c r="P24" s="285" t="s">
        <v>0</v>
      </c>
      <c r="Q24" s="324">
        <v>0.12241268430092533</v>
      </c>
    </row>
    <row r="25" spans="2:22">
      <c r="B25" s="300">
        <v>29</v>
      </c>
      <c r="C25" s="285" t="s">
        <v>298</v>
      </c>
      <c r="D25" s="285" t="s">
        <v>4</v>
      </c>
      <c r="E25" s="266">
        <v>3.68443070392932E-2</v>
      </c>
      <c r="F25" s="266">
        <v>1.5</v>
      </c>
      <c r="G25" s="266">
        <v>1112.5999999999999</v>
      </c>
      <c r="H25" s="266">
        <v>0.44987159416042638</v>
      </c>
      <c r="I25" s="266">
        <v>0.55555555555555558</v>
      </c>
      <c r="J25" s="266">
        <v>0.99333777481678875</v>
      </c>
      <c r="K25" s="266">
        <v>0.7</v>
      </c>
      <c r="L25" s="311">
        <f t="shared" si="0"/>
        <v>0.15915159798029066</v>
      </c>
      <c r="N25" s="272">
        <v>8</v>
      </c>
      <c r="O25" s="264" t="s">
        <v>286</v>
      </c>
      <c r="P25" s="264" t="s">
        <v>0</v>
      </c>
      <c r="Q25" s="326">
        <v>0.12285745346201503</v>
      </c>
    </row>
    <row r="26" spans="2:22">
      <c r="B26" s="300">
        <v>47</v>
      </c>
      <c r="C26" s="285" t="s">
        <v>298</v>
      </c>
      <c r="D26" s="285" t="s">
        <v>2</v>
      </c>
      <c r="E26" s="266">
        <v>3.3316775475447091E-2</v>
      </c>
      <c r="F26" s="266">
        <v>1.63</v>
      </c>
      <c r="G26" s="266">
        <v>61.6</v>
      </c>
      <c r="H26" s="266">
        <v>1</v>
      </c>
      <c r="I26" s="266">
        <v>0.55555555555555558</v>
      </c>
      <c r="J26" s="266">
        <v>0.99333777481678875</v>
      </c>
      <c r="K26" s="266">
        <v>0.7</v>
      </c>
      <c r="L26" s="311">
        <f t="shared" si="0"/>
        <v>0.18285766095906178</v>
      </c>
      <c r="N26" s="272">
        <v>9</v>
      </c>
      <c r="O26" s="264" t="s">
        <v>280</v>
      </c>
      <c r="P26" s="264" t="s">
        <v>0</v>
      </c>
      <c r="Q26" s="326">
        <v>0.12491744976635274</v>
      </c>
    </row>
    <row r="27" spans="2:22" ht="15.75" thickBot="1">
      <c r="B27" s="300">
        <v>11</v>
      </c>
      <c r="C27" s="285" t="s">
        <v>272</v>
      </c>
      <c r="D27" s="285" t="s">
        <v>0</v>
      </c>
      <c r="E27" s="266">
        <v>4.4867423482690794E-2</v>
      </c>
      <c r="F27" s="266">
        <v>0.33333000000000002</v>
      </c>
      <c r="G27" s="266">
        <v>190</v>
      </c>
      <c r="H27" s="266">
        <v>0.43891531874405326</v>
      </c>
      <c r="I27" s="266">
        <v>0.11111111111111116</v>
      </c>
      <c r="J27" s="266">
        <v>0.99333777481678875</v>
      </c>
      <c r="K27" s="266">
        <v>0.7</v>
      </c>
      <c r="L27" s="311">
        <f t="shared" si="0"/>
        <v>0.12510127923103823</v>
      </c>
      <c r="N27" s="273">
        <v>9</v>
      </c>
      <c r="O27" s="274" t="s">
        <v>308</v>
      </c>
      <c r="P27" s="274" t="s">
        <v>0</v>
      </c>
      <c r="Q27" s="327">
        <v>0.12491744976635274</v>
      </c>
    </row>
    <row r="28" spans="2:22" ht="15.75" thickBot="1">
      <c r="B28" s="300">
        <v>29</v>
      </c>
      <c r="C28" s="285" t="s">
        <v>272</v>
      </c>
      <c r="D28" s="285" t="s">
        <v>4</v>
      </c>
      <c r="E28" s="266">
        <v>3.68443070392932E-2</v>
      </c>
      <c r="F28" s="266">
        <v>1.5</v>
      </c>
      <c r="G28" s="266">
        <v>1112.5999999999999</v>
      </c>
      <c r="H28" s="266">
        <v>0.44987159416042638</v>
      </c>
      <c r="I28" s="266">
        <v>0.55555555555555558</v>
      </c>
      <c r="J28" s="266">
        <v>0.99333777481678875</v>
      </c>
      <c r="K28" s="266">
        <v>0.7</v>
      </c>
      <c r="L28" s="311">
        <f t="shared" si="0"/>
        <v>0.15915159798029066</v>
      </c>
      <c r="N28" s="383"/>
      <c r="O28" s="384"/>
      <c r="P28" s="384"/>
      <c r="Q28" s="385"/>
    </row>
    <row r="29" spans="2:22" ht="15.75" thickBot="1">
      <c r="B29" s="300">
        <v>47</v>
      </c>
      <c r="C29" s="285" t="s">
        <v>272</v>
      </c>
      <c r="D29" s="285" t="s">
        <v>2</v>
      </c>
      <c r="E29" s="266">
        <v>3.3316775475447091E-2</v>
      </c>
      <c r="F29" s="266">
        <v>1.63</v>
      </c>
      <c r="G29" s="266">
        <v>61.6</v>
      </c>
      <c r="H29" s="266">
        <v>1</v>
      </c>
      <c r="I29" s="266">
        <v>0.55555555555555558</v>
      </c>
      <c r="J29" s="266">
        <v>0.99333777481678875</v>
      </c>
      <c r="K29" s="266">
        <v>0.7</v>
      </c>
      <c r="L29" s="311">
        <f t="shared" si="0"/>
        <v>0.18285766095906178</v>
      </c>
      <c r="N29" s="426" t="s">
        <v>496</v>
      </c>
      <c r="O29" s="427"/>
      <c r="P29" s="427"/>
      <c r="Q29" s="428"/>
    </row>
    <row r="30" spans="2:22">
      <c r="B30" s="300">
        <v>11</v>
      </c>
      <c r="C30" s="285" t="s">
        <v>301</v>
      </c>
      <c r="D30" s="285" t="s">
        <v>0</v>
      </c>
      <c r="E30" s="266">
        <v>4.4867423482690794E-2</v>
      </c>
      <c r="F30" s="266">
        <v>0.33333000000000002</v>
      </c>
      <c r="G30" s="266">
        <v>190</v>
      </c>
      <c r="H30" s="266">
        <v>0.43891531874405326</v>
      </c>
      <c r="I30" s="266">
        <v>0.11111111111111116</v>
      </c>
      <c r="J30" s="266">
        <v>0.99333777481678875</v>
      </c>
      <c r="K30" s="266">
        <v>0.7</v>
      </c>
      <c r="L30" s="311">
        <f t="shared" si="0"/>
        <v>0.12510127923103823</v>
      </c>
      <c r="N30" s="268" t="s">
        <v>472</v>
      </c>
      <c r="O30" s="269" t="s">
        <v>250</v>
      </c>
      <c r="P30" s="269" t="s">
        <v>473</v>
      </c>
      <c r="Q30" s="271" t="s">
        <v>410</v>
      </c>
    </row>
    <row r="31" spans="2:22">
      <c r="B31" s="300">
        <v>29</v>
      </c>
      <c r="C31" s="285" t="s">
        <v>301</v>
      </c>
      <c r="D31" s="285" t="s">
        <v>4</v>
      </c>
      <c r="E31" s="266">
        <v>3.68443070392932E-2</v>
      </c>
      <c r="F31" s="266">
        <v>1.5</v>
      </c>
      <c r="G31" s="266">
        <v>1112.5999999999999</v>
      </c>
      <c r="H31" s="266">
        <v>0.44987159416042638</v>
      </c>
      <c r="I31" s="266">
        <v>0.55555555555555558</v>
      </c>
      <c r="J31" s="266">
        <v>0.99333777481678875</v>
      </c>
      <c r="K31" s="266">
        <v>0.7</v>
      </c>
      <c r="L31" s="311">
        <f t="shared" si="0"/>
        <v>0.15915159798029066</v>
      </c>
      <c r="N31" s="292">
        <v>1</v>
      </c>
      <c r="O31" s="276" t="s">
        <v>257</v>
      </c>
      <c r="P31" s="276" t="s">
        <v>0</v>
      </c>
      <c r="Q31" s="293">
        <v>0.10893816876963251</v>
      </c>
      <c r="U31">
        <v>0.7</v>
      </c>
      <c r="V31">
        <v>7.1</v>
      </c>
    </row>
    <row r="32" spans="2:22">
      <c r="B32" s="300">
        <v>47</v>
      </c>
      <c r="C32" s="285" t="s">
        <v>301</v>
      </c>
      <c r="D32" s="285" t="s">
        <v>2</v>
      </c>
      <c r="E32" s="266">
        <v>3.3316775475447091E-2</v>
      </c>
      <c r="F32" s="266">
        <v>1.63</v>
      </c>
      <c r="G32" s="266">
        <v>61.6</v>
      </c>
      <c r="H32" s="266">
        <v>1</v>
      </c>
      <c r="I32" s="266">
        <v>0.55555555555555558</v>
      </c>
      <c r="J32" s="266">
        <v>0.99333777481678875</v>
      </c>
      <c r="K32" s="266">
        <v>0.7</v>
      </c>
      <c r="L32" s="311">
        <f t="shared" si="0"/>
        <v>0.18285766095906178</v>
      </c>
      <c r="N32" s="298">
        <v>2</v>
      </c>
      <c r="O32" s="282" t="s">
        <v>261</v>
      </c>
      <c r="P32" s="282" t="s">
        <v>0</v>
      </c>
      <c r="Q32" s="325">
        <v>0.11119032831087863</v>
      </c>
      <c r="U32">
        <v>0.9</v>
      </c>
      <c r="V32">
        <v>7.2</v>
      </c>
    </row>
    <row r="33" spans="2:22">
      <c r="B33" s="294">
        <v>3</v>
      </c>
      <c r="C33" s="279" t="s">
        <v>274</v>
      </c>
      <c r="D33" s="279" t="s">
        <v>0</v>
      </c>
      <c r="E33" s="266">
        <v>4.5218420313690944E-2</v>
      </c>
      <c r="F33" s="266">
        <v>0.33333000000000002</v>
      </c>
      <c r="G33" s="266">
        <v>190</v>
      </c>
      <c r="H33" s="266">
        <v>0.43891531874405326</v>
      </c>
      <c r="I33" s="266">
        <v>0</v>
      </c>
      <c r="J33" s="266">
        <v>0.99585218702865763</v>
      </c>
      <c r="K33" s="266">
        <v>0.7</v>
      </c>
      <c r="L33" s="368">
        <f t="shared" si="0"/>
        <v>0.11548795623961217</v>
      </c>
      <c r="N33" s="294">
        <v>3</v>
      </c>
      <c r="O33" s="279" t="s">
        <v>274</v>
      </c>
      <c r="P33" s="279" t="s">
        <v>0</v>
      </c>
      <c r="Q33" s="295">
        <v>0.11548795623961217</v>
      </c>
      <c r="U33">
        <v>0.7</v>
      </c>
      <c r="V33">
        <v>9.1</v>
      </c>
    </row>
    <row r="34" spans="2:22">
      <c r="B34" s="378">
        <v>17</v>
      </c>
      <c r="C34" s="379" t="s">
        <v>274</v>
      </c>
      <c r="D34" s="379" t="s">
        <v>4</v>
      </c>
      <c r="E34" s="266">
        <v>3.68443070392932E-2</v>
      </c>
      <c r="F34" s="266">
        <v>1.5</v>
      </c>
      <c r="G34" s="266">
        <v>1112.5999999999999</v>
      </c>
      <c r="H34" s="266">
        <v>0.44987159416042638</v>
      </c>
      <c r="I34" s="266">
        <v>0.25</v>
      </c>
      <c r="J34" s="266">
        <v>0.99585218702865763</v>
      </c>
      <c r="K34" s="266">
        <v>0.7</v>
      </c>
      <c r="L34" s="377">
        <f t="shared" si="0"/>
        <v>0.13181650795481425</v>
      </c>
      <c r="N34" s="272">
        <v>4</v>
      </c>
      <c r="O34" s="264" t="s">
        <v>286</v>
      </c>
      <c r="P34" s="264" t="s">
        <v>0</v>
      </c>
      <c r="Q34" s="326">
        <v>0.1172515460787287</v>
      </c>
      <c r="U34">
        <v>0.9</v>
      </c>
      <c r="V34">
        <v>9.1999999999999993</v>
      </c>
    </row>
    <row r="35" spans="2:22">
      <c r="B35" s="380">
        <v>36</v>
      </c>
      <c r="C35" s="381" t="s">
        <v>274</v>
      </c>
      <c r="D35" s="381" t="s">
        <v>2</v>
      </c>
      <c r="E35" s="266">
        <v>3.3316775475447098E-2</v>
      </c>
      <c r="F35" s="266">
        <v>1.63</v>
      </c>
      <c r="G35" s="266">
        <v>61.6</v>
      </c>
      <c r="H35" s="266">
        <v>1</v>
      </c>
      <c r="I35" s="266">
        <v>0.375</v>
      </c>
      <c r="J35" s="266">
        <v>0.99585218702865763</v>
      </c>
      <c r="K35" s="266">
        <v>0.7</v>
      </c>
      <c r="L35" s="382">
        <f t="shared" ref="L35:L66" si="1">E35*$O$8+H35*$O$9+I35*$O$10+J35*$O$11+K35*$O$12</f>
        <v>0.16673656627270714</v>
      </c>
      <c r="N35" s="292">
        <v>5</v>
      </c>
      <c r="O35" s="276" t="s">
        <v>257</v>
      </c>
      <c r="P35" s="276" t="s">
        <v>4</v>
      </c>
      <c r="Q35" s="293">
        <v>0.11872510169076032</v>
      </c>
      <c r="U35">
        <v>0.9</v>
      </c>
      <c r="V35">
        <v>10.1</v>
      </c>
    </row>
    <row r="36" spans="2:22">
      <c r="B36" s="272">
        <v>8</v>
      </c>
      <c r="C36" s="264" t="s">
        <v>304</v>
      </c>
      <c r="D36" s="264" t="s">
        <v>0</v>
      </c>
      <c r="E36" s="266">
        <v>4.4867423482690794E-2</v>
      </c>
      <c r="F36" s="266">
        <v>0.33333000000000002</v>
      </c>
      <c r="G36" s="266">
        <v>190</v>
      </c>
      <c r="H36" s="266">
        <v>0.43891531874405326</v>
      </c>
      <c r="I36" s="266">
        <v>0</v>
      </c>
      <c r="J36" s="266">
        <v>0.99849170437405732</v>
      </c>
      <c r="K36" s="266">
        <v>0.9</v>
      </c>
      <c r="L36" s="267">
        <f t="shared" si="1"/>
        <v>0.12332103513459712</v>
      </c>
      <c r="N36" s="272">
        <v>6</v>
      </c>
      <c r="O36" s="264" t="s">
        <v>290</v>
      </c>
      <c r="P36" s="264" t="s">
        <v>0</v>
      </c>
      <c r="Q36" s="326">
        <v>0.11931626690962929</v>
      </c>
      <c r="U36">
        <v>0.9</v>
      </c>
      <c r="V36">
        <v>10.199999999999999</v>
      </c>
    </row>
    <row r="37" spans="2:22">
      <c r="B37" s="272">
        <v>26</v>
      </c>
      <c r="C37" s="264" t="s">
        <v>304</v>
      </c>
      <c r="D37" s="264" t="s">
        <v>4</v>
      </c>
      <c r="E37" s="266">
        <v>3.68443070392932E-2</v>
      </c>
      <c r="F37" s="266">
        <v>1.5</v>
      </c>
      <c r="G37" s="266">
        <v>1112.5999999999999</v>
      </c>
      <c r="H37" s="266">
        <v>0.44987159416042638</v>
      </c>
      <c r="I37" s="266">
        <v>0.4</v>
      </c>
      <c r="J37" s="266">
        <v>0.99849170437405732</v>
      </c>
      <c r="K37" s="266">
        <v>0.9</v>
      </c>
      <c r="L37" s="267">
        <f t="shared" si="1"/>
        <v>0.1533841555410507</v>
      </c>
      <c r="N37" s="300">
        <v>7</v>
      </c>
      <c r="O37" s="285" t="s">
        <v>268</v>
      </c>
      <c r="P37" s="285" t="s">
        <v>0</v>
      </c>
      <c r="Q37" s="324">
        <v>0.11972320122758014</v>
      </c>
      <c r="U37">
        <v>0.9</v>
      </c>
      <c r="V37">
        <v>12.1</v>
      </c>
    </row>
    <row r="38" spans="2:22">
      <c r="B38" s="298">
        <v>37</v>
      </c>
      <c r="C38" s="282" t="s">
        <v>304</v>
      </c>
      <c r="D38" s="282" t="s">
        <v>2</v>
      </c>
      <c r="E38" s="266">
        <v>3.3316775475447091E-2</v>
      </c>
      <c r="F38" s="266">
        <v>1.63</v>
      </c>
      <c r="G38" s="266">
        <v>61.6</v>
      </c>
      <c r="H38" s="266">
        <v>1</v>
      </c>
      <c r="I38" s="266">
        <v>0.30000000000000004</v>
      </c>
      <c r="J38" s="266">
        <v>0.99849170437405732</v>
      </c>
      <c r="K38" s="266">
        <v>0.9</v>
      </c>
      <c r="L38" s="369">
        <f t="shared" si="1"/>
        <v>0.16811902224852437</v>
      </c>
      <c r="N38" s="272">
        <v>8</v>
      </c>
      <c r="O38" s="264" t="s">
        <v>304</v>
      </c>
      <c r="P38" s="264" t="s">
        <v>0</v>
      </c>
      <c r="Q38" s="326">
        <v>0.12332103513459712</v>
      </c>
      <c r="U38">
        <v>0.9</v>
      </c>
      <c r="V38">
        <v>12.2</v>
      </c>
    </row>
    <row r="39" spans="2:22">
      <c r="B39" s="300">
        <v>15</v>
      </c>
      <c r="C39" s="285" t="s">
        <v>276</v>
      </c>
      <c r="D39" s="285" t="s">
        <v>0</v>
      </c>
      <c r="E39" s="266">
        <v>4.5218420313690944E-2</v>
      </c>
      <c r="F39" s="266">
        <v>0.33333000000000002</v>
      </c>
      <c r="G39" s="266">
        <v>190</v>
      </c>
      <c r="H39" s="266">
        <v>0.43891531874405326</v>
      </c>
      <c r="I39" s="266">
        <v>0.125</v>
      </c>
      <c r="J39" s="266">
        <v>0.99608408903544932</v>
      </c>
      <c r="K39" s="266">
        <v>0.7</v>
      </c>
      <c r="L39" s="311">
        <f t="shared" si="1"/>
        <v>0.12670904386663759</v>
      </c>
      <c r="N39" s="272">
        <v>8</v>
      </c>
      <c r="O39" s="264" t="s">
        <v>280</v>
      </c>
      <c r="P39" s="264" t="s">
        <v>0</v>
      </c>
      <c r="Q39" s="326">
        <v>0.12332103513459712</v>
      </c>
    </row>
    <row r="40" spans="2:22" ht="15.75" thickBot="1">
      <c r="B40" s="300">
        <v>23</v>
      </c>
      <c r="C40" s="285" t="s">
        <v>276</v>
      </c>
      <c r="D40" s="285" t="s">
        <v>4</v>
      </c>
      <c r="E40" s="266">
        <v>3.68443070392932E-2</v>
      </c>
      <c r="F40" s="266">
        <v>1.5</v>
      </c>
      <c r="G40" s="266">
        <v>1112.5999999999999</v>
      </c>
      <c r="H40" s="266">
        <v>0.44987159416042638</v>
      </c>
      <c r="I40" s="266">
        <v>0.375</v>
      </c>
      <c r="J40" s="266">
        <v>0.99608408903544932</v>
      </c>
      <c r="K40" s="266">
        <v>0.7</v>
      </c>
      <c r="L40" s="311">
        <f t="shared" si="1"/>
        <v>0.14303759558183965</v>
      </c>
      <c r="N40" s="273">
        <v>8</v>
      </c>
      <c r="O40" s="274" t="s">
        <v>308</v>
      </c>
      <c r="P40" s="274" t="s">
        <v>0</v>
      </c>
      <c r="Q40" s="327">
        <v>0.12332103513459712</v>
      </c>
    </row>
    <row r="41" spans="2:22">
      <c r="B41" s="300">
        <v>44</v>
      </c>
      <c r="C41" s="285" t="s">
        <v>276</v>
      </c>
      <c r="D41" s="285" t="s">
        <v>2</v>
      </c>
      <c r="E41" s="266">
        <v>3.3316775475447091E-2</v>
      </c>
      <c r="F41" s="266">
        <v>1.63</v>
      </c>
      <c r="G41" s="266">
        <v>61.6</v>
      </c>
      <c r="H41" s="266">
        <v>1</v>
      </c>
      <c r="I41" s="266">
        <v>0.5</v>
      </c>
      <c r="J41" s="266">
        <v>0.99608408903544932</v>
      </c>
      <c r="K41" s="266">
        <v>0.7</v>
      </c>
      <c r="L41" s="311">
        <f t="shared" si="1"/>
        <v>0.17795765389973253</v>
      </c>
    </row>
    <row r="42" spans="2:22">
      <c r="B42" s="300">
        <v>18</v>
      </c>
      <c r="C42" s="285" t="s">
        <v>306</v>
      </c>
      <c r="D42" s="285" t="s">
        <v>0</v>
      </c>
      <c r="E42" s="266">
        <v>4.4867423482690794E-2</v>
      </c>
      <c r="F42" s="266">
        <v>0.33333000000000002</v>
      </c>
      <c r="G42" s="266">
        <v>190</v>
      </c>
      <c r="H42" s="266">
        <v>0.43891531874405326</v>
      </c>
      <c r="I42" s="266">
        <v>9.9999999999999978E-2</v>
      </c>
      <c r="J42" s="266">
        <v>0.99882228241667648</v>
      </c>
      <c r="K42" s="266">
        <v>0.9</v>
      </c>
      <c r="L42" s="311">
        <f t="shared" si="1"/>
        <v>0.13230234151526921</v>
      </c>
      <c r="N42" s="378">
        <v>17</v>
      </c>
      <c r="O42" s="379" t="s">
        <v>274</v>
      </c>
      <c r="P42" s="379" t="s">
        <v>4</v>
      </c>
      <c r="Q42" s="377">
        <v>0.13181650795481425</v>
      </c>
    </row>
    <row r="43" spans="2:22">
      <c r="B43" s="300">
        <v>33</v>
      </c>
      <c r="C43" s="285" t="s">
        <v>306</v>
      </c>
      <c r="D43" s="285" t="s">
        <v>4</v>
      </c>
      <c r="E43" s="266">
        <v>3.68443070392932E-2</v>
      </c>
      <c r="F43" s="266">
        <v>1.5</v>
      </c>
      <c r="G43" s="266">
        <v>1112.5999999999999</v>
      </c>
      <c r="H43" s="266">
        <v>0.44987159416042638</v>
      </c>
      <c r="I43" s="266">
        <v>0.5</v>
      </c>
      <c r="J43" s="266">
        <v>0.99882228241667648</v>
      </c>
      <c r="K43" s="266">
        <v>0.9</v>
      </c>
      <c r="L43" s="311">
        <f t="shared" si="1"/>
        <v>0.1623654619217228</v>
      </c>
      <c r="N43" s="380">
        <v>36</v>
      </c>
      <c r="O43" s="381" t="s">
        <v>274</v>
      </c>
      <c r="P43" s="381" t="s">
        <v>2</v>
      </c>
      <c r="Q43" s="382">
        <v>0.16673656627270714</v>
      </c>
    </row>
    <row r="44" spans="2:22">
      <c r="B44" s="300">
        <v>41</v>
      </c>
      <c r="C44" s="285" t="s">
        <v>306</v>
      </c>
      <c r="D44" s="285" t="s">
        <v>2</v>
      </c>
      <c r="E44" s="266">
        <v>3.3316775475447091E-2</v>
      </c>
      <c r="F44" s="266">
        <v>1.63</v>
      </c>
      <c r="G44" s="266">
        <v>61.6</v>
      </c>
      <c r="H44" s="266">
        <v>1</v>
      </c>
      <c r="I44" s="266">
        <v>0.4</v>
      </c>
      <c r="J44" s="266">
        <v>0.99882228241667648</v>
      </c>
      <c r="K44" s="266">
        <v>0.9</v>
      </c>
      <c r="L44" s="311">
        <f t="shared" si="1"/>
        <v>0.17710032862919647</v>
      </c>
      <c r="N44" s="298">
        <v>37</v>
      </c>
      <c r="O44" s="282" t="s">
        <v>304</v>
      </c>
      <c r="P44" s="282" t="s">
        <v>2</v>
      </c>
      <c r="Q44" s="369">
        <v>0.16811902224852437</v>
      </c>
    </row>
    <row r="45" spans="2:22">
      <c r="B45" s="272">
        <v>8</v>
      </c>
      <c r="C45" s="264" t="s">
        <v>280</v>
      </c>
      <c r="D45" s="264" t="s">
        <v>0</v>
      </c>
      <c r="E45" s="266">
        <v>4.4867423482690794E-2</v>
      </c>
      <c r="F45" s="266">
        <v>0.33333000000000002</v>
      </c>
      <c r="G45" s="266">
        <v>190</v>
      </c>
      <c r="H45" s="266">
        <v>0.43891531874405326</v>
      </c>
      <c r="I45" s="266">
        <v>0</v>
      </c>
      <c r="J45" s="266">
        <v>0.99849170437405732</v>
      </c>
      <c r="K45" s="266">
        <v>0.9</v>
      </c>
      <c r="L45" s="267">
        <f t="shared" si="1"/>
        <v>0.12332103513459712</v>
      </c>
    </row>
    <row r="46" spans="2:22">
      <c r="B46" s="272">
        <v>26</v>
      </c>
      <c r="C46" s="264" t="s">
        <v>280</v>
      </c>
      <c r="D46" s="264" t="s">
        <v>4</v>
      </c>
      <c r="E46" s="266">
        <v>3.68443070392932E-2</v>
      </c>
      <c r="F46" s="266">
        <v>1.5</v>
      </c>
      <c r="G46" s="266">
        <v>1112.5999999999999</v>
      </c>
      <c r="H46" s="266">
        <v>0.44987159416042638</v>
      </c>
      <c r="I46" s="266">
        <v>0.4</v>
      </c>
      <c r="J46" s="266">
        <v>0.99849170437405732</v>
      </c>
      <c r="K46" s="266">
        <v>0.9</v>
      </c>
      <c r="L46" s="267">
        <f t="shared" si="1"/>
        <v>0.1533841555410507</v>
      </c>
    </row>
    <row r="47" spans="2:22">
      <c r="B47" s="375">
        <v>37</v>
      </c>
      <c r="C47" s="376" t="s">
        <v>280</v>
      </c>
      <c r="D47" s="376" t="s">
        <v>2</v>
      </c>
      <c r="E47" s="266">
        <v>3.3316775475447091E-2</v>
      </c>
      <c r="F47" s="266">
        <v>1.63</v>
      </c>
      <c r="G47" s="266">
        <v>61.6</v>
      </c>
      <c r="H47" s="266">
        <v>1</v>
      </c>
      <c r="I47" s="266">
        <v>0.30000000000000004</v>
      </c>
      <c r="J47" s="266">
        <v>0.99849170437405732</v>
      </c>
      <c r="K47" s="266">
        <v>0.9</v>
      </c>
      <c r="L47" s="267">
        <f t="shared" si="1"/>
        <v>0.16811902224852437</v>
      </c>
    </row>
    <row r="48" spans="2:22">
      <c r="B48" s="272">
        <v>8</v>
      </c>
      <c r="C48" s="264" t="s">
        <v>308</v>
      </c>
      <c r="D48" s="264" t="s">
        <v>0</v>
      </c>
      <c r="E48" s="266">
        <v>4.4867423482690794E-2</v>
      </c>
      <c r="F48" s="266">
        <v>0.33333000000000002</v>
      </c>
      <c r="G48" s="266">
        <v>190</v>
      </c>
      <c r="H48" s="266">
        <v>0.43891531874405326</v>
      </c>
      <c r="I48" s="266">
        <v>0</v>
      </c>
      <c r="J48" s="266">
        <v>0.99849170437405732</v>
      </c>
      <c r="K48" s="266">
        <v>0.9</v>
      </c>
      <c r="L48" s="267">
        <f t="shared" si="1"/>
        <v>0.12332103513459712</v>
      </c>
    </row>
    <row r="49" spans="2:12">
      <c r="B49" s="272">
        <v>26</v>
      </c>
      <c r="C49" s="264" t="s">
        <v>308</v>
      </c>
      <c r="D49" s="264" t="s">
        <v>4</v>
      </c>
      <c r="E49" s="266">
        <v>3.68443070392932E-2</v>
      </c>
      <c r="F49" s="266">
        <v>1.5</v>
      </c>
      <c r="G49" s="266">
        <v>1112.5999999999999</v>
      </c>
      <c r="H49" s="266">
        <v>0.44987159416042638</v>
      </c>
      <c r="I49" s="266">
        <v>0.4</v>
      </c>
      <c r="J49" s="266">
        <v>0.99849170437405732</v>
      </c>
      <c r="K49" s="266">
        <v>0.9</v>
      </c>
      <c r="L49" s="267">
        <f t="shared" si="1"/>
        <v>0.1533841555410507</v>
      </c>
    </row>
    <row r="50" spans="2:12">
      <c r="B50" s="375">
        <v>37</v>
      </c>
      <c r="C50" s="376" t="s">
        <v>308</v>
      </c>
      <c r="D50" s="376" t="s">
        <v>2</v>
      </c>
      <c r="E50" s="266">
        <v>3.3316775475447091E-2</v>
      </c>
      <c r="F50" s="266">
        <v>1.63</v>
      </c>
      <c r="G50" s="266">
        <v>61.6</v>
      </c>
      <c r="H50" s="266">
        <v>1</v>
      </c>
      <c r="I50" s="266">
        <v>0.30000000000000004</v>
      </c>
      <c r="J50" s="266">
        <v>0.99849170437405732</v>
      </c>
      <c r="K50" s="266">
        <v>0.9</v>
      </c>
      <c r="L50" s="267">
        <f t="shared" si="1"/>
        <v>0.16811902224852437</v>
      </c>
    </row>
    <row r="51" spans="2:12">
      <c r="B51" s="304">
        <v>18</v>
      </c>
      <c r="C51" s="289" t="s">
        <v>282</v>
      </c>
      <c r="D51" s="289" t="s">
        <v>0</v>
      </c>
      <c r="E51" s="266">
        <v>4.4867423482690794E-2</v>
      </c>
      <c r="F51" s="266">
        <v>0.33333000000000002</v>
      </c>
      <c r="G51" s="266">
        <v>190</v>
      </c>
      <c r="H51" s="266">
        <v>0.43891531874405326</v>
      </c>
      <c r="I51" s="266">
        <v>9.9999999999999978E-2</v>
      </c>
      <c r="J51" s="266">
        <v>0.99882228241667648</v>
      </c>
      <c r="K51" s="266">
        <v>0.9</v>
      </c>
      <c r="L51" s="370">
        <f t="shared" si="1"/>
        <v>0.13230234151526921</v>
      </c>
    </row>
    <row r="52" spans="2:12">
      <c r="B52" s="300">
        <v>33</v>
      </c>
      <c r="C52" s="285" t="s">
        <v>282</v>
      </c>
      <c r="D52" s="285" t="s">
        <v>4</v>
      </c>
      <c r="E52" s="266">
        <v>3.68443070392932E-2</v>
      </c>
      <c r="F52" s="266">
        <v>1.5</v>
      </c>
      <c r="G52" s="266">
        <v>1112.5999999999999</v>
      </c>
      <c r="H52" s="266">
        <v>0.44987159416042638</v>
      </c>
      <c r="I52" s="266">
        <v>0.5</v>
      </c>
      <c r="J52" s="266">
        <v>0.99882228241667648</v>
      </c>
      <c r="K52" s="266">
        <v>0.9</v>
      </c>
      <c r="L52" s="311">
        <f t="shared" si="1"/>
        <v>0.1623654619217228</v>
      </c>
    </row>
    <row r="53" spans="2:12">
      <c r="B53" s="300">
        <v>41</v>
      </c>
      <c r="C53" s="285" t="s">
        <v>282</v>
      </c>
      <c r="D53" s="285" t="s">
        <v>2</v>
      </c>
      <c r="E53" s="266">
        <v>3.3316775475447091E-2</v>
      </c>
      <c r="F53" s="266">
        <v>1.63</v>
      </c>
      <c r="G53" s="266">
        <v>61.6</v>
      </c>
      <c r="H53" s="266">
        <v>1</v>
      </c>
      <c r="I53" s="266">
        <v>0.4</v>
      </c>
      <c r="J53" s="266">
        <v>0.99882228241667648</v>
      </c>
      <c r="K53" s="266">
        <v>0.9</v>
      </c>
      <c r="L53" s="311">
        <f t="shared" si="1"/>
        <v>0.17710032862919647</v>
      </c>
    </row>
    <row r="54" spans="2:12">
      <c r="B54" s="300">
        <v>18</v>
      </c>
      <c r="C54" s="285" t="s">
        <v>310</v>
      </c>
      <c r="D54" s="285" t="s">
        <v>0</v>
      </c>
      <c r="E54" s="266">
        <v>4.4867423482690794E-2</v>
      </c>
      <c r="F54" s="266">
        <v>0.33333000000000002</v>
      </c>
      <c r="G54" s="266">
        <v>190</v>
      </c>
      <c r="H54" s="266">
        <v>0.43891531874405326</v>
      </c>
      <c r="I54" s="266">
        <v>9.9999999999999978E-2</v>
      </c>
      <c r="J54" s="266">
        <v>0.99882228241667648</v>
      </c>
      <c r="K54" s="266">
        <v>0.9</v>
      </c>
      <c r="L54" s="311">
        <f t="shared" si="1"/>
        <v>0.13230234151526921</v>
      </c>
    </row>
    <row r="55" spans="2:12">
      <c r="B55" s="300">
        <v>33</v>
      </c>
      <c r="C55" s="285" t="s">
        <v>310</v>
      </c>
      <c r="D55" s="285" t="s">
        <v>4</v>
      </c>
      <c r="E55" s="266">
        <v>3.68443070392932E-2</v>
      </c>
      <c r="F55" s="266">
        <v>1.5</v>
      </c>
      <c r="G55" s="266">
        <v>1112.5999999999999</v>
      </c>
      <c r="H55" s="266">
        <v>0.44987159416042638</v>
      </c>
      <c r="I55" s="266">
        <v>0.5</v>
      </c>
      <c r="J55" s="366">
        <v>0.99882228241667648</v>
      </c>
      <c r="K55" s="366">
        <v>0.9</v>
      </c>
      <c r="L55" s="311">
        <f t="shared" si="1"/>
        <v>0.1623654619217228</v>
      </c>
    </row>
    <row r="56" spans="2:12" ht="15.75" thickBot="1">
      <c r="B56" s="390">
        <v>41</v>
      </c>
      <c r="C56" s="391" t="s">
        <v>310</v>
      </c>
      <c r="D56" s="391" t="s">
        <v>2</v>
      </c>
      <c r="E56" s="275">
        <v>3.3316775475447091E-2</v>
      </c>
      <c r="F56" s="275">
        <v>1.63</v>
      </c>
      <c r="G56" s="275">
        <v>61.6</v>
      </c>
      <c r="H56" s="275">
        <v>1</v>
      </c>
      <c r="I56" s="275">
        <v>0.4</v>
      </c>
      <c r="J56" s="365">
        <v>0.99882228241667648</v>
      </c>
      <c r="K56" s="365">
        <v>0.9</v>
      </c>
      <c r="L56" s="392">
        <f t="shared" si="1"/>
        <v>0.17710032862919647</v>
      </c>
    </row>
    <row r="57" spans="2:12" ht="15.75" thickBot="1"/>
    <row r="58" spans="2:12" ht="15.75" thickBot="1">
      <c r="B58" s="45"/>
      <c r="C58" s="45" t="s">
        <v>250</v>
      </c>
      <c r="D58" s="45" t="s">
        <v>473</v>
      </c>
      <c r="E58" s="146" t="s">
        <v>405</v>
      </c>
      <c r="F58" s="254" t="s">
        <v>474</v>
      </c>
      <c r="G58" s="254" t="s">
        <v>407</v>
      </c>
      <c r="H58" s="146" t="s">
        <v>408</v>
      </c>
      <c r="I58" s="146" t="s">
        <v>409</v>
      </c>
      <c r="J58" s="185" t="s">
        <v>426</v>
      </c>
      <c r="K58" s="269" t="s">
        <v>489</v>
      </c>
      <c r="L58" s="45" t="s">
        <v>410</v>
      </c>
    </row>
    <row r="59" spans="2:12">
      <c r="B59" s="251"/>
      <c r="C59" s="251" t="s">
        <v>257</v>
      </c>
      <c r="D59" s="251" t="s">
        <v>0</v>
      </c>
      <c r="E59" s="186">
        <f>E3*$O$8</f>
        <v>3.380116219589125E-2</v>
      </c>
      <c r="F59" s="216"/>
      <c r="G59" s="216"/>
      <c r="H59" s="186">
        <f>H3*$O$9</f>
        <v>2.1140971050757025E-2</v>
      </c>
      <c r="I59" s="135">
        <f>I3*$O$10</f>
        <v>0</v>
      </c>
      <c r="J59" s="258">
        <f>J3*$O$11</f>
        <v>2.9905650046465733E-2</v>
      </c>
      <c r="K59" s="258">
        <f>K3*$O$12</f>
        <v>2.4090385476518501E-2</v>
      </c>
      <c r="L59" s="255">
        <f>E59*$O$8+H59*$O$9+I59*$O$10+J59*$O$11+K59*$O$12</f>
        <v>2.9649933180394383E-2</v>
      </c>
    </row>
    <row r="60" spans="2:12">
      <c r="B60" s="252"/>
      <c r="C60" s="252" t="s">
        <v>257</v>
      </c>
      <c r="D60" s="252" t="s">
        <v>2</v>
      </c>
      <c r="E60" s="187">
        <f t="shared" ref="E60:E112" si="2">E4*$O$8</f>
        <v>2.8108376981267242E-2</v>
      </c>
      <c r="F60" s="218"/>
      <c r="G60" s="218"/>
      <c r="H60" s="187">
        <f t="shared" ref="H60:H112" si="3">H4*$O$9</f>
        <v>2.1668695401013148E-2</v>
      </c>
      <c r="I60" s="2">
        <f t="shared" ref="I60:I112" si="4">I4*$O$10</f>
        <v>1.4951993785495696E-2</v>
      </c>
      <c r="J60" s="259">
        <f t="shared" ref="J60:J112" si="5">J4*$O$11</f>
        <v>2.9905650046465733E-2</v>
      </c>
      <c r="K60" s="259">
        <f t="shared" ref="K60:K112" si="6">K4*$O$12</f>
        <v>2.4090385476518501E-2</v>
      </c>
      <c r="L60" s="256">
        <f t="shared" ref="L60:L112" si="7">E60*$O$8+H60*$O$9+I60*$O$10+J60*$O$11+K60*$O$12</f>
        <v>2.6511528985587188E-2</v>
      </c>
    </row>
    <row r="61" spans="2:12" ht="15.75" thickBot="1">
      <c r="B61" s="253"/>
      <c r="C61" s="253" t="s">
        <v>257</v>
      </c>
      <c r="D61" s="253" t="s">
        <v>4</v>
      </c>
      <c r="E61" s="188">
        <f t="shared" si="2"/>
        <v>2.636645874176282E-2</v>
      </c>
      <c r="F61" s="220"/>
      <c r="G61" s="220"/>
      <c r="H61" s="188">
        <f t="shared" si="3"/>
        <v>4.8166400551367082E-2</v>
      </c>
      <c r="I61" s="136">
        <f t="shared" si="4"/>
        <v>5.9807975141982807E-2</v>
      </c>
      <c r="J61" s="147">
        <f t="shared" si="5"/>
        <v>2.9905650046465733E-2</v>
      </c>
      <c r="K61" s="147">
        <f t="shared" si="6"/>
        <v>2.4090385476518501E-2</v>
      </c>
      <c r="L61" s="257">
        <f t="shared" si="7"/>
        <v>3.0433414964930953E-2</v>
      </c>
    </row>
    <row r="62" spans="2:12">
      <c r="B62" s="251"/>
      <c r="C62" s="251" t="s">
        <v>261</v>
      </c>
      <c r="D62" s="251" t="s">
        <v>0</v>
      </c>
      <c r="E62" s="186">
        <f t="shared" si="2"/>
        <v>3.3610688400939059E-2</v>
      </c>
      <c r="F62" s="216"/>
      <c r="G62" s="216"/>
      <c r="H62" s="186">
        <f t="shared" si="3"/>
        <v>2.1140971050757025E-2</v>
      </c>
      <c r="I62" s="186">
        <f t="shared" si="4"/>
        <v>0</v>
      </c>
      <c r="J62" s="258">
        <f t="shared" si="5"/>
        <v>3.0379372658341276E-2</v>
      </c>
      <c r="K62" s="258">
        <f t="shared" si="6"/>
        <v>3.2120513968691332E-2</v>
      </c>
      <c r="L62" s="255">
        <f t="shared" si="7"/>
        <v>2.9836097455070088E-2</v>
      </c>
    </row>
    <row r="63" spans="2:12">
      <c r="B63" s="252"/>
      <c r="C63" s="252" t="s">
        <v>261</v>
      </c>
      <c r="D63" s="252" t="s">
        <v>2</v>
      </c>
      <c r="E63" s="187">
        <f t="shared" si="2"/>
        <v>2.8108376981267242E-2</v>
      </c>
      <c r="F63" s="218"/>
      <c r="G63" s="218"/>
      <c r="H63" s="187">
        <f t="shared" si="3"/>
        <v>2.1668695401013131E-2</v>
      </c>
      <c r="I63" s="187">
        <f t="shared" si="4"/>
        <v>3.3641986017365323E-2</v>
      </c>
      <c r="J63" s="259">
        <f t="shared" si="5"/>
        <v>3.0379372658341276E-2</v>
      </c>
      <c r="K63" s="259">
        <f t="shared" si="6"/>
        <v>3.2120513968691332E-2</v>
      </c>
      <c r="L63" s="256">
        <f t="shared" si="7"/>
        <v>2.8525147607334364E-2</v>
      </c>
    </row>
    <row r="64" spans="2:12" ht="15.75" thickBot="1">
      <c r="B64" s="253"/>
      <c r="C64" s="253" t="s">
        <v>261</v>
      </c>
      <c r="D64" s="253" t="s">
        <v>4</v>
      </c>
      <c r="E64" s="188">
        <f t="shared" si="2"/>
        <v>2.636645874176282E-2</v>
      </c>
      <c r="F64" s="220"/>
      <c r="G64" s="220"/>
      <c r="H64" s="188">
        <f t="shared" si="3"/>
        <v>4.8166400551367082E-2</v>
      </c>
      <c r="I64" s="188">
        <f t="shared" si="4"/>
        <v>4.48559813564871E-2</v>
      </c>
      <c r="J64" s="147">
        <f t="shared" si="5"/>
        <v>3.0379372658341276E-2</v>
      </c>
      <c r="K64" s="147">
        <f t="shared" si="6"/>
        <v>3.2120513968691332E-2</v>
      </c>
      <c r="L64" s="257">
        <f t="shared" si="7"/>
        <v>2.9428944991497855E-2</v>
      </c>
    </row>
    <row r="65" spans="2:12">
      <c r="B65" s="251"/>
      <c r="C65" s="251" t="s">
        <v>264</v>
      </c>
      <c r="D65" s="251" t="s">
        <v>0</v>
      </c>
      <c r="E65" s="186">
        <f t="shared" si="2"/>
        <v>3.578526422664325E-2</v>
      </c>
      <c r="F65" s="216"/>
      <c r="G65" s="216"/>
      <c r="H65" s="186">
        <f t="shared" si="3"/>
        <v>2.1140971050757025E-2</v>
      </c>
      <c r="I65" s="186">
        <f t="shared" si="4"/>
        <v>0</v>
      </c>
      <c r="J65" s="258">
        <f t="shared" si="5"/>
        <v>3.0173707556959865E-2</v>
      </c>
      <c r="K65" s="258">
        <f t="shared" si="6"/>
        <v>2.4090385476518501E-2</v>
      </c>
      <c r="L65" s="255">
        <f t="shared" si="7"/>
        <v>3.122832351718971E-2</v>
      </c>
    </row>
    <row r="66" spans="2:12">
      <c r="B66" s="252"/>
      <c r="C66" s="252" t="s">
        <v>264</v>
      </c>
      <c r="D66" s="252" t="s">
        <v>2</v>
      </c>
      <c r="E66" s="187">
        <f t="shared" si="2"/>
        <v>3.0086702853261087E-2</v>
      </c>
      <c r="F66" s="218"/>
      <c r="G66" s="218"/>
      <c r="H66" s="187">
        <f t="shared" si="3"/>
        <v>2.1668695401013148E-2</v>
      </c>
      <c r="I66" s="187">
        <f t="shared" si="4"/>
        <v>2.9903987570991403E-2</v>
      </c>
      <c r="J66" s="259">
        <f t="shared" si="5"/>
        <v>3.0173707556959865E-2</v>
      </c>
      <c r="K66" s="259">
        <f t="shared" si="6"/>
        <v>2.4090385476518501E-2</v>
      </c>
      <c r="L66" s="256">
        <f t="shared" si="7"/>
        <v>2.9426720855137457E-2</v>
      </c>
    </row>
    <row r="67" spans="2:12" ht="15.75" thickBot="1">
      <c r="B67" s="253"/>
      <c r="C67" s="253" t="s">
        <v>264</v>
      </c>
      <c r="D67" s="253" t="s">
        <v>4</v>
      </c>
      <c r="E67" s="188">
        <f t="shared" si="2"/>
        <v>2.636645874176282E-2</v>
      </c>
      <c r="F67" s="220"/>
      <c r="G67" s="220"/>
      <c r="H67" s="188">
        <f t="shared" si="3"/>
        <v>4.8166400551367082E-2</v>
      </c>
      <c r="I67" s="188">
        <f t="shared" si="4"/>
        <v>5.9807975141982807E-2</v>
      </c>
      <c r="J67" s="147">
        <f t="shared" si="5"/>
        <v>3.0173707556959865E-2</v>
      </c>
      <c r="K67" s="147">
        <f t="shared" si="6"/>
        <v>2.4090385476518501E-2</v>
      </c>
      <c r="L67" s="257">
        <f t="shared" si="7"/>
        <v>3.0441613001099134E-2</v>
      </c>
    </row>
    <row r="68" spans="2:12">
      <c r="B68" s="251"/>
      <c r="C68" s="251" t="s">
        <v>268</v>
      </c>
      <c r="D68" s="251" t="s">
        <v>0</v>
      </c>
      <c r="E68" s="186">
        <f t="shared" si="2"/>
        <v>3.5594790431691059E-2</v>
      </c>
      <c r="F68" s="216"/>
      <c r="G68" s="216"/>
      <c r="H68" s="186">
        <f t="shared" si="3"/>
        <v>2.1140971050757025E-2</v>
      </c>
      <c r="I68" s="186">
        <f t="shared" si="4"/>
        <v>0</v>
      </c>
      <c r="J68" s="258">
        <f t="shared" si="5"/>
        <v>3.0459991458489887E-2</v>
      </c>
      <c r="K68" s="258">
        <f t="shared" si="6"/>
        <v>3.2120513968691332E-2</v>
      </c>
      <c r="L68" s="255">
        <f t="shared" si="7"/>
        <v>3.1408755330484657E-2</v>
      </c>
    </row>
    <row r="69" spans="2:12">
      <c r="B69" s="252"/>
      <c r="C69" s="252" t="s">
        <v>268</v>
      </c>
      <c r="D69" s="252" t="s">
        <v>2</v>
      </c>
      <c r="E69" s="187">
        <f t="shared" si="2"/>
        <v>3.0086702853261087E-2</v>
      </c>
      <c r="F69" s="218"/>
      <c r="G69" s="218"/>
      <c r="H69" s="187">
        <f t="shared" si="3"/>
        <v>2.1668695401013148E-2</v>
      </c>
      <c r="I69" s="187">
        <f t="shared" si="4"/>
        <v>4.48559813564871E-2</v>
      </c>
      <c r="J69" s="259">
        <f t="shared" si="5"/>
        <v>3.0459991458489887E-2</v>
      </c>
      <c r="K69" s="259">
        <f t="shared" si="6"/>
        <v>3.2120513968691332E-2</v>
      </c>
      <c r="L69" s="256">
        <f t="shared" si="7"/>
        <v>3.1099263838261625E-2</v>
      </c>
    </row>
    <row r="70" spans="2:12" ht="15.75" thickBot="1">
      <c r="B70" s="253"/>
      <c r="C70" s="253" t="s">
        <v>268</v>
      </c>
      <c r="D70" s="253" t="s">
        <v>4</v>
      </c>
      <c r="E70" s="188">
        <f t="shared" si="2"/>
        <v>2.636645874176282E-2</v>
      </c>
      <c r="F70" s="220"/>
      <c r="G70" s="220"/>
      <c r="H70" s="188">
        <f t="shared" si="3"/>
        <v>4.8166400551367082E-2</v>
      </c>
      <c r="I70" s="188">
        <f t="shared" si="4"/>
        <v>4.48559813564871E-2</v>
      </c>
      <c r="J70" s="147">
        <f t="shared" si="5"/>
        <v>3.0459991458489887E-2</v>
      </c>
      <c r="K70" s="147">
        <f t="shared" si="6"/>
        <v>3.2120513968691332E-2</v>
      </c>
      <c r="L70" s="257">
        <f t="shared" si="7"/>
        <v>2.9431410566285277E-2</v>
      </c>
    </row>
    <row r="71" spans="2:12">
      <c r="B71" s="251"/>
      <c r="C71" s="251" t="s">
        <v>272</v>
      </c>
      <c r="D71" s="251" t="s">
        <v>0</v>
      </c>
      <c r="E71" s="186">
        <f t="shared" si="2"/>
        <v>3.578526422664325E-2</v>
      </c>
      <c r="F71" s="216"/>
      <c r="G71" s="216"/>
      <c r="H71" s="186">
        <f t="shared" si="3"/>
        <v>2.1140971050757025E-2</v>
      </c>
      <c r="I71" s="186">
        <f t="shared" si="4"/>
        <v>1.4951993785495696E-2</v>
      </c>
      <c r="J71" s="258">
        <f t="shared" si="5"/>
        <v>2.9905650046465733E-2</v>
      </c>
      <c r="K71" s="258">
        <f t="shared" si="6"/>
        <v>2.4090385476518501E-2</v>
      </c>
      <c r="L71" s="255">
        <f t="shared" si="7"/>
        <v>3.2561498189990538E-2</v>
      </c>
    </row>
    <row r="72" spans="2:12">
      <c r="B72" s="252"/>
      <c r="C72" s="252" t="s">
        <v>272</v>
      </c>
      <c r="D72" s="252" t="s">
        <v>2</v>
      </c>
      <c r="E72" s="187">
        <f t="shared" si="2"/>
        <v>3.0086702853261087E-2</v>
      </c>
      <c r="F72" s="218"/>
      <c r="G72" s="218"/>
      <c r="H72" s="187">
        <f t="shared" si="3"/>
        <v>2.1668695401013148E-2</v>
      </c>
      <c r="I72" s="187">
        <f t="shared" si="4"/>
        <v>4.48559813564871E-2</v>
      </c>
      <c r="J72" s="259">
        <f t="shared" si="5"/>
        <v>2.9905650046465733E-2</v>
      </c>
      <c r="K72" s="259">
        <f t="shared" si="6"/>
        <v>2.4090385476518501E-2</v>
      </c>
      <c r="L72" s="256">
        <f t="shared" si="7"/>
        <v>3.0759895527938293E-2</v>
      </c>
    </row>
    <row r="73" spans="2:12" ht="15.75" thickBot="1">
      <c r="B73" s="253"/>
      <c r="C73" s="253" t="s">
        <v>272</v>
      </c>
      <c r="D73" s="253" t="s">
        <v>4</v>
      </c>
      <c r="E73" s="188">
        <f t="shared" si="2"/>
        <v>2.636645874176282E-2</v>
      </c>
      <c r="F73" s="220"/>
      <c r="G73" s="220"/>
      <c r="H73" s="188">
        <f t="shared" si="3"/>
        <v>4.8166400551367082E-2</v>
      </c>
      <c r="I73" s="188">
        <f t="shared" si="4"/>
        <v>7.4759968927478507E-2</v>
      </c>
      <c r="J73" s="147">
        <f t="shared" si="5"/>
        <v>2.9905650046465733E-2</v>
      </c>
      <c r="K73" s="147">
        <f t="shared" si="6"/>
        <v>2.4090385476518501E-2</v>
      </c>
      <c r="L73" s="257">
        <f t="shared" si="7"/>
        <v>3.1774787673899969E-2</v>
      </c>
    </row>
    <row r="74" spans="2:12">
      <c r="B74" s="251"/>
      <c r="C74" s="251" t="s">
        <v>274</v>
      </c>
      <c r="D74" s="251" t="s">
        <v>0</v>
      </c>
      <c r="E74" s="186">
        <f t="shared" si="2"/>
        <v>3.5594790431691059E-2</v>
      </c>
      <c r="F74" s="216"/>
      <c r="G74" s="216"/>
      <c r="H74" s="186">
        <f t="shared" si="3"/>
        <v>2.1140971050757025E-2</v>
      </c>
      <c r="I74" s="186">
        <f t="shared" si="4"/>
        <v>1.1213995339121775E-2</v>
      </c>
      <c r="J74" s="258">
        <f t="shared" si="5"/>
        <v>3.0379372658341276E-2</v>
      </c>
      <c r="K74" s="258">
        <f t="shared" si="6"/>
        <v>3.2120513968691332E-2</v>
      </c>
      <c r="L74" s="255">
        <f t="shared" si="7"/>
        <v>3.2412319287423989E-2</v>
      </c>
    </row>
    <row r="75" spans="2:12">
      <c r="B75" s="252"/>
      <c r="C75" s="252" t="s">
        <v>274</v>
      </c>
      <c r="D75" s="252" t="s">
        <v>2</v>
      </c>
      <c r="E75" s="187">
        <f t="shared" si="2"/>
        <v>3.0086702853261087E-2</v>
      </c>
      <c r="F75" s="218"/>
      <c r="G75" s="218"/>
      <c r="H75" s="187">
        <f t="shared" si="3"/>
        <v>2.1668695401013148E-2</v>
      </c>
      <c r="I75" s="187">
        <f t="shared" si="4"/>
        <v>5.6069976695608877E-2</v>
      </c>
      <c r="J75" s="259">
        <f t="shared" si="5"/>
        <v>3.0379372658341276E-2</v>
      </c>
      <c r="K75" s="259">
        <f t="shared" si="6"/>
        <v>3.2120513968691332E-2</v>
      </c>
      <c r="L75" s="256">
        <f t="shared" si="7"/>
        <v>3.2102827795200961E-2</v>
      </c>
    </row>
    <row r="76" spans="2:12" ht="15.75" thickBot="1">
      <c r="B76" s="253"/>
      <c r="C76" s="253" t="s">
        <v>274</v>
      </c>
      <c r="D76" s="253" t="s">
        <v>4</v>
      </c>
      <c r="E76" s="188">
        <f t="shared" si="2"/>
        <v>2.636645874176282E-2</v>
      </c>
      <c r="F76" s="220"/>
      <c r="G76" s="220"/>
      <c r="H76" s="188">
        <f t="shared" si="3"/>
        <v>4.8166400551367082E-2</v>
      </c>
      <c r="I76" s="188">
        <f t="shared" si="4"/>
        <v>5.6069976695608877E-2</v>
      </c>
      <c r="J76" s="147">
        <f t="shared" si="5"/>
        <v>3.0379372658341276E-2</v>
      </c>
      <c r="K76" s="147">
        <f t="shared" si="6"/>
        <v>3.2120513968691332E-2</v>
      </c>
      <c r="L76" s="257">
        <f t="shared" si="7"/>
        <v>3.0434974523224613E-2</v>
      </c>
    </row>
    <row r="77" spans="2:12">
      <c r="B77" s="251"/>
      <c r="C77" s="251" t="s">
        <v>276</v>
      </c>
      <c r="D77" s="251" t="s">
        <v>0</v>
      </c>
      <c r="E77" s="186">
        <f t="shared" si="2"/>
        <v>3.578526422664325E-2</v>
      </c>
      <c r="F77" s="216"/>
      <c r="G77" s="216"/>
      <c r="H77" s="186">
        <f t="shared" si="3"/>
        <v>2.1140971050757025E-2</v>
      </c>
      <c r="I77" s="186">
        <f t="shared" si="4"/>
        <v>1.2815994673282033E-2</v>
      </c>
      <c r="J77" s="258">
        <f t="shared" si="5"/>
        <v>2.9905650046465733E-2</v>
      </c>
      <c r="K77" s="258">
        <f t="shared" si="6"/>
        <v>2.0075321230432083E-2</v>
      </c>
      <c r="L77" s="255">
        <f t="shared" si="7"/>
        <v>3.2208666108278668E-2</v>
      </c>
    </row>
    <row r="78" spans="2:12">
      <c r="B78" s="252"/>
      <c r="C78" s="252" t="s">
        <v>276</v>
      </c>
      <c r="D78" s="252" t="s">
        <v>2</v>
      </c>
      <c r="E78" s="187">
        <f t="shared" si="2"/>
        <v>2.9158100913345645E-2</v>
      </c>
      <c r="F78" s="218"/>
      <c r="G78" s="218"/>
      <c r="H78" s="187">
        <f t="shared" si="3"/>
        <v>2.1668695401013148E-2</v>
      </c>
      <c r="I78" s="187">
        <f t="shared" si="4"/>
        <v>3.8447984019846088E-2</v>
      </c>
      <c r="J78" s="259">
        <f t="shared" si="5"/>
        <v>2.9905650046465733E-2</v>
      </c>
      <c r="K78" s="259">
        <f t="shared" si="6"/>
        <v>2.0075321230432083E-2</v>
      </c>
      <c r="L78" s="256">
        <f t="shared" si="7"/>
        <v>2.9288930715878139E-2</v>
      </c>
    </row>
    <row r="79" spans="2:12" ht="15.75" thickBot="1">
      <c r="B79" s="253"/>
      <c r="C79" s="253" t="s">
        <v>276</v>
      </c>
      <c r="D79" s="253" t="s">
        <v>4</v>
      </c>
      <c r="E79" s="188">
        <f t="shared" si="2"/>
        <v>2.636645874176282E-2</v>
      </c>
      <c r="F79" s="220"/>
      <c r="G79" s="220"/>
      <c r="H79" s="188">
        <f t="shared" si="3"/>
        <v>4.8166400551367082E-2</v>
      </c>
      <c r="I79" s="188">
        <f t="shared" si="4"/>
        <v>6.4079973366410151E-2</v>
      </c>
      <c r="J79" s="147">
        <f t="shared" si="5"/>
        <v>2.9905650046465733E-2</v>
      </c>
      <c r="K79" s="147">
        <f t="shared" si="6"/>
        <v>2.0075321230432083E-2</v>
      </c>
      <c r="L79" s="257">
        <f t="shared" si="7"/>
        <v>3.0655456901348657E-2</v>
      </c>
    </row>
    <row r="80" spans="2:12">
      <c r="B80" s="251"/>
      <c r="C80" s="251" t="s">
        <v>280</v>
      </c>
      <c r="D80" s="251" t="s">
        <v>0</v>
      </c>
      <c r="E80" s="186">
        <f t="shared" si="2"/>
        <v>3.5507489942337885E-2</v>
      </c>
      <c r="F80" s="216"/>
      <c r="G80" s="216"/>
      <c r="H80" s="186">
        <f t="shared" si="3"/>
        <v>2.1140971050757025E-2</v>
      </c>
      <c r="I80" s="186">
        <f t="shared" si="4"/>
        <v>9.9679958569971385E-3</v>
      </c>
      <c r="J80" s="258">
        <f t="shared" si="5"/>
        <v>3.0379372658341276E-2</v>
      </c>
      <c r="K80" s="258">
        <f t="shared" si="6"/>
        <v>2.8105449722604915E-2</v>
      </c>
      <c r="L80" s="255">
        <f t="shared" si="7"/>
        <v>3.2070242358113565E-2</v>
      </c>
    </row>
    <row r="81" spans="2:12">
      <c r="B81" s="252"/>
      <c r="C81" s="252" t="s">
        <v>280</v>
      </c>
      <c r="D81" s="252" t="s">
        <v>2</v>
      </c>
      <c r="E81" s="187">
        <f t="shared" si="2"/>
        <v>2.9158100913345645E-2</v>
      </c>
      <c r="F81" s="218"/>
      <c r="G81" s="218"/>
      <c r="H81" s="187">
        <f t="shared" si="3"/>
        <v>2.1668695401013148E-2</v>
      </c>
      <c r="I81" s="187">
        <f t="shared" si="4"/>
        <v>4.9839979284985667E-2</v>
      </c>
      <c r="J81" s="259">
        <f t="shared" si="5"/>
        <v>3.0379372658341276E-2</v>
      </c>
      <c r="K81" s="259">
        <f t="shared" si="6"/>
        <v>2.8105449722604915E-2</v>
      </c>
      <c r="L81" s="256">
        <f t="shared" si="7"/>
        <v>3.0647831705866629E-2</v>
      </c>
    </row>
    <row r="82" spans="2:12" ht="15.75" thickBot="1">
      <c r="B82" s="253"/>
      <c r="C82" s="253" t="s">
        <v>280</v>
      </c>
      <c r="D82" s="253" t="s">
        <v>4</v>
      </c>
      <c r="E82" s="188">
        <f t="shared" si="2"/>
        <v>2.636645874176282E-2</v>
      </c>
      <c r="F82" s="220"/>
      <c r="G82" s="220"/>
      <c r="H82" s="188">
        <f t="shared" si="3"/>
        <v>4.8166400551367082E-2</v>
      </c>
      <c r="I82" s="188">
        <f t="shared" si="4"/>
        <v>4.9839979284985667E-2</v>
      </c>
      <c r="J82" s="147">
        <f t="shared" si="5"/>
        <v>3.0379372658341276E-2</v>
      </c>
      <c r="K82" s="147">
        <f t="shared" si="6"/>
        <v>2.8105449722604915E-2</v>
      </c>
      <c r="L82" s="257">
        <f t="shared" si="7"/>
        <v>2.9714861818818841E-2</v>
      </c>
    </row>
    <row r="83" spans="2:12">
      <c r="B83" s="251"/>
      <c r="C83" s="251" t="s">
        <v>282</v>
      </c>
      <c r="D83" s="251" t="s">
        <v>0</v>
      </c>
      <c r="E83" s="186">
        <f t="shared" si="2"/>
        <v>3.5507489942337885E-2</v>
      </c>
      <c r="F83" s="216"/>
      <c r="G83" s="216"/>
      <c r="H83" s="186">
        <f t="shared" si="3"/>
        <v>2.1140971050757025E-2</v>
      </c>
      <c r="I83" s="186">
        <f t="shared" si="4"/>
        <v>9.9679958569971385E-3</v>
      </c>
      <c r="J83" s="258">
        <f t="shared" si="5"/>
        <v>3.0379372658341276E-2</v>
      </c>
      <c r="K83" s="258">
        <f t="shared" si="6"/>
        <v>2.8105449722604915E-2</v>
      </c>
      <c r="L83" s="255">
        <f t="shared" si="7"/>
        <v>3.2070242358113565E-2</v>
      </c>
    </row>
    <row r="84" spans="2:12">
      <c r="B84" s="252"/>
      <c r="C84" s="252" t="s">
        <v>282</v>
      </c>
      <c r="D84" s="252" t="s">
        <v>2</v>
      </c>
      <c r="E84" s="187">
        <f t="shared" si="2"/>
        <v>2.9158100913345645E-2</v>
      </c>
      <c r="F84" s="218"/>
      <c r="G84" s="218"/>
      <c r="H84" s="187">
        <f t="shared" si="3"/>
        <v>2.1668695401013148E-2</v>
      </c>
      <c r="I84" s="187">
        <f t="shared" si="4"/>
        <v>4.9839979284985667E-2</v>
      </c>
      <c r="J84" s="259">
        <f t="shared" si="5"/>
        <v>3.0379372658341276E-2</v>
      </c>
      <c r="K84" s="259">
        <f t="shared" si="6"/>
        <v>2.8105449722604915E-2</v>
      </c>
      <c r="L84" s="256">
        <f t="shared" si="7"/>
        <v>3.0647831705866629E-2</v>
      </c>
    </row>
    <row r="85" spans="2:12" ht="15.75" thickBot="1">
      <c r="B85" s="253"/>
      <c r="C85" s="253" t="s">
        <v>282</v>
      </c>
      <c r="D85" s="253" t="s">
        <v>4</v>
      </c>
      <c r="E85" s="188">
        <f t="shared" si="2"/>
        <v>2.636645874176282E-2</v>
      </c>
      <c r="F85" s="220"/>
      <c r="G85" s="220"/>
      <c r="H85" s="188">
        <f t="shared" si="3"/>
        <v>4.8166400551367082E-2</v>
      </c>
      <c r="I85" s="188">
        <f t="shared" si="4"/>
        <v>4.9839979284985667E-2</v>
      </c>
      <c r="J85" s="147">
        <f t="shared" si="5"/>
        <v>3.0379372658341276E-2</v>
      </c>
      <c r="K85" s="147">
        <f t="shared" si="6"/>
        <v>2.8105449722604915E-2</v>
      </c>
      <c r="L85" s="257">
        <f t="shared" si="7"/>
        <v>2.9714861818818841E-2</v>
      </c>
    </row>
    <row r="86" spans="2:12">
      <c r="B86" s="251"/>
      <c r="C86" s="251" t="s">
        <v>286</v>
      </c>
      <c r="D86" s="251" t="s">
        <v>0</v>
      </c>
      <c r="E86" s="186">
        <f t="shared" si="2"/>
        <v>3.5507489942337885E-2</v>
      </c>
      <c r="F86" s="216"/>
      <c r="G86" s="216"/>
      <c r="H86" s="186">
        <f t="shared" si="3"/>
        <v>2.1140971050757025E-2</v>
      </c>
      <c r="I86" s="186">
        <f t="shared" si="4"/>
        <v>9.9679958569971385E-3</v>
      </c>
      <c r="J86" s="258">
        <f t="shared" si="5"/>
        <v>3.0379372658341276E-2</v>
      </c>
      <c r="K86" s="258">
        <f t="shared" si="6"/>
        <v>2.8105449722604915E-2</v>
      </c>
      <c r="L86" s="255">
        <f t="shared" si="7"/>
        <v>3.2070242358113565E-2</v>
      </c>
    </row>
    <row r="87" spans="2:12">
      <c r="B87" s="252"/>
      <c r="C87" s="252" t="s">
        <v>286</v>
      </c>
      <c r="D87" s="252" t="s">
        <v>2</v>
      </c>
      <c r="E87" s="187">
        <f t="shared" si="2"/>
        <v>2.9158100913345645E-2</v>
      </c>
      <c r="F87" s="218"/>
      <c r="G87" s="218"/>
      <c r="H87" s="187">
        <f t="shared" si="3"/>
        <v>2.1668695401013148E-2</v>
      </c>
      <c r="I87" s="187">
        <f t="shared" si="4"/>
        <v>4.9839979284985667E-2</v>
      </c>
      <c r="J87" s="259">
        <f t="shared" si="5"/>
        <v>3.0379372658341276E-2</v>
      </c>
      <c r="K87" s="259">
        <f t="shared" si="6"/>
        <v>2.8105449722604915E-2</v>
      </c>
      <c r="L87" s="256">
        <f t="shared" si="7"/>
        <v>3.0647831705866629E-2</v>
      </c>
    </row>
    <row r="88" spans="2:12" ht="15.75" thickBot="1">
      <c r="B88" s="253"/>
      <c r="C88" s="253" t="s">
        <v>286</v>
      </c>
      <c r="D88" s="253" t="s">
        <v>4</v>
      </c>
      <c r="E88" s="188">
        <f t="shared" si="2"/>
        <v>2.636645874176282E-2</v>
      </c>
      <c r="F88" s="220"/>
      <c r="G88" s="220"/>
      <c r="H88" s="188">
        <f t="shared" si="3"/>
        <v>4.8166400551367082E-2</v>
      </c>
      <c r="I88" s="188">
        <f t="shared" si="4"/>
        <v>4.9839979284985667E-2</v>
      </c>
      <c r="J88" s="147">
        <f t="shared" si="5"/>
        <v>3.0379372658341276E-2</v>
      </c>
      <c r="K88" s="147">
        <f t="shared" si="6"/>
        <v>2.8105449722604915E-2</v>
      </c>
      <c r="L88" s="257">
        <f t="shared" si="7"/>
        <v>2.9714861818818841E-2</v>
      </c>
    </row>
    <row r="89" spans="2:12">
      <c r="B89" s="251"/>
      <c r="C89" s="251" t="s">
        <v>290</v>
      </c>
      <c r="D89" s="251" t="s">
        <v>0</v>
      </c>
      <c r="E89" s="186">
        <f t="shared" si="2"/>
        <v>3.578526422664325E-2</v>
      </c>
      <c r="F89" s="216"/>
      <c r="G89" s="216"/>
      <c r="H89" s="186">
        <f t="shared" si="3"/>
        <v>2.1140971050757025E-2</v>
      </c>
      <c r="I89" s="186">
        <f t="shared" si="4"/>
        <v>0</v>
      </c>
      <c r="J89" s="258">
        <f t="shared" si="5"/>
        <v>3.0456271239606984E-2</v>
      </c>
      <c r="K89" s="258">
        <f t="shared" si="6"/>
        <v>2.8105449722604915E-2</v>
      </c>
      <c r="L89" s="255">
        <f t="shared" si="7"/>
        <v>3.1398172606426258E-2</v>
      </c>
    </row>
    <row r="90" spans="2:12">
      <c r="B90" s="252"/>
      <c r="C90" s="252" t="s">
        <v>290</v>
      </c>
      <c r="D90" s="252" t="s">
        <v>2</v>
      </c>
      <c r="E90" s="187">
        <f t="shared" si="2"/>
        <v>2.9158100913345645E-2</v>
      </c>
      <c r="F90" s="218"/>
      <c r="G90" s="218"/>
      <c r="H90" s="187">
        <f t="shared" si="3"/>
        <v>2.1668695401013148E-2</v>
      </c>
      <c r="I90" s="187">
        <f t="shared" si="4"/>
        <v>2.242799067824355E-2</v>
      </c>
      <c r="J90" s="259">
        <f t="shared" si="5"/>
        <v>3.0456271239606984E-2</v>
      </c>
      <c r="K90" s="259">
        <f t="shared" si="6"/>
        <v>2.8105449722604915E-2</v>
      </c>
      <c r="L90" s="256">
        <f t="shared" si="7"/>
        <v>2.8191000204960938E-2</v>
      </c>
    </row>
    <row r="91" spans="2:12" ht="15.75" thickBot="1">
      <c r="B91" s="253"/>
      <c r="C91" s="253" t="s">
        <v>290</v>
      </c>
      <c r="D91" s="253" t="s">
        <v>4</v>
      </c>
      <c r="E91" s="188">
        <f t="shared" si="2"/>
        <v>2.6366458741762824E-2</v>
      </c>
      <c r="F91" s="220"/>
      <c r="G91" s="220"/>
      <c r="H91" s="188">
        <f t="shared" si="3"/>
        <v>4.8166400551367082E-2</v>
      </c>
      <c r="I91" s="188">
        <f t="shared" si="4"/>
        <v>3.3641986017365323E-2</v>
      </c>
      <c r="J91" s="147">
        <f t="shared" si="5"/>
        <v>3.0456271239606984E-2</v>
      </c>
      <c r="K91" s="147">
        <f t="shared" si="6"/>
        <v>2.8105449722604915E-2</v>
      </c>
      <c r="L91" s="257">
        <f t="shared" si="7"/>
        <v>2.8264059849639915E-2</v>
      </c>
    </row>
    <row r="92" spans="2:12">
      <c r="B92" s="251"/>
      <c r="C92" s="251" t="s">
        <v>294</v>
      </c>
      <c r="D92" s="251" t="s">
        <v>0</v>
      </c>
      <c r="E92" s="186">
        <f t="shared" si="2"/>
        <v>3.5507489942337885E-2</v>
      </c>
      <c r="F92" s="216"/>
      <c r="G92" s="216"/>
      <c r="H92" s="186">
        <f t="shared" si="3"/>
        <v>2.1140971050757025E-2</v>
      </c>
      <c r="I92" s="186">
        <f t="shared" si="4"/>
        <v>0</v>
      </c>
      <c r="J92" s="258">
        <f t="shared" si="5"/>
        <v>3.0536995926724458E-2</v>
      </c>
      <c r="K92" s="258">
        <f t="shared" si="6"/>
        <v>3.6135578214777753E-2</v>
      </c>
      <c r="L92" s="255">
        <f t="shared" si="7"/>
        <v>3.1503229315484174E-2</v>
      </c>
    </row>
    <row r="93" spans="2:12">
      <c r="B93" s="252"/>
      <c r="C93" s="252" t="s">
        <v>294</v>
      </c>
      <c r="D93" s="252" t="s">
        <v>2</v>
      </c>
      <c r="E93" s="187">
        <f t="shared" si="2"/>
        <v>2.9158100913345645E-2</v>
      </c>
      <c r="F93" s="218"/>
      <c r="G93" s="218"/>
      <c r="H93" s="187">
        <f t="shared" si="3"/>
        <v>2.1668695401013148E-2</v>
      </c>
      <c r="I93" s="187">
        <f t="shared" si="4"/>
        <v>3.5884785085189684E-2</v>
      </c>
      <c r="J93" s="259">
        <f t="shared" si="5"/>
        <v>3.0536995926724458E-2</v>
      </c>
      <c r="K93" s="259">
        <f t="shared" si="6"/>
        <v>3.6135578214777753E-2</v>
      </c>
      <c r="L93" s="256">
        <f t="shared" si="7"/>
        <v>2.9723119274178839E-2</v>
      </c>
    </row>
    <row r="94" spans="2:12" ht="15.75" thickBot="1">
      <c r="B94" s="253"/>
      <c r="C94" s="253" t="s">
        <v>294</v>
      </c>
      <c r="D94" s="253" t="s">
        <v>4</v>
      </c>
      <c r="E94" s="188">
        <f t="shared" si="2"/>
        <v>2.636645874176282E-2</v>
      </c>
      <c r="F94" s="220"/>
      <c r="G94" s="220"/>
      <c r="H94" s="188">
        <f t="shared" si="3"/>
        <v>4.8166400551367082E-2</v>
      </c>
      <c r="I94" s="188">
        <f t="shared" si="4"/>
        <v>2.6913588813892265E-2</v>
      </c>
      <c r="J94" s="147">
        <f t="shared" si="5"/>
        <v>3.0536995926724458E-2</v>
      </c>
      <c r="K94" s="147">
        <f t="shared" si="6"/>
        <v>3.6135578214777753E-2</v>
      </c>
      <c r="L94" s="257">
        <f t="shared" si="7"/>
        <v>2.7985325761749641E-2</v>
      </c>
    </row>
    <row r="95" spans="2:12">
      <c r="B95" s="251"/>
      <c r="C95" s="251" t="s">
        <v>298</v>
      </c>
      <c r="D95" s="251" t="s">
        <v>0</v>
      </c>
      <c r="E95" s="186">
        <f t="shared" si="2"/>
        <v>3.578526422664325E-2</v>
      </c>
      <c r="F95" s="216"/>
      <c r="G95" s="216"/>
      <c r="H95" s="186">
        <f t="shared" si="3"/>
        <v>2.1140971050757025E-2</v>
      </c>
      <c r="I95" s="186">
        <f t="shared" si="4"/>
        <v>1.1213995339121775E-2</v>
      </c>
      <c r="J95" s="258">
        <f t="shared" si="5"/>
        <v>3.0463363527510605E-2</v>
      </c>
      <c r="K95" s="258">
        <f t="shared" si="6"/>
        <v>2.8105449722604915E-2</v>
      </c>
      <c r="L95" s="255">
        <f t="shared" si="7"/>
        <v>3.2404419042475686E-2</v>
      </c>
    </row>
    <row r="96" spans="2:12">
      <c r="B96" s="252"/>
      <c r="C96" s="252" t="s">
        <v>298</v>
      </c>
      <c r="D96" s="252" t="s">
        <v>2</v>
      </c>
      <c r="E96" s="187">
        <f t="shared" si="2"/>
        <v>2.9158100913345645E-2</v>
      </c>
      <c r="F96" s="218"/>
      <c r="G96" s="218"/>
      <c r="H96" s="187">
        <f t="shared" si="3"/>
        <v>2.1668695401013148E-2</v>
      </c>
      <c r="I96" s="187">
        <f t="shared" si="4"/>
        <v>3.3641986017365323E-2</v>
      </c>
      <c r="J96" s="259">
        <f t="shared" si="5"/>
        <v>3.0463363527510605E-2</v>
      </c>
      <c r="K96" s="259">
        <f t="shared" si="6"/>
        <v>2.8105449722604915E-2</v>
      </c>
      <c r="L96" s="256">
        <f t="shared" si="7"/>
        <v>2.9197246641010366E-2</v>
      </c>
    </row>
    <row r="97" spans="2:12" ht="15.75" thickBot="1">
      <c r="B97" s="253"/>
      <c r="C97" s="253" t="s">
        <v>298</v>
      </c>
      <c r="D97" s="253" t="s">
        <v>4</v>
      </c>
      <c r="E97" s="188">
        <f t="shared" si="2"/>
        <v>2.636645874176282E-2</v>
      </c>
      <c r="F97" s="220"/>
      <c r="G97" s="220"/>
      <c r="H97" s="188">
        <f t="shared" si="3"/>
        <v>4.8166400551367082E-2</v>
      </c>
      <c r="I97" s="188">
        <f t="shared" si="4"/>
        <v>4.48559813564871E-2</v>
      </c>
      <c r="J97" s="147">
        <f t="shared" si="5"/>
        <v>3.0463363527510605E-2</v>
      </c>
      <c r="K97" s="147">
        <f t="shared" si="6"/>
        <v>2.8105449722604915E-2</v>
      </c>
      <c r="L97" s="257">
        <f t="shared" si="7"/>
        <v>2.9270306285689336E-2</v>
      </c>
    </row>
    <row r="98" spans="2:12">
      <c r="B98" s="251"/>
      <c r="C98" s="251" t="s">
        <v>301</v>
      </c>
      <c r="D98" s="251" t="s">
        <v>0</v>
      </c>
      <c r="E98" s="186">
        <f t="shared" si="2"/>
        <v>3.5507489942337885E-2</v>
      </c>
      <c r="F98" s="216"/>
      <c r="G98" s="216"/>
      <c r="H98" s="186">
        <f t="shared" si="3"/>
        <v>2.1140971050757025E-2</v>
      </c>
      <c r="I98" s="186">
        <f t="shared" si="4"/>
        <v>8.9711962712974175E-3</v>
      </c>
      <c r="J98" s="258">
        <f t="shared" si="5"/>
        <v>3.0547106036099132E-2</v>
      </c>
      <c r="K98" s="258">
        <f t="shared" si="6"/>
        <v>3.6135578214777753E-2</v>
      </c>
      <c r="L98" s="255">
        <f t="shared" si="7"/>
        <v>3.2308362139597473E-2</v>
      </c>
    </row>
    <row r="99" spans="2:12">
      <c r="B99" s="252"/>
      <c r="C99" s="252" t="s">
        <v>301</v>
      </c>
      <c r="D99" s="252" t="s">
        <v>2</v>
      </c>
      <c r="E99" s="187">
        <f t="shared" si="2"/>
        <v>2.9158100913345645E-2</v>
      </c>
      <c r="F99" s="218"/>
      <c r="G99" s="218"/>
      <c r="H99" s="187">
        <f t="shared" si="3"/>
        <v>2.1668695401013148E-2</v>
      </c>
      <c r="I99" s="187">
        <f t="shared" si="4"/>
        <v>4.48559813564871E-2</v>
      </c>
      <c r="J99" s="259">
        <f t="shared" si="5"/>
        <v>3.0547106036099132E-2</v>
      </c>
      <c r="K99" s="259">
        <f t="shared" si="6"/>
        <v>3.6135578214777753E-2</v>
      </c>
      <c r="L99" s="256">
        <f t="shared" si="7"/>
        <v>3.0528252098292134E-2</v>
      </c>
    </row>
    <row r="100" spans="2:12" ht="15.75" thickBot="1">
      <c r="B100" s="253"/>
      <c r="C100" s="253" t="s">
        <v>301</v>
      </c>
      <c r="D100" s="253" t="s">
        <v>4</v>
      </c>
      <c r="E100" s="188">
        <f t="shared" si="2"/>
        <v>2.636645874176282E-2</v>
      </c>
      <c r="F100" s="220"/>
      <c r="G100" s="220"/>
      <c r="H100" s="188">
        <f t="shared" si="3"/>
        <v>4.8166400551367082E-2</v>
      </c>
      <c r="I100" s="188">
        <f t="shared" si="4"/>
        <v>3.5884785085189684E-2</v>
      </c>
      <c r="J100" s="147">
        <f t="shared" si="5"/>
        <v>3.0547106036099132E-2</v>
      </c>
      <c r="K100" s="147">
        <f t="shared" si="6"/>
        <v>3.6135578214777753E-2</v>
      </c>
      <c r="L100" s="257">
        <f t="shared" si="7"/>
        <v>2.8790458585862939E-2</v>
      </c>
    </row>
    <row r="101" spans="2:12">
      <c r="B101" s="251"/>
      <c r="C101" s="251" t="s">
        <v>304</v>
      </c>
      <c r="D101" s="251" t="s">
        <v>0</v>
      </c>
      <c r="E101" s="186">
        <f t="shared" si="2"/>
        <v>3.5507489942337885E-2</v>
      </c>
      <c r="F101" s="216"/>
      <c r="G101" s="216"/>
      <c r="H101" s="186">
        <f t="shared" si="3"/>
        <v>2.1140971050757025E-2</v>
      </c>
      <c r="I101" s="186">
        <f t="shared" si="4"/>
        <v>0</v>
      </c>
      <c r="J101" s="258">
        <f t="shared" si="5"/>
        <v>3.0536995926724458E-2</v>
      </c>
      <c r="K101" s="258">
        <f t="shared" si="6"/>
        <v>3.6135578214777753E-2</v>
      </c>
      <c r="L101" s="255">
        <f t="shared" si="7"/>
        <v>3.1503229315484174E-2</v>
      </c>
    </row>
    <row r="102" spans="2:12">
      <c r="B102" s="252"/>
      <c r="C102" s="252" t="s">
        <v>304</v>
      </c>
      <c r="D102" s="252" t="s">
        <v>2</v>
      </c>
      <c r="E102" s="187">
        <f t="shared" si="2"/>
        <v>2.9158100913345645E-2</v>
      </c>
      <c r="F102" s="218"/>
      <c r="G102" s="218"/>
      <c r="H102" s="187">
        <f t="shared" si="3"/>
        <v>2.1668695401013148E-2</v>
      </c>
      <c r="I102" s="187">
        <f t="shared" si="4"/>
        <v>3.5884785085189684E-2</v>
      </c>
      <c r="J102" s="259">
        <f t="shared" si="5"/>
        <v>3.0536995926724458E-2</v>
      </c>
      <c r="K102" s="259">
        <f t="shared" si="6"/>
        <v>3.6135578214777753E-2</v>
      </c>
      <c r="L102" s="256">
        <f t="shared" si="7"/>
        <v>2.9723119274178839E-2</v>
      </c>
    </row>
    <row r="103" spans="2:12" ht="15.75" thickBot="1">
      <c r="B103" s="253"/>
      <c r="C103" s="253" t="s">
        <v>304</v>
      </c>
      <c r="D103" s="253" t="s">
        <v>4</v>
      </c>
      <c r="E103" s="188">
        <f t="shared" si="2"/>
        <v>2.636645874176282E-2</v>
      </c>
      <c r="F103" s="220"/>
      <c r="G103" s="220"/>
      <c r="H103" s="188">
        <f t="shared" si="3"/>
        <v>4.8166400551367082E-2</v>
      </c>
      <c r="I103" s="188">
        <f t="shared" si="4"/>
        <v>2.6913588813892265E-2</v>
      </c>
      <c r="J103" s="147">
        <f t="shared" si="5"/>
        <v>3.0536995926724458E-2</v>
      </c>
      <c r="K103" s="147">
        <f t="shared" si="6"/>
        <v>3.6135578214777753E-2</v>
      </c>
      <c r="L103" s="257">
        <f t="shared" si="7"/>
        <v>2.7985325761749641E-2</v>
      </c>
    </row>
    <row r="104" spans="2:12">
      <c r="B104" s="251"/>
      <c r="C104" s="251" t="s">
        <v>306</v>
      </c>
      <c r="D104" s="251" t="s">
        <v>0</v>
      </c>
      <c r="E104" s="186">
        <f t="shared" si="2"/>
        <v>3.5507489942337885E-2</v>
      </c>
      <c r="F104" s="216"/>
      <c r="G104" s="216"/>
      <c r="H104" s="186">
        <f t="shared" si="3"/>
        <v>2.1140971050757025E-2</v>
      </c>
      <c r="I104" s="186">
        <f t="shared" si="4"/>
        <v>0</v>
      </c>
      <c r="J104" s="258">
        <f t="shared" si="5"/>
        <v>3.0536995926724458E-2</v>
      </c>
      <c r="K104" s="258">
        <f t="shared" si="6"/>
        <v>3.6135578214777753E-2</v>
      </c>
      <c r="L104" s="255">
        <f t="shared" si="7"/>
        <v>3.1503229315484174E-2</v>
      </c>
    </row>
    <row r="105" spans="2:12">
      <c r="B105" s="252"/>
      <c r="C105" s="252" t="s">
        <v>306</v>
      </c>
      <c r="D105" s="252" t="s">
        <v>2</v>
      </c>
      <c r="E105" s="187">
        <f t="shared" si="2"/>
        <v>2.9158100913345645E-2</v>
      </c>
      <c r="F105" s="218"/>
      <c r="G105" s="218"/>
      <c r="H105" s="187">
        <f t="shared" si="3"/>
        <v>2.1668695401013148E-2</v>
      </c>
      <c r="I105" s="187">
        <f t="shared" si="4"/>
        <v>3.5884785085189684E-2</v>
      </c>
      <c r="J105" s="259">
        <f t="shared" si="5"/>
        <v>3.0536995926724458E-2</v>
      </c>
      <c r="K105" s="259">
        <f t="shared" si="6"/>
        <v>3.6135578214777753E-2</v>
      </c>
      <c r="L105" s="256">
        <f t="shared" si="7"/>
        <v>2.9723119274178839E-2</v>
      </c>
    </row>
    <row r="106" spans="2:12" ht="15.75" thickBot="1">
      <c r="B106" s="253"/>
      <c r="C106" s="253" t="s">
        <v>306</v>
      </c>
      <c r="D106" s="253" t="s">
        <v>4</v>
      </c>
      <c r="E106" s="188">
        <f t="shared" si="2"/>
        <v>2.636645874176282E-2</v>
      </c>
      <c r="F106" s="220"/>
      <c r="G106" s="220"/>
      <c r="H106" s="188">
        <f t="shared" si="3"/>
        <v>4.8166400551367082E-2</v>
      </c>
      <c r="I106" s="188">
        <f t="shared" si="4"/>
        <v>2.6913588813892265E-2</v>
      </c>
      <c r="J106" s="147">
        <f t="shared" si="5"/>
        <v>3.0536995926724458E-2</v>
      </c>
      <c r="K106" s="147">
        <f t="shared" si="6"/>
        <v>3.6135578214777753E-2</v>
      </c>
      <c r="L106" s="257">
        <f t="shared" si="7"/>
        <v>2.7985325761749641E-2</v>
      </c>
    </row>
    <row r="107" spans="2:12">
      <c r="B107" s="251"/>
      <c r="C107" s="251" t="s">
        <v>308</v>
      </c>
      <c r="D107" s="251" t="s">
        <v>0</v>
      </c>
      <c r="E107" s="186">
        <f t="shared" si="2"/>
        <v>3.5507489942337885E-2</v>
      </c>
      <c r="F107" s="216"/>
      <c r="G107" s="216"/>
      <c r="H107" s="186">
        <f t="shared" si="3"/>
        <v>2.1140971050757025E-2</v>
      </c>
      <c r="I107" s="186">
        <f t="shared" si="4"/>
        <v>8.9711962712974175E-3</v>
      </c>
      <c r="J107" s="258">
        <f t="shared" si="5"/>
        <v>3.0547106036099132E-2</v>
      </c>
      <c r="K107" s="258">
        <f t="shared" si="6"/>
        <v>3.6135578214777753E-2</v>
      </c>
      <c r="L107" s="255">
        <f t="shared" si="7"/>
        <v>3.2308362139597473E-2</v>
      </c>
    </row>
    <row r="108" spans="2:12">
      <c r="B108" s="252"/>
      <c r="C108" s="252" t="s">
        <v>308</v>
      </c>
      <c r="D108" s="252" t="s">
        <v>2</v>
      </c>
      <c r="E108" s="187">
        <f t="shared" si="2"/>
        <v>2.9158100913345645E-2</v>
      </c>
      <c r="F108" s="218"/>
      <c r="G108" s="218"/>
      <c r="H108" s="187">
        <f t="shared" si="3"/>
        <v>2.1668695401013148E-2</v>
      </c>
      <c r="I108" s="187">
        <f t="shared" si="4"/>
        <v>4.48559813564871E-2</v>
      </c>
      <c r="J108" s="259">
        <f t="shared" si="5"/>
        <v>3.0547106036099132E-2</v>
      </c>
      <c r="K108" s="259">
        <f t="shared" si="6"/>
        <v>3.6135578214777753E-2</v>
      </c>
      <c r="L108" s="256">
        <f t="shared" si="7"/>
        <v>3.0528252098292134E-2</v>
      </c>
    </row>
    <row r="109" spans="2:12" ht="15.75" thickBot="1">
      <c r="B109" s="253"/>
      <c r="C109" s="253" t="s">
        <v>308</v>
      </c>
      <c r="D109" s="253" t="s">
        <v>4</v>
      </c>
      <c r="E109" s="188">
        <f t="shared" si="2"/>
        <v>2.636645874176282E-2</v>
      </c>
      <c r="F109" s="220"/>
      <c r="G109" s="220"/>
      <c r="H109" s="188">
        <f t="shared" si="3"/>
        <v>4.8166400551367082E-2</v>
      </c>
      <c r="I109" s="188">
        <f t="shared" si="4"/>
        <v>3.5884785085189684E-2</v>
      </c>
      <c r="J109" s="147">
        <f t="shared" si="5"/>
        <v>3.0547106036099132E-2</v>
      </c>
      <c r="K109" s="147">
        <f t="shared" si="6"/>
        <v>3.6135578214777753E-2</v>
      </c>
      <c r="L109" s="257">
        <f t="shared" si="7"/>
        <v>2.8790458585862939E-2</v>
      </c>
    </row>
    <row r="110" spans="2:12">
      <c r="B110" s="251"/>
      <c r="C110" s="251" t="s">
        <v>310</v>
      </c>
      <c r="D110" s="251" t="s">
        <v>0</v>
      </c>
      <c r="E110" s="186">
        <f t="shared" si="2"/>
        <v>3.5507489942337885E-2</v>
      </c>
      <c r="F110" s="216"/>
      <c r="G110" s="216"/>
      <c r="H110" s="186">
        <f t="shared" si="3"/>
        <v>2.1140971050757025E-2</v>
      </c>
      <c r="I110" s="186">
        <f t="shared" si="4"/>
        <v>8.9711962712974175E-3</v>
      </c>
      <c r="J110" s="258">
        <f t="shared" si="5"/>
        <v>3.0547106036099132E-2</v>
      </c>
      <c r="K110" s="258">
        <f t="shared" si="6"/>
        <v>3.6135578214777753E-2</v>
      </c>
      <c r="L110" s="255">
        <f t="shared" si="7"/>
        <v>3.2308362139597473E-2</v>
      </c>
    </row>
    <row r="111" spans="2:12">
      <c r="B111" s="252"/>
      <c r="C111" s="252" t="s">
        <v>310</v>
      </c>
      <c r="D111" s="252" t="s">
        <v>2</v>
      </c>
      <c r="E111" s="187">
        <f t="shared" si="2"/>
        <v>2.9158100913345645E-2</v>
      </c>
      <c r="F111" s="218"/>
      <c r="G111" s="218"/>
      <c r="H111" s="187">
        <f t="shared" si="3"/>
        <v>2.1668695401013148E-2</v>
      </c>
      <c r="I111" s="187">
        <f t="shared" si="4"/>
        <v>4.48559813564871E-2</v>
      </c>
      <c r="J111" s="259">
        <f t="shared" si="5"/>
        <v>3.0547106036099132E-2</v>
      </c>
      <c r="K111" s="259">
        <f t="shared" si="6"/>
        <v>3.6135578214777753E-2</v>
      </c>
      <c r="L111" s="256">
        <f t="shared" si="7"/>
        <v>3.0528252098292134E-2</v>
      </c>
    </row>
    <row r="112" spans="2:12" ht="15.75" thickBot="1">
      <c r="B112" s="253"/>
      <c r="C112" s="253" t="s">
        <v>310</v>
      </c>
      <c r="D112" s="253" t="s">
        <v>4</v>
      </c>
      <c r="E112" s="188">
        <f t="shared" si="2"/>
        <v>2.636645874176282E-2</v>
      </c>
      <c r="F112" s="220"/>
      <c r="G112" s="220"/>
      <c r="H112" s="188">
        <f t="shared" si="3"/>
        <v>4.8166400551367082E-2</v>
      </c>
      <c r="I112" s="188">
        <f t="shared" si="4"/>
        <v>3.5884785085189684E-2</v>
      </c>
      <c r="J112" s="147">
        <f t="shared" si="5"/>
        <v>3.0547106036099132E-2</v>
      </c>
      <c r="K112" s="147">
        <f t="shared" si="6"/>
        <v>3.6135578214777753E-2</v>
      </c>
      <c r="L112" s="257">
        <f t="shared" si="7"/>
        <v>2.8790458585862939E-2</v>
      </c>
    </row>
    <row r="114" spans="11:12">
      <c r="K114" s="73" t="s">
        <v>497</v>
      </c>
      <c r="L114" s="328">
        <f>SUM(L59:L112)</f>
        <v>1.6381607648205523</v>
      </c>
    </row>
  </sheetData>
  <autoFilter ref="B2:L2" xr:uid="{12215E7A-C483-44EF-B122-F52455C4C678}">
    <sortState xmlns:xlrd2="http://schemas.microsoft.com/office/spreadsheetml/2017/richdata2" ref="B3:L56">
      <sortCondition ref="C2"/>
    </sortState>
  </autoFilter>
  <mergeCells count="4">
    <mergeCell ref="N29:Q29"/>
    <mergeCell ref="N7:O7"/>
    <mergeCell ref="P7:Q7"/>
    <mergeCell ref="N16:Q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BCD5-EE13-4A59-B82E-2B3FCD3E4413}">
  <dimension ref="B1:O169"/>
  <sheetViews>
    <sheetView topLeftCell="A96" workbookViewId="0">
      <selection activeCell="I124" sqref="I124"/>
    </sheetView>
  </sheetViews>
  <sheetFormatPr defaultColWidth="11.42578125" defaultRowHeight="15"/>
  <cols>
    <col min="1" max="1" width="3.42578125" customWidth="1"/>
    <col min="2" max="2" width="12.28515625" bestFit="1" customWidth="1"/>
    <col min="3" max="3" width="9.28515625" bestFit="1" customWidth="1"/>
    <col min="4" max="4" width="11.7109375" bestFit="1" customWidth="1"/>
    <col min="5" max="5" width="20.85546875" bestFit="1" customWidth="1"/>
    <col min="6" max="6" width="25.140625" bestFit="1" customWidth="1"/>
    <col min="7" max="7" width="23.85546875" bestFit="1" customWidth="1"/>
    <col min="8" max="8" width="23.28515625" bestFit="1" customWidth="1"/>
    <col min="9" max="9" width="32.28515625" bestFit="1" customWidth="1"/>
    <col min="10" max="10" width="20.5703125" bestFit="1" customWidth="1"/>
    <col min="11" max="11" width="41.85546875" bestFit="1" customWidth="1"/>
    <col min="12" max="12" width="12" bestFit="1" customWidth="1"/>
    <col min="13" max="13" width="3.42578125" bestFit="1" customWidth="1"/>
    <col min="14" max="14" width="6.7109375" bestFit="1" customWidth="1"/>
    <col min="15" max="15" width="7.42578125" bestFit="1" customWidth="1"/>
  </cols>
  <sheetData>
    <row r="1" spans="2:15" ht="15.75" thickBot="1"/>
    <row r="2" spans="2:15">
      <c r="B2" s="268" t="s">
        <v>472</v>
      </c>
      <c r="C2" s="269" t="s">
        <v>250</v>
      </c>
      <c r="D2" s="269" t="s">
        <v>473</v>
      </c>
      <c r="E2" s="269" t="s">
        <v>405</v>
      </c>
      <c r="F2" s="270" t="s">
        <v>474</v>
      </c>
      <c r="G2" s="270" t="s">
        <v>407</v>
      </c>
      <c r="H2" s="269" t="s">
        <v>408</v>
      </c>
      <c r="I2" s="269" t="s">
        <v>409</v>
      </c>
      <c r="J2" s="269" t="s">
        <v>426</v>
      </c>
      <c r="K2" s="269" t="s">
        <v>427</v>
      </c>
      <c r="L2" s="269" t="s">
        <v>410</v>
      </c>
    </row>
    <row r="3" spans="2:15">
      <c r="B3" s="272"/>
      <c r="C3" s="264" t="s">
        <v>257</v>
      </c>
      <c r="D3" s="264" t="s">
        <v>0</v>
      </c>
      <c r="E3" s="266">
        <v>4.2711300092262094E-2</v>
      </c>
      <c r="F3" s="266">
        <v>0.33333000000000002</v>
      </c>
      <c r="G3" s="266">
        <v>190</v>
      </c>
      <c r="H3" s="266">
        <v>0.43891531874405326</v>
      </c>
      <c r="I3" s="266">
        <v>0</v>
      </c>
      <c r="J3" s="266">
        <v>0.97784810126582278</v>
      </c>
      <c r="K3" s="266">
        <v>0.6</v>
      </c>
      <c r="L3" s="267">
        <f t="shared" ref="L3:L34" si="0">E3*$O$8+H3*$O$9+I3*$O$10+J3*$O$11+K3*$O$12</f>
        <v>0.1075720905399897</v>
      </c>
    </row>
    <row r="4" spans="2:15">
      <c r="B4" s="272"/>
      <c r="C4" s="264" t="s">
        <v>257</v>
      </c>
      <c r="D4" s="264" t="s">
        <v>2</v>
      </c>
      <c r="E4" s="266">
        <v>3.3316775475447091E-2</v>
      </c>
      <c r="F4" s="266">
        <v>1.63</v>
      </c>
      <c r="G4" s="266">
        <v>61.6</v>
      </c>
      <c r="H4" s="266">
        <v>1</v>
      </c>
      <c r="I4" s="266">
        <v>0.66666666666666674</v>
      </c>
      <c r="J4" s="266">
        <v>0.977848101265823</v>
      </c>
      <c r="K4" s="266">
        <v>0.6</v>
      </c>
      <c r="L4" s="267">
        <f t="shared" si="0"/>
        <v>0.18719797963790882</v>
      </c>
    </row>
    <row r="5" spans="2:15">
      <c r="B5" s="272"/>
      <c r="C5" s="264" t="s">
        <v>257</v>
      </c>
      <c r="D5" s="264" t="s">
        <v>4</v>
      </c>
      <c r="E5" s="266">
        <v>3.5517871172467297E-2</v>
      </c>
      <c r="F5" s="266">
        <v>1.5</v>
      </c>
      <c r="G5" s="266">
        <v>1112.5999999999999</v>
      </c>
      <c r="H5" s="266">
        <v>0.44987159416042638</v>
      </c>
      <c r="I5" s="266">
        <v>0.16666666666666663</v>
      </c>
      <c r="J5" s="266">
        <v>0.97784810126582278</v>
      </c>
      <c r="K5" s="266">
        <v>0.6</v>
      </c>
      <c r="L5" s="267">
        <f t="shared" si="0"/>
        <v>0.11738578540544134</v>
      </c>
    </row>
    <row r="6" spans="2:15" ht="15.75" thickBot="1">
      <c r="B6" s="272"/>
      <c r="C6" s="264" t="s">
        <v>286</v>
      </c>
      <c r="D6" s="264" t="s">
        <v>0</v>
      </c>
      <c r="E6" s="266">
        <v>4.2470616551004925E-2</v>
      </c>
      <c r="F6" s="266">
        <v>0.33333000000000002</v>
      </c>
      <c r="G6" s="266">
        <v>190</v>
      </c>
      <c r="H6" s="266">
        <v>0.43891531874405326</v>
      </c>
      <c r="I6" s="266">
        <v>0</v>
      </c>
      <c r="J6" s="266">
        <v>0.99333777481678875</v>
      </c>
      <c r="K6" s="266">
        <v>1</v>
      </c>
      <c r="L6" s="267">
        <f t="shared" si="0"/>
        <v>0.12285745346201503</v>
      </c>
    </row>
    <row r="7" spans="2:15" ht="15.75" thickBot="1">
      <c r="B7" s="272"/>
      <c r="C7" s="264" t="s">
        <v>286</v>
      </c>
      <c r="D7" s="264" t="s">
        <v>2</v>
      </c>
      <c r="E7" s="266">
        <v>3.3316775475447091E-2</v>
      </c>
      <c r="F7" s="266">
        <v>1.63</v>
      </c>
      <c r="G7" s="266">
        <v>61.6</v>
      </c>
      <c r="H7" s="266">
        <v>1</v>
      </c>
      <c r="I7" s="266">
        <v>0.5</v>
      </c>
      <c r="J7" s="266">
        <v>0.99333777481678875</v>
      </c>
      <c r="K7" s="266">
        <v>1</v>
      </c>
      <c r="L7" s="267">
        <f t="shared" si="0"/>
        <v>0.18768150010535786</v>
      </c>
      <c r="N7" s="458" t="s">
        <v>476</v>
      </c>
      <c r="O7" s="459"/>
    </row>
    <row r="8" spans="2:15">
      <c r="B8" s="272"/>
      <c r="C8" s="264" t="s">
        <v>286</v>
      </c>
      <c r="D8" s="264" t="s">
        <v>4</v>
      </c>
      <c r="E8" s="266">
        <v>3.5517871172467297E-2</v>
      </c>
      <c r="F8" s="266">
        <v>1.5</v>
      </c>
      <c r="G8" s="266">
        <v>1112.5999999999999</v>
      </c>
      <c r="H8" s="266">
        <v>0.44987159416042638</v>
      </c>
      <c r="I8" s="266">
        <v>0.375</v>
      </c>
      <c r="J8" s="266">
        <v>0.99333777481678875</v>
      </c>
      <c r="K8" s="266">
        <v>1</v>
      </c>
      <c r="L8" s="267">
        <f t="shared" si="0"/>
        <v>0.15160320191646365</v>
      </c>
      <c r="N8" s="82" t="s">
        <v>477</v>
      </c>
      <c r="O8" s="260">
        <v>0.79357412832896213</v>
      </c>
    </row>
    <row r="9" spans="2:15">
      <c r="B9" s="272"/>
      <c r="C9" s="264" t="s">
        <v>261</v>
      </c>
      <c r="D9" s="264" t="s">
        <v>0</v>
      </c>
      <c r="E9" s="266">
        <v>4.5218420313690944E-2</v>
      </c>
      <c r="F9" s="266">
        <v>0.33333000000000002</v>
      </c>
      <c r="G9" s="266">
        <v>190</v>
      </c>
      <c r="H9" s="266">
        <v>0.43891531874405326</v>
      </c>
      <c r="I9" s="266">
        <v>0</v>
      </c>
      <c r="J9" s="266">
        <v>0.9866129843985908</v>
      </c>
      <c r="K9" s="266">
        <v>0.4</v>
      </c>
      <c r="L9" s="267">
        <f t="shared" si="0"/>
        <v>0.10232946762468062</v>
      </c>
      <c r="N9" s="83" t="s">
        <v>478</v>
      </c>
      <c r="O9" s="261">
        <v>4.8316717499682256E-2</v>
      </c>
    </row>
    <row r="10" spans="2:15">
      <c r="B10" s="272"/>
      <c r="C10" s="264" t="s">
        <v>261</v>
      </c>
      <c r="D10" s="264" t="s">
        <v>2</v>
      </c>
      <c r="E10" s="266">
        <v>3.3316775475447091E-2</v>
      </c>
      <c r="F10" s="266">
        <v>1.63</v>
      </c>
      <c r="G10" s="266">
        <v>61.6</v>
      </c>
      <c r="H10" s="266">
        <v>1</v>
      </c>
      <c r="I10" s="266">
        <v>0.66666666666666674</v>
      </c>
      <c r="J10" s="266">
        <v>0.9866129843985908</v>
      </c>
      <c r="K10" s="266">
        <v>0.4</v>
      </c>
      <c r="L10" s="267">
        <f t="shared" si="0"/>
        <v>0.17996577097826341</v>
      </c>
      <c r="N10" s="83" t="s">
        <v>479</v>
      </c>
      <c r="O10" s="261">
        <v>8.9957056116195311E-2</v>
      </c>
    </row>
    <row r="11" spans="2:15">
      <c r="B11" s="272"/>
      <c r="C11" s="264" t="s">
        <v>261</v>
      </c>
      <c r="D11" s="264" t="s">
        <v>4</v>
      </c>
      <c r="E11" s="266">
        <v>3.8017692613792953E-2</v>
      </c>
      <c r="F11" s="266">
        <v>1.5</v>
      </c>
      <c r="G11" s="266">
        <v>1112.5999999999999</v>
      </c>
      <c r="H11" s="266">
        <v>0.44987159416042638</v>
      </c>
      <c r="I11" s="266">
        <v>0.33333333333333337</v>
      </c>
      <c r="J11" s="266">
        <v>0.9866129843985908</v>
      </c>
      <c r="K11" s="266">
        <v>0.4</v>
      </c>
      <c r="L11" s="267">
        <f t="shared" si="0"/>
        <v>0.12713021305310657</v>
      </c>
      <c r="N11" s="83" t="s">
        <v>480</v>
      </c>
      <c r="O11" s="261">
        <v>3.0646971596565369E-2</v>
      </c>
    </row>
    <row r="12" spans="2:15" ht="15.75" thickBot="1">
      <c r="B12" s="272"/>
      <c r="C12" s="264" t="s">
        <v>290</v>
      </c>
      <c r="D12" s="264" t="s">
        <v>0</v>
      </c>
      <c r="E12" s="266">
        <v>4.4977736772433774E-2</v>
      </c>
      <c r="F12" s="266">
        <v>0.33333000000000002</v>
      </c>
      <c r="G12" s="266">
        <v>190</v>
      </c>
      <c r="H12" s="266">
        <v>0.43891531874405326</v>
      </c>
      <c r="I12" s="266">
        <v>0</v>
      </c>
      <c r="J12" s="266">
        <v>0.99597382989431305</v>
      </c>
      <c r="K12" s="266">
        <v>0.8</v>
      </c>
      <c r="L12" s="267">
        <f t="shared" si="0"/>
        <v>0.11742700052737666</v>
      </c>
      <c r="N12" s="84" t="s">
        <v>481</v>
      </c>
      <c r="O12" s="262">
        <v>3.7504128920312713E-2</v>
      </c>
    </row>
    <row r="13" spans="2:15" ht="15.75" thickBot="1">
      <c r="B13" s="272"/>
      <c r="C13" s="264" t="s">
        <v>290</v>
      </c>
      <c r="D13" s="264" t="s">
        <v>2</v>
      </c>
      <c r="E13" s="266">
        <v>3.3316775475447091E-2</v>
      </c>
      <c r="F13" s="266">
        <v>1.63</v>
      </c>
      <c r="G13" s="266">
        <v>61.6</v>
      </c>
      <c r="H13" s="266">
        <v>1</v>
      </c>
      <c r="I13" s="266">
        <v>0.5</v>
      </c>
      <c r="J13" s="266">
        <v>0.99597382989431305</v>
      </c>
      <c r="K13" s="266">
        <v>0.8</v>
      </c>
      <c r="L13" s="267">
        <f t="shared" si="0"/>
        <v>0.18026146142638316</v>
      </c>
    </row>
    <row r="14" spans="2:15" ht="15.75" thickBot="1">
      <c r="B14" s="272"/>
      <c r="C14" s="264" t="s">
        <v>290</v>
      </c>
      <c r="D14" s="264" t="s">
        <v>4</v>
      </c>
      <c r="E14" s="266">
        <v>3.8017692613792953E-2</v>
      </c>
      <c r="F14" s="266">
        <v>1.5</v>
      </c>
      <c r="G14" s="266">
        <v>1112.5999999999999</v>
      </c>
      <c r="H14" s="266">
        <v>0.44987159416042638</v>
      </c>
      <c r="I14" s="266">
        <v>0.5</v>
      </c>
      <c r="J14" s="266">
        <v>0.99597382989431305</v>
      </c>
      <c r="K14" s="266">
        <v>0.8</v>
      </c>
      <c r="L14" s="267">
        <f t="shared" si="0"/>
        <v>0.15741158887329143</v>
      </c>
      <c r="N14" s="189" t="s">
        <v>482</v>
      </c>
      <c r="O14" s="196">
        <f>SUM(O8:O12)</f>
        <v>0.9999990024617178</v>
      </c>
    </row>
    <row r="15" spans="2:15">
      <c r="B15" s="272"/>
      <c r="C15" s="264" t="s">
        <v>264</v>
      </c>
      <c r="D15" s="264" t="s">
        <v>0</v>
      </c>
      <c r="E15" s="266">
        <v>4.5218420313690944E-2</v>
      </c>
      <c r="F15" s="266">
        <v>0.33333000000000002</v>
      </c>
      <c r="G15" s="266">
        <v>190</v>
      </c>
      <c r="H15" s="266">
        <v>0.43891531874405326</v>
      </c>
      <c r="I15" s="266">
        <v>0.16666666666666663</v>
      </c>
      <c r="J15" s="266">
        <v>0.97784810126582278</v>
      </c>
      <c r="K15" s="266">
        <v>0.4</v>
      </c>
      <c r="L15" s="267">
        <f t="shared" si="0"/>
        <v>0.11705369318629602</v>
      </c>
    </row>
    <row r="16" spans="2:15">
      <c r="B16" s="272"/>
      <c r="C16" s="264" t="s">
        <v>264</v>
      </c>
      <c r="D16" s="264" t="s">
        <v>2</v>
      </c>
      <c r="E16" s="266">
        <v>3.3316775475447091E-2</v>
      </c>
      <c r="F16" s="266">
        <v>1.63</v>
      </c>
      <c r="G16" s="266">
        <v>61.6</v>
      </c>
      <c r="H16" s="266">
        <v>1</v>
      </c>
      <c r="I16" s="266">
        <v>0.83333333333333337</v>
      </c>
      <c r="J16" s="266">
        <v>0.97784810126582278</v>
      </c>
      <c r="K16" s="266">
        <v>0.4</v>
      </c>
      <c r="L16" s="267">
        <f t="shared" si="0"/>
        <v>0.19468999653987881</v>
      </c>
    </row>
    <row r="17" spans="2:12">
      <c r="B17" s="272"/>
      <c r="C17" s="264" t="s">
        <v>264</v>
      </c>
      <c r="D17" s="264" t="s">
        <v>4</v>
      </c>
      <c r="E17" s="266">
        <v>3.8017692613792953E-2</v>
      </c>
      <c r="F17" s="266">
        <v>1.5</v>
      </c>
      <c r="G17" s="266">
        <v>1112.5999999999999</v>
      </c>
      <c r="H17" s="266">
        <v>0.44987159416042638</v>
      </c>
      <c r="I17" s="266">
        <v>0.5</v>
      </c>
      <c r="J17" s="266">
        <v>0.97784810126582278</v>
      </c>
      <c r="K17" s="266">
        <v>0.4</v>
      </c>
      <c r="L17" s="267">
        <f t="shared" si="0"/>
        <v>0.14185443861472197</v>
      </c>
    </row>
    <row r="18" spans="2:12">
      <c r="B18" s="272"/>
      <c r="C18" s="264" t="s">
        <v>294</v>
      </c>
      <c r="D18" s="264" t="s">
        <v>0</v>
      </c>
      <c r="E18" s="266">
        <v>4.4977736772433774E-2</v>
      </c>
      <c r="F18" s="266">
        <v>0.33333000000000002</v>
      </c>
      <c r="G18" s="266">
        <v>190</v>
      </c>
      <c r="H18" s="266">
        <v>0.43891531874405326</v>
      </c>
      <c r="I18" s="266">
        <v>0.125</v>
      </c>
      <c r="J18" s="266">
        <v>0.99333777481678875</v>
      </c>
      <c r="K18" s="266">
        <v>0.8</v>
      </c>
      <c r="L18" s="267">
        <f t="shared" si="0"/>
        <v>0.12859084543681321</v>
      </c>
    </row>
    <row r="19" spans="2:12">
      <c r="B19" s="272"/>
      <c r="C19" s="264" t="s">
        <v>294</v>
      </c>
      <c r="D19" s="264" t="s">
        <v>2</v>
      </c>
      <c r="E19" s="266">
        <v>3.3316775475447091E-2</v>
      </c>
      <c r="F19" s="266">
        <v>1.63</v>
      </c>
      <c r="G19" s="266">
        <v>61.6</v>
      </c>
      <c r="H19" s="266">
        <v>1</v>
      </c>
      <c r="I19" s="266">
        <v>0.625</v>
      </c>
      <c r="J19" s="266">
        <v>0.99333777481678875</v>
      </c>
      <c r="K19" s="266">
        <v>0.8</v>
      </c>
      <c r="L19" s="267">
        <f t="shared" si="0"/>
        <v>0.19142530633581972</v>
      </c>
    </row>
    <row r="20" spans="2:12">
      <c r="B20" s="272"/>
      <c r="C20" s="264" t="s">
        <v>294</v>
      </c>
      <c r="D20" s="264" t="s">
        <v>4</v>
      </c>
      <c r="E20" s="266">
        <v>3.8017692613792953E-2</v>
      </c>
      <c r="F20" s="266">
        <v>1.5</v>
      </c>
      <c r="G20" s="266">
        <v>1112.5999999999999</v>
      </c>
      <c r="H20" s="266">
        <v>0.44987159416042638</v>
      </c>
      <c r="I20" s="266">
        <v>0.625</v>
      </c>
      <c r="J20" s="266">
        <v>0.99333777481678875</v>
      </c>
      <c r="K20" s="266">
        <v>0.8</v>
      </c>
      <c r="L20" s="267">
        <f t="shared" si="0"/>
        <v>0.16857543378272799</v>
      </c>
    </row>
    <row r="21" spans="2:12">
      <c r="B21" s="272"/>
      <c r="C21" s="264" t="s">
        <v>268</v>
      </c>
      <c r="D21" s="264" t="s">
        <v>0</v>
      </c>
      <c r="E21" s="266">
        <v>4.5218420313690944E-2</v>
      </c>
      <c r="F21" s="266">
        <v>0.33333000000000002</v>
      </c>
      <c r="G21" s="266">
        <v>190</v>
      </c>
      <c r="H21" s="266">
        <v>0.43891531874405326</v>
      </c>
      <c r="I21" s="266">
        <v>0.1428571428571429</v>
      </c>
      <c r="J21" s="266">
        <v>0.97784810126582278</v>
      </c>
      <c r="K21" s="266">
        <v>0.6</v>
      </c>
      <c r="L21" s="267">
        <f t="shared" si="0"/>
        <v>0.12241268430092533</v>
      </c>
    </row>
    <row r="22" spans="2:12">
      <c r="B22" s="272"/>
      <c r="C22" s="264" t="s">
        <v>268</v>
      </c>
      <c r="D22" s="264" t="s">
        <v>2</v>
      </c>
      <c r="E22" s="266">
        <v>3.3316775475447091E-2</v>
      </c>
      <c r="F22" s="266">
        <v>1.63</v>
      </c>
      <c r="G22" s="266">
        <v>61.6</v>
      </c>
      <c r="H22" s="266">
        <v>1</v>
      </c>
      <c r="I22" s="266">
        <v>0.7142857142857143</v>
      </c>
      <c r="J22" s="266">
        <v>0.97784810126582278</v>
      </c>
      <c r="K22" s="266">
        <v>0.6</v>
      </c>
      <c r="L22" s="267">
        <f t="shared" si="0"/>
        <v>0.19148164897677528</v>
      </c>
    </row>
    <row r="23" spans="2:12">
      <c r="B23" s="272"/>
      <c r="C23" s="264" t="s">
        <v>268</v>
      </c>
      <c r="D23" s="264" t="s">
        <v>4</v>
      </c>
      <c r="E23" s="266">
        <v>3.68443070392932E-2</v>
      </c>
      <c r="F23" s="266">
        <v>1.5</v>
      </c>
      <c r="G23" s="266">
        <v>1112.5999999999999</v>
      </c>
      <c r="H23" s="266">
        <v>0.44987159416042638</v>
      </c>
      <c r="I23" s="266">
        <v>0.4285714285714286</v>
      </c>
      <c r="J23" s="266">
        <v>0.97784810126582278</v>
      </c>
      <c r="K23" s="266">
        <v>0.6</v>
      </c>
      <c r="L23" s="267">
        <f t="shared" si="0"/>
        <v>0.14199859195600742</v>
      </c>
    </row>
    <row r="24" spans="2:12">
      <c r="B24" s="272"/>
      <c r="C24" s="264" t="s">
        <v>298</v>
      </c>
      <c r="D24" s="264" t="s">
        <v>0</v>
      </c>
      <c r="E24" s="266">
        <v>4.4867423482690794E-2</v>
      </c>
      <c r="F24" s="266">
        <v>0.33333000000000002</v>
      </c>
      <c r="G24" s="266">
        <v>190</v>
      </c>
      <c r="H24" s="266">
        <v>0.43891531874405326</v>
      </c>
      <c r="I24" s="266">
        <v>0.11111111111111116</v>
      </c>
      <c r="J24" s="266">
        <v>0.99333777481678875</v>
      </c>
      <c r="K24" s="266">
        <v>0.8</v>
      </c>
      <c r="L24" s="267">
        <f t="shared" si="0"/>
        <v>0.12725390010689294</v>
      </c>
    </row>
    <row r="25" spans="2:12">
      <c r="B25" s="272"/>
      <c r="C25" s="264" t="s">
        <v>298</v>
      </c>
      <c r="D25" s="264" t="s">
        <v>2</v>
      </c>
      <c r="E25" s="266">
        <v>3.3316775475447091E-2</v>
      </c>
      <c r="F25" s="266">
        <v>1.63</v>
      </c>
      <c r="G25" s="266">
        <v>61.6</v>
      </c>
      <c r="H25" s="266">
        <v>1</v>
      </c>
      <c r="I25" s="266">
        <v>0.55555555555555558</v>
      </c>
      <c r="J25" s="266">
        <v>0.99333777481678875</v>
      </c>
      <c r="K25" s="266">
        <v>0.8</v>
      </c>
      <c r="L25" s="267">
        <f t="shared" si="0"/>
        <v>0.18517828854997281</v>
      </c>
    </row>
    <row r="26" spans="2:12">
      <c r="B26" s="272"/>
      <c r="C26" s="264" t="s">
        <v>298</v>
      </c>
      <c r="D26" s="264" t="s">
        <v>4</v>
      </c>
      <c r="E26" s="266">
        <v>3.68443070392932E-2</v>
      </c>
      <c r="F26" s="266">
        <v>1.5</v>
      </c>
      <c r="G26" s="266">
        <v>1112.5999999999999</v>
      </c>
      <c r="H26" s="266">
        <v>0.44987159416042638</v>
      </c>
      <c r="I26" s="266">
        <v>0.55555555555555558</v>
      </c>
      <c r="J26" s="266">
        <v>0.99333777481678875</v>
      </c>
      <c r="K26" s="266">
        <v>0.8</v>
      </c>
      <c r="L26" s="267">
        <f t="shared" si="0"/>
        <v>0.1613972475624037</v>
      </c>
    </row>
    <row r="27" spans="2:12">
      <c r="B27" s="272"/>
      <c r="C27" s="264" t="s">
        <v>272</v>
      </c>
      <c r="D27" s="264" t="s">
        <v>0</v>
      </c>
      <c r="E27" s="266">
        <v>4.4867423482690794E-2</v>
      </c>
      <c r="F27" s="266">
        <v>0.33333000000000002</v>
      </c>
      <c r="G27" s="266">
        <v>190</v>
      </c>
      <c r="H27" s="266">
        <v>0.43891531874405326</v>
      </c>
      <c r="I27" s="266">
        <v>0.11111111111111116</v>
      </c>
      <c r="J27" s="266">
        <v>0.99333777481678875</v>
      </c>
      <c r="K27" s="266">
        <v>0.8</v>
      </c>
      <c r="L27" s="267">
        <f t="shared" si="0"/>
        <v>0.12725390010689294</v>
      </c>
    </row>
    <row r="28" spans="2:12">
      <c r="B28" s="272"/>
      <c r="C28" s="264" t="s">
        <v>272</v>
      </c>
      <c r="D28" s="264" t="s">
        <v>2</v>
      </c>
      <c r="E28" s="266">
        <v>3.3316775475447091E-2</v>
      </c>
      <c r="F28" s="266">
        <v>1.63</v>
      </c>
      <c r="G28" s="266">
        <v>61.6</v>
      </c>
      <c r="H28" s="266">
        <v>1</v>
      </c>
      <c r="I28" s="266">
        <v>0.55555555555555558</v>
      </c>
      <c r="J28" s="266">
        <v>0.99333777481678875</v>
      </c>
      <c r="K28" s="266">
        <v>0.8</v>
      </c>
      <c r="L28" s="267">
        <f t="shared" si="0"/>
        <v>0.18517828854997281</v>
      </c>
    </row>
    <row r="29" spans="2:12">
      <c r="B29" s="272"/>
      <c r="C29" s="264" t="s">
        <v>272</v>
      </c>
      <c r="D29" s="264" t="s">
        <v>4</v>
      </c>
      <c r="E29" s="266">
        <v>3.68443070392932E-2</v>
      </c>
      <c r="F29" s="266">
        <v>1.5</v>
      </c>
      <c r="G29" s="266">
        <v>1112.5999999999999</v>
      </c>
      <c r="H29" s="266">
        <v>0.44987159416042638</v>
      </c>
      <c r="I29" s="266">
        <v>0.55555555555555558</v>
      </c>
      <c r="J29" s="266">
        <v>0.99333777481678875</v>
      </c>
      <c r="K29" s="266">
        <v>0.8</v>
      </c>
      <c r="L29" s="267">
        <f t="shared" si="0"/>
        <v>0.1613972475624037</v>
      </c>
    </row>
    <row r="30" spans="2:12">
      <c r="B30" s="272"/>
      <c r="C30" s="264" t="s">
        <v>301</v>
      </c>
      <c r="D30" s="264" t="s">
        <v>0</v>
      </c>
      <c r="E30" s="266">
        <v>4.4867423482690794E-2</v>
      </c>
      <c r="F30" s="266">
        <v>0.33333000000000002</v>
      </c>
      <c r="G30" s="266">
        <v>190</v>
      </c>
      <c r="H30" s="266">
        <v>0.43891531874405326</v>
      </c>
      <c r="I30" s="266">
        <v>0.11111111111111116</v>
      </c>
      <c r="J30" s="266">
        <v>0.99333777481678875</v>
      </c>
      <c r="K30" s="266">
        <v>0.8</v>
      </c>
      <c r="L30" s="267">
        <f t="shared" si="0"/>
        <v>0.12725390010689294</v>
      </c>
    </row>
    <row r="31" spans="2:12">
      <c r="B31" s="272"/>
      <c r="C31" s="264" t="s">
        <v>301</v>
      </c>
      <c r="D31" s="264" t="s">
        <v>2</v>
      </c>
      <c r="E31" s="266">
        <v>3.3316775475447091E-2</v>
      </c>
      <c r="F31" s="266">
        <v>1.63</v>
      </c>
      <c r="G31" s="266">
        <v>61.6</v>
      </c>
      <c r="H31" s="266">
        <v>1</v>
      </c>
      <c r="I31" s="266">
        <v>0.55555555555555558</v>
      </c>
      <c r="J31" s="266">
        <v>0.99333777481678875</v>
      </c>
      <c r="K31" s="266">
        <v>0.8</v>
      </c>
      <c r="L31" s="267">
        <f t="shared" si="0"/>
        <v>0.18517828854997281</v>
      </c>
    </row>
    <row r="32" spans="2:12">
      <c r="B32" s="272"/>
      <c r="C32" s="264" t="s">
        <v>301</v>
      </c>
      <c r="D32" s="264" t="s">
        <v>4</v>
      </c>
      <c r="E32" s="266">
        <v>3.68443070392932E-2</v>
      </c>
      <c r="F32" s="266">
        <v>1.5</v>
      </c>
      <c r="G32" s="266">
        <v>1112.5999999999999</v>
      </c>
      <c r="H32" s="266">
        <v>0.44987159416042638</v>
      </c>
      <c r="I32" s="266">
        <v>0.55555555555555558</v>
      </c>
      <c r="J32" s="266">
        <v>0.99333777481678875</v>
      </c>
      <c r="K32" s="266">
        <v>0.8</v>
      </c>
      <c r="L32" s="267">
        <f t="shared" si="0"/>
        <v>0.1613972475624037</v>
      </c>
    </row>
    <row r="33" spans="2:12">
      <c r="B33" s="272"/>
      <c r="C33" s="264" t="s">
        <v>274</v>
      </c>
      <c r="D33" s="264" t="s">
        <v>0</v>
      </c>
      <c r="E33" s="266">
        <v>4.5218420313690944E-2</v>
      </c>
      <c r="F33" s="266">
        <v>0.33333000000000002</v>
      </c>
      <c r="G33" s="266">
        <v>190</v>
      </c>
      <c r="H33" s="266">
        <v>0.43891531874405326</v>
      </c>
      <c r="I33" s="266">
        <v>0</v>
      </c>
      <c r="J33" s="266">
        <v>0.99585218702865763</v>
      </c>
      <c r="K33" s="266">
        <v>0.8</v>
      </c>
      <c r="L33" s="267">
        <f t="shared" si="0"/>
        <v>0.11761427277338429</v>
      </c>
    </row>
    <row r="34" spans="2:12">
      <c r="B34" s="272"/>
      <c r="C34" s="264" t="s">
        <v>274</v>
      </c>
      <c r="D34" s="264" t="s">
        <v>2</v>
      </c>
      <c r="E34" s="266">
        <v>3.3316775475447098E-2</v>
      </c>
      <c r="F34" s="266">
        <v>1.63</v>
      </c>
      <c r="G34" s="266">
        <v>61.6</v>
      </c>
      <c r="H34" s="266">
        <v>1</v>
      </c>
      <c r="I34" s="266">
        <v>0.375</v>
      </c>
      <c r="J34" s="266">
        <v>0.99585218702865763</v>
      </c>
      <c r="K34" s="266">
        <v>0.8</v>
      </c>
      <c r="L34" s="267">
        <f t="shared" si="0"/>
        <v>0.16901310142641013</v>
      </c>
    </row>
    <row r="35" spans="2:12">
      <c r="B35" s="272"/>
      <c r="C35" s="264" t="s">
        <v>274</v>
      </c>
      <c r="D35" s="264" t="s">
        <v>4</v>
      </c>
      <c r="E35" s="266">
        <v>3.68443070392932E-2</v>
      </c>
      <c r="F35" s="266">
        <v>1.5</v>
      </c>
      <c r="G35" s="266">
        <v>1112.5999999999999</v>
      </c>
      <c r="H35" s="266">
        <v>0.44987159416042638</v>
      </c>
      <c r="I35" s="266">
        <v>0.25</v>
      </c>
      <c r="J35" s="266">
        <v>0.99585218702865763</v>
      </c>
      <c r="K35" s="266">
        <v>0.8</v>
      </c>
      <c r="L35" s="267">
        <f t="shared" ref="L35:L56" si="1">E35*$O$8+H35*$O$9+I35*$O$10+J35*$O$11+K35*$O$12</f>
        <v>0.13398742842431655</v>
      </c>
    </row>
    <row r="36" spans="2:12">
      <c r="B36" s="272"/>
      <c r="C36" s="264" t="s">
        <v>304</v>
      </c>
      <c r="D36" s="264" t="s">
        <v>0</v>
      </c>
      <c r="E36" s="266">
        <v>4.4867423482690794E-2</v>
      </c>
      <c r="F36" s="266">
        <v>0.33333000000000002</v>
      </c>
      <c r="G36" s="266">
        <v>190</v>
      </c>
      <c r="H36" s="266">
        <v>0.43891531874405326</v>
      </c>
      <c r="I36" s="266">
        <v>0</v>
      </c>
      <c r="J36" s="266">
        <v>0.99849170437405732</v>
      </c>
      <c r="K36" s="266">
        <v>1</v>
      </c>
      <c r="L36" s="267">
        <f t="shared" si="1"/>
        <v>0.12491744976635274</v>
      </c>
    </row>
    <row r="37" spans="2:12">
      <c r="B37" s="272"/>
      <c r="C37" s="264" t="s">
        <v>304</v>
      </c>
      <c r="D37" s="264" t="s">
        <v>2</v>
      </c>
      <c r="E37" s="266">
        <v>3.3316775475447091E-2</v>
      </c>
      <c r="F37" s="266">
        <v>1.63</v>
      </c>
      <c r="G37" s="266">
        <v>61.6</v>
      </c>
      <c r="H37" s="266">
        <v>1</v>
      </c>
      <c r="I37" s="266">
        <v>0.30000000000000004</v>
      </c>
      <c r="J37" s="266">
        <v>0.99849170437405732</v>
      </c>
      <c r="K37" s="266">
        <v>1</v>
      </c>
      <c r="L37" s="267">
        <f t="shared" si="1"/>
        <v>0.1698480412148711</v>
      </c>
    </row>
    <row r="38" spans="2:12">
      <c r="B38" s="272"/>
      <c r="C38" s="264" t="s">
        <v>304</v>
      </c>
      <c r="D38" s="264" t="s">
        <v>4</v>
      </c>
      <c r="E38" s="266">
        <v>3.68443070392932E-2</v>
      </c>
      <c r="F38" s="266">
        <v>1.5</v>
      </c>
      <c r="G38" s="266">
        <v>1112.5999999999999</v>
      </c>
      <c r="H38" s="266">
        <v>0.44987159416042638</v>
      </c>
      <c r="I38" s="266">
        <v>0.4</v>
      </c>
      <c r="J38" s="266">
        <v>0.99849170437405732</v>
      </c>
      <c r="K38" s="266">
        <v>1</v>
      </c>
      <c r="L38" s="267">
        <f t="shared" si="1"/>
        <v>0.15506270583892148</v>
      </c>
    </row>
    <row r="39" spans="2:12">
      <c r="B39" s="272"/>
      <c r="C39" s="264" t="s">
        <v>276</v>
      </c>
      <c r="D39" s="264" t="s">
        <v>0</v>
      </c>
      <c r="E39" s="266">
        <v>4.5218420313690944E-2</v>
      </c>
      <c r="F39" s="266">
        <v>0.33333000000000002</v>
      </c>
      <c r="G39" s="266">
        <v>190</v>
      </c>
      <c r="H39" s="266">
        <v>0.43891531874405326</v>
      </c>
      <c r="I39" s="266">
        <v>0.125</v>
      </c>
      <c r="J39" s="266">
        <v>0.99608408903544932</v>
      </c>
      <c r="K39" s="266">
        <v>0.8</v>
      </c>
      <c r="L39" s="267">
        <f t="shared" si="1"/>
        <v>0.12886601188212404</v>
      </c>
    </row>
    <row r="40" spans="2:12">
      <c r="B40" s="272"/>
      <c r="C40" s="264" t="s">
        <v>276</v>
      </c>
      <c r="D40" s="264" t="s">
        <v>2</v>
      </c>
      <c r="E40" s="266">
        <v>3.3316775475447091E-2</v>
      </c>
      <c r="F40" s="266">
        <v>1.63</v>
      </c>
      <c r="G40" s="266">
        <v>61.6</v>
      </c>
      <c r="H40" s="266">
        <v>1</v>
      </c>
      <c r="I40" s="266">
        <v>0.5</v>
      </c>
      <c r="J40" s="266">
        <v>0.99608408903544932</v>
      </c>
      <c r="K40" s="266">
        <v>0.8</v>
      </c>
      <c r="L40" s="267">
        <f t="shared" si="1"/>
        <v>0.18026484053514985</v>
      </c>
    </row>
    <row r="41" spans="2:12">
      <c r="B41" s="272"/>
      <c r="C41" s="264" t="s">
        <v>276</v>
      </c>
      <c r="D41" s="264" t="s">
        <v>4</v>
      </c>
      <c r="E41" s="266">
        <v>3.68443070392932E-2</v>
      </c>
      <c r="F41" s="266">
        <v>1.5</v>
      </c>
      <c r="G41" s="266">
        <v>1112.5999999999999</v>
      </c>
      <c r="H41" s="266">
        <v>0.44987159416042638</v>
      </c>
      <c r="I41" s="266">
        <v>0.375</v>
      </c>
      <c r="J41" s="266">
        <v>0.99608408903544932</v>
      </c>
      <c r="K41" s="266">
        <v>0.8</v>
      </c>
      <c r="L41" s="267">
        <f t="shared" si="1"/>
        <v>0.14523916753305627</v>
      </c>
    </row>
    <row r="42" spans="2:12">
      <c r="B42" s="272"/>
      <c r="C42" s="264" t="s">
        <v>306</v>
      </c>
      <c r="D42" s="264" t="s">
        <v>0</v>
      </c>
      <c r="E42" s="266">
        <v>4.4867423482690794E-2</v>
      </c>
      <c r="F42" s="266">
        <v>0.33333000000000002</v>
      </c>
      <c r="G42" s="266">
        <v>190</v>
      </c>
      <c r="H42" s="266">
        <v>0.43891531874405326</v>
      </c>
      <c r="I42" s="266">
        <v>9.9999999999999978E-2</v>
      </c>
      <c r="J42" s="266">
        <v>0.99882228241667648</v>
      </c>
      <c r="K42" s="266">
        <v>1</v>
      </c>
      <c r="L42" s="267">
        <f t="shared" si="1"/>
        <v>0.13392328659385488</v>
      </c>
    </row>
    <row r="43" spans="2:12">
      <c r="B43" s="272"/>
      <c r="C43" s="264" t="s">
        <v>306</v>
      </c>
      <c r="D43" s="264" t="s">
        <v>2</v>
      </c>
      <c r="E43" s="266">
        <v>3.3316775475447091E-2</v>
      </c>
      <c r="F43" s="266">
        <v>1.63</v>
      </c>
      <c r="G43" s="266">
        <v>61.6</v>
      </c>
      <c r="H43" s="266">
        <v>1</v>
      </c>
      <c r="I43" s="266">
        <v>0.4</v>
      </c>
      <c r="J43" s="266">
        <v>0.99882228241667648</v>
      </c>
      <c r="K43" s="266">
        <v>1</v>
      </c>
      <c r="L43" s="267">
        <f t="shared" si="1"/>
        <v>0.17885387804237324</v>
      </c>
    </row>
    <row r="44" spans="2:12">
      <c r="B44" s="272"/>
      <c r="C44" s="264" t="s">
        <v>306</v>
      </c>
      <c r="D44" s="264" t="s">
        <v>4</v>
      </c>
      <c r="E44" s="266">
        <v>3.68443070392932E-2</v>
      </c>
      <c r="F44" s="266">
        <v>1.5</v>
      </c>
      <c r="G44" s="266">
        <v>1112.5999999999999</v>
      </c>
      <c r="H44" s="266">
        <v>0.44987159416042638</v>
      </c>
      <c r="I44" s="266">
        <v>0.5</v>
      </c>
      <c r="J44" s="266">
        <v>0.99882228241667648</v>
      </c>
      <c r="K44" s="266">
        <v>1</v>
      </c>
      <c r="L44" s="267">
        <f t="shared" si="1"/>
        <v>0.16406854266642362</v>
      </c>
    </row>
    <row r="45" spans="2:12">
      <c r="B45" s="272"/>
      <c r="C45" s="264" t="s">
        <v>280</v>
      </c>
      <c r="D45" s="264" t="s">
        <v>0</v>
      </c>
      <c r="E45" s="266">
        <v>4.4867423482690794E-2</v>
      </c>
      <c r="F45" s="266">
        <v>0.33333000000000002</v>
      </c>
      <c r="G45" s="266">
        <v>190</v>
      </c>
      <c r="H45" s="266">
        <v>0.43891531874405326</v>
      </c>
      <c r="I45" s="266">
        <v>0</v>
      </c>
      <c r="J45" s="266">
        <v>0.99849170437405732</v>
      </c>
      <c r="K45" s="266">
        <v>1</v>
      </c>
      <c r="L45" s="267">
        <f t="shared" si="1"/>
        <v>0.12491744976635274</v>
      </c>
    </row>
    <row r="46" spans="2:12">
      <c r="B46" s="272"/>
      <c r="C46" s="264" t="s">
        <v>280</v>
      </c>
      <c r="D46" s="264" t="s">
        <v>2</v>
      </c>
      <c r="E46" s="266">
        <v>3.3316775475447091E-2</v>
      </c>
      <c r="F46" s="266">
        <v>1.63</v>
      </c>
      <c r="G46" s="266">
        <v>61.6</v>
      </c>
      <c r="H46" s="266">
        <v>1</v>
      </c>
      <c r="I46" s="266">
        <v>0.30000000000000004</v>
      </c>
      <c r="J46" s="266">
        <v>0.99849170437405732</v>
      </c>
      <c r="K46" s="266">
        <v>1</v>
      </c>
      <c r="L46" s="267">
        <f t="shared" si="1"/>
        <v>0.1698480412148711</v>
      </c>
    </row>
    <row r="47" spans="2:12">
      <c r="B47" s="272"/>
      <c r="C47" s="264" t="s">
        <v>280</v>
      </c>
      <c r="D47" s="264" t="s">
        <v>4</v>
      </c>
      <c r="E47" s="266">
        <v>3.68443070392932E-2</v>
      </c>
      <c r="F47" s="266">
        <v>1.5</v>
      </c>
      <c r="G47" s="266">
        <v>1112.5999999999999</v>
      </c>
      <c r="H47" s="266">
        <v>0.44987159416042638</v>
      </c>
      <c r="I47" s="266">
        <v>0.4</v>
      </c>
      <c r="J47" s="266">
        <v>0.99849170437405732</v>
      </c>
      <c r="K47" s="266">
        <v>1</v>
      </c>
      <c r="L47" s="267">
        <f t="shared" si="1"/>
        <v>0.15506270583892148</v>
      </c>
    </row>
    <row r="48" spans="2:12">
      <c r="B48" s="272"/>
      <c r="C48" s="264" t="s">
        <v>308</v>
      </c>
      <c r="D48" s="264" t="s">
        <v>0</v>
      </c>
      <c r="E48" s="266">
        <v>4.4867423482690794E-2</v>
      </c>
      <c r="F48" s="266">
        <v>0.33333000000000002</v>
      </c>
      <c r="G48" s="266">
        <v>190</v>
      </c>
      <c r="H48" s="266">
        <v>0.43891531874405326</v>
      </c>
      <c r="I48" s="266">
        <v>0</v>
      </c>
      <c r="J48" s="266">
        <v>0.99849170437405732</v>
      </c>
      <c r="K48" s="266">
        <v>1</v>
      </c>
      <c r="L48" s="267">
        <f t="shared" si="1"/>
        <v>0.12491744976635274</v>
      </c>
    </row>
    <row r="49" spans="2:12">
      <c r="B49" s="272"/>
      <c r="C49" s="264" t="s">
        <v>308</v>
      </c>
      <c r="D49" s="264" t="s">
        <v>2</v>
      </c>
      <c r="E49" s="266">
        <v>3.3316775475447091E-2</v>
      </c>
      <c r="F49" s="266">
        <v>1.63</v>
      </c>
      <c r="G49" s="266">
        <v>61.6</v>
      </c>
      <c r="H49" s="266">
        <v>1</v>
      </c>
      <c r="I49" s="266">
        <v>0.30000000000000004</v>
      </c>
      <c r="J49" s="266">
        <v>0.99849170437405732</v>
      </c>
      <c r="K49" s="266">
        <v>1</v>
      </c>
      <c r="L49" s="267">
        <f t="shared" si="1"/>
        <v>0.1698480412148711</v>
      </c>
    </row>
    <row r="50" spans="2:12">
      <c r="B50" s="272"/>
      <c r="C50" s="264" t="s">
        <v>308</v>
      </c>
      <c r="D50" s="264" t="s">
        <v>4</v>
      </c>
      <c r="E50" s="266">
        <v>3.68443070392932E-2</v>
      </c>
      <c r="F50" s="266">
        <v>1.5</v>
      </c>
      <c r="G50" s="266">
        <v>1112.5999999999999</v>
      </c>
      <c r="H50" s="266">
        <v>0.44987159416042638</v>
      </c>
      <c r="I50" s="266">
        <v>0.4</v>
      </c>
      <c r="J50" s="266">
        <v>0.99849170437405732</v>
      </c>
      <c r="K50" s="266">
        <v>1</v>
      </c>
      <c r="L50" s="267">
        <f t="shared" si="1"/>
        <v>0.15506270583892148</v>
      </c>
    </row>
    <row r="51" spans="2:12">
      <c r="B51" s="272"/>
      <c r="C51" s="264" t="s">
        <v>282</v>
      </c>
      <c r="D51" s="264" t="s">
        <v>0</v>
      </c>
      <c r="E51" s="266">
        <v>4.4867423482690794E-2</v>
      </c>
      <c r="F51" s="266">
        <v>0.33333000000000002</v>
      </c>
      <c r="G51" s="266">
        <v>190</v>
      </c>
      <c r="H51" s="266">
        <v>0.43891531874405326</v>
      </c>
      <c r="I51" s="266">
        <v>9.9999999999999978E-2</v>
      </c>
      <c r="J51" s="266">
        <v>0.99882228241667648</v>
      </c>
      <c r="K51" s="266">
        <v>1</v>
      </c>
      <c r="L51" s="267">
        <f t="shared" si="1"/>
        <v>0.13392328659385488</v>
      </c>
    </row>
    <row r="52" spans="2:12">
      <c r="B52" s="272"/>
      <c r="C52" s="264" t="s">
        <v>282</v>
      </c>
      <c r="D52" s="264" t="s">
        <v>2</v>
      </c>
      <c r="E52" s="266">
        <v>3.3316775475447091E-2</v>
      </c>
      <c r="F52" s="266">
        <v>1.63</v>
      </c>
      <c r="G52" s="266">
        <v>61.6</v>
      </c>
      <c r="H52" s="266">
        <v>1</v>
      </c>
      <c r="I52" s="266">
        <v>0.4</v>
      </c>
      <c r="J52" s="266">
        <v>0.99882228241667648</v>
      </c>
      <c r="K52" s="266">
        <v>1</v>
      </c>
      <c r="L52" s="267">
        <f t="shared" si="1"/>
        <v>0.17885387804237324</v>
      </c>
    </row>
    <row r="53" spans="2:12">
      <c r="B53" s="272"/>
      <c r="C53" s="264" t="s">
        <v>282</v>
      </c>
      <c r="D53" s="264" t="s">
        <v>4</v>
      </c>
      <c r="E53" s="266">
        <v>3.68443070392932E-2</v>
      </c>
      <c r="F53" s="266">
        <v>1.5</v>
      </c>
      <c r="G53" s="266">
        <v>1112.5999999999999</v>
      </c>
      <c r="H53" s="266">
        <v>0.44987159416042638</v>
      </c>
      <c r="I53" s="266">
        <v>0.5</v>
      </c>
      <c r="J53" s="266">
        <v>0.99882228241667648</v>
      </c>
      <c r="K53" s="266">
        <v>1</v>
      </c>
      <c r="L53" s="267">
        <f t="shared" si="1"/>
        <v>0.16406854266642362</v>
      </c>
    </row>
    <row r="54" spans="2:12">
      <c r="B54" s="272"/>
      <c r="C54" s="264" t="s">
        <v>310</v>
      </c>
      <c r="D54" s="264" t="s">
        <v>0</v>
      </c>
      <c r="E54" s="266">
        <v>4.4867423482690794E-2</v>
      </c>
      <c r="F54" s="266">
        <v>0.33333000000000002</v>
      </c>
      <c r="G54" s="266">
        <v>190</v>
      </c>
      <c r="H54" s="266">
        <v>0.43891531874405326</v>
      </c>
      <c r="I54" s="266">
        <v>9.9999999999999978E-2</v>
      </c>
      <c r="J54" s="266">
        <v>0.99882228241667648</v>
      </c>
      <c r="K54" s="266">
        <v>1</v>
      </c>
      <c r="L54" s="267">
        <f t="shared" si="1"/>
        <v>0.13392328659385488</v>
      </c>
    </row>
    <row r="55" spans="2:12">
      <c r="B55" s="272"/>
      <c r="C55" s="264" t="s">
        <v>310</v>
      </c>
      <c r="D55" s="264" t="s">
        <v>2</v>
      </c>
      <c r="E55" s="266">
        <v>3.3316775475447091E-2</v>
      </c>
      <c r="F55" s="266">
        <v>1.63</v>
      </c>
      <c r="G55" s="266">
        <v>61.6</v>
      </c>
      <c r="H55" s="266">
        <v>1</v>
      </c>
      <c r="I55" s="266">
        <v>0.4</v>
      </c>
      <c r="J55" s="266">
        <v>0.99882228241667648</v>
      </c>
      <c r="K55" s="266">
        <v>1</v>
      </c>
      <c r="L55" s="267">
        <f t="shared" si="1"/>
        <v>0.17885387804237324</v>
      </c>
    </row>
    <row r="56" spans="2:12" ht="15.75" thickBot="1">
      <c r="B56" s="273"/>
      <c r="C56" s="274" t="s">
        <v>310</v>
      </c>
      <c r="D56" s="274" t="s">
        <v>4</v>
      </c>
      <c r="E56" s="275">
        <v>3.68443070392932E-2</v>
      </c>
      <c r="F56" s="275">
        <v>1.5</v>
      </c>
      <c r="G56" s="275">
        <v>1112.5999999999999</v>
      </c>
      <c r="H56" s="275">
        <v>0.44987159416042638</v>
      </c>
      <c r="I56" s="275">
        <v>0.5</v>
      </c>
      <c r="J56" s="275">
        <v>0.99882228241667648</v>
      </c>
      <c r="K56" s="275">
        <v>1</v>
      </c>
      <c r="L56" s="321">
        <f t="shared" si="1"/>
        <v>0.16406854266642362</v>
      </c>
    </row>
    <row r="57" spans="2:12" ht="15.75" thickBot="1"/>
    <row r="58" spans="2:12" ht="15.75" thickBot="1">
      <c r="B58" s="45"/>
      <c r="C58" s="45" t="s">
        <v>250</v>
      </c>
      <c r="D58" s="45" t="s">
        <v>473</v>
      </c>
      <c r="E58" s="146" t="s">
        <v>405</v>
      </c>
      <c r="F58" s="254" t="s">
        <v>474</v>
      </c>
      <c r="G58" s="254" t="s">
        <v>407</v>
      </c>
      <c r="H58" s="146" t="s">
        <v>408</v>
      </c>
      <c r="I58" s="146" t="s">
        <v>409</v>
      </c>
      <c r="J58" s="185" t="s">
        <v>426</v>
      </c>
      <c r="K58" s="45" t="s">
        <v>427</v>
      </c>
      <c r="L58" s="45" t="s">
        <v>410</v>
      </c>
    </row>
    <row r="59" spans="2:12">
      <c r="B59" s="251"/>
      <c r="C59" s="251" t="s">
        <v>257</v>
      </c>
      <c r="D59" s="251" t="s">
        <v>0</v>
      </c>
      <c r="E59" s="186">
        <f>E3*$O$8</f>
        <v>3.3894582740513608E-2</v>
      </c>
      <c r="F59" s="216"/>
      <c r="G59" s="216"/>
      <c r="H59" s="186">
        <f>H3*$O$9</f>
        <v>2.1206947462039414E-2</v>
      </c>
      <c r="I59" s="135">
        <f>I3*$O$10</f>
        <v>0</v>
      </c>
      <c r="J59" s="258">
        <f>J3*$O$11</f>
        <v>2.9968082985249046E-2</v>
      </c>
      <c r="K59" s="258">
        <f>K3*$O$12</f>
        <v>2.2502477352187626E-2</v>
      </c>
      <c r="L59" s="255">
        <f>E59*$O$8+H59*$O$9+I59*$O$10+J59*$O$11+K59*$O$12</f>
        <v>2.9684880842626236E-2</v>
      </c>
    </row>
    <row r="60" spans="2:12">
      <c r="B60" s="252"/>
      <c r="C60" s="252" t="s">
        <v>257</v>
      </c>
      <c r="D60" s="252" t="s">
        <v>2</v>
      </c>
      <c r="E60" s="187">
        <f t="shared" ref="E60:E112" si="2">E4*$O$8</f>
        <v>2.6439331056659666E-2</v>
      </c>
      <c r="F60" s="218"/>
      <c r="G60" s="218"/>
      <c r="H60" s="187">
        <f t="shared" ref="H60:H112" si="3">H4*$O$9</f>
        <v>4.8316717499682256E-2</v>
      </c>
      <c r="I60" s="2">
        <f t="shared" ref="I60:I112" si="4">I4*$O$10</f>
        <v>5.9971370744130212E-2</v>
      </c>
      <c r="J60" s="259">
        <f t="shared" ref="J60:J112" si="5">J4*$O$11</f>
        <v>2.9968082985249053E-2</v>
      </c>
      <c r="K60" s="259">
        <f t="shared" ref="K60:K112" si="6">K4*$O$12</f>
        <v>2.2502477352187626E-2</v>
      </c>
      <c r="L60" s="256">
        <f t="shared" ref="L60:L112" si="7">E60*$O$8+H60*$O$9+I60*$O$10+J60*$O$11+K60*$O$12</f>
        <v>3.0473289049923833E-2</v>
      </c>
    </row>
    <row r="61" spans="2:12" ht="15.75" thickBot="1">
      <c r="B61" s="253"/>
      <c r="C61" s="253" t="s">
        <v>257</v>
      </c>
      <c r="D61" s="253" t="s">
        <v>4</v>
      </c>
      <c r="E61" s="188">
        <f t="shared" si="2"/>
        <v>2.8186063655791106E-2</v>
      </c>
      <c r="F61" s="220"/>
      <c r="G61" s="220"/>
      <c r="H61" s="188">
        <f t="shared" si="3"/>
        <v>2.1736318726181026E-2</v>
      </c>
      <c r="I61" s="136">
        <f t="shared" si="4"/>
        <v>1.4992842686032548E-2</v>
      </c>
      <c r="J61" s="147">
        <f t="shared" si="5"/>
        <v>2.9968082985249046E-2</v>
      </c>
      <c r="K61" s="147">
        <f t="shared" si="6"/>
        <v>2.2502477352187626E-2</v>
      </c>
      <c r="L61" s="257">
        <f t="shared" si="7"/>
        <v>2.6529037258589027E-2</v>
      </c>
    </row>
    <row r="62" spans="2:12">
      <c r="B62" s="251"/>
      <c r="C62" s="251" t="s">
        <v>261</v>
      </c>
      <c r="D62" s="251" t="s">
        <v>0</v>
      </c>
      <c r="E62" s="186">
        <f t="shared" si="2"/>
        <v>3.3703582509057327E-2</v>
      </c>
      <c r="F62" s="216"/>
      <c r="G62" s="216"/>
      <c r="H62" s="186">
        <f t="shared" si="3"/>
        <v>2.1206947462039414E-2</v>
      </c>
      <c r="I62" s="186">
        <f t="shared" si="4"/>
        <v>0</v>
      </c>
      <c r="J62" s="258">
        <f t="shared" si="5"/>
        <v>3.0442794570605572E-2</v>
      </c>
      <c r="K62" s="258">
        <f t="shared" si="6"/>
        <v>3.7504128920312713E-2</v>
      </c>
      <c r="L62" s="255">
        <f t="shared" si="7"/>
        <v>3.0110480347339246E-2</v>
      </c>
    </row>
    <row r="63" spans="2:12">
      <c r="B63" s="252"/>
      <c r="C63" s="252" t="s">
        <v>261</v>
      </c>
      <c r="D63" s="252" t="s">
        <v>2</v>
      </c>
      <c r="E63" s="187">
        <f t="shared" si="2"/>
        <v>2.6439331056659666E-2</v>
      </c>
      <c r="F63" s="218"/>
      <c r="G63" s="218"/>
      <c r="H63" s="187">
        <f t="shared" si="3"/>
        <v>4.8316717499682256E-2</v>
      </c>
      <c r="I63" s="187">
        <f t="shared" si="4"/>
        <v>4.4978528058097655E-2</v>
      </c>
      <c r="J63" s="259">
        <f t="shared" si="5"/>
        <v>3.0442794570605572E-2</v>
      </c>
      <c r="K63" s="259">
        <f t="shared" si="6"/>
        <v>3.7504128920312713E-2</v>
      </c>
      <c r="L63" s="256">
        <f t="shared" si="7"/>
        <v>2.9701749405976668E-2</v>
      </c>
    </row>
    <row r="64" spans="2:12" ht="15.75" thickBot="1">
      <c r="B64" s="253"/>
      <c r="C64" s="253" t="s">
        <v>261</v>
      </c>
      <c r="D64" s="253" t="s">
        <v>4</v>
      </c>
      <c r="E64" s="188">
        <f t="shared" si="2"/>
        <v>2.8186063655791106E-2</v>
      </c>
      <c r="F64" s="220"/>
      <c r="G64" s="220"/>
      <c r="H64" s="188">
        <f t="shared" si="3"/>
        <v>2.1736318726181026E-2</v>
      </c>
      <c r="I64" s="188">
        <f t="shared" si="4"/>
        <v>3.3733896043573242E-2</v>
      </c>
      <c r="J64" s="147">
        <f t="shared" si="5"/>
        <v>3.0442794570605572E-2</v>
      </c>
      <c r="K64" s="147">
        <f t="shared" si="6"/>
        <v>3.7504128920312713E-2</v>
      </c>
      <c r="L64" s="257">
        <f t="shared" si="7"/>
        <v>2.8792099594051487E-2</v>
      </c>
    </row>
    <row r="65" spans="2:12">
      <c r="B65" s="251"/>
      <c r="C65" s="251" t="s">
        <v>264</v>
      </c>
      <c r="D65" s="251" t="s">
        <v>0</v>
      </c>
      <c r="E65" s="186">
        <f t="shared" si="2"/>
        <v>3.5884168484849925E-2</v>
      </c>
      <c r="F65" s="216"/>
      <c r="G65" s="216"/>
      <c r="H65" s="186">
        <f t="shared" si="3"/>
        <v>2.1206947462039414E-2</v>
      </c>
      <c r="I65" s="186">
        <f t="shared" si="4"/>
        <v>0</v>
      </c>
      <c r="J65" s="258">
        <f t="shared" si="5"/>
        <v>3.0236700109666205E-2</v>
      </c>
      <c r="K65" s="258">
        <f t="shared" si="6"/>
        <v>1.5001651568125086E-2</v>
      </c>
      <c r="L65" s="255">
        <f t="shared" si="7"/>
        <v>3.0990684979591732E-2</v>
      </c>
    </row>
    <row r="66" spans="2:12">
      <c r="B66" s="252"/>
      <c r="C66" s="252" t="s">
        <v>264</v>
      </c>
      <c r="D66" s="252" t="s">
        <v>2</v>
      </c>
      <c r="E66" s="187">
        <f t="shared" si="2"/>
        <v>2.6439331056659666E-2</v>
      </c>
      <c r="F66" s="218"/>
      <c r="G66" s="218"/>
      <c r="H66" s="187">
        <f t="shared" si="3"/>
        <v>4.8316717499682256E-2</v>
      </c>
      <c r="I66" s="187">
        <f t="shared" si="4"/>
        <v>5.9971370744130212E-2</v>
      </c>
      <c r="J66" s="259">
        <f t="shared" si="5"/>
        <v>3.0236700109666205E-2</v>
      </c>
      <c r="K66" s="259">
        <f t="shared" si="6"/>
        <v>1.5001651568125086E-2</v>
      </c>
      <c r="L66" s="256">
        <f t="shared" si="7"/>
        <v>3.0200209414091905E-2</v>
      </c>
    </row>
    <row r="67" spans="2:12" ht="15.75" thickBot="1">
      <c r="B67" s="253"/>
      <c r="C67" s="253" t="s">
        <v>264</v>
      </c>
      <c r="D67" s="253" t="s">
        <v>4</v>
      </c>
      <c r="E67" s="188">
        <f t="shared" si="2"/>
        <v>3.0169857277069164E-2</v>
      </c>
      <c r="F67" s="220"/>
      <c r="G67" s="220"/>
      <c r="H67" s="188">
        <f t="shared" si="3"/>
        <v>2.1736318726181026E-2</v>
      </c>
      <c r="I67" s="188">
        <f t="shared" si="4"/>
        <v>2.9985685372065106E-2</v>
      </c>
      <c r="J67" s="147">
        <f t="shared" si="5"/>
        <v>3.0236700109666205E-2</v>
      </c>
      <c r="K67" s="147">
        <f t="shared" si="6"/>
        <v>1.5001651568125086E-2</v>
      </c>
      <c r="L67" s="257">
        <f t="shared" si="7"/>
        <v>2.9178956907396116E-2</v>
      </c>
    </row>
    <row r="68" spans="2:12">
      <c r="B68" s="251"/>
      <c r="C68" s="251" t="s">
        <v>268</v>
      </c>
      <c r="D68" s="251" t="s">
        <v>0</v>
      </c>
      <c r="E68" s="186">
        <f t="shared" si="2"/>
        <v>3.5693168253393637E-2</v>
      </c>
      <c r="F68" s="216"/>
      <c r="G68" s="216"/>
      <c r="H68" s="186">
        <f t="shared" si="3"/>
        <v>2.1206947462039414E-2</v>
      </c>
      <c r="I68" s="186">
        <f t="shared" si="4"/>
        <v>0</v>
      </c>
      <c r="J68" s="258">
        <f t="shared" si="5"/>
        <v>3.052358167569344E-2</v>
      </c>
      <c r="K68" s="258">
        <f t="shared" si="6"/>
        <v>3.0003303136250173E-2</v>
      </c>
      <c r="L68" s="255">
        <f t="shared" si="7"/>
        <v>3.1410528063037374E-2</v>
      </c>
    </row>
    <row r="69" spans="2:12">
      <c r="B69" s="252"/>
      <c r="C69" s="252" t="s">
        <v>268</v>
      </c>
      <c r="D69" s="252" t="s">
        <v>2</v>
      </c>
      <c r="E69" s="187">
        <f t="shared" si="2"/>
        <v>2.6439331056659666E-2</v>
      </c>
      <c r="F69" s="218"/>
      <c r="G69" s="218"/>
      <c r="H69" s="187">
        <f t="shared" si="3"/>
        <v>4.8316717499682256E-2</v>
      </c>
      <c r="I69" s="187">
        <f t="shared" si="4"/>
        <v>4.4978528058097655E-2</v>
      </c>
      <c r="J69" s="259">
        <f t="shared" si="5"/>
        <v>3.052358167569344E-2</v>
      </c>
      <c r="K69" s="259">
        <f t="shared" si="6"/>
        <v>3.0003303136250173E-2</v>
      </c>
      <c r="L69" s="256">
        <f t="shared" si="7"/>
        <v>2.9422913348877377E-2</v>
      </c>
    </row>
    <row r="70" spans="2:12" ht="15.75" thickBot="1">
      <c r="B70" s="253"/>
      <c r="C70" s="253" t="s">
        <v>268</v>
      </c>
      <c r="D70" s="253" t="s">
        <v>4</v>
      </c>
      <c r="E70" s="188">
        <f t="shared" si="2"/>
        <v>3.0169857277069164E-2</v>
      </c>
      <c r="F70" s="220"/>
      <c r="G70" s="220"/>
      <c r="H70" s="188">
        <f t="shared" si="3"/>
        <v>2.1736318726181026E-2</v>
      </c>
      <c r="I70" s="188">
        <f t="shared" si="4"/>
        <v>4.4978528058097655E-2</v>
      </c>
      <c r="J70" s="147">
        <f t="shared" si="5"/>
        <v>3.052358167569344E-2</v>
      </c>
      <c r="K70" s="147">
        <f t="shared" si="6"/>
        <v>3.0003303136250173E-2</v>
      </c>
      <c r="L70" s="257">
        <f t="shared" si="7"/>
        <v>3.1099084823879023E-2</v>
      </c>
    </row>
    <row r="71" spans="2:12">
      <c r="B71" s="251"/>
      <c r="C71" s="251" t="s">
        <v>272</v>
      </c>
      <c r="D71" s="251" t="s">
        <v>0</v>
      </c>
      <c r="E71" s="186">
        <f t="shared" si="2"/>
        <v>3.5884168484849925E-2</v>
      </c>
      <c r="F71" s="216"/>
      <c r="G71" s="216"/>
      <c r="H71" s="186">
        <f t="shared" si="3"/>
        <v>2.1206947462039414E-2</v>
      </c>
      <c r="I71" s="186">
        <f t="shared" si="4"/>
        <v>1.4992842686032548E-2</v>
      </c>
      <c r="J71" s="258">
        <f t="shared" si="5"/>
        <v>2.9968082985249046E-2</v>
      </c>
      <c r="K71" s="258">
        <f t="shared" si="6"/>
        <v>1.5001651568125086E-2</v>
      </c>
      <c r="L71" s="255">
        <f t="shared" si="7"/>
        <v>3.2331164669058089E-2</v>
      </c>
    </row>
    <row r="72" spans="2:12">
      <c r="B72" s="252"/>
      <c r="C72" s="252" t="s">
        <v>272</v>
      </c>
      <c r="D72" s="252" t="s">
        <v>2</v>
      </c>
      <c r="E72" s="187">
        <f t="shared" si="2"/>
        <v>2.6439331056659666E-2</v>
      </c>
      <c r="F72" s="218"/>
      <c r="G72" s="218"/>
      <c r="H72" s="187">
        <f t="shared" si="3"/>
        <v>4.8316717499682256E-2</v>
      </c>
      <c r="I72" s="187">
        <f t="shared" si="4"/>
        <v>7.4964213430162768E-2</v>
      </c>
      <c r="J72" s="259">
        <f t="shared" si="5"/>
        <v>2.9968082985249046E-2</v>
      </c>
      <c r="K72" s="259">
        <f t="shared" si="6"/>
        <v>1.5001651568125086E-2</v>
      </c>
      <c r="L72" s="256">
        <f t="shared" si="7"/>
        <v>3.1540689103558263E-2</v>
      </c>
    </row>
    <row r="73" spans="2:12" ht="15.75" thickBot="1">
      <c r="B73" s="253"/>
      <c r="C73" s="253" t="s">
        <v>272</v>
      </c>
      <c r="D73" s="253" t="s">
        <v>4</v>
      </c>
      <c r="E73" s="188">
        <f t="shared" si="2"/>
        <v>3.0169857277069164E-2</v>
      </c>
      <c r="F73" s="220"/>
      <c r="G73" s="220"/>
      <c r="H73" s="188">
        <f t="shared" si="3"/>
        <v>2.1736318726181026E-2</v>
      </c>
      <c r="I73" s="188">
        <f t="shared" si="4"/>
        <v>4.4978528058097655E-2</v>
      </c>
      <c r="J73" s="147">
        <f t="shared" si="5"/>
        <v>2.9968082985249046E-2</v>
      </c>
      <c r="K73" s="147">
        <f t="shared" si="6"/>
        <v>1.5001651568125086E-2</v>
      </c>
      <c r="L73" s="257">
        <f t="shared" si="7"/>
        <v>3.0519436596862466E-2</v>
      </c>
    </row>
    <row r="74" spans="2:12">
      <c r="B74" s="251"/>
      <c r="C74" s="251" t="s">
        <v>274</v>
      </c>
      <c r="D74" s="251" t="s">
        <v>0</v>
      </c>
      <c r="E74" s="186">
        <f t="shared" si="2"/>
        <v>3.5693168253393637E-2</v>
      </c>
      <c r="F74" s="216"/>
      <c r="G74" s="216"/>
      <c r="H74" s="186">
        <f t="shared" si="3"/>
        <v>2.1206947462039414E-2</v>
      </c>
      <c r="I74" s="186">
        <f t="shared" si="4"/>
        <v>1.1244632014524414E-2</v>
      </c>
      <c r="J74" s="258">
        <f t="shared" si="5"/>
        <v>3.0442794570605572E-2</v>
      </c>
      <c r="K74" s="258">
        <f t="shared" si="6"/>
        <v>3.0003303136250173E-2</v>
      </c>
      <c r="L74" s="255">
        <f t="shared" si="7"/>
        <v>3.2419586176058918E-2</v>
      </c>
    </row>
    <row r="75" spans="2:12">
      <c r="B75" s="252"/>
      <c r="C75" s="252" t="s">
        <v>274</v>
      </c>
      <c r="D75" s="252" t="s">
        <v>2</v>
      </c>
      <c r="E75" s="187">
        <f t="shared" si="2"/>
        <v>2.6439331056659666E-2</v>
      </c>
      <c r="F75" s="218"/>
      <c r="G75" s="218"/>
      <c r="H75" s="187">
        <f t="shared" si="3"/>
        <v>4.8316717499682256E-2</v>
      </c>
      <c r="I75" s="187">
        <f t="shared" si="4"/>
        <v>5.6223160072622069E-2</v>
      </c>
      <c r="J75" s="259">
        <f t="shared" si="5"/>
        <v>3.0442794570605572E-2</v>
      </c>
      <c r="K75" s="259">
        <f t="shared" si="6"/>
        <v>3.0003303136250173E-2</v>
      </c>
      <c r="L75" s="256">
        <f t="shared" si="7"/>
        <v>3.0431971461898921E-2</v>
      </c>
    </row>
    <row r="76" spans="2:12" ht="15.75" thickBot="1">
      <c r="B76" s="253"/>
      <c r="C76" s="253" t="s">
        <v>274</v>
      </c>
      <c r="D76" s="253" t="s">
        <v>4</v>
      </c>
      <c r="E76" s="188">
        <f t="shared" si="2"/>
        <v>3.0169857277069164E-2</v>
      </c>
      <c r="F76" s="220"/>
      <c r="G76" s="220"/>
      <c r="H76" s="188">
        <f t="shared" si="3"/>
        <v>2.1736318726181026E-2</v>
      </c>
      <c r="I76" s="188">
        <f t="shared" si="4"/>
        <v>5.6223160072622069E-2</v>
      </c>
      <c r="J76" s="147">
        <f t="shared" si="5"/>
        <v>3.0442794570605572E-2</v>
      </c>
      <c r="K76" s="147">
        <f t="shared" si="6"/>
        <v>3.0003303136250173E-2</v>
      </c>
      <c r="L76" s="257">
        <f t="shared" si="7"/>
        <v>3.2108142936900563E-2</v>
      </c>
    </row>
    <row r="77" spans="2:12">
      <c r="B77" s="251"/>
      <c r="C77" s="251" t="s">
        <v>276</v>
      </c>
      <c r="D77" s="251" t="s">
        <v>0</v>
      </c>
      <c r="E77" s="186">
        <f t="shared" si="2"/>
        <v>3.5884168484849925E-2</v>
      </c>
      <c r="F77" s="216"/>
      <c r="G77" s="216"/>
      <c r="H77" s="186">
        <f t="shared" si="3"/>
        <v>2.1206947462039414E-2</v>
      </c>
      <c r="I77" s="186">
        <f t="shared" si="4"/>
        <v>1.2851008016599334E-2</v>
      </c>
      <c r="J77" s="258">
        <f t="shared" si="5"/>
        <v>2.9968082985249046E-2</v>
      </c>
      <c r="K77" s="258">
        <f t="shared" si="6"/>
        <v>2.2502477352187626E-2</v>
      </c>
      <c r="L77" s="255">
        <f t="shared" si="7"/>
        <v>3.2419803464722563E-2</v>
      </c>
    </row>
    <row r="78" spans="2:12">
      <c r="B78" s="252"/>
      <c r="C78" s="252" t="s">
        <v>276</v>
      </c>
      <c r="D78" s="252" t="s">
        <v>2</v>
      </c>
      <c r="E78" s="187">
        <f t="shared" si="2"/>
        <v>2.6439331056659666E-2</v>
      </c>
      <c r="F78" s="218"/>
      <c r="G78" s="218"/>
      <c r="H78" s="187">
        <f t="shared" si="3"/>
        <v>4.8316717499682256E-2</v>
      </c>
      <c r="I78" s="187">
        <f t="shared" si="4"/>
        <v>6.4255040082996651E-2</v>
      </c>
      <c r="J78" s="259">
        <f t="shared" si="5"/>
        <v>2.9968082985249046E-2</v>
      </c>
      <c r="K78" s="259">
        <f t="shared" si="6"/>
        <v>2.2502477352187626E-2</v>
      </c>
      <c r="L78" s="256">
        <f t="shared" si="7"/>
        <v>3.0858635333023462E-2</v>
      </c>
    </row>
    <row r="79" spans="2:12" ht="15.75" thickBot="1">
      <c r="B79" s="253"/>
      <c r="C79" s="253" t="s">
        <v>276</v>
      </c>
      <c r="D79" s="253" t="s">
        <v>4</v>
      </c>
      <c r="E79" s="188">
        <f t="shared" si="2"/>
        <v>2.9238688842591745E-2</v>
      </c>
      <c r="F79" s="220"/>
      <c r="G79" s="220"/>
      <c r="H79" s="188">
        <f t="shared" si="3"/>
        <v>2.1736318726181026E-2</v>
      </c>
      <c r="I79" s="188">
        <f t="shared" si="4"/>
        <v>3.855302404979799E-2</v>
      </c>
      <c r="J79" s="147">
        <f t="shared" si="5"/>
        <v>2.9968082985249046E-2</v>
      </c>
      <c r="K79" s="147">
        <f t="shared" si="6"/>
        <v>2.2502477352187626E-2</v>
      </c>
      <c r="L79" s="257">
        <f t="shared" si="7"/>
        <v>2.9483777930709439E-2</v>
      </c>
    </row>
    <row r="80" spans="2:12">
      <c r="B80" s="251"/>
      <c r="C80" s="251" t="s">
        <v>280</v>
      </c>
      <c r="D80" s="251" t="s">
        <v>0</v>
      </c>
      <c r="E80" s="186">
        <f t="shared" si="2"/>
        <v>3.5605626480642749E-2</v>
      </c>
      <c r="F80" s="216"/>
      <c r="G80" s="216"/>
      <c r="H80" s="186">
        <f t="shared" si="3"/>
        <v>2.1206947462039414E-2</v>
      </c>
      <c r="I80" s="186">
        <f t="shared" si="4"/>
        <v>9.9952284573550394E-3</v>
      </c>
      <c r="J80" s="258">
        <f t="shared" si="5"/>
        <v>3.0442794570605572E-2</v>
      </c>
      <c r="K80" s="258">
        <f t="shared" si="6"/>
        <v>3.0003303136250173E-2</v>
      </c>
      <c r="L80" s="255">
        <f t="shared" si="7"/>
        <v>3.2237722624151699E-2</v>
      </c>
    </row>
    <row r="81" spans="2:12">
      <c r="B81" s="252"/>
      <c r="C81" s="252" t="s">
        <v>280</v>
      </c>
      <c r="D81" s="252" t="s">
        <v>2</v>
      </c>
      <c r="E81" s="187">
        <f t="shared" si="2"/>
        <v>2.6439331056659666E-2</v>
      </c>
      <c r="F81" s="218"/>
      <c r="G81" s="218"/>
      <c r="H81" s="187">
        <f t="shared" si="3"/>
        <v>4.8316717499682256E-2</v>
      </c>
      <c r="I81" s="187">
        <f t="shared" si="4"/>
        <v>4.9976142286775174E-2</v>
      </c>
      <c r="J81" s="259">
        <f t="shared" si="5"/>
        <v>3.0442794570605572E-2</v>
      </c>
      <c r="K81" s="259">
        <f t="shared" si="6"/>
        <v>3.0003303136250173E-2</v>
      </c>
      <c r="L81" s="256">
        <f t="shared" si="7"/>
        <v>2.9870008132378622E-2</v>
      </c>
    </row>
    <row r="82" spans="2:12" ht="15.75" thickBot="1">
      <c r="B82" s="253"/>
      <c r="C82" s="253" t="s">
        <v>280</v>
      </c>
      <c r="D82" s="253" t="s">
        <v>4</v>
      </c>
      <c r="E82" s="188">
        <f t="shared" si="2"/>
        <v>2.9238688842591745E-2</v>
      </c>
      <c r="F82" s="220"/>
      <c r="G82" s="220"/>
      <c r="H82" s="188">
        <f t="shared" si="3"/>
        <v>2.1736318726181026E-2</v>
      </c>
      <c r="I82" s="188">
        <f t="shared" si="4"/>
        <v>4.9976142286775174E-2</v>
      </c>
      <c r="J82" s="147">
        <f t="shared" si="5"/>
        <v>3.0442794570605572E-2</v>
      </c>
      <c r="K82" s="147">
        <f t="shared" si="6"/>
        <v>3.0003303136250173E-2</v>
      </c>
      <c r="L82" s="257">
        <f t="shared" si="7"/>
        <v>3.0807228428662403E-2</v>
      </c>
    </row>
    <row r="83" spans="2:12">
      <c r="B83" s="251"/>
      <c r="C83" s="251" t="s">
        <v>282</v>
      </c>
      <c r="D83" s="251" t="s">
        <v>0</v>
      </c>
      <c r="E83" s="186">
        <f t="shared" si="2"/>
        <v>3.5605626480642749E-2</v>
      </c>
      <c r="F83" s="216"/>
      <c r="G83" s="216"/>
      <c r="H83" s="186">
        <f t="shared" si="3"/>
        <v>2.1206947462039414E-2</v>
      </c>
      <c r="I83" s="186">
        <f t="shared" si="4"/>
        <v>9.9952284573550394E-3</v>
      </c>
      <c r="J83" s="258">
        <f t="shared" si="5"/>
        <v>3.0442794570605572E-2</v>
      </c>
      <c r="K83" s="258">
        <f t="shared" si="6"/>
        <v>3.0003303136250173E-2</v>
      </c>
      <c r="L83" s="255">
        <f t="shared" si="7"/>
        <v>3.2237722624151699E-2</v>
      </c>
    </row>
    <row r="84" spans="2:12">
      <c r="B84" s="252"/>
      <c r="C84" s="252" t="s">
        <v>282</v>
      </c>
      <c r="D84" s="252" t="s">
        <v>2</v>
      </c>
      <c r="E84" s="187">
        <f t="shared" si="2"/>
        <v>2.6439331056659666E-2</v>
      </c>
      <c r="F84" s="218"/>
      <c r="G84" s="218"/>
      <c r="H84" s="187">
        <f t="shared" si="3"/>
        <v>4.8316717499682256E-2</v>
      </c>
      <c r="I84" s="187">
        <f t="shared" si="4"/>
        <v>4.9976142286775174E-2</v>
      </c>
      <c r="J84" s="259">
        <f t="shared" si="5"/>
        <v>3.0442794570605572E-2</v>
      </c>
      <c r="K84" s="259">
        <f t="shared" si="6"/>
        <v>3.0003303136250173E-2</v>
      </c>
      <c r="L84" s="256">
        <f t="shared" si="7"/>
        <v>2.9870008132378622E-2</v>
      </c>
    </row>
    <row r="85" spans="2:12" ht="15.75" thickBot="1">
      <c r="B85" s="253"/>
      <c r="C85" s="253" t="s">
        <v>282</v>
      </c>
      <c r="D85" s="253" t="s">
        <v>4</v>
      </c>
      <c r="E85" s="188">
        <f t="shared" si="2"/>
        <v>2.9238688842591745E-2</v>
      </c>
      <c r="F85" s="220"/>
      <c r="G85" s="220"/>
      <c r="H85" s="188">
        <f t="shared" si="3"/>
        <v>2.1736318726181026E-2</v>
      </c>
      <c r="I85" s="188">
        <f t="shared" si="4"/>
        <v>4.9976142286775174E-2</v>
      </c>
      <c r="J85" s="147">
        <f t="shared" si="5"/>
        <v>3.0442794570605572E-2</v>
      </c>
      <c r="K85" s="147">
        <f t="shared" si="6"/>
        <v>3.0003303136250173E-2</v>
      </c>
      <c r="L85" s="257">
        <f t="shared" si="7"/>
        <v>3.0807228428662403E-2</v>
      </c>
    </row>
    <row r="86" spans="2:12">
      <c r="B86" s="251"/>
      <c r="C86" s="251" t="s">
        <v>286</v>
      </c>
      <c r="D86" s="251" t="s">
        <v>0</v>
      </c>
      <c r="E86" s="186">
        <f t="shared" si="2"/>
        <v>3.5605626480642749E-2</v>
      </c>
      <c r="F86" s="216"/>
      <c r="G86" s="216"/>
      <c r="H86" s="186">
        <f t="shared" si="3"/>
        <v>2.1206947462039414E-2</v>
      </c>
      <c r="I86" s="186">
        <f t="shared" si="4"/>
        <v>9.9952284573550394E-3</v>
      </c>
      <c r="J86" s="258">
        <f t="shared" si="5"/>
        <v>3.0442794570605572E-2</v>
      </c>
      <c r="K86" s="258">
        <f t="shared" si="6"/>
        <v>3.0003303136250173E-2</v>
      </c>
      <c r="L86" s="255">
        <f t="shared" si="7"/>
        <v>3.2237722624151699E-2</v>
      </c>
    </row>
    <row r="87" spans="2:12">
      <c r="B87" s="252"/>
      <c r="C87" s="252" t="s">
        <v>286</v>
      </c>
      <c r="D87" s="252" t="s">
        <v>2</v>
      </c>
      <c r="E87" s="187">
        <f t="shared" si="2"/>
        <v>2.6439331056659666E-2</v>
      </c>
      <c r="F87" s="218"/>
      <c r="G87" s="218"/>
      <c r="H87" s="187">
        <f t="shared" si="3"/>
        <v>4.8316717499682256E-2</v>
      </c>
      <c r="I87" s="187">
        <f t="shared" si="4"/>
        <v>4.9976142286775174E-2</v>
      </c>
      <c r="J87" s="259">
        <f t="shared" si="5"/>
        <v>3.0442794570605572E-2</v>
      </c>
      <c r="K87" s="259">
        <f t="shared" si="6"/>
        <v>3.0003303136250173E-2</v>
      </c>
      <c r="L87" s="256">
        <f t="shared" si="7"/>
        <v>2.9870008132378622E-2</v>
      </c>
    </row>
    <row r="88" spans="2:12" ht="15.75" thickBot="1">
      <c r="B88" s="253"/>
      <c r="C88" s="253" t="s">
        <v>286</v>
      </c>
      <c r="D88" s="253" t="s">
        <v>4</v>
      </c>
      <c r="E88" s="188">
        <f t="shared" si="2"/>
        <v>2.9238688842591745E-2</v>
      </c>
      <c r="F88" s="220"/>
      <c r="G88" s="220"/>
      <c r="H88" s="188">
        <f t="shared" si="3"/>
        <v>2.1736318726181026E-2</v>
      </c>
      <c r="I88" s="188">
        <f t="shared" si="4"/>
        <v>4.9976142286775174E-2</v>
      </c>
      <c r="J88" s="147">
        <f t="shared" si="5"/>
        <v>3.0442794570605572E-2</v>
      </c>
      <c r="K88" s="147">
        <f t="shared" si="6"/>
        <v>3.0003303136250173E-2</v>
      </c>
      <c r="L88" s="257">
        <f t="shared" si="7"/>
        <v>3.0807228428662403E-2</v>
      </c>
    </row>
    <row r="89" spans="2:12">
      <c r="B89" s="251"/>
      <c r="C89" s="251" t="s">
        <v>290</v>
      </c>
      <c r="D89" s="251" t="s">
        <v>0</v>
      </c>
      <c r="E89" s="186">
        <f t="shared" si="2"/>
        <v>3.5884168484849925E-2</v>
      </c>
      <c r="F89" s="216"/>
      <c r="G89" s="216"/>
      <c r="H89" s="186">
        <f t="shared" si="3"/>
        <v>2.1206947462039414E-2</v>
      </c>
      <c r="I89" s="186">
        <f t="shared" si="4"/>
        <v>0</v>
      </c>
      <c r="J89" s="258">
        <f t="shared" si="5"/>
        <v>3.0519853690244774E-2</v>
      </c>
      <c r="K89" s="258">
        <f t="shared" si="6"/>
        <v>3.0003303136250173E-2</v>
      </c>
      <c r="L89" s="255">
        <f t="shared" si="7"/>
        <v>3.1561986653761767E-2</v>
      </c>
    </row>
    <row r="90" spans="2:12">
      <c r="B90" s="252"/>
      <c r="C90" s="252" t="s">
        <v>290</v>
      </c>
      <c r="D90" s="252" t="s">
        <v>2</v>
      </c>
      <c r="E90" s="187">
        <f t="shared" si="2"/>
        <v>2.6439331056659673E-2</v>
      </c>
      <c r="F90" s="218"/>
      <c r="G90" s="218"/>
      <c r="H90" s="187">
        <f t="shared" si="3"/>
        <v>4.8316717499682256E-2</v>
      </c>
      <c r="I90" s="187">
        <f t="shared" si="4"/>
        <v>3.3733896043573242E-2</v>
      </c>
      <c r="J90" s="259">
        <f t="shared" si="5"/>
        <v>3.0519853690244774E-2</v>
      </c>
      <c r="K90" s="259">
        <f t="shared" si="6"/>
        <v>3.0003303136250173E-2</v>
      </c>
      <c r="L90" s="256">
        <f t="shared" si="7"/>
        <v>2.8411265104276689E-2</v>
      </c>
    </row>
    <row r="91" spans="2:12" ht="15.75" thickBot="1">
      <c r="B91" s="253"/>
      <c r="C91" s="253" t="s">
        <v>290</v>
      </c>
      <c r="D91" s="253" t="s">
        <v>4</v>
      </c>
      <c r="E91" s="188">
        <f t="shared" si="2"/>
        <v>2.9238688842591745E-2</v>
      </c>
      <c r="F91" s="220"/>
      <c r="G91" s="220"/>
      <c r="H91" s="188">
        <f t="shared" si="3"/>
        <v>2.1736318726181026E-2</v>
      </c>
      <c r="I91" s="188">
        <f t="shared" si="4"/>
        <v>2.2489264029048828E-2</v>
      </c>
      <c r="J91" s="147">
        <f t="shared" si="5"/>
        <v>3.0519853690244774E-2</v>
      </c>
      <c r="K91" s="147">
        <f t="shared" si="6"/>
        <v>3.0003303136250173E-2</v>
      </c>
      <c r="L91" s="257">
        <f t="shared" si="7"/>
        <v>2.8336951407423924E-2</v>
      </c>
    </row>
    <row r="92" spans="2:12">
      <c r="B92" s="251"/>
      <c r="C92" s="251" t="s">
        <v>294</v>
      </c>
      <c r="D92" s="251" t="s">
        <v>0</v>
      </c>
      <c r="E92" s="186">
        <f t="shared" si="2"/>
        <v>3.5605626480642749E-2</v>
      </c>
      <c r="F92" s="216"/>
      <c r="G92" s="216"/>
      <c r="H92" s="186">
        <f t="shared" si="3"/>
        <v>2.1206947462039414E-2</v>
      </c>
      <c r="I92" s="186">
        <f t="shared" si="4"/>
        <v>0</v>
      </c>
      <c r="J92" s="258">
        <f t="shared" si="5"/>
        <v>3.060074690335788E-2</v>
      </c>
      <c r="K92" s="258">
        <f t="shared" si="6"/>
        <v>3.7504128920312713E-2</v>
      </c>
      <c r="L92" s="255">
        <f t="shared" si="7"/>
        <v>3.1624733994788976E-2</v>
      </c>
    </row>
    <row r="93" spans="2:12">
      <c r="B93" s="252"/>
      <c r="C93" s="252" t="s">
        <v>294</v>
      </c>
      <c r="D93" s="252" t="s">
        <v>2</v>
      </c>
      <c r="E93" s="187">
        <f t="shared" si="2"/>
        <v>2.6439331056659666E-2</v>
      </c>
      <c r="F93" s="218"/>
      <c r="G93" s="218"/>
      <c r="H93" s="187">
        <f t="shared" si="3"/>
        <v>4.8316717499682256E-2</v>
      </c>
      <c r="I93" s="187">
        <f t="shared" si="4"/>
        <v>2.6987116834858597E-2</v>
      </c>
      <c r="J93" s="259">
        <f t="shared" si="5"/>
        <v>3.060074690335788E-2</v>
      </c>
      <c r="K93" s="259">
        <f t="shared" si="6"/>
        <v>3.7504128920312713E-2</v>
      </c>
      <c r="L93" s="256">
        <f t="shared" si="7"/>
        <v>2.8088135777613678E-2</v>
      </c>
    </row>
    <row r="94" spans="2:12" ht="15.75" thickBot="1">
      <c r="B94" s="253"/>
      <c r="C94" s="253" t="s">
        <v>294</v>
      </c>
      <c r="D94" s="253" t="s">
        <v>4</v>
      </c>
      <c r="E94" s="188">
        <f t="shared" si="2"/>
        <v>2.9238688842591745E-2</v>
      </c>
      <c r="F94" s="220"/>
      <c r="G94" s="220"/>
      <c r="H94" s="188">
        <f t="shared" si="3"/>
        <v>2.1736318726181026E-2</v>
      </c>
      <c r="I94" s="188">
        <f t="shared" si="4"/>
        <v>3.5982822446478123E-2</v>
      </c>
      <c r="J94" s="147">
        <f t="shared" si="5"/>
        <v>3.060074690335788E-2</v>
      </c>
      <c r="K94" s="147">
        <f t="shared" si="6"/>
        <v>3.7504128920312713E-2</v>
      </c>
      <c r="L94" s="257">
        <f t="shared" si="7"/>
        <v>2.9834583268406694E-2</v>
      </c>
    </row>
    <row r="95" spans="2:12">
      <c r="B95" s="251"/>
      <c r="C95" s="251" t="s">
        <v>298</v>
      </c>
      <c r="D95" s="251" t="s">
        <v>0</v>
      </c>
      <c r="E95" s="186">
        <f t="shared" si="2"/>
        <v>3.5884168484849925E-2</v>
      </c>
      <c r="F95" s="216"/>
      <c r="G95" s="216"/>
      <c r="H95" s="186">
        <f t="shared" si="3"/>
        <v>2.1206947462039414E-2</v>
      </c>
      <c r="I95" s="186">
        <f t="shared" si="4"/>
        <v>1.1244632014524414E-2</v>
      </c>
      <c r="J95" s="258">
        <f t="shared" si="5"/>
        <v>3.0526960784460103E-2</v>
      </c>
      <c r="K95" s="258">
        <f t="shared" si="6"/>
        <v>3.0003303136250173E-2</v>
      </c>
      <c r="L95" s="255">
        <f t="shared" si="7"/>
        <v>3.2573738457812862E-2</v>
      </c>
    </row>
    <row r="96" spans="2:12">
      <c r="B96" s="252"/>
      <c r="C96" s="252" t="s">
        <v>298</v>
      </c>
      <c r="D96" s="252" t="s">
        <v>2</v>
      </c>
      <c r="E96" s="187">
        <f t="shared" si="2"/>
        <v>2.6439331056659666E-2</v>
      </c>
      <c r="F96" s="218"/>
      <c r="G96" s="218"/>
      <c r="H96" s="187">
        <f t="shared" si="3"/>
        <v>4.8316717499682256E-2</v>
      </c>
      <c r="I96" s="187">
        <f t="shared" si="4"/>
        <v>4.4978528058097655E-2</v>
      </c>
      <c r="J96" s="259">
        <f t="shared" si="5"/>
        <v>3.0526960784460103E-2</v>
      </c>
      <c r="K96" s="259">
        <f t="shared" si="6"/>
        <v>3.0003303136250173E-2</v>
      </c>
      <c r="L96" s="256">
        <f t="shared" si="7"/>
        <v>2.942301690832777E-2</v>
      </c>
    </row>
    <row r="97" spans="2:12" ht="15.75" thickBot="1">
      <c r="B97" s="253"/>
      <c r="C97" s="253" t="s">
        <v>298</v>
      </c>
      <c r="D97" s="253" t="s">
        <v>4</v>
      </c>
      <c r="E97" s="188">
        <f t="shared" si="2"/>
        <v>2.9238688842591745E-2</v>
      </c>
      <c r="F97" s="220"/>
      <c r="G97" s="220"/>
      <c r="H97" s="188">
        <f t="shared" si="3"/>
        <v>2.1736318726181026E-2</v>
      </c>
      <c r="I97" s="188">
        <f t="shared" si="4"/>
        <v>3.3733896043573242E-2</v>
      </c>
      <c r="J97" s="147">
        <f t="shared" si="5"/>
        <v>3.0526960784460103E-2</v>
      </c>
      <c r="K97" s="147">
        <f t="shared" si="6"/>
        <v>3.0003303136250173E-2</v>
      </c>
      <c r="L97" s="257">
        <f t="shared" si="7"/>
        <v>2.9348703211475015E-2</v>
      </c>
    </row>
    <row r="98" spans="2:12">
      <c r="B98" s="251"/>
      <c r="C98" s="251" t="s">
        <v>301</v>
      </c>
      <c r="D98" s="251" t="s">
        <v>0</v>
      </c>
      <c r="E98" s="186">
        <f t="shared" si="2"/>
        <v>3.5605626480642749E-2</v>
      </c>
      <c r="F98" s="216"/>
      <c r="G98" s="216"/>
      <c r="H98" s="186">
        <f t="shared" si="3"/>
        <v>2.1206947462039414E-2</v>
      </c>
      <c r="I98" s="186">
        <f t="shared" si="4"/>
        <v>8.995705611619529E-3</v>
      </c>
      <c r="J98" s="258">
        <f t="shared" si="5"/>
        <v>3.0610878119240476E-2</v>
      </c>
      <c r="K98" s="258">
        <f t="shared" si="6"/>
        <v>3.7504128920312713E-2</v>
      </c>
      <c r="L98" s="255">
        <f t="shared" si="7"/>
        <v>3.2434271680383597E-2</v>
      </c>
    </row>
    <row r="99" spans="2:12">
      <c r="B99" s="252"/>
      <c r="C99" s="252" t="s">
        <v>301</v>
      </c>
      <c r="D99" s="252" t="s">
        <v>2</v>
      </c>
      <c r="E99" s="187">
        <f t="shared" si="2"/>
        <v>2.6439331056659666E-2</v>
      </c>
      <c r="F99" s="218"/>
      <c r="G99" s="218"/>
      <c r="H99" s="187">
        <f t="shared" si="3"/>
        <v>4.8316717499682256E-2</v>
      </c>
      <c r="I99" s="187">
        <f t="shared" si="4"/>
        <v>3.5982822446478123E-2</v>
      </c>
      <c r="J99" s="259">
        <f t="shared" si="5"/>
        <v>3.0610878119240476E-2</v>
      </c>
      <c r="K99" s="259">
        <f t="shared" si="6"/>
        <v>3.7504128920312713E-2</v>
      </c>
      <c r="L99" s="256">
        <f t="shared" si="7"/>
        <v>2.88976734632083E-2</v>
      </c>
    </row>
    <row r="100" spans="2:12" ht="15.75" thickBot="1">
      <c r="B100" s="253"/>
      <c r="C100" s="253" t="s">
        <v>301</v>
      </c>
      <c r="D100" s="253" t="s">
        <v>4</v>
      </c>
      <c r="E100" s="188">
        <f t="shared" si="2"/>
        <v>2.9238688842591745E-2</v>
      </c>
      <c r="F100" s="220"/>
      <c r="G100" s="220"/>
      <c r="H100" s="188">
        <f t="shared" si="3"/>
        <v>2.1736318726181026E-2</v>
      </c>
      <c r="I100" s="188">
        <f t="shared" si="4"/>
        <v>4.4978528058097655E-2</v>
      </c>
      <c r="J100" s="147">
        <f t="shared" si="5"/>
        <v>3.0610878119240476E-2</v>
      </c>
      <c r="K100" s="147">
        <f t="shared" si="6"/>
        <v>3.7504128920312713E-2</v>
      </c>
      <c r="L100" s="257">
        <f t="shared" si="7"/>
        <v>3.0644120954001316E-2</v>
      </c>
    </row>
    <row r="101" spans="2:12">
      <c r="B101" s="251"/>
      <c r="C101" s="251" t="s">
        <v>304</v>
      </c>
      <c r="D101" s="251" t="s">
        <v>0</v>
      </c>
      <c r="E101" s="186">
        <f t="shared" si="2"/>
        <v>3.5605626480642749E-2</v>
      </c>
      <c r="F101" s="216"/>
      <c r="G101" s="216"/>
      <c r="H101" s="186">
        <f t="shared" si="3"/>
        <v>2.1206947462039414E-2</v>
      </c>
      <c r="I101" s="186">
        <f t="shared" si="4"/>
        <v>0</v>
      </c>
      <c r="J101" s="258">
        <f t="shared" si="5"/>
        <v>3.060074690335788E-2</v>
      </c>
      <c r="K101" s="258">
        <f t="shared" si="6"/>
        <v>3.7504128920312713E-2</v>
      </c>
      <c r="L101" s="255">
        <f t="shared" si="7"/>
        <v>3.1624733994788976E-2</v>
      </c>
    </row>
    <row r="102" spans="2:12">
      <c r="B102" s="252"/>
      <c r="C102" s="252" t="s">
        <v>304</v>
      </c>
      <c r="D102" s="252" t="s">
        <v>2</v>
      </c>
      <c r="E102" s="187">
        <f t="shared" si="2"/>
        <v>2.6439331056659666E-2</v>
      </c>
      <c r="F102" s="218"/>
      <c r="G102" s="218"/>
      <c r="H102" s="187">
        <f t="shared" si="3"/>
        <v>4.8316717499682256E-2</v>
      </c>
      <c r="I102" s="187">
        <f t="shared" si="4"/>
        <v>2.6987116834858597E-2</v>
      </c>
      <c r="J102" s="259">
        <f t="shared" si="5"/>
        <v>3.060074690335788E-2</v>
      </c>
      <c r="K102" s="259">
        <f t="shared" si="6"/>
        <v>3.7504128920312713E-2</v>
      </c>
      <c r="L102" s="256">
        <f t="shared" si="7"/>
        <v>2.8088135777613678E-2</v>
      </c>
    </row>
    <row r="103" spans="2:12" ht="15.75" thickBot="1">
      <c r="B103" s="253"/>
      <c r="C103" s="253" t="s">
        <v>304</v>
      </c>
      <c r="D103" s="253" t="s">
        <v>4</v>
      </c>
      <c r="E103" s="188">
        <f t="shared" si="2"/>
        <v>2.9238688842591745E-2</v>
      </c>
      <c r="F103" s="220"/>
      <c r="G103" s="220"/>
      <c r="H103" s="188">
        <f t="shared" si="3"/>
        <v>2.1736318726181026E-2</v>
      </c>
      <c r="I103" s="188">
        <f t="shared" si="4"/>
        <v>3.5982822446478123E-2</v>
      </c>
      <c r="J103" s="147">
        <f t="shared" si="5"/>
        <v>3.060074690335788E-2</v>
      </c>
      <c r="K103" s="147">
        <f t="shared" si="6"/>
        <v>3.7504128920312713E-2</v>
      </c>
      <c r="L103" s="257">
        <f t="shared" si="7"/>
        <v>2.9834583268406694E-2</v>
      </c>
    </row>
    <row r="104" spans="2:12">
      <c r="B104" s="251"/>
      <c r="C104" s="251" t="s">
        <v>306</v>
      </c>
      <c r="D104" s="251" t="s">
        <v>0</v>
      </c>
      <c r="E104" s="186">
        <f t="shared" si="2"/>
        <v>3.5605626480642749E-2</v>
      </c>
      <c r="F104" s="216"/>
      <c r="G104" s="216"/>
      <c r="H104" s="186">
        <f t="shared" si="3"/>
        <v>2.1206947462039414E-2</v>
      </c>
      <c r="I104" s="186">
        <f t="shared" si="4"/>
        <v>0</v>
      </c>
      <c r="J104" s="258">
        <f t="shared" si="5"/>
        <v>3.060074690335788E-2</v>
      </c>
      <c r="K104" s="258">
        <f t="shared" si="6"/>
        <v>3.7504128920312713E-2</v>
      </c>
      <c r="L104" s="255">
        <f t="shared" si="7"/>
        <v>3.1624733994788976E-2</v>
      </c>
    </row>
    <row r="105" spans="2:12">
      <c r="B105" s="252"/>
      <c r="C105" s="252" t="s">
        <v>306</v>
      </c>
      <c r="D105" s="252" t="s">
        <v>2</v>
      </c>
      <c r="E105" s="187">
        <f t="shared" si="2"/>
        <v>2.6439331056659666E-2</v>
      </c>
      <c r="F105" s="218"/>
      <c r="G105" s="218"/>
      <c r="H105" s="187">
        <f t="shared" si="3"/>
        <v>4.8316717499682256E-2</v>
      </c>
      <c r="I105" s="187">
        <f t="shared" si="4"/>
        <v>2.6987116834858597E-2</v>
      </c>
      <c r="J105" s="259">
        <f t="shared" si="5"/>
        <v>3.060074690335788E-2</v>
      </c>
      <c r="K105" s="259">
        <f t="shared" si="6"/>
        <v>3.7504128920312713E-2</v>
      </c>
      <c r="L105" s="256">
        <f t="shared" si="7"/>
        <v>2.8088135777613678E-2</v>
      </c>
    </row>
    <row r="106" spans="2:12" ht="15.75" thickBot="1">
      <c r="B106" s="253"/>
      <c r="C106" s="253" t="s">
        <v>306</v>
      </c>
      <c r="D106" s="253" t="s">
        <v>4</v>
      </c>
      <c r="E106" s="188">
        <f t="shared" si="2"/>
        <v>2.9238688842591745E-2</v>
      </c>
      <c r="F106" s="220"/>
      <c r="G106" s="220"/>
      <c r="H106" s="188">
        <f t="shared" si="3"/>
        <v>2.1736318726181026E-2</v>
      </c>
      <c r="I106" s="188">
        <f t="shared" si="4"/>
        <v>3.5982822446478123E-2</v>
      </c>
      <c r="J106" s="147">
        <f t="shared" si="5"/>
        <v>3.060074690335788E-2</v>
      </c>
      <c r="K106" s="147">
        <f t="shared" si="6"/>
        <v>3.7504128920312713E-2</v>
      </c>
      <c r="L106" s="257">
        <f t="shared" si="7"/>
        <v>2.9834583268406694E-2</v>
      </c>
    </row>
    <row r="107" spans="2:12">
      <c r="B107" s="251"/>
      <c r="C107" s="251" t="s">
        <v>308</v>
      </c>
      <c r="D107" s="251" t="s">
        <v>0</v>
      </c>
      <c r="E107" s="186">
        <f t="shared" si="2"/>
        <v>3.5605626480642749E-2</v>
      </c>
      <c r="F107" s="216"/>
      <c r="G107" s="216"/>
      <c r="H107" s="186">
        <f t="shared" si="3"/>
        <v>2.1206947462039414E-2</v>
      </c>
      <c r="I107" s="186">
        <f t="shared" si="4"/>
        <v>8.995705611619529E-3</v>
      </c>
      <c r="J107" s="258">
        <f t="shared" si="5"/>
        <v>3.0610878119240476E-2</v>
      </c>
      <c r="K107" s="258">
        <f t="shared" si="6"/>
        <v>3.7504128920312713E-2</v>
      </c>
      <c r="L107" s="255">
        <f t="shared" si="7"/>
        <v>3.2434271680383597E-2</v>
      </c>
    </row>
    <row r="108" spans="2:12">
      <c r="B108" s="252"/>
      <c r="C108" s="252" t="s">
        <v>308</v>
      </c>
      <c r="D108" s="252" t="s">
        <v>2</v>
      </c>
      <c r="E108" s="187">
        <f t="shared" si="2"/>
        <v>2.6439331056659666E-2</v>
      </c>
      <c r="F108" s="218"/>
      <c r="G108" s="218"/>
      <c r="H108" s="187">
        <f t="shared" si="3"/>
        <v>4.8316717499682256E-2</v>
      </c>
      <c r="I108" s="187">
        <f t="shared" si="4"/>
        <v>3.5982822446478123E-2</v>
      </c>
      <c r="J108" s="259">
        <f t="shared" si="5"/>
        <v>3.0610878119240476E-2</v>
      </c>
      <c r="K108" s="259">
        <f t="shared" si="6"/>
        <v>3.7504128920312713E-2</v>
      </c>
      <c r="L108" s="256">
        <f t="shared" si="7"/>
        <v>2.88976734632083E-2</v>
      </c>
    </row>
    <row r="109" spans="2:12" ht="15.75" thickBot="1">
      <c r="B109" s="253"/>
      <c r="C109" s="253" t="s">
        <v>308</v>
      </c>
      <c r="D109" s="253" t="s">
        <v>4</v>
      </c>
      <c r="E109" s="188">
        <f t="shared" si="2"/>
        <v>2.9238688842591745E-2</v>
      </c>
      <c r="F109" s="220"/>
      <c r="G109" s="220"/>
      <c r="H109" s="188">
        <f t="shared" si="3"/>
        <v>2.1736318726181026E-2</v>
      </c>
      <c r="I109" s="188">
        <f t="shared" si="4"/>
        <v>4.4978528058097655E-2</v>
      </c>
      <c r="J109" s="147">
        <f t="shared" si="5"/>
        <v>3.0610878119240476E-2</v>
      </c>
      <c r="K109" s="147">
        <f t="shared" si="6"/>
        <v>3.7504128920312713E-2</v>
      </c>
      <c r="L109" s="257">
        <f t="shared" si="7"/>
        <v>3.0644120954001316E-2</v>
      </c>
    </row>
    <row r="110" spans="2:12">
      <c r="B110" s="251"/>
      <c r="C110" s="251" t="s">
        <v>310</v>
      </c>
      <c r="D110" s="251" t="s">
        <v>0</v>
      </c>
      <c r="E110" s="186">
        <f t="shared" si="2"/>
        <v>3.5605626480642749E-2</v>
      </c>
      <c r="F110" s="216"/>
      <c r="G110" s="216"/>
      <c r="H110" s="186">
        <f t="shared" si="3"/>
        <v>2.1206947462039414E-2</v>
      </c>
      <c r="I110" s="186">
        <f t="shared" si="4"/>
        <v>8.995705611619529E-3</v>
      </c>
      <c r="J110" s="258">
        <f t="shared" si="5"/>
        <v>3.0610878119240476E-2</v>
      </c>
      <c r="K110" s="258">
        <f t="shared" si="6"/>
        <v>3.7504128920312713E-2</v>
      </c>
      <c r="L110" s="255">
        <f t="shared" si="7"/>
        <v>3.2434271680383597E-2</v>
      </c>
    </row>
    <row r="111" spans="2:12">
      <c r="B111" s="252"/>
      <c r="C111" s="252" t="s">
        <v>310</v>
      </c>
      <c r="D111" s="252" t="s">
        <v>2</v>
      </c>
      <c r="E111" s="187">
        <f t="shared" si="2"/>
        <v>2.6439331056659666E-2</v>
      </c>
      <c r="F111" s="218"/>
      <c r="G111" s="218"/>
      <c r="H111" s="187">
        <f t="shared" si="3"/>
        <v>4.8316717499682256E-2</v>
      </c>
      <c r="I111" s="187">
        <f t="shared" si="4"/>
        <v>3.5982822446478123E-2</v>
      </c>
      <c r="J111" s="259">
        <f t="shared" si="5"/>
        <v>3.0610878119240476E-2</v>
      </c>
      <c r="K111" s="259">
        <f t="shared" si="6"/>
        <v>3.7504128920312713E-2</v>
      </c>
      <c r="L111" s="256">
        <f t="shared" si="7"/>
        <v>2.88976734632083E-2</v>
      </c>
    </row>
    <row r="112" spans="2:12" ht="15.75" thickBot="1">
      <c r="B112" s="253"/>
      <c r="C112" s="253" t="s">
        <v>310</v>
      </c>
      <c r="D112" s="253" t="s">
        <v>4</v>
      </c>
      <c r="E112" s="188">
        <f t="shared" si="2"/>
        <v>2.9238688842591745E-2</v>
      </c>
      <c r="F112" s="220"/>
      <c r="G112" s="220"/>
      <c r="H112" s="188">
        <f t="shared" si="3"/>
        <v>2.1736318726181026E-2</v>
      </c>
      <c r="I112" s="188">
        <f t="shared" si="4"/>
        <v>4.4978528058097655E-2</v>
      </c>
      <c r="J112" s="147">
        <f t="shared" si="5"/>
        <v>3.0610878119240476E-2</v>
      </c>
      <c r="K112" s="147">
        <f t="shared" si="6"/>
        <v>3.7504128920312713E-2</v>
      </c>
      <c r="L112" s="257">
        <f t="shared" si="7"/>
        <v>3.0644120954001316E-2</v>
      </c>
    </row>
    <row r="114" spans="6:12">
      <c r="K114" s="73" t="s">
        <v>483</v>
      </c>
      <c r="L114">
        <f>AVERAGE(L59:L112)</f>
        <v>3.0419967007815494E-2</v>
      </c>
    </row>
    <row r="116" spans="6:12">
      <c r="F116" s="266">
        <v>0.33333000000000002</v>
      </c>
      <c r="G116" s="266">
        <v>190</v>
      </c>
      <c r="H116" s="266">
        <v>0.43891531874405326</v>
      </c>
      <c r="I116">
        <f>((F116-MIN(F116:F118))/(MAX(F116:F118)-MIN(F116:F118)))</f>
        <v>0</v>
      </c>
      <c r="J116">
        <f>(1-((G116-MIN(G116:G118))/(MAX(G116:G118)-MIN(G116:G118))))</f>
        <v>0.87783063748810652</v>
      </c>
      <c r="K116">
        <f>0.5*I116+0.5*J116</f>
        <v>0.43891531874405326</v>
      </c>
    </row>
    <row r="117" spans="6:12">
      <c r="F117" s="266">
        <v>1.63</v>
      </c>
      <c r="G117" s="266">
        <v>61.6</v>
      </c>
      <c r="H117" s="266">
        <v>1</v>
      </c>
      <c r="I117">
        <f>((F117-MIN(F116:F118))/(MAX(F116:F118)-MIN(F116:F118)))</f>
        <v>1</v>
      </c>
      <c r="J117">
        <f>(1-((G117-MIN(G116:G118))/(MAX(G116:G118)-MIN(G116:G118))))</f>
        <v>1</v>
      </c>
      <c r="K117">
        <f t="shared" ref="K117:K118" si="8">0.5*I117+0.5*J117</f>
        <v>1</v>
      </c>
    </row>
    <row r="118" spans="6:12">
      <c r="F118" s="266">
        <v>1.5</v>
      </c>
      <c r="G118" s="266">
        <v>1112.5999999999999</v>
      </c>
      <c r="H118" s="266">
        <v>0.44987159416042638</v>
      </c>
      <c r="I118">
        <f>((F118-MIN(F116:F118))/(MAX(F116:F118)-MIN(F116:F118)))</f>
        <v>0.89974318832085276</v>
      </c>
      <c r="J118">
        <f>(1-((G118-MIN(G116:G118))/(MAX(G116:G118)-MIN(G116:G118))))</f>
        <v>0</v>
      </c>
      <c r="K118">
        <f t="shared" si="8"/>
        <v>0.44987159416042638</v>
      </c>
    </row>
    <row r="119" spans="6:12">
      <c r="F119" s="266">
        <v>0.33333000000000002</v>
      </c>
      <c r="G119" s="266">
        <v>190</v>
      </c>
      <c r="H119" s="266">
        <v>0.43891531874405326</v>
      </c>
    </row>
    <row r="120" spans="6:12">
      <c r="F120" s="266">
        <v>1.63</v>
      </c>
      <c r="G120" s="266">
        <v>61.6</v>
      </c>
      <c r="H120" s="266">
        <v>1</v>
      </c>
    </row>
    <row r="121" spans="6:12">
      <c r="F121" s="266">
        <v>1.5</v>
      </c>
      <c r="G121" s="266">
        <v>1112.5999999999999</v>
      </c>
      <c r="H121" s="266">
        <v>0.44987159416042638</v>
      </c>
    </row>
    <row r="122" spans="6:12">
      <c r="F122" s="266">
        <v>0.33333000000000002</v>
      </c>
      <c r="G122" s="266">
        <v>190</v>
      </c>
      <c r="H122" s="266">
        <v>0.43891531874405326</v>
      </c>
      <c r="I122">
        <f>1*10^3</f>
        <v>1000</v>
      </c>
      <c r="J122" t="s">
        <v>498</v>
      </c>
    </row>
    <row r="123" spans="6:12">
      <c r="F123" s="266">
        <v>1.63</v>
      </c>
      <c r="G123" s="266">
        <v>61.6</v>
      </c>
      <c r="H123" s="266">
        <v>1</v>
      </c>
      <c r="I123">
        <f>3*10^5</f>
        <v>300000</v>
      </c>
      <c r="J123" t="s">
        <v>499</v>
      </c>
    </row>
    <row r="124" spans="6:12">
      <c r="F124" s="266">
        <v>1.5</v>
      </c>
      <c r="G124" s="266">
        <v>1112.5999999999999</v>
      </c>
      <c r="H124" s="266">
        <v>0.44987159416042638</v>
      </c>
      <c r="I124" s="386">
        <v>2</v>
      </c>
      <c r="J124" t="s">
        <v>500</v>
      </c>
      <c r="K124">
        <f>(LOG10(I123/I122))/I124</f>
        <v>1.2385606273598313</v>
      </c>
      <c r="L124" s="332" t="s">
        <v>501</v>
      </c>
    </row>
    <row r="125" spans="6:12">
      <c r="F125" s="266">
        <v>0.33333000000000002</v>
      </c>
      <c r="G125" s="266">
        <v>190</v>
      </c>
      <c r="H125" s="266">
        <v>0.43891531874405326</v>
      </c>
    </row>
    <row r="126" spans="6:12">
      <c r="F126" s="266">
        <v>1.63</v>
      </c>
      <c r="G126" s="266">
        <v>61.6</v>
      </c>
      <c r="H126" s="266">
        <v>1</v>
      </c>
    </row>
    <row r="127" spans="6:12">
      <c r="F127" s="266">
        <v>1.5</v>
      </c>
      <c r="G127" s="266">
        <v>1112.5999999999999</v>
      </c>
      <c r="H127" s="266">
        <v>0.44987159416042638</v>
      </c>
      <c r="J127" s="204" t="s">
        <v>502</v>
      </c>
      <c r="K127">
        <f>LOG10(2)*(I124/(LOG10(I123/I122)))</f>
        <v>0.24304825215191087</v>
      </c>
      <c r="L127" t="s">
        <v>503</v>
      </c>
    </row>
    <row r="128" spans="6:12">
      <c r="F128" s="266">
        <v>0.33333000000000002</v>
      </c>
      <c r="G128" s="266">
        <v>190</v>
      </c>
      <c r="H128" s="266">
        <v>0.43891531874405326</v>
      </c>
      <c r="K128">
        <f>K127*60</f>
        <v>14.582895129114652</v>
      </c>
      <c r="L128" t="s">
        <v>504</v>
      </c>
    </row>
    <row r="129" spans="6:8">
      <c r="F129" s="266">
        <v>1.63</v>
      </c>
      <c r="G129" s="266">
        <v>61.6</v>
      </c>
      <c r="H129" s="266">
        <v>1</v>
      </c>
    </row>
    <row r="130" spans="6:8">
      <c r="F130" s="266">
        <v>1.5</v>
      </c>
      <c r="G130" s="266">
        <v>1112.5999999999999</v>
      </c>
      <c r="H130" s="266">
        <v>0.44987159416042638</v>
      </c>
    </row>
    <row r="131" spans="6:8">
      <c r="F131" s="266">
        <v>0.33333000000000002</v>
      </c>
      <c r="G131" s="266">
        <v>190</v>
      </c>
      <c r="H131" s="266">
        <v>0.43891531874405326</v>
      </c>
    </row>
    <row r="132" spans="6:8">
      <c r="F132" s="266">
        <v>1.63</v>
      </c>
      <c r="G132" s="266">
        <v>61.6</v>
      </c>
      <c r="H132" s="266">
        <v>1</v>
      </c>
    </row>
    <row r="133" spans="6:8">
      <c r="F133" s="266">
        <v>1.5</v>
      </c>
      <c r="G133" s="266">
        <v>1112.5999999999999</v>
      </c>
      <c r="H133" s="266">
        <v>0.44987159416042638</v>
      </c>
    </row>
    <row r="134" spans="6:8">
      <c r="F134" s="266">
        <v>0.33333000000000002</v>
      </c>
      <c r="G134" s="266">
        <v>190</v>
      </c>
      <c r="H134" s="266">
        <v>0.43891531874405326</v>
      </c>
    </row>
    <row r="135" spans="6:8">
      <c r="F135" s="266">
        <v>1.63</v>
      </c>
      <c r="G135" s="266">
        <v>61.6</v>
      </c>
      <c r="H135" s="266">
        <v>1</v>
      </c>
    </row>
    <row r="136" spans="6:8">
      <c r="F136" s="266">
        <v>1.5</v>
      </c>
      <c r="G136" s="266">
        <v>1112.5999999999999</v>
      </c>
      <c r="H136" s="266">
        <v>0.44987159416042638</v>
      </c>
    </row>
    <row r="137" spans="6:8">
      <c r="F137" s="266">
        <v>0.33333000000000002</v>
      </c>
      <c r="G137" s="266">
        <v>190</v>
      </c>
      <c r="H137" s="266">
        <v>0.43891531874405326</v>
      </c>
    </row>
    <row r="138" spans="6:8">
      <c r="F138" s="266">
        <v>1.63</v>
      </c>
      <c r="G138" s="266">
        <v>61.6</v>
      </c>
      <c r="H138" s="266">
        <v>1</v>
      </c>
    </row>
    <row r="139" spans="6:8">
      <c r="F139" s="266">
        <v>1.5</v>
      </c>
      <c r="G139" s="266">
        <v>1112.5999999999999</v>
      </c>
      <c r="H139" s="266">
        <v>0.44987159416042638</v>
      </c>
    </row>
    <row r="140" spans="6:8">
      <c r="F140" s="266">
        <v>0.33333000000000002</v>
      </c>
      <c r="G140" s="266">
        <v>190</v>
      </c>
      <c r="H140" s="266">
        <v>0.43891531874405326</v>
      </c>
    </row>
    <row r="141" spans="6:8">
      <c r="F141" s="266">
        <v>1.63</v>
      </c>
      <c r="G141" s="266">
        <v>61.6</v>
      </c>
      <c r="H141" s="266">
        <v>1</v>
      </c>
    </row>
    <row r="142" spans="6:8">
      <c r="F142" s="266">
        <v>1.5</v>
      </c>
      <c r="G142" s="266">
        <v>1112.5999999999999</v>
      </c>
      <c r="H142" s="266">
        <v>0.44987159416042638</v>
      </c>
    </row>
    <row r="143" spans="6:8">
      <c r="F143" s="266">
        <v>0.33333000000000002</v>
      </c>
      <c r="G143" s="266">
        <v>190</v>
      </c>
      <c r="H143" s="266">
        <v>0.43891531874405326</v>
      </c>
    </row>
    <row r="144" spans="6:8">
      <c r="F144" s="266">
        <v>1.63</v>
      </c>
      <c r="G144" s="266">
        <v>61.6</v>
      </c>
      <c r="H144" s="266">
        <v>1</v>
      </c>
    </row>
    <row r="145" spans="6:8">
      <c r="F145" s="266">
        <v>1.5</v>
      </c>
      <c r="G145" s="266">
        <v>1112.5999999999999</v>
      </c>
      <c r="H145" s="266">
        <v>0.44987159416042638</v>
      </c>
    </row>
    <row r="146" spans="6:8">
      <c r="F146" s="266">
        <v>0.33333000000000002</v>
      </c>
      <c r="G146" s="266">
        <v>190</v>
      </c>
      <c r="H146" s="266">
        <v>0.43891531874405326</v>
      </c>
    </row>
    <row r="147" spans="6:8">
      <c r="F147" s="266">
        <v>1.63</v>
      </c>
      <c r="G147" s="266">
        <v>61.6</v>
      </c>
      <c r="H147" s="266">
        <v>1</v>
      </c>
    </row>
    <row r="148" spans="6:8">
      <c r="F148" s="266">
        <v>1.5</v>
      </c>
      <c r="G148" s="266">
        <v>1112.5999999999999</v>
      </c>
      <c r="H148" s="266">
        <v>0.44987159416042638</v>
      </c>
    </row>
    <row r="149" spans="6:8">
      <c r="F149" s="266">
        <v>0.33333000000000002</v>
      </c>
      <c r="G149" s="266">
        <v>190</v>
      </c>
      <c r="H149" s="266">
        <v>0.43891531874405326</v>
      </c>
    </row>
    <row r="150" spans="6:8">
      <c r="F150" s="266">
        <v>1.63</v>
      </c>
      <c r="G150" s="266">
        <v>61.6</v>
      </c>
      <c r="H150" s="266">
        <v>1</v>
      </c>
    </row>
    <row r="151" spans="6:8">
      <c r="F151" s="266">
        <v>1.5</v>
      </c>
      <c r="G151" s="266">
        <v>1112.5999999999999</v>
      </c>
      <c r="H151" s="266">
        <v>0.44987159416042638</v>
      </c>
    </row>
    <row r="152" spans="6:8">
      <c r="F152" s="266">
        <v>0.33333000000000002</v>
      </c>
      <c r="G152" s="266">
        <v>190</v>
      </c>
      <c r="H152" s="266">
        <v>0.43891531874405326</v>
      </c>
    </row>
    <row r="153" spans="6:8">
      <c r="F153" s="266">
        <v>1.63</v>
      </c>
      <c r="G153" s="266">
        <v>61.6</v>
      </c>
      <c r="H153" s="266">
        <v>1</v>
      </c>
    </row>
    <row r="154" spans="6:8">
      <c r="F154" s="266">
        <v>1.5</v>
      </c>
      <c r="G154" s="266">
        <v>1112.5999999999999</v>
      </c>
      <c r="H154" s="266">
        <v>0.44987159416042638</v>
      </c>
    </row>
    <row r="155" spans="6:8">
      <c r="F155" s="266">
        <v>0.33333000000000002</v>
      </c>
      <c r="G155" s="266">
        <v>190</v>
      </c>
      <c r="H155" s="266">
        <v>0.43891531874405326</v>
      </c>
    </row>
    <row r="156" spans="6:8">
      <c r="F156" s="266">
        <v>1.63</v>
      </c>
      <c r="G156" s="266">
        <v>61.6</v>
      </c>
      <c r="H156" s="266">
        <v>1</v>
      </c>
    </row>
    <row r="157" spans="6:8">
      <c r="F157" s="266">
        <v>1.5</v>
      </c>
      <c r="G157" s="266">
        <v>1112.5999999999999</v>
      </c>
      <c r="H157" s="266">
        <v>0.44987159416042638</v>
      </c>
    </row>
    <row r="158" spans="6:8">
      <c r="F158" s="266">
        <v>0.33333000000000002</v>
      </c>
      <c r="G158" s="266">
        <v>190</v>
      </c>
      <c r="H158" s="266">
        <v>0.43891531874405326</v>
      </c>
    </row>
    <row r="159" spans="6:8">
      <c r="F159" s="266">
        <v>1.63</v>
      </c>
      <c r="G159" s="266">
        <v>61.6</v>
      </c>
      <c r="H159" s="266">
        <v>1</v>
      </c>
    </row>
    <row r="160" spans="6:8">
      <c r="F160" s="266">
        <v>1.5</v>
      </c>
      <c r="G160" s="266">
        <v>1112.5999999999999</v>
      </c>
      <c r="H160" s="266">
        <v>0.44987159416042638</v>
      </c>
    </row>
    <row r="161" spans="6:8">
      <c r="F161" s="266">
        <v>0.33333000000000002</v>
      </c>
      <c r="G161" s="266">
        <v>190</v>
      </c>
      <c r="H161" s="266">
        <v>0.43891531874405326</v>
      </c>
    </row>
    <row r="162" spans="6:8">
      <c r="F162" s="266">
        <v>1.63</v>
      </c>
      <c r="G162" s="266">
        <v>61.6</v>
      </c>
      <c r="H162" s="266">
        <v>1</v>
      </c>
    </row>
    <row r="163" spans="6:8">
      <c r="F163" s="266">
        <v>1.5</v>
      </c>
      <c r="G163" s="266">
        <v>1112.5999999999999</v>
      </c>
      <c r="H163" s="266">
        <v>0.44987159416042638</v>
      </c>
    </row>
    <row r="164" spans="6:8">
      <c r="F164" s="266">
        <v>0.33333000000000002</v>
      </c>
      <c r="G164" s="266">
        <v>190</v>
      </c>
      <c r="H164" s="266">
        <v>0.43891531874405326</v>
      </c>
    </row>
    <row r="165" spans="6:8">
      <c r="F165" s="266">
        <v>1.63</v>
      </c>
      <c r="G165" s="266">
        <v>61.6</v>
      </c>
      <c r="H165" s="266">
        <v>1</v>
      </c>
    </row>
    <row r="166" spans="6:8">
      <c r="F166" s="266">
        <v>1.5</v>
      </c>
      <c r="G166" s="266">
        <v>1112.5999999999999</v>
      </c>
      <c r="H166" s="266">
        <v>0.44987159416042638</v>
      </c>
    </row>
    <row r="167" spans="6:8">
      <c r="F167" s="266">
        <v>0.33333000000000002</v>
      </c>
      <c r="G167" s="266">
        <v>190</v>
      </c>
      <c r="H167" s="266">
        <v>0.43891531874405326</v>
      </c>
    </row>
    <row r="168" spans="6:8">
      <c r="F168" s="266">
        <v>1.63</v>
      </c>
      <c r="G168" s="266">
        <v>61.6</v>
      </c>
      <c r="H168" s="266">
        <v>1</v>
      </c>
    </row>
    <row r="169" spans="6:8" ht="15.75" thickBot="1">
      <c r="F169" s="275">
        <v>1.5</v>
      </c>
      <c r="G169" s="275">
        <v>1112.5999999999999</v>
      </c>
      <c r="H169" s="275">
        <v>0.44987159416042638</v>
      </c>
    </row>
  </sheetData>
  <autoFilter ref="B2:L2" xr:uid="{12215E7A-C483-44EF-B122-F52455C4C678}">
    <sortState xmlns:xlrd2="http://schemas.microsoft.com/office/spreadsheetml/2017/richdata2" ref="B3:L56">
      <sortCondition ref="C2"/>
    </sortState>
  </autoFilter>
  <mergeCells count="1">
    <mergeCell ref="N7:O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A7D1-6681-4C4B-A92C-01E56AB5425C}">
  <dimension ref="B2:U68"/>
  <sheetViews>
    <sheetView tabSelected="1" workbookViewId="0">
      <pane xSplit="4" ySplit="2" topLeftCell="E3" activePane="bottomRight" state="frozen"/>
      <selection pane="bottomRight" activeCell="K2" sqref="K2"/>
      <selection pane="bottomLeft" activeCell="A3" sqref="A3"/>
      <selection pane="topRight" activeCell="E1" sqref="E1"/>
    </sheetView>
  </sheetViews>
  <sheetFormatPr defaultColWidth="11.42578125" defaultRowHeight="15"/>
  <cols>
    <col min="1" max="1" width="3.42578125" customWidth="1"/>
    <col min="2" max="2" width="12.28515625" bestFit="1" customWidth="1"/>
    <col min="3" max="3" width="9.28515625" bestFit="1" customWidth="1"/>
    <col min="4" max="4" width="11.7109375" bestFit="1" customWidth="1"/>
    <col min="5" max="5" width="20.85546875" bestFit="1" customWidth="1"/>
    <col min="6" max="6" width="25.140625" bestFit="1" customWidth="1"/>
    <col min="7" max="7" width="23.85546875" bestFit="1" customWidth="1"/>
    <col min="8" max="8" width="32.28515625" bestFit="1" customWidth="1"/>
    <col min="9" max="9" width="20.5703125" bestFit="1" customWidth="1"/>
    <col min="10" max="10" width="38.28515625" bestFit="1" customWidth="1"/>
    <col min="11" max="11" width="12" bestFit="1" customWidth="1"/>
    <col min="12" max="12" width="3.42578125" bestFit="1" customWidth="1"/>
    <col min="13" max="13" width="7.7109375" bestFit="1" customWidth="1"/>
    <col min="14" max="14" width="11.7109375" customWidth="1"/>
    <col min="16" max="16" width="7.5703125" bestFit="1" customWidth="1"/>
  </cols>
  <sheetData>
    <row r="2" spans="2:21">
      <c r="B2" s="398" t="s">
        <v>472</v>
      </c>
      <c r="C2" s="398" t="s">
        <v>250</v>
      </c>
      <c r="D2" s="398" t="s">
        <v>473</v>
      </c>
      <c r="E2" s="398" t="s">
        <v>405</v>
      </c>
      <c r="F2" s="399" t="s">
        <v>474</v>
      </c>
      <c r="G2" s="399" t="s">
        <v>407</v>
      </c>
      <c r="H2" s="398" t="s">
        <v>409</v>
      </c>
      <c r="I2" s="398" t="s">
        <v>426</v>
      </c>
      <c r="J2" s="398" t="s">
        <v>489</v>
      </c>
      <c r="K2" s="398" t="s">
        <v>410</v>
      </c>
    </row>
    <row r="3" spans="2:21">
      <c r="B3" s="400">
        <v>5</v>
      </c>
      <c r="C3" s="400" t="s">
        <v>257</v>
      </c>
      <c r="D3" s="400" t="s">
        <v>4</v>
      </c>
      <c r="E3" s="401">
        <v>3.5517871172467297E-2</v>
      </c>
      <c r="F3" s="401">
        <v>1.5</v>
      </c>
      <c r="G3" s="401">
        <v>1112.5999999999999</v>
      </c>
      <c r="H3" s="401">
        <v>0.16666666666666663</v>
      </c>
      <c r="I3" s="401">
        <v>0.97784810126582278</v>
      </c>
      <c r="J3" s="401">
        <v>0.6</v>
      </c>
      <c r="K3" s="402">
        <f>E3*$N$8+H3*$N$10+I3*$N$11+J3*$N$12</f>
        <v>9.8512929761229578E-2</v>
      </c>
    </row>
    <row r="4" spans="2:21">
      <c r="B4" s="400">
        <v>17</v>
      </c>
      <c r="C4" s="400" t="s">
        <v>274</v>
      </c>
      <c r="D4" s="400" t="s">
        <v>4</v>
      </c>
      <c r="E4" s="401">
        <v>3.68443070392932E-2</v>
      </c>
      <c r="F4" s="401">
        <v>1.5</v>
      </c>
      <c r="G4" s="401">
        <v>1112.5999999999999</v>
      </c>
      <c r="H4" s="401">
        <v>0.25</v>
      </c>
      <c r="I4" s="401">
        <v>0.99585218702865763</v>
      </c>
      <c r="J4" s="401">
        <v>0.7</v>
      </c>
      <c r="K4" s="402">
        <f>E4*$N$8+H4*$N$10+I4*$N$11+J4*$N$12</f>
        <v>0.11038124812984033</v>
      </c>
      <c r="T4">
        <v>0.6</v>
      </c>
      <c r="U4">
        <v>1.1000000000000001</v>
      </c>
    </row>
    <row r="5" spans="2:21">
      <c r="B5" s="400">
        <v>21</v>
      </c>
      <c r="C5" s="400" t="s">
        <v>261</v>
      </c>
      <c r="D5" s="400" t="s">
        <v>4</v>
      </c>
      <c r="E5" s="401">
        <v>3.8017692613792953E-2</v>
      </c>
      <c r="F5" s="401">
        <v>1.5</v>
      </c>
      <c r="G5" s="401">
        <v>1112.5999999999999</v>
      </c>
      <c r="H5" s="401">
        <v>0.33333333333333337</v>
      </c>
      <c r="I5" s="401">
        <v>0.9866129843985908</v>
      </c>
      <c r="J5" s="401">
        <v>0.6</v>
      </c>
      <c r="K5" s="402">
        <f>E5*$N$8+H5*$N$10+I5*$N$11+J5*$N$12</f>
        <v>0.11289143502936419</v>
      </c>
      <c r="T5">
        <v>0.8</v>
      </c>
      <c r="U5">
        <v>1.2</v>
      </c>
    </row>
    <row r="6" spans="2:21">
      <c r="B6" s="400">
        <v>22</v>
      </c>
      <c r="C6" s="400" t="s">
        <v>268</v>
      </c>
      <c r="D6" s="400" t="s">
        <v>4</v>
      </c>
      <c r="E6" s="401">
        <v>3.68443070392932E-2</v>
      </c>
      <c r="F6" s="401">
        <v>1.5</v>
      </c>
      <c r="G6" s="401">
        <v>1112.5999999999999</v>
      </c>
      <c r="H6" s="401">
        <v>0.4285714285714286</v>
      </c>
      <c r="I6" s="401">
        <v>0.97784810126582278</v>
      </c>
      <c r="J6" s="401">
        <v>0.5</v>
      </c>
      <c r="K6" s="402">
        <f>E6*$N$8+H6*$N$10+I6*$N$11+J6*$N$12</f>
        <v>0.11426568661016767</v>
      </c>
      <c r="T6">
        <v>0.60000000000000009</v>
      </c>
      <c r="U6">
        <v>2.1</v>
      </c>
    </row>
    <row r="7" spans="2:21">
      <c r="B7" s="418">
        <v>0</v>
      </c>
      <c r="C7" s="403" t="s">
        <v>505</v>
      </c>
      <c r="D7" s="400" t="s">
        <v>4</v>
      </c>
      <c r="E7" s="404">
        <f>1-(9.4266/9.8007)</f>
        <v>3.8170742906118993E-2</v>
      </c>
      <c r="F7" s="401">
        <v>1.5</v>
      </c>
      <c r="G7" s="401">
        <v>1112.5999999999999</v>
      </c>
      <c r="H7" s="401">
        <v>0.2</v>
      </c>
      <c r="I7" s="404">
        <f>1-'KCat|Km min'!E22</f>
        <v>0.99849170437405732</v>
      </c>
      <c r="J7" s="404">
        <v>0.9</v>
      </c>
      <c r="K7" s="402">
        <f>E7*$N$8+H7*$N$10+I7*$N$11+J7*$N$12</f>
        <v>0.11637029055900555</v>
      </c>
      <c r="M7" s="458" t="s">
        <v>476</v>
      </c>
      <c r="N7" s="459"/>
      <c r="O7" s="458" t="s">
        <v>490</v>
      </c>
      <c r="P7" s="459"/>
      <c r="T7">
        <v>0.8</v>
      </c>
      <c r="U7">
        <v>2.2000000000000002</v>
      </c>
    </row>
    <row r="8" spans="2:21">
      <c r="B8" s="400">
        <v>23</v>
      </c>
      <c r="C8" s="400" t="s">
        <v>276</v>
      </c>
      <c r="D8" s="400" t="s">
        <v>4</v>
      </c>
      <c r="E8" s="401">
        <v>3.68443070392932E-2</v>
      </c>
      <c r="F8" s="401">
        <v>1.5</v>
      </c>
      <c r="G8" s="401">
        <v>1112.5999999999999</v>
      </c>
      <c r="H8" s="401">
        <v>0.375</v>
      </c>
      <c r="I8" s="401">
        <v>0.99608408903544932</v>
      </c>
      <c r="J8" s="401">
        <v>0.7</v>
      </c>
      <c r="K8" s="402">
        <f>E8*$N$8+H8*$N$10+I8*$N$11+J8*$N$12</f>
        <v>0.11936107701457274</v>
      </c>
      <c r="M8" s="82" t="s">
        <v>491</v>
      </c>
      <c r="N8" s="260">
        <v>0.85459846329053957</v>
      </c>
      <c r="O8" s="82" t="s">
        <v>491</v>
      </c>
      <c r="P8" s="260">
        <v>0.79466479156724845</v>
      </c>
      <c r="T8">
        <v>0.60000000000000009</v>
      </c>
      <c r="U8">
        <v>3.1</v>
      </c>
    </row>
    <row r="9" spans="2:21">
      <c r="B9" s="400">
        <v>24</v>
      </c>
      <c r="C9" s="400" t="s">
        <v>286</v>
      </c>
      <c r="D9" s="400" t="s">
        <v>4</v>
      </c>
      <c r="E9" s="401">
        <v>3.5517871172467297E-2</v>
      </c>
      <c r="F9" s="401">
        <v>1.5</v>
      </c>
      <c r="G9" s="401">
        <v>1112.5999999999999</v>
      </c>
      <c r="H9" s="401">
        <v>0.375</v>
      </c>
      <c r="I9" s="401">
        <v>0.99333777481678875</v>
      </c>
      <c r="J9" s="401">
        <v>0.8</v>
      </c>
      <c r="K9" s="402">
        <f>E9*$N$8+H9*$N$10+I9*$N$11+J9*$N$12</f>
        <v>0.12232035223109697</v>
      </c>
      <c r="M9" s="388" t="s">
        <v>492</v>
      </c>
      <c r="N9" s="389">
        <v>1E-3</v>
      </c>
      <c r="O9" s="83" t="s">
        <v>492</v>
      </c>
      <c r="P9" s="261">
        <v>4.8358655766572022E-2</v>
      </c>
      <c r="T9">
        <v>0.8</v>
      </c>
      <c r="U9">
        <v>3.2</v>
      </c>
    </row>
    <row r="10" spans="2:21">
      <c r="B10" s="400">
        <v>25</v>
      </c>
      <c r="C10" s="400" t="s">
        <v>264</v>
      </c>
      <c r="D10" s="400" t="s">
        <v>4</v>
      </c>
      <c r="E10" s="401">
        <v>3.8017692613792953E-2</v>
      </c>
      <c r="F10" s="401">
        <v>1.5</v>
      </c>
      <c r="G10" s="401">
        <v>1112.5999999999999</v>
      </c>
      <c r="H10" s="401">
        <v>0.5</v>
      </c>
      <c r="I10" s="401">
        <v>0.97784810126582278</v>
      </c>
      <c r="J10" s="401">
        <v>0.6</v>
      </c>
      <c r="K10" s="402">
        <f>E10*$N$8+H10*$N$10+I10*$N$11+J10*$N$12</f>
        <v>0.12457580626041727</v>
      </c>
      <c r="M10" s="83" t="s">
        <v>493</v>
      </c>
      <c r="N10" s="261">
        <v>7.1779598810790143E-2</v>
      </c>
      <c r="O10" s="83" t="s">
        <v>493</v>
      </c>
      <c r="P10" s="261">
        <v>9.0102412076106198E-2</v>
      </c>
      <c r="T10">
        <v>0.5</v>
      </c>
      <c r="U10">
        <v>4.0999999999999996</v>
      </c>
    </row>
    <row r="11" spans="2:21">
      <c r="B11" s="400">
        <v>26</v>
      </c>
      <c r="C11" s="400" t="s">
        <v>304</v>
      </c>
      <c r="D11" s="400" t="s">
        <v>4</v>
      </c>
      <c r="E11" s="401">
        <v>3.68443070392932E-2</v>
      </c>
      <c r="F11" s="401">
        <v>1.5</v>
      </c>
      <c r="G11" s="401">
        <v>1112.5999999999999</v>
      </c>
      <c r="H11" s="401">
        <v>0.4</v>
      </c>
      <c r="I11" s="401">
        <v>0.99849170437405732</v>
      </c>
      <c r="J11" s="401">
        <v>0.9</v>
      </c>
      <c r="K11" s="402">
        <f>E11*$N$8+H11*$N$10+I11*$N$11+J11*$N$12</f>
        <v>0.1295926402677208</v>
      </c>
      <c r="M11" s="83" t="s">
        <v>494</v>
      </c>
      <c r="N11" s="261">
        <v>3.1819618492033665E-2</v>
      </c>
      <c r="O11" s="83" t="s">
        <v>494</v>
      </c>
      <c r="P11" s="261">
        <v>3.0663830300672726E-2</v>
      </c>
      <c r="T11">
        <v>0.7</v>
      </c>
      <c r="U11">
        <v>4.2</v>
      </c>
    </row>
    <row r="12" spans="2:21">
      <c r="B12" s="400">
        <v>26</v>
      </c>
      <c r="C12" s="400" t="s">
        <v>280</v>
      </c>
      <c r="D12" s="400" t="s">
        <v>4</v>
      </c>
      <c r="E12" s="401">
        <v>3.68443070392932E-2</v>
      </c>
      <c r="F12" s="401">
        <v>1.5</v>
      </c>
      <c r="G12" s="401">
        <v>1112.5999999999999</v>
      </c>
      <c r="H12" s="401">
        <v>0.4</v>
      </c>
      <c r="I12" s="401">
        <v>0.99849170437405732</v>
      </c>
      <c r="J12" s="401">
        <v>0.9</v>
      </c>
      <c r="K12" s="402">
        <f>E12*$N$8+H12*$N$10+I12*$N$11+J12*$N$12</f>
        <v>0.1295926402677208</v>
      </c>
      <c r="M12" s="84" t="s">
        <v>495</v>
      </c>
      <c r="N12" s="262">
        <v>4.1802319406641114E-2</v>
      </c>
      <c r="O12" s="84" t="s">
        <v>495</v>
      </c>
      <c r="P12" s="262">
        <v>3.6209312736379208E-2</v>
      </c>
      <c r="T12">
        <v>0.7</v>
      </c>
      <c r="U12">
        <v>5.0999999999999996</v>
      </c>
    </row>
    <row r="13" spans="2:21">
      <c r="B13" s="400">
        <v>26</v>
      </c>
      <c r="C13" s="400" t="s">
        <v>308</v>
      </c>
      <c r="D13" s="400" t="s">
        <v>4</v>
      </c>
      <c r="E13" s="401">
        <v>3.68443070392932E-2</v>
      </c>
      <c r="F13" s="401">
        <v>1.5</v>
      </c>
      <c r="G13" s="401">
        <v>1112.5999999999999</v>
      </c>
      <c r="H13" s="401">
        <v>0.4</v>
      </c>
      <c r="I13" s="401">
        <v>0.99849170437405732</v>
      </c>
      <c r="J13" s="401">
        <v>0.9</v>
      </c>
      <c r="K13" s="402">
        <f>E13*$N$8+H13*$N$10+I13*$N$11+J13*$N$12</f>
        <v>0.1295926402677208</v>
      </c>
      <c r="T13">
        <v>0.7</v>
      </c>
      <c r="U13">
        <v>5.2</v>
      </c>
    </row>
    <row r="14" spans="2:21">
      <c r="B14" s="400">
        <v>29</v>
      </c>
      <c r="C14" s="400" t="s">
        <v>298</v>
      </c>
      <c r="D14" s="400" t="s">
        <v>4</v>
      </c>
      <c r="E14" s="401">
        <v>3.68443070392932E-2</v>
      </c>
      <c r="F14" s="401">
        <v>1.5</v>
      </c>
      <c r="G14" s="401">
        <v>1112.5999999999999</v>
      </c>
      <c r="H14" s="401">
        <v>0.55555555555555558</v>
      </c>
      <c r="I14" s="401">
        <v>0.99333777481678875</v>
      </c>
      <c r="J14" s="401">
        <v>0.7</v>
      </c>
      <c r="K14" s="402">
        <f>E14*$N$8+H14*$N$10+I14*$N$11+J14*$N$12</f>
        <v>0.13223389568471283</v>
      </c>
      <c r="M14" s="189" t="s">
        <v>482</v>
      </c>
      <c r="N14" s="196">
        <f>SUM(N8,N10,N11,N12)</f>
        <v>1.0000000000000044</v>
      </c>
      <c r="O14" s="189" t="s">
        <v>482</v>
      </c>
      <c r="P14" s="196">
        <f>SUM(P8:P12)</f>
        <v>0.9999990024469787</v>
      </c>
    </row>
    <row r="15" spans="2:21">
      <c r="B15" s="400">
        <v>29</v>
      </c>
      <c r="C15" s="400" t="s">
        <v>272</v>
      </c>
      <c r="D15" s="400" t="s">
        <v>4</v>
      </c>
      <c r="E15" s="401">
        <v>3.68443070392932E-2</v>
      </c>
      <c r="F15" s="401">
        <v>1.5</v>
      </c>
      <c r="G15" s="401">
        <v>1112.5999999999999</v>
      </c>
      <c r="H15" s="401">
        <v>0.55555555555555558</v>
      </c>
      <c r="I15" s="401">
        <v>0.99333777481678875</v>
      </c>
      <c r="J15" s="401">
        <v>0.7</v>
      </c>
      <c r="K15" s="402">
        <f>E15*$N$8+H15*$N$10+I15*$N$11+J15*$N$12</f>
        <v>0.13223389568471283</v>
      </c>
    </row>
    <row r="16" spans="2:21">
      <c r="B16" s="400">
        <v>29</v>
      </c>
      <c r="C16" s="400" t="s">
        <v>301</v>
      </c>
      <c r="D16" s="400" t="s">
        <v>4</v>
      </c>
      <c r="E16" s="401">
        <v>3.68443070392932E-2</v>
      </c>
      <c r="F16" s="401">
        <v>1.5</v>
      </c>
      <c r="G16" s="401">
        <v>1112.5999999999999</v>
      </c>
      <c r="H16" s="401">
        <v>0.55555555555555558</v>
      </c>
      <c r="I16" s="401">
        <v>0.99333777481678875</v>
      </c>
      <c r="J16" s="401">
        <v>0.7</v>
      </c>
      <c r="K16" s="402">
        <f>E16*$N$8+H16*$N$10+I16*$N$11+J16*$N$12</f>
        <v>0.13223389568471283</v>
      </c>
      <c r="M16" s="426" t="s">
        <v>490</v>
      </c>
      <c r="N16" s="427"/>
      <c r="O16" s="427"/>
      <c r="P16" s="428"/>
    </row>
    <row r="17" spans="2:21">
      <c r="B17" s="400">
        <v>32</v>
      </c>
      <c r="C17" s="400" t="s">
        <v>290</v>
      </c>
      <c r="D17" s="400" t="s">
        <v>4</v>
      </c>
      <c r="E17" s="401">
        <v>3.8017692613792953E-2</v>
      </c>
      <c r="F17" s="401">
        <v>1.5</v>
      </c>
      <c r="G17" s="401">
        <v>1112.5999999999999</v>
      </c>
      <c r="H17" s="401">
        <v>0.5</v>
      </c>
      <c r="I17" s="401">
        <v>0.99597382989431305</v>
      </c>
      <c r="J17" s="401">
        <v>0.8</v>
      </c>
      <c r="K17" s="402">
        <f>E17*$N$8+H17*$N$10+I17*$N$11+J17*$N$12</f>
        <v>0.1335130239115942</v>
      </c>
      <c r="M17" s="268" t="s">
        <v>472</v>
      </c>
      <c r="N17" s="269" t="s">
        <v>250</v>
      </c>
      <c r="O17" s="269" t="s">
        <v>473</v>
      </c>
      <c r="P17" s="271" t="s">
        <v>410</v>
      </c>
    </row>
    <row r="18" spans="2:21">
      <c r="B18" s="400">
        <v>33</v>
      </c>
      <c r="C18" s="400" t="s">
        <v>306</v>
      </c>
      <c r="D18" s="400" t="s">
        <v>4</v>
      </c>
      <c r="E18" s="401">
        <v>3.68443070392932E-2</v>
      </c>
      <c r="F18" s="401">
        <v>1.5</v>
      </c>
      <c r="G18" s="401">
        <v>1112.5999999999999</v>
      </c>
      <c r="H18" s="401">
        <v>0.5</v>
      </c>
      <c r="I18" s="401">
        <v>0.99882228241667648</v>
      </c>
      <c r="J18" s="401">
        <v>0.9</v>
      </c>
      <c r="K18" s="402">
        <f>E18*$N$8+H18*$N$10+I18*$N$11+J18*$N$12</f>
        <v>0.13678111901599782</v>
      </c>
      <c r="M18" s="292">
        <v>1</v>
      </c>
      <c r="N18" s="276" t="s">
        <v>261</v>
      </c>
      <c r="O18" s="276" t="s">
        <v>0</v>
      </c>
      <c r="P18" s="293">
        <v>0.10232946762468062</v>
      </c>
    </row>
    <row r="19" spans="2:21">
      <c r="B19" s="400">
        <v>33</v>
      </c>
      <c r="C19" s="400" t="s">
        <v>282</v>
      </c>
      <c r="D19" s="400" t="s">
        <v>4</v>
      </c>
      <c r="E19" s="401">
        <v>3.68443070392932E-2</v>
      </c>
      <c r="F19" s="401">
        <v>1.5</v>
      </c>
      <c r="G19" s="401">
        <v>1112.5999999999999</v>
      </c>
      <c r="H19" s="401">
        <v>0.5</v>
      </c>
      <c r="I19" s="401">
        <v>0.99882228241667648</v>
      </c>
      <c r="J19" s="401">
        <v>0.9</v>
      </c>
      <c r="K19" s="402">
        <f>E19*$N$8+H19*$N$10+I19*$N$11+J19*$N$12</f>
        <v>0.13678111901599782</v>
      </c>
      <c r="M19" s="298">
        <v>2</v>
      </c>
      <c r="N19" s="282" t="s">
        <v>257</v>
      </c>
      <c r="O19" s="282" t="s">
        <v>0</v>
      </c>
      <c r="P19" s="325">
        <v>0.1075720905399897</v>
      </c>
    </row>
    <row r="20" spans="2:21">
      <c r="B20" s="400">
        <v>33</v>
      </c>
      <c r="C20" s="400" t="s">
        <v>310</v>
      </c>
      <c r="D20" s="400" t="s">
        <v>4</v>
      </c>
      <c r="E20" s="401">
        <v>3.68443070392932E-2</v>
      </c>
      <c r="F20" s="401">
        <v>1.5</v>
      </c>
      <c r="G20" s="401">
        <v>1112.5999999999999</v>
      </c>
      <c r="H20" s="401">
        <v>0.5</v>
      </c>
      <c r="I20" s="401">
        <v>0.99882228241667648</v>
      </c>
      <c r="J20" s="401">
        <v>0.9</v>
      </c>
      <c r="K20" s="402">
        <f>E20*$N$8+H20*$N$10+I20*$N$11+J20*$N$12</f>
        <v>0.13678111901599782</v>
      </c>
      <c r="M20" s="300">
        <v>3</v>
      </c>
      <c r="N20" s="285" t="s">
        <v>264</v>
      </c>
      <c r="O20" s="285" t="s">
        <v>0</v>
      </c>
      <c r="P20" s="324">
        <v>0.11705369318629602</v>
      </c>
    </row>
    <row r="21" spans="2:21">
      <c r="B21" s="400">
        <v>40</v>
      </c>
      <c r="C21" s="400" t="s">
        <v>294</v>
      </c>
      <c r="D21" s="400" t="s">
        <v>4</v>
      </c>
      <c r="E21" s="401">
        <v>3.8017692613792953E-2</v>
      </c>
      <c r="F21" s="401">
        <v>1.5</v>
      </c>
      <c r="G21" s="401">
        <v>1112.5999999999999</v>
      </c>
      <c r="H21" s="401">
        <v>0.625</v>
      </c>
      <c r="I21" s="401">
        <v>0.99333777481678875</v>
      </c>
      <c r="J21" s="401">
        <v>0.8</v>
      </c>
      <c r="K21" s="402">
        <f>E21*$N$8+H21*$N$10+I21*$N$11+J21*$N$12</f>
        <v>0.14240159549605216</v>
      </c>
      <c r="M21" s="292">
        <v>4</v>
      </c>
      <c r="N21" s="276" t="s">
        <v>257</v>
      </c>
      <c r="O21" s="276" t="s">
        <v>4</v>
      </c>
      <c r="P21" s="293">
        <v>0.11738578540544134</v>
      </c>
    </row>
    <row r="22" spans="2:21">
      <c r="M22" s="272">
        <v>5</v>
      </c>
      <c r="N22" s="264" t="s">
        <v>290</v>
      </c>
      <c r="O22" s="264" t="s">
        <v>0</v>
      </c>
      <c r="P22" s="326">
        <v>0.11742700052737666</v>
      </c>
    </row>
    <row r="23" spans="2:21">
      <c r="B23" s="393"/>
      <c r="C23" s="393" t="s">
        <v>250</v>
      </c>
      <c r="D23" s="393" t="s">
        <v>473</v>
      </c>
      <c r="E23" s="394" t="s">
        <v>405</v>
      </c>
      <c r="F23" s="395" t="s">
        <v>474</v>
      </c>
      <c r="G23" s="395" t="s">
        <v>407</v>
      </c>
      <c r="H23" s="394" t="s">
        <v>409</v>
      </c>
      <c r="I23" s="396" t="s">
        <v>426</v>
      </c>
      <c r="J23" s="397" t="s">
        <v>489</v>
      </c>
      <c r="K23" s="393" t="s">
        <v>410</v>
      </c>
      <c r="M23" s="294">
        <v>6</v>
      </c>
      <c r="N23" s="279" t="s">
        <v>274</v>
      </c>
      <c r="O23" s="279" t="s">
        <v>0</v>
      </c>
      <c r="P23" s="295">
        <v>0.11761427277338429</v>
      </c>
    </row>
    <row r="24" spans="2:21">
      <c r="B24" s="272">
        <v>5</v>
      </c>
      <c r="C24" s="264" t="s">
        <v>257</v>
      </c>
      <c r="D24" s="264" t="s">
        <v>4</v>
      </c>
      <c r="E24" s="186">
        <f t="shared" ref="E24:E41" si="0">E3*$N$8</f>
        <v>3.0353518123341906E-2</v>
      </c>
      <c r="F24" s="216"/>
      <c r="G24" s="216"/>
      <c r="H24" s="186">
        <f t="shared" ref="H24:H41" si="1">H3*$N$10</f>
        <v>1.196326646846502E-2</v>
      </c>
      <c r="I24" s="186">
        <f t="shared" ref="I24:I41" si="2">I3*$N$11</f>
        <v>3.1114753525437983E-2</v>
      </c>
      <c r="J24" s="186">
        <f t="shared" ref="J24:J41" si="3">J3*$N$12</f>
        <v>2.5081391643984669E-2</v>
      </c>
      <c r="K24" s="255">
        <f t="shared" ref="K24:K41" si="4">E24*$N$8+H24*$N$10+I24*$N$11+J24*$N$12</f>
        <v>2.8837308342560534E-2</v>
      </c>
      <c r="M24" s="300">
        <v>7</v>
      </c>
      <c r="N24" s="285" t="s">
        <v>268</v>
      </c>
      <c r="O24" s="285" t="s">
        <v>0</v>
      </c>
      <c r="P24" s="324">
        <v>0.12241268430092533</v>
      </c>
    </row>
    <row r="25" spans="2:21">
      <c r="B25" s="272">
        <v>17</v>
      </c>
      <c r="C25" s="264" t="s">
        <v>274</v>
      </c>
      <c r="D25" s="264" t="s">
        <v>4</v>
      </c>
      <c r="E25" s="187">
        <f t="shared" si="0"/>
        <v>3.1487088176784778E-2</v>
      </c>
      <c r="F25" s="218"/>
      <c r="G25" s="218"/>
      <c r="H25" s="2">
        <f t="shared" si="1"/>
        <v>1.7944899702697536E-2</v>
      </c>
      <c r="I25" s="259">
        <f t="shared" si="2"/>
        <v>3.1687636665709243E-2</v>
      </c>
      <c r="J25" s="259">
        <f t="shared" si="3"/>
        <v>2.9261623584648778E-2</v>
      </c>
      <c r="K25" s="256">
        <f t="shared" si="4"/>
        <v>3.0428387115792922E-2</v>
      </c>
      <c r="M25" s="272">
        <v>8</v>
      </c>
      <c r="N25" s="264" t="s">
        <v>286</v>
      </c>
      <c r="O25" s="264" t="s">
        <v>0</v>
      </c>
      <c r="P25" s="326">
        <v>0.12285745346201503</v>
      </c>
    </row>
    <row r="26" spans="2:21">
      <c r="B26" s="272">
        <v>21</v>
      </c>
      <c r="C26" s="264" t="s">
        <v>261</v>
      </c>
      <c r="D26" s="264" t="s">
        <v>4</v>
      </c>
      <c r="E26" s="188">
        <f t="shared" si="0"/>
        <v>3.2489861685599551E-2</v>
      </c>
      <c r="F26" s="220"/>
      <c r="G26" s="220"/>
      <c r="H26" s="136">
        <f t="shared" si="1"/>
        <v>2.3926532936930051E-2</v>
      </c>
      <c r="I26" s="147">
        <f t="shared" si="2"/>
        <v>3.1393648762849918E-2</v>
      </c>
      <c r="J26" s="147">
        <f t="shared" si="3"/>
        <v>2.5081391643984669E-2</v>
      </c>
      <c r="K26" s="257">
        <f t="shared" si="4"/>
        <v>3.1530617075553248E-2</v>
      </c>
      <c r="M26" s="272">
        <v>9</v>
      </c>
      <c r="N26" s="264" t="s">
        <v>280</v>
      </c>
      <c r="O26" s="264" t="s">
        <v>0</v>
      </c>
      <c r="P26" s="326">
        <v>0.12491744976635274</v>
      </c>
    </row>
    <row r="27" spans="2:21">
      <c r="B27" s="272">
        <v>22</v>
      </c>
      <c r="C27" s="264" t="s">
        <v>268</v>
      </c>
      <c r="D27" s="264" t="s">
        <v>4</v>
      </c>
      <c r="E27" s="186">
        <f t="shared" si="0"/>
        <v>3.1487088176784778E-2</v>
      </c>
      <c r="F27" s="216"/>
      <c r="G27" s="216"/>
      <c r="H27" s="186">
        <f t="shared" si="1"/>
        <v>3.076268520462435E-2</v>
      </c>
      <c r="I27" s="258">
        <f t="shared" si="2"/>
        <v>3.1114753525437983E-2</v>
      </c>
      <c r="J27" s="258">
        <f t="shared" si="3"/>
        <v>2.0901159703320557E-2</v>
      </c>
      <c r="K27" s="255">
        <f t="shared" si="4"/>
        <v>3.0980726912245071E-2</v>
      </c>
      <c r="M27" s="273">
        <v>9</v>
      </c>
      <c r="N27" s="274" t="s">
        <v>308</v>
      </c>
      <c r="O27" s="274" t="s">
        <v>0</v>
      </c>
      <c r="P27" s="327">
        <v>0.12491744976635274</v>
      </c>
    </row>
    <row r="28" spans="2:21">
      <c r="B28" s="272">
        <v>23</v>
      </c>
      <c r="C28" s="264" t="s">
        <v>276</v>
      </c>
      <c r="D28" s="264" t="s">
        <v>4</v>
      </c>
      <c r="E28" s="187">
        <f t="shared" si="0"/>
        <v>3.2620658230227556E-2</v>
      </c>
      <c r="F28" s="218"/>
      <c r="G28" s="218"/>
      <c r="H28" s="187">
        <f t="shared" si="1"/>
        <v>1.4355919762158029E-2</v>
      </c>
      <c r="I28" s="259">
        <f t="shared" si="2"/>
        <v>3.1771625100642964E-2</v>
      </c>
      <c r="J28" s="259">
        <f t="shared" si="3"/>
        <v>3.7622087465977005E-2</v>
      </c>
      <c r="K28" s="256">
        <f t="shared" si="4"/>
        <v>3.1491678062737699E-2</v>
      </c>
      <c r="M28" s="383"/>
      <c r="N28" s="384"/>
      <c r="O28" s="384"/>
      <c r="P28" s="385"/>
    </row>
    <row r="29" spans="2:21">
      <c r="B29" s="272">
        <v>24</v>
      </c>
      <c r="C29" s="264" t="s">
        <v>286</v>
      </c>
      <c r="D29" s="264" t="s">
        <v>4</v>
      </c>
      <c r="E29" s="188">
        <f t="shared" si="0"/>
        <v>3.1487088176784778E-2</v>
      </c>
      <c r="F29" s="220"/>
      <c r="G29" s="220"/>
      <c r="H29" s="188">
        <f t="shared" si="1"/>
        <v>2.6917349554046302E-2</v>
      </c>
      <c r="I29" s="147">
        <f t="shared" si="2"/>
        <v>3.1695015699092888E-2</v>
      </c>
      <c r="J29" s="147">
        <f t="shared" si="3"/>
        <v>2.9261623584648778E-2</v>
      </c>
      <c r="K29" s="257">
        <f t="shared" si="4"/>
        <v>3.1072660764499778E-2</v>
      </c>
      <c r="M29" s="426" t="s">
        <v>496</v>
      </c>
      <c r="N29" s="427"/>
      <c r="O29" s="427"/>
      <c r="P29" s="428"/>
    </row>
    <row r="30" spans="2:21">
      <c r="B30" s="272">
        <v>25</v>
      </c>
      <c r="C30" s="264" t="s">
        <v>264</v>
      </c>
      <c r="D30" s="264" t="s">
        <v>4</v>
      </c>
      <c r="E30" s="186">
        <f t="shared" si="0"/>
        <v>3.0353518123341906E-2</v>
      </c>
      <c r="F30" s="216"/>
      <c r="G30" s="216"/>
      <c r="H30" s="186">
        <f t="shared" si="1"/>
        <v>2.6917349554046302E-2</v>
      </c>
      <c r="I30" s="258">
        <f t="shared" si="2"/>
        <v>3.1607629028395867E-2</v>
      </c>
      <c r="J30" s="258">
        <f t="shared" si="3"/>
        <v>3.344185552531289E-2</v>
      </c>
      <c r="K30" s="255">
        <f t="shared" si="4"/>
        <v>3.0275876319049939E-2</v>
      </c>
      <c r="M30" s="268" t="s">
        <v>472</v>
      </c>
      <c r="N30" s="269" t="s">
        <v>250</v>
      </c>
      <c r="O30" s="269" t="s">
        <v>473</v>
      </c>
      <c r="P30" s="271" t="s">
        <v>410</v>
      </c>
    </row>
    <row r="31" spans="2:21">
      <c r="B31" s="272">
        <v>26</v>
      </c>
      <c r="C31" s="264" t="s">
        <v>304</v>
      </c>
      <c r="D31" s="264" t="s">
        <v>4</v>
      </c>
      <c r="E31" s="187">
        <f t="shared" si="0"/>
        <v>3.2489861685599551E-2</v>
      </c>
      <c r="F31" s="218"/>
      <c r="G31" s="218"/>
      <c r="H31" s="187">
        <f t="shared" si="1"/>
        <v>3.5889799405395072E-2</v>
      </c>
      <c r="I31" s="259">
        <f t="shared" si="2"/>
        <v>3.1114753525437983E-2</v>
      </c>
      <c r="J31" s="259">
        <f t="shared" si="3"/>
        <v>2.5081391643984669E-2</v>
      </c>
      <c r="K31" s="256">
        <f t="shared" si="4"/>
        <v>3.2380461203072558E-2</v>
      </c>
      <c r="M31" s="292">
        <v>1</v>
      </c>
      <c r="N31" s="276" t="s">
        <v>257</v>
      </c>
      <c r="O31" s="276" t="s">
        <v>0</v>
      </c>
      <c r="P31" s="293">
        <v>0.10893816876963251</v>
      </c>
      <c r="T31">
        <v>0.7</v>
      </c>
      <c r="U31">
        <v>7.1</v>
      </c>
    </row>
    <row r="32" spans="2:21">
      <c r="B32" s="272">
        <v>26</v>
      </c>
      <c r="C32" s="264" t="s">
        <v>280</v>
      </c>
      <c r="D32" s="264" t="s">
        <v>4</v>
      </c>
      <c r="E32" s="188">
        <f t="shared" si="0"/>
        <v>3.1487088176784778E-2</v>
      </c>
      <c r="F32" s="220"/>
      <c r="G32" s="220"/>
      <c r="H32" s="188">
        <f t="shared" si="1"/>
        <v>2.8711839524316059E-2</v>
      </c>
      <c r="I32" s="147">
        <f t="shared" si="2"/>
        <v>3.1771625100642964E-2</v>
      </c>
      <c r="J32" s="147">
        <f t="shared" si="3"/>
        <v>3.7622087465977005E-2</v>
      </c>
      <c r="K32" s="257">
        <f t="shared" si="4"/>
        <v>3.1553392998120926E-2</v>
      </c>
      <c r="M32" s="298">
        <v>2</v>
      </c>
      <c r="N32" s="282" t="s">
        <v>261</v>
      </c>
      <c r="O32" s="282" t="s">
        <v>0</v>
      </c>
      <c r="P32" s="325">
        <v>0.11119032831087863</v>
      </c>
      <c r="T32">
        <v>0.9</v>
      </c>
      <c r="U32">
        <v>7.2</v>
      </c>
    </row>
    <row r="33" spans="2:21">
      <c r="B33" s="272">
        <v>26</v>
      </c>
      <c r="C33" s="264" t="s">
        <v>308</v>
      </c>
      <c r="D33" s="264" t="s">
        <v>4</v>
      </c>
      <c r="E33" s="186">
        <f t="shared" si="0"/>
        <v>3.1487088176784778E-2</v>
      </c>
      <c r="F33" s="216"/>
      <c r="G33" s="216"/>
      <c r="H33" s="186">
        <f t="shared" si="1"/>
        <v>2.8711839524316059E-2</v>
      </c>
      <c r="I33" s="258">
        <f t="shared" si="2"/>
        <v>3.1771625100642964E-2</v>
      </c>
      <c r="J33" s="258">
        <f t="shared" si="3"/>
        <v>3.7622087465977005E-2</v>
      </c>
      <c r="K33" s="255">
        <f t="shared" si="4"/>
        <v>3.1553392998120926E-2</v>
      </c>
      <c r="M33" s="294">
        <v>3</v>
      </c>
      <c r="N33" s="279" t="s">
        <v>274</v>
      </c>
      <c r="O33" s="279" t="s">
        <v>0</v>
      </c>
      <c r="P33" s="295">
        <v>0.11548795623961217</v>
      </c>
      <c r="T33">
        <v>0.7</v>
      </c>
      <c r="U33">
        <v>9.1</v>
      </c>
    </row>
    <row r="34" spans="2:21">
      <c r="B34" s="272">
        <v>29</v>
      </c>
      <c r="C34" s="264" t="s">
        <v>298</v>
      </c>
      <c r="D34" s="264" t="s">
        <v>4</v>
      </c>
      <c r="E34" s="187">
        <f t="shared" si="0"/>
        <v>3.1487088176784778E-2</v>
      </c>
      <c r="F34" s="218"/>
      <c r="G34" s="218"/>
      <c r="H34" s="187">
        <f t="shared" si="1"/>
        <v>2.8711839524316059E-2</v>
      </c>
      <c r="I34" s="259">
        <f t="shared" si="2"/>
        <v>3.1771625100642964E-2</v>
      </c>
      <c r="J34" s="259">
        <f t="shared" si="3"/>
        <v>3.7622087465977005E-2</v>
      </c>
      <c r="K34" s="256">
        <f t="shared" si="4"/>
        <v>3.1553392998120926E-2</v>
      </c>
      <c r="M34" s="272">
        <v>4</v>
      </c>
      <c r="N34" s="264" t="s">
        <v>286</v>
      </c>
      <c r="O34" s="264" t="s">
        <v>0</v>
      </c>
      <c r="P34" s="326">
        <v>0.1172515460787287</v>
      </c>
      <c r="T34">
        <v>0.9</v>
      </c>
      <c r="U34">
        <v>9.1999999999999993</v>
      </c>
    </row>
    <row r="35" spans="2:21">
      <c r="B35" s="272">
        <v>29</v>
      </c>
      <c r="C35" s="264" t="s">
        <v>272</v>
      </c>
      <c r="D35" s="264" t="s">
        <v>4</v>
      </c>
      <c r="E35" s="188">
        <f t="shared" si="0"/>
        <v>3.1487088176784778E-2</v>
      </c>
      <c r="F35" s="220"/>
      <c r="G35" s="220"/>
      <c r="H35" s="188">
        <f t="shared" si="1"/>
        <v>3.9877554894883413E-2</v>
      </c>
      <c r="I35" s="147">
        <f t="shared" si="2"/>
        <v>3.1607629028395867E-2</v>
      </c>
      <c r="J35" s="147">
        <f t="shared" si="3"/>
        <v>2.9261623584648778E-2</v>
      </c>
      <c r="K35" s="257">
        <f t="shared" si="4"/>
        <v>3.2000158493847658E-2</v>
      </c>
      <c r="M35" s="292">
        <v>5</v>
      </c>
      <c r="N35" s="276" t="s">
        <v>257</v>
      </c>
      <c r="O35" s="276" t="s">
        <v>4</v>
      </c>
      <c r="P35" s="293">
        <v>0.11872510169076032</v>
      </c>
      <c r="T35">
        <v>0.9</v>
      </c>
      <c r="U35">
        <v>10.1</v>
      </c>
    </row>
    <row r="36" spans="2:21">
      <c r="B36" s="272">
        <v>29</v>
      </c>
      <c r="C36" s="264" t="s">
        <v>301</v>
      </c>
      <c r="D36" s="264" t="s">
        <v>4</v>
      </c>
      <c r="E36" s="186">
        <f t="shared" si="0"/>
        <v>3.1487088176784778E-2</v>
      </c>
      <c r="F36" s="216"/>
      <c r="G36" s="216"/>
      <c r="H36" s="186">
        <f t="shared" si="1"/>
        <v>3.9877554894883413E-2</v>
      </c>
      <c r="I36" s="258">
        <f t="shared" si="2"/>
        <v>3.1607629028395867E-2</v>
      </c>
      <c r="J36" s="258">
        <f t="shared" si="3"/>
        <v>2.9261623584648778E-2</v>
      </c>
      <c r="K36" s="255">
        <f t="shared" si="4"/>
        <v>3.2000158493847658E-2</v>
      </c>
      <c r="M36" s="272">
        <v>6</v>
      </c>
      <c r="N36" s="264" t="s">
        <v>290</v>
      </c>
      <c r="O36" s="264" t="s">
        <v>0</v>
      </c>
      <c r="P36" s="326">
        <v>0.11931626690962929</v>
      </c>
      <c r="T36">
        <v>0.9</v>
      </c>
      <c r="U36">
        <v>10.199999999999999</v>
      </c>
    </row>
    <row r="37" spans="2:21">
      <c r="B37" s="272">
        <v>32</v>
      </c>
      <c r="C37" s="264" t="s">
        <v>290</v>
      </c>
      <c r="D37" s="264" t="s">
        <v>4</v>
      </c>
      <c r="E37" s="187">
        <f t="shared" si="0"/>
        <v>3.1487088176784778E-2</v>
      </c>
      <c r="F37" s="218"/>
      <c r="G37" s="218"/>
      <c r="H37" s="187">
        <f t="shared" si="1"/>
        <v>3.9877554894883413E-2</v>
      </c>
      <c r="I37" s="259">
        <f t="shared" si="2"/>
        <v>3.1607629028395867E-2</v>
      </c>
      <c r="J37" s="259">
        <f t="shared" si="3"/>
        <v>2.9261623584648778E-2</v>
      </c>
      <c r="K37" s="256">
        <f t="shared" si="4"/>
        <v>3.2000158493847658E-2</v>
      </c>
      <c r="M37" s="300">
        <v>7</v>
      </c>
      <c r="N37" s="285" t="s">
        <v>268</v>
      </c>
      <c r="O37" s="285" t="s">
        <v>0</v>
      </c>
      <c r="P37" s="324">
        <v>0.11972320122758014</v>
      </c>
      <c r="T37">
        <v>0.9</v>
      </c>
      <c r="U37">
        <v>12.1</v>
      </c>
    </row>
    <row r="38" spans="2:21">
      <c r="B38" s="272">
        <v>33</v>
      </c>
      <c r="C38" s="264" t="s">
        <v>306</v>
      </c>
      <c r="D38" s="264" t="s">
        <v>4</v>
      </c>
      <c r="E38" s="188">
        <f t="shared" si="0"/>
        <v>3.2489861685599551E-2</v>
      </c>
      <c r="F38" s="220"/>
      <c r="G38" s="220"/>
      <c r="H38" s="188">
        <f t="shared" si="1"/>
        <v>3.5889799405395072E-2</v>
      </c>
      <c r="I38" s="147">
        <f t="shared" si="2"/>
        <v>3.1691507295286678E-2</v>
      </c>
      <c r="J38" s="147">
        <f t="shared" si="3"/>
        <v>3.344185552531289E-2</v>
      </c>
      <c r="K38" s="257">
        <f t="shared" si="4"/>
        <v>3.2748300069547952E-2</v>
      </c>
      <c r="M38" s="272">
        <v>8</v>
      </c>
      <c r="N38" s="264" t="s">
        <v>304</v>
      </c>
      <c r="O38" s="264" t="s">
        <v>0</v>
      </c>
      <c r="P38" s="326">
        <v>0.12332103513459712</v>
      </c>
      <c r="T38">
        <v>0.9</v>
      </c>
      <c r="U38">
        <v>12.2</v>
      </c>
    </row>
    <row r="39" spans="2:21">
      <c r="B39" s="272">
        <v>33</v>
      </c>
      <c r="C39" s="264" t="s">
        <v>282</v>
      </c>
      <c r="D39" s="264" t="s">
        <v>4</v>
      </c>
      <c r="E39" s="186">
        <f t="shared" si="0"/>
        <v>3.1487088176784778E-2</v>
      </c>
      <c r="F39" s="216"/>
      <c r="G39" s="216"/>
      <c r="H39" s="186">
        <f t="shared" si="1"/>
        <v>3.5889799405395072E-2</v>
      </c>
      <c r="I39" s="258">
        <f t="shared" si="2"/>
        <v>3.1782143967840952E-2</v>
      </c>
      <c r="J39" s="258">
        <f t="shared" si="3"/>
        <v>3.7622087465977005E-2</v>
      </c>
      <c r="K39" s="255">
        <f t="shared" si="4"/>
        <v>3.206895878500593E-2</v>
      </c>
      <c r="M39" s="272">
        <v>8</v>
      </c>
      <c r="N39" s="264" t="s">
        <v>280</v>
      </c>
      <c r="O39" s="264" t="s">
        <v>0</v>
      </c>
      <c r="P39" s="326">
        <v>0.12332103513459712</v>
      </c>
    </row>
    <row r="40" spans="2:21">
      <c r="B40" s="272">
        <v>33</v>
      </c>
      <c r="C40" s="264" t="s">
        <v>310</v>
      </c>
      <c r="D40" s="264" t="s">
        <v>4</v>
      </c>
      <c r="E40" s="187">
        <f t="shared" si="0"/>
        <v>3.1487088176784778E-2</v>
      </c>
      <c r="F40" s="218"/>
      <c r="G40" s="218"/>
      <c r="H40" s="187">
        <f t="shared" si="1"/>
        <v>3.5889799405395072E-2</v>
      </c>
      <c r="I40" s="259">
        <f t="shared" si="2"/>
        <v>3.1782143967840952E-2</v>
      </c>
      <c r="J40" s="259">
        <f t="shared" si="3"/>
        <v>3.7622087465977005E-2</v>
      </c>
      <c r="K40" s="256">
        <f t="shared" si="4"/>
        <v>3.206895878500593E-2</v>
      </c>
      <c r="M40" s="273">
        <v>8</v>
      </c>
      <c r="N40" s="274" t="s">
        <v>308</v>
      </c>
      <c r="O40" s="274" t="s">
        <v>0</v>
      </c>
      <c r="P40" s="327">
        <v>0.12332103513459712</v>
      </c>
    </row>
    <row r="41" spans="2:21">
      <c r="B41" s="273">
        <v>40</v>
      </c>
      <c r="C41" s="274" t="s">
        <v>294</v>
      </c>
      <c r="D41" s="274" t="s">
        <v>4</v>
      </c>
      <c r="E41" s="188">
        <f t="shared" si="0"/>
        <v>3.1487088176784778E-2</v>
      </c>
      <c r="F41" s="220"/>
      <c r="G41" s="220"/>
      <c r="H41" s="188">
        <f t="shared" si="1"/>
        <v>3.5889799405395072E-2</v>
      </c>
      <c r="I41" s="147">
        <f t="shared" si="2"/>
        <v>3.1782143967840952E-2</v>
      </c>
      <c r="J41" s="147">
        <f t="shared" si="3"/>
        <v>3.7622087465977005E-2</v>
      </c>
      <c r="K41" s="257">
        <f t="shared" si="4"/>
        <v>3.206895878500593E-2</v>
      </c>
    </row>
    <row r="43" spans="2:21">
      <c r="J43" s="73" t="s">
        <v>497</v>
      </c>
      <c r="K43" s="328">
        <f>SUM(K24:K41)</f>
        <v>0.56661354669598318</v>
      </c>
    </row>
    <row r="50" spans="13:14">
      <c r="M50" s="269" t="s">
        <v>250</v>
      </c>
      <c r="N50" s="269" t="s">
        <v>410</v>
      </c>
    </row>
    <row r="51" spans="13:14">
      <c r="M51" s="264" t="s">
        <v>257</v>
      </c>
      <c r="N51" s="267">
        <v>9.8512929761229578E-2</v>
      </c>
    </row>
    <row r="52" spans="13:14">
      <c r="M52" s="264" t="s">
        <v>274</v>
      </c>
      <c r="N52" s="267">
        <v>0.11038124812984033</v>
      </c>
    </row>
    <row r="53" spans="13:14">
      <c r="M53" s="264" t="s">
        <v>261</v>
      </c>
      <c r="N53" s="267">
        <v>0.11289143502936419</v>
      </c>
    </row>
    <row r="54" spans="13:14">
      <c r="M54" s="264" t="s">
        <v>268</v>
      </c>
      <c r="N54" s="267">
        <v>0.11426568661016767</v>
      </c>
    </row>
    <row r="55" spans="13:14">
      <c r="M55" s="264" t="s">
        <v>276</v>
      </c>
      <c r="N55" s="267">
        <v>0.11936107701457274</v>
      </c>
    </row>
    <row r="56" spans="13:14">
      <c r="M56" s="264" t="s">
        <v>286</v>
      </c>
      <c r="N56" s="267">
        <v>0.12232035223109697</v>
      </c>
    </row>
    <row r="57" spans="13:14">
      <c r="M57" s="264" t="s">
        <v>264</v>
      </c>
      <c r="N57" s="267">
        <v>0.12457580626041727</v>
      </c>
    </row>
    <row r="58" spans="13:14">
      <c r="M58" s="264" t="s">
        <v>304</v>
      </c>
      <c r="N58" s="267">
        <v>0.1295926402677208</v>
      </c>
    </row>
    <row r="59" spans="13:14">
      <c r="M59" s="264" t="s">
        <v>280</v>
      </c>
      <c r="N59" s="267">
        <v>0.1295926402677208</v>
      </c>
    </row>
    <row r="60" spans="13:14">
      <c r="M60" s="264" t="s">
        <v>308</v>
      </c>
      <c r="N60" s="267">
        <v>0.1295926402677208</v>
      </c>
    </row>
    <row r="61" spans="13:14">
      <c r="M61" s="264" t="s">
        <v>298</v>
      </c>
      <c r="N61" s="267">
        <v>0.13223389568471283</v>
      </c>
    </row>
    <row r="62" spans="13:14">
      <c r="M62" s="264" t="s">
        <v>272</v>
      </c>
      <c r="N62" s="267">
        <v>0.13223389568471283</v>
      </c>
    </row>
    <row r="63" spans="13:14">
      <c r="M63" s="264" t="s">
        <v>301</v>
      </c>
      <c r="N63" s="267">
        <v>0.13223389568471283</v>
      </c>
    </row>
    <row r="64" spans="13:14">
      <c r="M64" s="264" t="s">
        <v>290</v>
      </c>
      <c r="N64" s="267">
        <v>0.1335130239115942</v>
      </c>
    </row>
    <row r="65" spans="13:14">
      <c r="M65" s="264" t="s">
        <v>306</v>
      </c>
      <c r="N65" s="267">
        <v>0.13678111901599782</v>
      </c>
    </row>
    <row r="66" spans="13:14">
      <c r="M66" s="264" t="s">
        <v>282</v>
      </c>
      <c r="N66" s="267">
        <v>0.13678111901599782</v>
      </c>
    </row>
    <row r="67" spans="13:14">
      <c r="M67" s="264" t="s">
        <v>310</v>
      </c>
      <c r="N67" s="267">
        <v>0.13678111901599782</v>
      </c>
    </row>
    <row r="68" spans="13:14">
      <c r="M68" s="274" t="s">
        <v>294</v>
      </c>
      <c r="N68" s="321">
        <v>0.14240159549605216</v>
      </c>
    </row>
  </sheetData>
  <autoFilter ref="B2:K21" xr:uid="{7662A7D1-6681-4C4B-A92C-01E56AB5425C}">
    <sortState xmlns:xlrd2="http://schemas.microsoft.com/office/spreadsheetml/2017/richdata2" ref="B3:K21">
      <sortCondition ref="K2:K21"/>
    </sortState>
  </autoFilter>
  <mergeCells count="4">
    <mergeCell ref="M7:N7"/>
    <mergeCell ref="O7:P7"/>
    <mergeCell ref="M16:P16"/>
    <mergeCell ref="M29:P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2023-03-08T22:50:38Z</dcterms:created>
  <dcterms:modified xsi:type="dcterms:W3CDTF">2023-06-08T23:36:54Z</dcterms:modified>
  <cp:category/>
  <cp:contentStatus/>
</cp:coreProperties>
</file>