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omments1.xml" ContentType="application/vnd.openxmlformats-officedocument.spreadsheetml.comments+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defaultThemeVersion="166925"/>
  <mc:AlternateContent xmlns:mc="http://schemas.openxmlformats.org/markup-compatibility/2006">
    <mc:Choice Requires="x15">
      <x15ac:absPath xmlns:x15ac="http://schemas.microsoft.com/office/spreadsheetml/2010/11/ac" url="C:\Users\ranic\Documents\MITB\AY2122 Term 1\IS602 Spreadsheets Modelling for Decision Making\Projects\Git\"/>
    </mc:Choice>
  </mc:AlternateContent>
  <xr:revisionPtr revIDLastSave="0" documentId="13_ncr:1_{14C3995D-D6EB-4616-AC5E-54F997F55271}" xr6:coauthVersionLast="47" xr6:coauthVersionMax="47" xr10:uidLastSave="{00000000-0000-0000-0000-000000000000}"/>
  <bookViews>
    <workbookView xWindow="-110" yWindow="-110" windowWidth="22620" windowHeight="13620" tabRatio="826" firstSheet="6" activeTab="13" xr2:uid="{00000000-000D-0000-FFFF-FFFF00000000}"/>
  </bookViews>
  <sheets>
    <sheet name="Raw Data" sheetId="2" state="hidden" r:id="rId1"/>
    <sheet name="Home" sheetId="21" r:id="rId2"/>
    <sheet name="Base Model" sheetId="8" r:id="rId3"/>
    <sheet name="Goods Model" sheetId="6" r:id="rId4"/>
    <sheet name="Services Model" sheetId="4" r:id="rId5"/>
    <sheet name="Household Model" sheetId="5" r:id="rId6"/>
    <sheet name="Sensitivity - Population" sheetId="9" r:id="rId7"/>
    <sheet name="Sensitivity - GDP" sheetId="10" r:id="rId8"/>
    <sheet name="Sensitivity - COVID" sheetId="15" r:id="rId9"/>
    <sheet name="Sensitivity - COVID B" sheetId="17" r:id="rId10"/>
    <sheet name="Solar" sheetId="14" state="hidden" r:id="rId11"/>
    <sheet name="Sensitivity - Aging Power P" sheetId="22" r:id="rId12"/>
    <sheet name="Trade-Off Analysis" sheetId="18" r:id="rId13"/>
    <sheet name="Results (Trade-Off)" sheetId="19" r:id="rId14"/>
    <sheet name="Capacity (Outage and Avail)" sheetId="11" state="hidden" r:id="rId15"/>
  </sheets>
  <definedNames>
    <definedName name="_xlnm._FilterDatabase" localSheetId="11" hidden="1">'Sensitivity - Aging Power P'!$C$14:$K$14</definedName>
    <definedName name="_xlnm.Print_Area" localSheetId="1">Home!$A$1:$K$56</definedName>
    <definedName name="solver_adj" localSheetId="4" hidden="1">'Services Model'!#REF!</definedName>
    <definedName name="solver_adj" localSheetId="12" hidden="1">'Trade-Off Analysis'!$Q$47:$Q$76</definedName>
    <definedName name="solver_cvg" localSheetId="4" hidden="1">0.0001</definedName>
    <definedName name="solver_cvg" localSheetId="12" hidden="1">0.0001</definedName>
    <definedName name="solver_drv" localSheetId="4" hidden="1">1</definedName>
    <definedName name="solver_drv" localSheetId="12" hidden="1">1</definedName>
    <definedName name="solver_eng" localSheetId="4" hidden="1">1</definedName>
    <definedName name="solver_eng" localSheetId="12" hidden="1">1</definedName>
    <definedName name="solver_est" localSheetId="4" hidden="1">1</definedName>
    <definedName name="solver_est" localSheetId="12" hidden="1">1</definedName>
    <definedName name="solver_itr" localSheetId="4" hidden="1">2147483647</definedName>
    <definedName name="solver_itr" localSheetId="12" hidden="1">2147483647</definedName>
    <definedName name="solver_lhs1" localSheetId="12" hidden="1">'Trade-Off Analysis'!$T$47:$T$76</definedName>
    <definedName name="solver_mip" localSheetId="4" hidden="1">2147483647</definedName>
    <definedName name="solver_mip" localSheetId="12" hidden="1">2147483647</definedName>
    <definedName name="solver_mni" localSheetId="4" hidden="1">30</definedName>
    <definedName name="solver_mni" localSheetId="12" hidden="1">30</definedName>
    <definedName name="solver_mrt" localSheetId="4" hidden="1">0.075</definedName>
    <definedName name="solver_mrt" localSheetId="12" hidden="1">0.075</definedName>
    <definedName name="solver_msl" localSheetId="4" hidden="1">2</definedName>
    <definedName name="solver_msl" localSheetId="12" hidden="1">2</definedName>
    <definedName name="solver_neg" localSheetId="4" hidden="1">1</definedName>
    <definedName name="solver_neg" localSheetId="12" hidden="1">1</definedName>
    <definedName name="solver_nod" localSheetId="4" hidden="1">2147483647</definedName>
    <definedName name="solver_nod" localSheetId="12" hidden="1">2147483647</definedName>
    <definedName name="solver_num" localSheetId="4" hidden="1">0</definedName>
    <definedName name="solver_num" localSheetId="12" hidden="1">1</definedName>
    <definedName name="solver_nwt" localSheetId="4" hidden="1">1</definedName>
    <definedName name="solver_nwt" localSheetId="12" hidden="1">1</definedName>
    <definedName name="solver_opt" localSheetId="4" hidden="1">'Services Model'!$H$19</definedName>
    <definedName name="solver_opt" localSheetId="12" hidden="1">'Trade-Off Analysis'!$T$77</definedName>
    <definedName name="solver_pre" localSheetId="4" hidden="1">0.000001</definedName>
    <definedName name="solver_pre" localSheetId="12" hidden="1">0.000001</definedName>
    <definedName name="solver_rbv" localSheetId="4" hidden="1">1</definedName>
    <definedName name="solver_rbv" localSheetId="12" hidden="1">1</definedName>
    <definedName name="solver_rel1" localSheetId="12" hidden="1">3</definedName>
    <definedName name="solver_rhs1" localSheetId="12" hidden="1">0</definedName>
    <definedName name="solver_rlx" localSheetId="4" hidden="1">2</definedName>
    <definedName name="solver_rlx" localSheetId="12" hidden="1">2</definedName>
    <definedName name="solver_rsd" localSheetId="4" hidden="1">0</definedName>
    <definedName name="solver_rsd" localSheetId="12" hidden="1">0</definedName>
    <definedName name="solver_scl" localSheetId="4" hidden="1">1</definedName>
    <definedName name="solver_scl" localSheetId="12" hidden="1">1</definedName>
    <definedName name="solver_sho" localSheetId="4" hidden="1">2</definedName>
    <definedName name="solver_sho" localSheetId="12" hidden="1">2</definedName>
    <definedName name="solver_ssz" localSheetId="4" hidden="1">100</definedName>
    <definedName name="solver_ssz" localSheetId="12" hidden="1">100</definedName>
    <definedName name="solver_tim" localSheetId="4" hidden="1">2147483647</definedName>
    <definedName name="solver_tim" localSheetId="12" hidden="1">2147483647</definedName>
    <definedName name="solver_tol" localSheetId="4" hidden="1">0.01</definedName>
    <definedName name="solver_tol" localSheetId="12" hidden="1">0.01</definedName>
    <definedName name="solver_typ" localSheetId="4" hidden="1">2</definedName>
    <definedName name="solver_typ" localSheetId="12" hidden="1">3</definedName>
    <definedName name="solver_val" localSheetId="4" hidden="1">0</definedName>
    <definedName name="solver_val" localSheetId="12" hidden="1">0</definedName>
    <definedName name="solver_ver" localSheetId="4" hidden="1">3</definedName>
    <definedName name="solver_ver" localSheetId="12" hidden="1">3</definedName>
    <definedName name="Z_39103A44_1E49_4496_859C_88E47B576C89_.wvu.PrintArea" localSheetId="1" hidden="1">Home!$A$1:$K$56</definedName>
    <definedName name="Z_736D4F0F_EA16_4105_8C40_D95DFEE55FC1_.wvu.PrintArea" localSheetId="1" hidden="1">Home!$A$1:$K$56</definedName>
    <definedName name="Z_82AA39B9_CB95_440D_AFFF_09058A90D4EA_.wvu.PrintArea" localSheetId="1" hidden="1">Home!$A$1:$K$56</definedName>
  </definedNames>
  <calcPr calcId="191029"/>
  <pivotCaches>
    <pivotCache cacheId="0" r:id="rId1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7" i="9" l="1"/>
  <c r="I5" i="9"/>
  <c r="CZ89" i="22"/>
  <c r="DA89" i="22" s="1"/>
  <c r="DB89" i="22"/>
  <c r="DC89" i="22" s="1"/>
  <c r="CZ90" i="22"/>
  <c r="DA90" i="22" s="1"/>
  <c r="DB90" i="22"/>
  <c r="DC90" i="22" s="1"/>
  <c r="CZ91" i="22"/>
  <c r="DA91" i="22" s="1"/>
  <c r="DB91" i="22"/>
  <c r="DC91" i="22" s="1"/>
  <c r="CZ92" i="22"/>
  <c r="DA92" i="22"/>
  <c r="DB92" i="22"/>
  <c r="DC92" i="22" s="1"/>
  <c r="CZ93" i="22"/>
  <c r="DA93" i="22" s="1"/>
  <c r="DB93" i="22"/>
  <c r="DC93" i="22" s="1"/>
  <c r="CZ94" i="22"/>
  <c r="DA94" i="22" s="1"/>
  <c r="DB94" i="22"/>
  <c r="DC94" i="22" s="1"/>
  <c r="CZ95" i="22"/>
  <c r="DA95" i="22" s="1"/>
  <c r="DB95" i="22"/>
  <c r="DC95" i="22" s="1"/>
  <c r="CZ96" i="22"/>
  <c r="DA96" i="22" s="1"/>
  <c r="DB96" i="22"/>
  <c r="DC96" i="22" s="1"/>
  <c r="CZ97" i="22"/>
  <c r="DA97" i="22" s="1"/>
  <c r="DB97" i="22"/>
  <c r="DC97" i="22" s="1"/>
  <c r="CZ98" i="22"/>
  <c r="DA98" i="22" s="1"/>
  <c r="DB98" i="22"/>
  <c r="DC98" i="22" s="1"/>
  <c r="CZ99" i="22"/>
  <c r="DA99" i="22"/>
  <c r="DB99" i="22"/>
  <c r="DC99" i="22" s="1"/>
  <c r="CZ100" i="22"/>
  <c r="DA100" i="22"/>
  <c r="DB100" i="22"/>
  <c r="DC100" i="22"/>
  <c r="CZ101" i="22"/>
  <c r="DA101" i="22" s="1"/>
  <c r="DB101" i="22"/>
  <c r="DC101" i="22" s="1"/>
  <c r="CZ102" i="22"/>
  <c r="DA102" i="22" s="1"/>
  <c r="DB102" i="22"/>
  <c r="DC102" i="22" s="1"/>
  <c r="CZ103" i="22"/>
  <c r="DA103" i="22" s="1"/>
  <c r="DB103" i="22"/>
  <c r="DC103" i="22"/>
  <c r="CZ104" i="22"/>
  <c r="DA104" i="22"/>
  <c r="DB104" i="22"/>
  <c r="DC104" i="22" s="1"/>
  <c r="CZ105" i="22"/>
  <c r="DA105" i="22" s="1"/>
  <c r="DB105" i="22"/>
  <c r="DC105" i="22" s="1"/>
  <c r="CZ106" i="22"/>
  <c r="DA106" i="22" s="1"/>
  <c r="DB106" i="22"/>
  <c r="DC106" i="22" s="1"/>
  <c r="CZ107" i="22"/>
  <c r="DA107" i="22"/>
  <c r="DB107" i="22"/>
  <c r="DC107" i="22" s="1"/>
  <c r="CZ108" i="22"/>
  <c r="DA108" i="22" s="1"/>
  <c r="DB108" i="22"/>
  <c r="DC108" i="22" s="1"/>
  <c r="CZ109" i="22"/>
  <c r="DA109" i="22" s="1"/>
  <c r="DB109" i="22"/>
  <c r="DC109" i="22" s="1"/>
  <c r="CZ110" i="22"/>
  <c r="DA110" i="22" s="1"/>
  <c r="DB110" i="22"/>
  <c r="DC110" i="22" s="1"/>
  <c r="CZ111" i="22"/>
  <c r="DA111" i="22" s="1"/>
  <c r="DB111" i="22"/>
  <c r="DC111" i="22" s="1"/>
  <c r="CZ112" i="22"/>
  <c r="DA112" i="22"/>
  <c r="DB112" i="22"/>
  <c r="DC112" i="22" s="1"/>
  <c r="CZ113" i="22"/>
  <c r="DA113" i="22" s="1"/>
  <c r="DB113" i="22"/>
  <c r="DC113" i="22" s="1"/>
  <c r="CZ114" i="22"/>
  <c r="DA114" i="22" s="1"/>
  <c r="DB114" i="22"/>
  <c r="DC114" i="22" s="1"/>
  <c r="CZ115" i="22"/>
  <c r="DA115" i="22" s="1"/>
  <c r="DB115" i="22"/>
  <c r="DC115" i="22" s="1"/>
  <c r="CZ116" i="22"/>
  <c r="DA116" i="22" s="1"/>
  <c r="DB116" i="22"/>
  <c r="DC116" i="22" s="1"/>
  <c r="CZ117" i="22"/>
  <c r="DA117" i="22" s="1"/>
  <c r="DB117" i="22"/>
  <c r="DC117" i="22" s="1"/>
  <c r="DB88" i="22"/>
  <c r="DC88" i="22" s="1"/>
  <c r="CZ88" i="22"/>
  <c r="DA88" i="22" s="1"/>
  <c r="CZ15" i="22"/>
  <c r="DA15" i="22" s="1"/>
  <c r="DB15" i="22"/>
  <c r="DC15" i="22" s="1"/>
  <c r="CZ16" i="22"/>
  <c r="DA16" i="22" s="1"/>
  <c r="DB16" i="22"/>
  <c r="DC16" i="22" s="1"/>
  <c r="CZ17" i="22"/>
  <c r="DA17" i="22" s="1"/>
  <c r="DB17" i="22"/>
  <c r="DC17" i="22" s="1"/>
  <c r="CZ18" i="22"/>
  <c r="DA18" i="22" s="1"/>
  <c r="DB18" i="22"/>
  <c r="DC18" i="22" s="1"/>
  <c r="CZ19" i="22"/>
  <c r="DA19" i="22" s="1"/>
  <c r="DB19" i="22"/>
  <c r="DC19" i="22" s="1"/>
  <c r="CZ20" i="22"/>
  <c r="DA20" i="22" s="1"/>
  <c r="DB20" i="22"/>
  <c r="DC20" i="22" s="1"/>
  <c r="CZ21" i="22"/>
  <c r="DA21" i="22" s="1"/>
  <c r="DB21" i="22"/>
  <c r="DC21" i="22" s="1"/>
  <c r="CZ22" i="22"/>
  <c r="DA22" i="22" s="1"/>
  <c r="DB22" i="22"/>
  <c r="DC22" i="22"/>
  <c r="CZ23" i="22"/>
  <c r="DA23" i="22" s="1"/>
  <c r="DB23" i="22"/>
  <c r="DC23" i="22" s="1"/>
  <c r="CZ24" i="22"/>
  <c r="DA24" i="22" s="1"/>
  <c r="DB24" i="22"/>
  <c r="DC24" i="22"/>
  <c r="CZ25" i="22"/>
  <c r="DA25" i="22" s="1"/>
  <c r="DB25" i="22"/>
  <c r="DC25" i="22"/>
  <c r="CZ26" i="22"/>
  <c r="DA26" i="22" s="1"/>
  <c r="DB26" i="22"/>
  <c r="DC26" i="22" s="1"/>
  <c r="CZ27" i="22"/>
  <c r="DA27" i="22" s="1"/>
  <c r="DB27" i="22"/>
  <c r="DC27" i="22" s="1"/>
  <c r="CZ28" i="22"/>
  <c r="DA28" i="22" s="1"/>
  <c r="DB28" i="22"/>
  <c r="DC28" i="22" s="1"/>
  <c r="CZ29" i="22"/>
  <c r="DA29" i="22" s="1"/>
  <c r="DB29" i="22"/>
  <c r="DC29" i="22" s="1"/>
  <c r="CZ30" i="22"/>
  <c r="DA30" i="22" s="1"/>
  <c r="DB30" i="22"/>
  <c r="DC30" i="22" s="1"/>
  <c r="CZ31" i="22"/>
  <c r="DA31" i="22" s="1"/>
  <c r="DB31" i="22"/>
  <c r="DC31" i="22" s="1"/>
  <c r="CZ32" i="22"/>
  <c r="DA32" i="22" s="1"/>
  <c r="DB32" i="22"/>
  <c r="DC32" i="22" s="1"/>
  <c r="CZ33" i="22"/>
  <c r="DA33" i="22" s="1"/>
  <c r="DB33" i="22"/>
  <c r="DC33" i="22" s="1"/>
  <c r="CZ34" i="22"/>
  <c r="DA34" i="22" s="1"/>
  <c r="DB34" i="22"/>
  <c r="DC34" i="22" s="1"/>
  <c r="CZ35" i="22"/>
  <c r="DA35" i="22" s="1"/>
  <c r="DB35" i="22"/>
  <c r="DC35" i="22" s="1"/>
  <c r="CZ36" i="22"/>
  <c r="DA36" i="22" s="1"/>
  <c r="DB36" i="22"/>
  <c r="DC36" i="22" s="1"/>
  <c r="CZ37" i="22"/>
  <c r="DA37" i="22" s="1"/>
  <c r="DB37" i="22"/>
  <c r="DC37" i="22"/>
  <c r="CZ38" i="22"/>
  <c r="DA38" i="22"/>
  <c r="DB38" i="22"/>
  <c r="DC38" i="22" s="1"/>
  <c r="CZ39" i="22"/>
  <c r="DA39" i="22" s="1"/>
  <c r="DB39" i="22"/>
  <c r="DC39" i="22" s="1"/>
  <c r="CZ40" i="22"/>
  <c r="DA40" i="22" s="1"/>
  <c r="DB40" i="22"/>
  <c r="DC40" i="22" s="1"/>
  <c r="CZ41" i="22"/>
  <c r="DA41" i="22" s="1"/>
  <c r="DB41" i="22"/>
  <c r="DC41" i="22" s="1"/>
  <c r="CZ42" i="22"/>
  <c r="DA42" i="22" s="1"/>
  <c r="DB42" i="22"/>
  <c r="DC42" i="22"/>
  <c r="CZ43" i="22"/>
  <c r="DA43" i="22" s="1"/>
  <c r="DB43" i="22"/>
  <c r="DC43" i="22" s="1"/>
  <c r="CZ52" i="22"/>
  <c r="DA52" i="22" s="1"/>
  <c r="DB52" i="22"/>
  <c r="DC52" i="22" s="1"/>
  <c r="CZ53" i="22"/>
  <c r="DA53" i="22" s="1"/>
  <c r="DB53" i="22"/>
  <c r="DC53" i="22" s="1"/>
  <c r="CZ54" i="22"/>
  <c r="DA54" i="22" s="1"/>
  <c r="DB54" i="22"/>
  <c r="DC54" i="22" s="1"/>
  <c r="CZ55" i="22"/>
  <c r="DA55" i="22" s="1"/>
  <c r="DB55" i="22"/>
  <c r="DC55" i="22" s="1"/>
  <c r="CZ56" i="22"/>
  <c r="DA56" i="22" s="1"/>
  <c r="DB56" i="22"/>
  <c r="DC56" i="22" s="1"/>
  <c r="CZ57" i="22"/>
  <c r="DA57" i="22" s="1"/>
  <c r="DB57" i="22"/>
  <c r="DC57" i="22" s="1"/>
  <c r="CZ58" i="22"/>
  <c r="DA58" i="22" s="1"/>
  <c r="DB58" i="22"/>
  <c r="DC58" i="22" s="1"/>
  <c r="CZ59" i="22"/>
  <c r="DA59" i="22"/>
  <c r="DB59" i="22"/>
  <c r="DC59" i="22" s="1"/>
  <c r="CZ60" i="22"/>
  <c r="DA60" i="22" s="1"/>
  <c r="DB60" i="22"/>
  <c r="DC60" i="22" s="1"/>
  <c r="CZ61" i="22"/>
  <c r="DA61" i="22" s="1"/>
  <c r="DB61" i="22"/>
  <c r="DC61" i="22" s="1"/>
  <c r="CZ62" i="22"/>
  <c r="DA62" i="22" s="1"/>
  <c r="DB62" i="22"/>
  <c r="DC62" i="22" s="1"/>
  <c r="CZ63" i="22"/>
  <c r="DA63" i="22" s="1"/>
  <c r="DB63" i="22"/>
  <c r="DC63" i="22" s="1"/>
  <c r="CZ64" i="22"/>
  <c r="DA64" i="22" s="1"/>
  <c r="DB64" i="22"/>
  <c r="DC64" i="22" s="1"/>
  <c r="CZ65" i="22"/>
  <c r="DA65" i="22" s="1"/>
  <c r="DB65" i="22"/>
  <c r="DC65" i="22" s="1"/>
  <c r="CZ66" i="22"/>
  <c r="DA66" i="22"/>
  <c r="DB66" i="22"/>
  <c r="DC66" i="22" s="1"/>
  <c r="CZ67" i="22"/>
  <c r="DA67" i="22" s="1"/>
  <c r="DB67" i="22"/>
  <c r="DC67" i="22"/>
  <c r="CZ68" i="22"/>
  <c r="DA68" i="22" s="1"/>
  <c r="DB68" i="22"/>
  <c r="DC68" i="22" s="1"/>
  <c r="CZ69" i="22"/>
  <c r="DA69" i="22" s="1"/>
  <c r="DB69" i="22"/>
  <c r="DC69" i="22" s="1"/>
  <c r="CZ70" i="22"/>
  <c r="DA70" i="22" s="1"/>
  <c r="DB70" i="22"/>
  <c r="DC70" i="22"/>
  <c r="CZ71" i="22"/>
  <c r="DA71" i="22" s="1"/>
  <c r="DB71" i="22"/>
  <c r="DC71" i="22" s="1"/>
  <c r="CZ72" i="22"/>
  <c r="DA72" i="22" s="1"/>
  <c r="DB72" i="22"/>
  <c r="DC72" i="22" s="1"/>
  <c r="CZ73" i="22"/>
  <c r="DA73" i="22" s="1"/>
  <c r="DB73" i="22"/>
  <c r="DC73" i="22"/>
  <c r="CZ74" i="22"/>
  <c r="DA74" i="22" s="1"/>
  <c r="DB74" i="22"/>
  <c r="DC74" i="22" s="1"/>
  <c r="CZ75" i="22"/>
  <c r="DA75" i="22" s="1"/>
  <c r="DB75" i="22"/>
  <c r="DC75" i="22" s="1"/>
  <c r="CZ76" i="22"/>
  <c r="DA76" i="22" s="1"/>
  <c r="DB76" i="22"/>
  <c r="DC76" i="22" s="1"/>
  <c r="CZ77" i="22"/>
  <c r="DA77" i="22" s="1"/>
  <c r="DB77" i="22"/>
  <c r="DC77" i="22" s="1"/>
  <c r="CZ78" i="22"/>
  <c r="DA78" i="22"/>
  <c r="DB78" i="22"/>
  <c r="DC78" i="22" s="1"/>
  <c r="CZ79" i="22"/>
  <c r="DA79" i="22" s="1"/>
  <c r="DB79" i="22"/>
  <c r="DC79" i="22" s="1"/>
  <c r="CZ80" i="22"/>
  <c r="DA80" i="22" s="1"/>
  <c r="DB80" i="22"/>
  <c r="DC80" i="22" s="1"/>
  <c r="DB51" i="22"/>
  <c r="DC51" i="22" s="1"/>
  <c r="CZ51" i="22"/>
  <c r="DA51" i="22" s="1"/>
  <c r="DB14" i="22"/>
  <c r="DC14" i="22" s="1"/>
  <c r="CZ14" i="22"/>
  <c r="DA14" i="22" s="1"/>
  <c r="H5" i="9" l="1"/>
  <c r="H56" i="18"/>
  <c r="H55" i="18"/>
  <c r="H54" i="18"/>
  <c r="H53" i="18"/>
  <c r="H52" i="18"/>
  <c r="H51" i="18"/>
  <c r="H50" i="18"/>
  <c r="H49" i="18"/>
  <c r="I48" i="18"/>
  <c r="H48" i="18"/>
  <c r="H47" i="18"/>
  <c r="F47" i="18"/>
  <c r="O46" i="18"/>
  <c r="H46" i="18"/>
  <c r="N46" i="18" s="1"/>
  <c r="F46" i="18"/>
  <c r="K46" i="18"/>
  <c r="F45" i="18"/>
  <c r="O45" i="18"/>
  <c r="F44" i="18"/>
  <c r="O44" i="18"/>
  <c r="F43" i="18"/>
  <c r="O43" i="18"/>
  <c r="F42" i="18"/>
  <c r="O42" i="18"/>
  <c r="F41" i="18"/>
  <c r="O41" i="18"/>
  <c r="F40" i="18"/>
  <c r="O40" i="18"/>
  <c r="F39" i="18"/>
  <c r="O39" i="18"/>
  <c r="K38" i="18"/>
  <c r="F38" i="18"/>
  <c r="O38" i="18"/>
  <c r="F37" i="18"/>
  <c r="O37" i="18"/>
  <c r="F36" i="18"/>
  <c r="O36" i="18"/>
  <c r="O35" i="18"/>
  <c r="K35" i="18"/>
  <c r="F35" i="18"/>
  <c r="K34" i="18"/>
  <c r="F34" i="18"/>
  <c r="O34" i="18"/>
  <c r="F33" i="18"/>
  <c r="O33" i="18"/>
  <c r="F32" i="18"/>
  <c r="O32" i="18"/>
  <c r="F31" i="18"/>
  <c r="O31" i="18"/>
  <c r="H21" i="18"/>
  <c r="H22" i="18" s="1"/>
  <c r="F21" i="18"/>
  <c r="F20" i="18"/>
  <c r="F19" i="18"/>
  <c r="E48" i="18" s="1"/>
  <c r="F48" i="18" s="1"/>
  <c r="BM117" i="22"/>
  <c r="BL117" i="22"/>
  <c r="BK117" i="22"/>
  <c r="BJ117" i="22"/>
  <c r="BI117" i="22"/>
  <c r="BH117" i="22"/>
  <c r="BG117" i="22"/>
  <c r="BF117" i="22"/>
  <c r="BE117" i="22"/>
  <c r="BD117" i="22"/>
  <c r="BC117" i="22"/>
  <c r="BB117" i="22"/>
  <c r="BA117" i="22"/>
  <c r="AZ117" i="22"/>
  <c r="AY117" i="22"/>
  <c r="AX117" i="22"/>
  <c r="AW117" i="22"/>
  <c r="AV117" i="22"/>
  <c r="AU117" i="22"/>
  <c r="AT117" i="22"/>
  <c r="AS117" i="22"/>
  <c r="AR117" i="22"/>
  <c r="AQ117" i="22"/>
  <c r="AP117" i="22"/>
  <c r="AO117" i="22"/>
  <c r="AN117" i="22"/>
  <c r="AM117" i="22"/>
  <c r="AL117" i="22"/>
  <c r="AK117" i="22"/>
  <c r="AJ117" i="22"/>
  <c r="AI117" i="22"/>
  <c r="AH117" i="22"/>
  <c r="AG117" i="22"/>
  <c r="AF117" i="22"/>
  <c r="AE117" i="22"/>
  <c r="AD117" i="22"/>
  <c r="AC117" i="22"/>
  <c r="AB117" i="22"/>
  <c r="AA117" i="22"/>
  <c r="Z117" i="22"/>
  <c r="Y117" i="22"/>
  <c r="X117" i="22"/>
  <c r="W117" i="22"/>
  <c r="V117" i="22"/>
  <c r="U117" i="22"/>
  <c r="T117" i="22"/>
  <c r="S117" i="22"/>
  <c r="R117" i="22"/>
  <c r="Q117" i="22"/>
  <c r="P117" i="22"/>
  <c r="BM116" i="22"/>
  <c r="BL116" i="22"/>
  <c r="BK116" i="22"/>
  <c r="BJ116" i="22"/>
  <c r="BI116" i="22"/>
  <c r="BH116" i="22"/>
  <c r="BG116" i="22"/>
  <c r="BF116" i="22"/>
  <c r="BE116" i="22"/>
  <c r="BD116" i="22"/>
  <c r="BC116" i="22"/>
  <c r="BB116" i="22"/>
  <c r="BA116" i="22"/>
  <c r="AZ116" i="22"/>
  <c r="AY116" i="22"/>
  <c r="AX116" i="22"/>
  <c r="AW116" i="22"/>
  <c r="AV116" i="22"/>
  <c r="AU116" i="22"/>
  <c r="AT116" i="22"/>
  <c r="AS116" i="22"/>
  <c r="AR116" i="22"/>
  <c r="AQ116" i="22"/>
  <c r="AP116" i="22"/>
  <c r="AO116" i="22"/>
  <c r="AN116" i="22"/>
  <c r="AM116" i="22"/>
  <c r="AL116" i="22"/>
  <c r="AK116" i="22"/>
  <c r="AJ116" i="22"/>
  <c r="AI116" i="22"/>
  <c r="AH116" i="22"/>
  <c r="AG116" i="22"/>
  <c r="AF116" i="22"/>
  <c r="AE116" i="22"/>
  <c r="AD116" i="22"/>
  <c r="AC116" i="22"/>
  <c r="AB116" i="22"/>
  <c r="AA116" i="22"/>
  <c r="Z116" i="22"/>
  <c r="Y116" i="22"/>
  <c r="X116" i="22"/>
  <c r="W116" i="22"/>
  <c r="V116" i="22"/>
  <c r="U116" i="22"/>
  <c r="T116" i="22"/>
  <c r="S116" i="22"/>
  <c r="R116" i="22"/>
  <c r="Q116" i="22"/>
  <c r="P116" i="22"/>
  <c r="CO115" i="22"/>
  <c r="BM115" i="22"/>
  <c r="BL115" i="22"/>
  <c r="BK115" i="22"/>
  <c r="BJ115" i="22"/>
  <c r="BI115" i="22"/>
  <c r="BH115" i="22"/>
  <c r="BG115" i="22"/>
  <c r="BF115" i="22"/>
  <c r="BE115" i="22"/>
  <c r="BD115" i="22"/>
  <c r="BC115" i="22"/>
  <c r="BB115" i="22"/>
  <c r="BA115" i="22"/>
  <c r="AZ115" i="22"/>
  <c r="AY115" i="22"/>
  <c r="AX115" i="22"/>
  <c r="AW115" i="22"/>
  <c r="AV115" i="22"/>
  <c r="AU115" i="22"/>
  <c r="AT115" i="22"/>
  <c r="AS115" i="22"/>
  <c r="AR115" i="22"/>
  <c r="AQ115" i="22"/>
  <c r="AP115" i="22"/>
  <c r="AO115" i="22"/>
  <c r="AN115" i="22"/>
  <c r="AM115" i="22"/>
  <c r="AL115" i="22"/>
  <c r="AK115" i="22"/>
  <c r="AJ115" i="22"/>
  <c r="AI115" i="22"/>
  <c r="AH115" i="22"/>
  <c r="AG115" i="22"/>
  <c r="AF115" i="22"/>
  <c r="AE115" i="22"/>
  <c r="AD115" i="22"/>
  <c r="AC115" i="22"/>
  <c r="AB115" i="22"/>
  <c r="AA115" i="22"/>
  <c r="Z115" i="22"/>
  <c r="Y115" i="22"/>
  <c r="X115" i="22"/>
  <c r="W115" i="22"/>
  <c r="V115" i="22"/>
  <c r="U115" i="22"/>
  <c r="T115" i="22"/>
  <c r="S115" i="22"/>
  <c r="R115" i="22"/>
  <c r="Q115" i="22"/>
  <c r="P115" i="22"/>
  <c r="CO114" i="22"/>
  <c r="CN114" i="22"/>
  <c r="BM114" i="22"/>
  <c r="BL114" i="22"/>
  <c r="BK114" i="22"/>
  <c r="BJ114" i="22"/>
  <c r="BI114" i="22"/>
  <c r="BH114" i="22"/>
  <c r="BG114" i="22"/>
  <c r="BF114" i="22"/>
  <c r="BE114" i="22"/>
  <c r="BD114" i="22"/>
  <c r="BC114" i="22"/>
  <c r="BB114" i="22"/>
  <c r="BA114" i="22"/>
  <c r="AZ114" i="22"/>
  <c r="AY114" i="22"/>
  <c r="AX114" i="22"/>
  <c r="AW114" i="22"/>
  <c r="AV114" i="22"/>
  <c r="AU114" i="22"/>
  <c r="AT114" i="22"/>
  <c r="AS114" i="22"/>
  <c r="AR114" i="22"/>
  <c r="AQ114" i="22"/>
  <c r="AP114" i="22"/>
  <c r="AO114" i="22"/>
  <c r="AN114" i="22"/>
  <c r="AM114" i="22"/>
  <c r="AL114" i="22"/>
  <c r="AK114" i="22"/>
  <c r="AJ114" i="22"/>
  <c r="AI114" i="22"/>
  <c r="AH114" i="22"/>
  <c r="AG114" i="22"/>
  <c r="AF114" i="22"/>
  <c r="AE114" i="22"/>
  <c r="AD114" i="22"/>
  <c r="AC114" i="22"/>
  <c r="AB114" i="22"/>
  <c r="AA114" i="22"/>
  <c r="Z114" i="22"/>
  <c r="Y114" i="22"/>
  <c r="X114" i="22"/>
  <c r="W114" i="22"/>
  <c r="V114" i="22"/>
  <c r="U114" i="22"/>
  <c r="T114" i="22"/>
  <c r="S114" i="22"/>
  <c r="R114" i="22"/>
  <c r="Q114" i="22"/>
  <c r="P114" i="22"/>
  <c r="CO113" i="22"/>
  <c r="CN113" i="22"/>
  <c r="CM113" i="22"/>
  <c r="BM113" i="22"/>
  <c r="BL113" i="22"/>
  <c r="BK113" i="22"/>
  <c r="BJ113" i="22"/>
  <c r="BI113" i="22"/>
  <c r="BH113" i="22"/>
  <c r="BG113" i="22"/>
  <c r="BF113" i="22"/>
  <c r="BE113" i="22"/>
  <c r="BD113" i="22"/>
  <c r="BC113" i="22"/>
  <c r="BB113" i="22"/>
  <c r="BA113" i="22"/>
  <c r="AZ113" i="22"/>
  <c r="AY113" i="22"/>
  <c r="AX113" i="22"/>
  <c r="AW113" i="22"/>
  <c r="AV113" i="22"/>
  <c r="AU113" i="22"/>
  <c r="AT113" i="22"/>
  <c r="AS113" i="22"/>
  <c r="AR113" i="22"/>
  <c r="AQ113" i="22"/>
  <c r="AP113" i="22"/>
  <c r="AO113" i="22"/>
  <c r="AN113" i="22"/>
  <c r="AM113" i="22"/>
  <c r="AL113" i="22"/>
  <c r="AK113" i="22"/>
  <c r="AJ113" i="22"/>
  <c r="AI113" i="22"/>
  <c r="AH113" i="22"/>
  <c r="AG113" i="22"/>
  <c r="AF113" i="22"/>
  <c r="AE113" i="22"/>
  <c r="AD113" i="22"/>
  <c r="AC113" i="22"/>
  <c r="AB113" i="22"/>
  <c r="AA113" i="22"/>
  <c r="Z113" i="22"/>
  <c r="Y113" i="22"/>
  <c r="X113" i="22"/>
  <c r="W113" i="22"/>
  <c r="V113" i="22"/>
  <c r="U113" i="22"/>
  <c r="T113" i="22"/>
  <c r="S113" i="22"/>
  <c r="R113" i="22"/>
  <c r="Q113" i="22"/>
  <c r="P113" i="22"/>
  <c r="CO112" i="22"/>
  <c r="CN112" i="22"/>
  <c r="CM112" i="22"/>
  <c r="CL112" i="22"/>
  <c r="BM112" i="22"/>
  <c r="BL112" i="22"/>
  <c r="BK112" i="22"/>
  <c r="BJ112" i="22"/>
  <c r="BI112" i="22"/>
  <c r="BH112" i="22"/>
  <c r="BG112" i="22"/>
  <c r="BF112" i="22"/>
  <c r="BE112" i="22"/>
  <c r="BD112" i="22"/>
  <c r="BC112" i="22"/>
  <c r="BB112" i="22"/>
  <c r="BA112" i="22"/>
  <c r="AZ112" i="22"/>
  <c r="AY112" i="22"/>
  <c r="AX112" i="22"/>
  <c r="AW112" i="22"/>
  <c r="AV112" i="22"/>
  <c r="AU112" i="22"/>
  <c r="AT112" i="22"/>
  <c r="AS112" i="22"/>
  <c r="AR112" i="22"/>
  <c r="AQ112" i="22"/>
  <c r="AP112" i="22"/>
  <c r="AO112" i="22"/>
  <c r="AN112" i="22"/>
  <c r="AM112" i="22"/>
  <c r="AL112" i="22"/>
  <c r="AK112" i="22"/>
  <c r="AJ112" i="22"/>
  <c r="AI112" i="22"/>
  <c r="AH112" i="22"/>
  <c r="AG112" i="22"/>
  <c r="AF112" i="22"/>
  <c r="AE112" i="22"/>
  <c r="AD112" i="22"/>
  <c r="AC112" i="22"/>
  <c r="AB112" i="22"/>
  <c r="AA112" i="22"/>
  <c r="Z112" i="22"/>
  <c r="Y112" i="22"/>
  <c r="X112" i="22"/>
  <c r="W112" i="22"/>
  <c r="V112" i="22"/>
  <c r="U112" i="22"/>
  <c r="T112" i="22"/>
  <c r="S112" i="22"/>
  <c r="R112" i="22"/>
  <c r="Q112" i="22"/>
  <c r="P112" i="22"/>
  <c r="CO111" i="22"/>
  <c r="CN111" i="22"/>
  <c r="CM111" i="22"/>
  <c r="CL111" i="22"/>
  <c r="CK111" i="22"/>
  <c r="BM111" i="22"/>
  <c r="BL111" i="22"/>
  <c r="BK111" i="22"/>
  <c r="BJ111" i="22"/>
  <c r="BI111" i="22"/>
  <c r="BH111" i="22"/>
  <c r="BG111" i="22"/>
  <c r="BF111" i="22"/>
  <c r="BE111" i="22"/>
  <c r="BD111" i="22"/>
  <c r="BC111" i="22"/>
  <c r="BB111" i="22"/>
  <c r="BA111" i="22"/>
  <c r="AZ111" i="22"/>
  <c r="AY111" i="22"/>
  <c r="AX111" i="22"/>
  <c r="AW111" i="22"/>
  <c r="AV111" i="22"/>
  <c r="AU111" i="22"/>
  <c r="AT111" i="22"/>
  <c r="AS111" i="22"/>
  <c r="AR111" i="22"/>
  <c r="AQ111" i="22"/>
  <c r="AP111" i="22"/>
  <c r="AO111" i="22"/>
  <c r="AN111" i="22"/>
  <c r="AM111" i="22"/>
  <c r="AL111" i="22"/>
  <c r="AK111" i="22"/>
  <c r="AJ111" i="22"/>
  <c r="AI111" i="22"/>
  <c r="AH111" i="22"/>
  <c r="AG111" i="22"/>
  <c r="AF111" i="22"/>
  <c r="AE111" i="22"/>
  <c r="AD111" i="22"/>
  <c r="AC111" i="22"/>
  <c r="AB111" i="22"/>
  <c r="AA111" i="22"/>
  <c r="Z111" i="22"/>
  <c r="Y111" i="22"/>
  <c r="X111" i="22"/>
  <c r="W111" i="22"/>
  <c r="V111" i="22"/>
  <c r="U111" i="22"/>
  <c r="T111" i="22"/>
  <c r="S111" i="22"/>
  <c r="R111" i="22"/>
  <c r="Q111" i="22"/>
  <c r="P111" i="22"/>
  <c r="CO110" i="22"/>
  <c r="CN110" i="22"/>
  <c r="CM110" i="22"/>
  <c r="CL110" i="22"/>
  <c r="CK110" i="22"/>
  <c r="CJ110" i="22"/>
  <c r="BM110" i="22"/>
  <c r="BL110" i="22"/>
  <c r="BK110" i="22"/>
  <c r="BJ110" i="22"/>
  <c r="BI110" i="22"/>
  <c r="BH110" i="22"/>
  <c r="BG110" i="22"/>
  <c r="BF110" i="22"/>
  <c r="BE110" i="22"/>
  <c r="BD110" i="22"/>
  <c r="BC110" i="22"/>
  <c r="BB110" i="22"/>
  <c r="BA110" i="22"/>
  <c r="AZ110" i="22"/>
  <c r="AY110" i="22"/>
  <c r="AX110" i="22"/>
  <c r="AW110" i="22"/>
  <c r="AV110" i="22"/>
  <c r="AU110" i="22"/>
  <c r="AT110" i="22"/>
  <c r="AS110" i="22"/>
  <c r="AR110" i="22"/>
  <c r="AQ110" i="22"/>
  <c r="AP110" i="22"/>
  <c r="AO110" i="22"/>
  <c r="AN110" i="22"/>
  <c r="AM110" i="22"/>
  <c r="AL110" i="22"/>
  <c r="AK110" i="22"/>
  <c r="AJ110" i="22"/>
  <c r="AI110" i="22"/>
  <c r="AH110" i="22"/>
  <c r="AG110" i="22"/>
  <c r="AF110" i="22"/>
  <c r="AE110" i="22"/>
  <c r="AD110" i="22"/>
  <c r="AC110" i="22"/>
  <c r="AB110" i="22"/>
  <c r="AA110" i="22"/>
  <c r="Z110" i="22"/>
  <c r="Y110" i="22"/>
  <c r="X110" i="22"/>
  <c r="W110" i="22"/>
  <c r="V110" i="22"/>
  <c r="U110" i="22"/>
  <c r="T110" i="22"/>
  <c r="S110" i="22"/>
  <c r="R110" i="22"/>
  <c r="Q110" i="22"/>
  <c r="P110" i="22"/>
  <c r="CO109" i="22"/>
  <c r="CN109" i="22"/>
  <c r="CM109" i="22"/>
  <c r="CL109" i="22"/>
  <c r="CK109" i="22"/>
  <c r="CJ109" i="22"/>
  <c r="CI109" i="22"/>
  <c r="BM109" i="22"/>
  <c r="BL109" i="22"/>
  <c r="BK109" i="22"/>
  <c r="BJ109" i="22"/>
  <c r="BI109" i="22"/>
  <c r="BH109" i="22"/>
  <c r="BG109" i="22"/>
  <c r="BF109" i="22"/>
  <c r="BE109" i="22"/>
  <c r="BD109" i="22"/>
  <c r="BC109" i="22"/>
  <c r="BB109" i="22"/>
  <c r="BA109" i="22"/>
  <c r="AZ109" i="22"/>
  <c r="AY109" i="22"/>
  <c r="AX109" i="22"/>
  <c r="AW109" i="22"/>
  <c r="AV109" i="22"/>
  <c r="AU109" i="22"/>
  <c r="AT109" i="22"/>
  <c r="AS109" i="22"/>
  <c r="AR109" i="22"/>
  <c r="AQ109" i="22"/>
  <c r="AP109" i="22"/>
  <c r="AO109" i="22"/>
  <c r="AN109" i="22"/>
  <c r="AM109" i="22"/>
  <c r="AL109" i="22"/>
  <c r="AK109" i="22"/>
  <c r="AJ109" i="22"/>
  <c r="AI109" i="22"/>
  <c r="AH109" i="22"/>
  <c r="AG109" i="22"/>
  <c r="AF109" i="22"/>
  <c r="AE109" i="22"/>
  <c r="AD109" i="22"/>
  <c r="AC109" i="22"/>
  <c r="AB109" i="22"/>
  <c r="AA109" i="22"/>
  <c r="Z109" i="22"/>
  <c r="Y109" i="22"/>
  <c r="X109" i="22"/>
  <c r="W109" i="22"/>
  <c r="V109" i="22"/>
  <c r="U109" i="22"/>
  <c r="T109" i="22"/>
  <c r="S109" i="22"/>
  <c r="R109" i="22"/>
  <c r="Q109" i="22"/>
  <c r="P109" i="22"/>
  <c r="CO108" i="22"/>
  <c r="CN108" i="22"/>
  <c r="CM108" i="22"/>
  <c r="CL108" i="22"/>
  <c r="CK108" i="22"/>
  <c r="CJ108" i="22"/>
  <c r="CI108" i="22"/>
  <c r="CH108" i="22"/>
  <c r="BM108" i="22"/>
  <c r="BL108" i="22"/>
  <c r="BK108" i="22"/>
  <c r="BJ108" i="22"/>
  <c r="BI108" i="22"/>
  <c r="BH108" i="22"/>
  <c r="BG108" i="22"/>
  <c r="BF108" i="22"/>
  <c r="BE108" i="22"/>
  <c r="BD108" i="22"/>
  <c r="BC108" i="22"/>
  <c r="BB108" i="22"/>
  <c r="BA108" i="22"/>
  <c r="AZ108" i="22"/>
  <c r="AY108" i="22"/>
  <c r="AX108" i="22"/>
  <c r="AW108" i="22"/>
  <c r="AV108" i="22"/>
  <c r="AU108" i="22"/>
  <c r="AT108" i="22"/>
  <c r="AS108" i="22"/>
  <c r="AR108" i="22"/>
  <c r="AQ108" i="22"/>
  <c r="AP108" i="22"/>
  <c r="AO108" i="22"/>
  <c r="AN108" i="22"/>
  <c r="AM108" i="22"/>
  <c r="AL108" i="22"/>
  <c r="AK108" i="22"/>
  <c r="AJ108" i="22"/>
  <c r="AI108" i="22"/>
  <c r="AH108" i="22"/>
  <c r="AG108" i="22"/>
  <c r="AF108" i="22"/>
  <c r="AE108" i="22"/>
  <c r="AD108" i="22"/>
  <c r="AC108" i="22"/>
  <c r="AB108" i="22"/>
  <c r="AA108" i="22"/>
  <c r="Z108" i="22"/>
  <c r="Y108" i="22"/>
  <c r="X108" i="22"/>
  <c r="W108" i="22"/>
  <c r="V108" i="22"/>
  <c r="U108" i="22"/>
  <c r="T108" i="22"/>
  <c r="S108" i="22"/>
  <c r="R108" i="22"/>
  <c r="Q108" i="22"/>
  <c r="P108" i="22"/>
  <c r="CO107" i="22"/>
  <c r="CN107" i="22"/>
  <c r="CM107" i="22"/>
  <c r="CL107" i="22"/>
  <c r="CK107" i="22"/>
  <c r="CJ107" i="22"/>
  <c r="CI107" i="22"/>
  <c r="CH107" i="22"/>
  <c r="CG107" i="22"/>
  <c r="BM107" i="22"/>
  <c r="BL107" i="22"/>
  <c r="BK107" i="22"/>
  <c r="BJ107" i="22"/>
  <c r="BI107" i="22"/>
  <c r="BH107" i="22"/>
  <c r="BG107" i="22"/>
  <c r="BF107" i="22"/>
  <c r="BE107" i="22"/>
  <c r="BD107" i="22"/>
  <c r="BC107" i="22"/>
  <c r="BB107" i="22"/>
  <c r="BA107" i="22"/>
  <c r="AZ107" i="22"/>
  <c r="AY107" i="22"/>
  <c r="AX107" i="22"/>
  <c r="AW107" i="22"/>
  <c r="AV107" i="22"/>
  <c r="AU107" i="22"/>
  <c r="AT107" i="22"/>
  <c r="AS107" i="22"/>
  <c r="AR107" i="22"/>
  <c r="AQ107" i="22"/>
  <c r="AP107" i="22"/>
  <c r="AO107" i="22"/>
  <c r="AN107" i="22"/>
  <c r="AM107" i="22"/>
  <c r="AL107" i="22"/>
  <c r="AK107" i="22"/>
  <c r="AJ107" i="22"/>
  <c r="AI107" i="22"/>
  <c r="AH107" i="22"/>
  <c r="AG107" i="22"/>
  <c r="AF107" i="22"/>
  <c r="AE107" i="22"/>
  <c r="AD107" i="22"/>
  <c r="AC107" i="22"/>
  <c r="AB107" i="22"/>
  <c r="AA107" i="22"/>
  <c r="Z107" i="22"/>
  <c r="Y107" i="22"/>
  <c r="X107" i="22"/>
  <c r="W107" i="22"/>
  <c r="V107" i="22"/>
  <c r="U107" i="22"/>
  <c r="T107" i="22"/>
  <c r="S107" i="22"/>
  <c r="R107" i="22"/>
  <c r="Q107" i="22"/>
  <c r="P107" i="22"/>
  <c r="CO106" i="22"/>
  <c r="CN106" i="22"/>
  <c r="CM106" i="22"/>
  <c r="CL106" i="22"/>
  <c r="CK106" i="22"/>
  <c r="CJ106" i="22"/>
  <c r="CI106" i="22"/>
  <c r="CH106" i="22"/>
  <c r="CG106" i="22"/>
  <c r="CF106" i="22"/>
  <c r="BM106" i="22"/>
  <c r="BL106" i="22"/>
  <c r="BK106" i="22"/>
  <c r="BJ106" i="22"/>
  <c r="BI106" i="22"/>
  <c r="BH106" i="22"/>
  <c r="BG106" i="22"/>
  <c r="BF106" i="22"/>
  <c r="BE106" i="22"/>
  <c r="BD106" i="22"/>
  <c r="BC106" i="22"/>
  <c r="BB106" i="22"/>
  <c r="BA106" i="22"/>
  <c r="AZ106" i="22"/>
  <c r="AY106" i="22"/>
  <c r="AX106" i="22"/>
  <c r="AW106" i="22"/>
  <c r="AV106" i="22"/>
  <c r="AU106" i="22"/>
  <c r="AT106" i="22"/>
  <c r="AS106" i="22"/>
  <c r="AR106" i="22"/>
  <c r="AQ106" i="22"/>
  <c r="AP106" i="22"/>
  <c r="AO106" i="22"/>
  <c r="AN106" i="22"/>
  <c r="AM106" i="22"/>
  <c r="AL106" i="22"/>
  <c r="AK106" i="22"/>
  <c r="AJ106" i="22"/>
  <c r="AI106" i="22"/>
  <c r="AH106" i="22"/>
  <c r="AG106" i="22"/>
  <c r="AF106" i="22"/>
  <c r="AE106" i="22"/>
  <c r="AD106" i="22"/>
  <c r="AC106" i="22"/>
  <c r="AB106" i="22"/>
  <c r="AA106" i="22"/>
  <c r="Z106" i="22"/>
  <c r="Y106" i="22"/>
  <c r="X106" i="22"/>
  <c r="W106" i="22"/>
  <c r="V106" i="22"/>
  <c r="U106" i="22"/>
  <c r="T106" i="22"/>
  <c r="S106" i="22"/>
  <c r="R106" i="22"/>
  <c r="Q106" i="22"/>
  <c r="P106" i="22"/>
  <c r="CO105" i="22"/>
  <c r="CN105" i="22"/>
  <c r="CM105" i="22"/>
  <c r="CL105" i="22"/>
  <c r="CK105" i="22"/>
  <c r="CJ105" i="22"/>
  <c r="CI105" i="22"/>
  <c r="CH105" i="22"/>
  <c r="CG105" i="22"/>
  <c r="CF105" i="22"/>
  <c r="CE105" i="22"/>
  <c r="BM105" i="22"/>
  <c r="BL105" i="22"/>
  <c r="BK105" i="22"/>
  <c r="BJ105" i="22"/>
  <c r="BI105" i="22"/>
  <c r="BH105" i="22"/>
  <c r="BG105" i="22"/>
  <c r="BF105" i="22"/>
  <c r="BE105" i="22"/>
  <c r="BD105" i="22"/>
  <c r="BC105" i="22"/>
  <c r="BB105" i="22"/>
  <c r="BA105" i="22"/>
  <c r="AZ105" i="22"/>
  <c r="AY105" i="22"/>
  <c r="AX105" i="22"/>
  <c r="AW105" i="22"/>
  <c r="AV105" i="22"/>
  <c r="AU105" i="22"/>
  <c r="AT105" i="22"/>
  <c r="AS105" i="22"/>
  <c r="AR105" i="22"/>
  <c r="AQ105" i="22"/>
  <c r="AP105" i="22"/>
  <c r="AO105" i="22"/>
  <c r="AN105" i="22"/>
  <c r="AM105" i="22"/>
  <c r="AL105" i="22"/>
  <c r="AK105" i="22"/>
  <c r="AJ105" i="22"/>
  <c r="AI105" i="22"/>
  <c r="AH105" i="22"/>
  <c r="AG105" i="22"/>
  <c r="AF105" i="22"/>
  <c r="AE105" i="22"/>
  <c r="AD105" i="22"/>
  <c r="AC105" i="22"/>
  <c r="AB105" i="22"/>
  <c r="AA105" i="22"/>
  <c r="Z105" i="22"/>
  <c r="Y105" i="22"/>
  <c r="X105" i="22"/>
  <c r="W105" i="22"/>
  <c r="V105" i="22"/>
  <c r="U105" i="22"/>
  <c r="T105" i="22"/>
  <c r="S105" i="22"/>
  <c r="R105" i="22"/>
  <c r="Q105" i="22"/>
  <c r="P105" i="22"/>
  <c r="CO104" i="22"/>
  <c r="CN104" i="22"/>
  <c r="CM104" i="22"/>
  <c r="CL104" i="22"/>
  <c r="CK104" i="22"/>
  <c r="CJ104" i="22"/>
  <c r="CI104" i="22"/>
  <c r="CH104" i="22"/>
  <c r="CG104" i="22"/>
  <c r="CF104" i="22"/>
  <c r="CE104" i="22"/>
  <c r="CD104" i="22"/>
  <c r="BM104" i="22"/>
  <c r="BL104" i="22"/>
  <c r="BK104" i="22"/>
  <c r="BJ104" i="22"/>
  <c r="BI104" i="22"/>
  <c r="BH104" i="22"/>
  <c r="BG104" i="22"/>
  <c r="BF104" i="22"/>
  <c r="BE104" i="22"/>
  <c r="BD104" i="22"/>
  <c r="BC104" i="22"/>
  <c r="BB104" i="22"/>
  <c r="BA104" i="22"/>
  <c r="AZ104" i="22"/>
  <c r="AY104" i="22"/>
  <c r="AX104" i="22"/>
  <c r="AW104" i="22"/>
  <c r="AV104" i="22"/>
  <c r="AU104" i="22"/>
  <c r="AT104" i="22"/>
  <c r="AS104" i="22"/>
  <c r="AR104" i="22"/>
  <c r="AQ104" i="22"/>
  <c r="AP104" i="22"/>
  <c r="AO104" i="22"/>
  <c r="AN104" i="22"/>
  <c r="AM104" i="22"/>
  <c r="AL104" i="22"/>
  <c r="AK104" i="22"/>
  <c r="AJ104" i="22"/>
  <c r="AI104" i="22"/>
  <c r="AH104" i="22"/>
  <c r="AG104" i="22"/>
  <c r="AF104" i="22"/>
  <c r="AE104" i="22"/>
  <c r="AD104" i="22"/>
  <c r="AC104" i="22"/>
  <c r="AB104" i="22"/>
  <c r="AA104" i="22"/>
  <c r="Z104" i="22"/>
  <c r="Y104" i="22"/>
  <c r="X104" i="22"/>
  <c r="W104" i="22"/>
  <c r="V104" i="22"/>
  <c r="U104" i="22"/>
  <c r="T104" i="22"/>
  <c r="S104" i="22"/>
  <c r="R104" i="22"/>
  <c r="Q104" i="22"/>
  <c r="P104" i="22"/>
  <c r="CO103" i="22"/>
  <c r="CN103" i="22"/>
  <c r="CM103" i="22"/>
  <c r="CL103" i="22"/>
  <c r="CK103" i="22"/>
  <c r="CJ103" i="22"/>
  <c r="CI103" i="22"/>
  <c r="CH103" i="22"/>
  <c r="CG103" i="22"/>
  <c r="CF103" i="22"/>
  <c r="CE103" i="22"/>
  <c r="CD103" i="22"/>
  <c r="CC103" i="22"/>
  <c r="BM103" i="22"/>
  <c r="BL103" i="22"/>
  <c r="BK103" i="22"/>
  <c r="BJ103" i="22"/>
  <c r="BI103" i="22"/>
  <c r="BH103" i="22"/>
  <c r="BG103" i="22"/>
  <c r="BF103" i="22"/>
  <c r="BE103" i="22"/>
  <c r="BD103" i="22"/>
  <c r="BC103" i="22"/>
  <c r="BB103" i="22"/>
  <c r="BA103" i="22"/>
  <c r="AZ103" i="22"/>
  <c r="AY103" i="22"/>
  <c r="AX103" i="22"/>
  <c r="AW103" i="22"/>
  <c r="AV103" i="22"/>
  <c r="AU103" i="22"/>
  <c r="AT103" i="22"/>
  <c r="AS103" i="22"/>
  <c r="AR103" i="22"/>
  <c r="AQ103" i="22"/>
  <c r="AP103" i="22"/>
  <c r="AO103" i="22"/>
  <c r="AN103" i="22"/>
  <c r="AM103" i="22"/>
  <c r="AL103" i="22"/>
  <c r="AK103" i="22"/>
  <c r="AJ103" i="22"/>
  <c r="AI103" i="22"/>
  <c r="AH103" i="22"/>
  <c r="AG103" i="22"/>
  <c r="AF103" i="22"/>
  <c r="AE103" i="22"/>
  <c r="AD103" i="22"/>
  <c r="AC103" i="22"/>
  <c r="AB103" i="22"/>
  <c r="AA103" i="22"/>
  <c r="Z103" i="22"/>
  <c r="Y103" i="22"/>
  <c r="X103" i="22"/>
  <c r="W103" i="22"/>
  <c r="V103" i="22"/>
  <c r="U103" i="22"/>
  <c r="T103" i="22"/>
  <c r="S103" i="22"/>
  <c r="R103" i="22"/>
  <c r="Q103" i="22"/>
  <c r="P103" i="22"/>
  <c r="CO102" i="22"/>
  <c r="CN102" i="22"/>
  <c r="CM102" i="22"/>
  <c r="CL102" i="22"/>
  <c r="CK102" i="22"/>
  <c r="CJ102" i="22"/>
  <c r="CI102" i="22"/>
  <c r="CH102" i="22"/>
  <c r="CG102" i="22"/>
  <c r="CF102" i="22"/>
  <c r="CE102" i="22"/>
  <c r="CD102" i="22"/>
  <c r="CC102" i="22"/>
  <c r="CB102" i="22"/>
  <c r="BM102" i="22"/>
  <c r="BL102" i="22"/>
  <c r="BK102" i="22"/>
  <c r="BJ102" i="22"/>
  <c r="BI102" i="22"/>
  <c r="BH102" i="22"/>
  <c r="BG102" i="22"/>
  <c r="BF102" i="22"/>
  <c r="BE102" i="22"/>
  <c r="BD102" i="22"/>
  <c r="BC102" i="22"/>
  <c r="BB102" i="22"/>
  <c r="BA102" i="22"/>
  <c r="AZ102" i="22"/>
  <c r="AY102" i="22"/>
  <c r="AX102" i="22"/>
  <c r="AW102" i="22"/>
  <c r="AV102" i="22"/>
  <c r="AU102" i="22"/>
  <c r="AT102" i="22"/>
  <c r="AS102" i="22"/>
  <c r="AR102" i="22"/>
  <c r="AQ102" i="22"/>
  <c r="AP102" i="22"/>
  <c r="AO102" i="22"/>
  <c r="AN102" i="22"/>
  <c r="AM102" i="22"/>
  <c r="AL102" i="22"/>
  <c r="AK102" i="22"/>
  <c r="AJ102" i="22"/>
  <c r="AI102" i="22"/>
  <c r="AH102" i="22"/>
  <c r="AG102" i="22"/>
  <c r="AF102" i="22"/>
  <c r="AE102" i="22"/>
  <c r="AD102" i="22"/>
  <c r="AC102" i="22"/>
  <c r="AB102" i="22"/>
  <c r="AA102" i="22"/>
  <c r="Z102" i="22"/>
  <c r="Y102" i="22"/>
  <c r="X102" i="22"/>
  <c r="W102" i="22"/>
  <c r="V102" i="22"/>
  <c r="U102" i="22"/>
  <c r="T102" i="22"/>
  <c r="S102" i="22"/>
  <c r="R102" i="22"/>
  <c r="Q102" i="22"/>
  <c r="P102" i="22"/>
  <c r="CO101" i="22"/>
  <c r="CN101" i="22"/>
  <c r="CM101" i="22"/>
  <c r="CL101" i="22"/>
  <c r="CK101" i="22"/>
  <c r="CJ101" i="22"/>
  <c r="CI101" i="22"/>
  <c r="CH101" i="22"/>
  <c r="CG101" i="22"/>
  <c r="CF101" i="22"/>
  <c r="CE101" i="22"/>
  <c r="CD101" i="22"/>
  <c r="CC101" i="22"/>
  <c r="CB101" i="22"/>
  <c r="CA101" i="22"/>
  <c r="BM101" i="22"/>
  <c r="BL101" i="22"/>
  <c r="BK101" i="22"/>
  <c r="BJ101" i="22"/>
  <c r="BI101" i="22"/>
  <c r="BH101" i="22"/>
  <c r="BG101" i="22"/>
  <c r="BF101" i="22"/>
  <c r="BE101" i="22"/>
  <c r="BD101" i="22"/>
  <c r="BC101" i="22"/>
  <c r="BB101" i="22"/>
  <c r="BA101" i="22"/>
  <c r="AZ101" i="22"/>
  <c r="AY101" i="22"/>
  <c r="AX101" i="22"/>
  <c r="AW101" i="22"/>
  <c r="AV101" i="22"/>
  <c r="AU101" i="22"/>
  <c r="AT101" i="22"/>
  <c r="AS101" i="22"/>
  <c r="AR101" i="22"/>
  <c r="AQ101" i="22"/>
  <c r="AP101" i="22"/>
  <c r="AO101" i="22"/>
  <c r="AN101" i="22"/>
  <c r="AM101" i="22"/>
  <c r="AL101" i="22"/>
  <c r="AK101" i="22"/>
  <c r="AJ101" i="22"/>
  <c r="AI101" i="22"/>
  <c r="AH101" i="22"/>
  <c r="AG101" i="22"/>
  <c r="AF101" i="22"/>
  <c r="AE101" i="22"/>
  <c r="AD101" i="22"/>
  <c r="AC101" i="22"/>
  <c r="AB101" i="22"/>
  <c r="AA101" i="22"/>
  <c r="Z101" i="22"/>
  <c r="Y101" i="22"/>
  <c r="X101" i="22"/>
  <c r="W101" i="22"/>
  <c r="V101" i="22"/>
  <c r="U101" i="22"/>
  <c r="T101" i="22"/>
  <c r="S101" i="22"/>
  <c r="R101" i="22"/>
  <c r="Q101" i="22"/>
  <c r="P101" i="22"/>
  <c r="CO100" i="22"/>
  <c r="CN100" i="22"/>
  <c r="CM100" i="22"/>
  <c r="CL100" i="22"/>
  <c r="CK100" i="22"/>
  <c r="CJ100" i="22"/>
  <c r="CI100" i="22"/>
  <c r="CH100" i="22"/>
  <c r="CG100" i="22"/>
  <c r="CF100" i="22"/>
  <c r="CE100" i="22"/>
  <c r="CD100" i="22"/>
  <c r="CC100" i="22"/>
  <c r="CB100" i="22"/>
  <c r="CA100" i="22"/>
  <c r="BZ100" i="22"/>
  <c r="BM100" i="22"/>
  <c r="BL100" i="22"/>
  <c r="BK100" i="22"/>
  <c r="BJ100" i="22"/>
  <c r="BI100" i="22"/>
  <c r="BH100" i="22"/>
  <c r="BG100" i="22"/>
  <c r="BF100" i="22"/>
  <c r="BE100" i="22"/>
  <c r="BD100" i="22"/>
  <c r="BC100" i="22"/>
  <c r="BB100" i="22"/>
  <c r="BA100" i="22"/>
  <c r="AZ100" i="22"/>
  <c r="AY100" i="22"/>
  <c r="AX100" i="22"/>
  <c r="AW100" i="22"/>
  <c r="AV100" i="22"/>
  <c r="AU100" i="22"/>
  <c r="AT100" i="22"/>
  <c r="AS100" i="22"/>
  <c r="AR100" i="22"/>
  <c r="AQ100" i="22"/>
  <c r="AP100" i="22"/>
  <c r="AO100" i="22"/>
  <c r="AN100" i="22"/>
  <c r="AM100" i="22"/>
  <c r="AL100" i="22"/>
  <c r="AK100" i="22"/>
  <c r="AJ100" i="22"/>
  <c r="AI100" i="22"/>
  <c r="AH100" i="22"/>
  <c r="AG100" i="22"/>
  <c r="AF100" i="22"/>
  <c r="AE100" i="22"/>
  <c r="AD100" i="22"/>
  <c r="AC100" i="22"/>
  <c r="AB100" i="22"/>
  <c r="AA100" i="22"/>
  <c r="Z100" i="22"/>
  <c r="Y100" i="22"/>
  <c r="X100" i="22"/>
  <c r="W100" i="22"/>
  <c r="V100" i="22"/>
  <c r="U100" i="22"/>
  <c r="T100" i="22"/>
  <c r="S100" i="22"/>
  <c r="R100" i="22"/>
  <c r="Q100" i="22"/>
  <c r="P100" i="22"/>
  <c r="CO99" i="22"/>
  <c r="CN99" i="22"/>
  <c r="CM99" i="22"/>
  <c r="CL99" i="22"/>
  <c r="CK99" i="22"/>
  <c r="CJ99" i="22"/>
  <c r="CI99" i="22"/>
  <c r="CH99" i="22"/>
  <c r="CG99" i="22"/>
  <c r="CF99" i="22"/>
  <c r="CE99" i="22"/>
  <c r="CD99" i="22"/>
  <c r="CC99" i="22"/>
  <c r="CB99" i="22"/>
  <c r="CA99" i="22"/>
  <c r="BZ99" i="22"/>
  <c r="BY99" i="22"/>
  <c r="BM99" i="22"/>
  <c r="BL99" i="22"/>
  <c r="BK99" i="22"/>
  <c r="BJ99" i="22"/>
  <c r="BI99" i="22"/>
  <c r="BH99" i="22"/>
  <c r="BG99" i="22"/>
  <c r="BF99" i="22"/>
  <c r="BE99" i="22"/>
  <c r="BD99" i="22"/>
  <c r="BC99" i="22"/>
  <c r="BB99" i="22"/>
  <c r="BA99" i="22"/>
  <c r="AZ99" i="22"/>
  <c r="AY99" i="22"/>
  <c r="AX99" i="22"/>
  <c r="AW99" i="22"/>
  <c r="AV99" i="22"/>
  <c r="AU99" i="22"/>
  <c r="AT99" i="22"/>
  <c r="AS99" i="22"/>
  <c r="AR99" i="22"/>
  <c r="AQ99" i="22"/>
  <c r="AP99" i="22"/>
  <c r="AO99" i="22"/>
  <c r="AN99" i="22"/>
  <c r="AM99" i="22"/>
  <c r="AL99" i="22"/>
  <c r="AK99" i="22"/>
  <c r="AJ99" i="22"/>
  <c r="AI99" i="22"/>
  <c r="AH99" i="22"/>
  <c r="AG99" i="22"/>
  <c r="AF99" i="22"/>
  <c r="AE99" i="22"/>
  <c r="AD99" i="22"/>
  <c r="AC99" i="22"/>
  <c r="AB99" i="22"/>
  <c r="AA99" i="22"/>
  <c r="Z99" i="22"/>
  <c r="Y99" i="22"/>
  <c r="X99" i="22"/>
  <c r="W99" i="22"/>
  <c r="V99" i="22"/>
  <c r="U99" i="22"/>
  <c r="T99" i="22"/>
  <c r="S99" i="22"/>
  <c r="R99" i="22"/>
  <c r="Q99" i="22"/>
  <c r="P99" i="22"/>
  <c r="CO98" i="22"/>
  <c r="CN98" i="22"/>
  <c r="CM98" i="22"/>
  <c r="CL98" i="22"/>
  <c r="CK98" i="22"/>
  <c r="CJ98" i="22"/>
  <c r="CI98" i="22"/>
  <c r="CH98" i="22"/>
  <c r="CG98" i="22"/>
  <c r="CF98" i="22"/>
  <c r="CE98" i="22"/>
  <c r="CD98" i="22"/>
  <c r="CC98" i="22"/>
  <c r="CB98" i="22"/>
  <c r="CA98" i="22"/>
  <c r="BZ98" i="22"/>
  <c r="BY98" i="22"/>
  <c r="BX98" i="22"/>
  <c r="BM98" i="22"/>
  <c r="BL98" i="22"/>
  <c r="BK98" i="22"/>
  <c r="BJ98" i="22"/>
  <c r="BI98" i="22"/>
  <c r="BH98" i="22"/>
  <c r="BG98" i="22"/>
  <c r="BF98" i="22"/>
  <c r="BE98" i="22"/>
  <c r="BD98" i="22"/>
  <c r="BC98" i="22"/>
  <c r="BB98" i="22"/>
  <c r="BA98" i="22"/>
  <c r="AZ98" i="22"/>
  <c r="AY98" i="22"/>
  <c r="AX98" i="22"/>
  <c r="AW98" i="22"/>
  <c r="AV98" i="22"/>
  <c r="AU98" i="22"/>
  <c r="AT98" i="22"/>
  <c r="AS98" i="22"/>
  <c r="AR98" i="22"/>
  <c r="AQ98" i="22"/>
  <c r="AP98" i="22"/>
  <c r="AO98" i="22"/>
  <c r="AN98" i="22"/>
  <c r="AM98" i="22"/>
  <c r="AL98" i="22"/>
  <c r="AK98" i="22"/>
  <c r="AJ98" i="22"/>
  <c r="AI98" i="22"/>
  <c r="AH98" i="22"/>
  <c r="AG98" i="22"/>
  <c r="AF98" i="22"/>
  <c r="AE98" i="22"/>
  <c r="AD98" i="22"/>
  <c r="AC98" i="22"/>
  <c r="AB98" i="22"/>
  <c r="AA98" i="22"/>
  <c r="Z98" i="22"/>
  <c r="Y98" i="22"/>
  <c r="X98" i="22"/>
  <c r="W98" i="22"/>
  <c r="V98" i="22"/>
  <c r="U98" i="22"/>
  <c r="T98" i="22"/>
  <c r="S98" i="22"/>
  <c r="R98" i="22"/>
  <c r="Q98" i="22"/>
  <c r="P98" i="22"/>
  <c r="CO97" i="22"/>
  <c r="CN97" i="22"/>
  <c r="CM97" i="22"/>
  <c r="CL97" i="22"/>
  <c r="CK97" i="22"/>
  <c r="CJ97" i="22"/>
  <c r="CI97" i="22"/>
  <c r="CH97" i="22"/>
  <c r="CG97" i="22"/>
  <c r="CF97" i="22"/>
  <c r="CE97" i="22"/>
  <c r="CD97" i="22"/>
  <c r="CC97" i="22"/>
  <c r="CB97" i="22"/>
  <c r="CA97" i="22"/>
  <c r="BZ97" i="22"/>
  <c r="BY97" i="22"/>
  <c r="BX97" i="22"/>
  <c r="BW97" i="22"/>
  <c r="BM97" i="22"/>
  <c r="BL97" i="22"/>
  <c r="BK97" i="22"/>
  <c r="BJ97" i="22"/>
  <c r="BI97" i="22"/>
  <c r="BH97" i="22"/>
  <c r="BG97" i="22"/>
  <c r="BF97" i="22"/>
  <c r="BE97" i="22"/>
  <c r="BD97" i="22"/>
  <c r="BC97" i="22"/>
  <c r="BB97" i="22"/>
  <c r="BA97" i="22"/>
  <c r="AZ97" i="22"/>
  <c r="AY97" i="22"/>
  <c r="AX97" i="22"/>
  <c r="AW97" i="22"/>
  <c r="AV97" i="22"/>
  <c r="AU97" i="22"/>
  <c r="AT97" i="22"/>
  <c r="AS97" i="22"/>
  <c r="AR97" i="22"/>
  <c r="AQ97" i="22"/>
  <c r="AP97" i="22"/>
  <c r="AO97" i="22"/>
  <c r="AN97" i="22"/>
  <c r="AM97" i="22"/>
  <c r="AL97" i="22"/>
  <c r="AK97" i="22"/>
  <c r="AJ97" i="22"/>
  <c r="AI97" i="22"/>
  <c r="AH97" i="22"/>
  <c r="AG97" i="22"/>
  <c r="AF97" i="22"/>
  <c r="AE97" i="22"/>
  <c r="AD97" i="22"/>
  <c r="AC97" i="22"/>
  <c r="AB97" i="22"/>
  <c r="AA97" i="22"/>
  <c r="Z97" i="22"/>
  <c r="Y97" i="22"/>
  <c r="X97" i="22"/>
  <c r="W97" i="22"/>
  <c r="V97" i="22"/>
  <c r="U97" i="22"/>
  <c r="T97" i="22"/>
  <c r="S97" i="22"/>
  <c r="R97" i="22"/>
  <c r="Q97" i="22"/>
  <c r="P97" i="22"/>
  <c r="CO96" i="22"/>
  <c r="CN96" i="22"/>
  <c r="CM96" i="22"/>
  <c r="CL96" i="22"/>
  <c r="CK96" i="22"/>
  <c r="CJ96" i="22"/>
  <c r="CI96" i="22"/>
  <c r="CH96" i="22"/>
  <c r="CG96" i="22"/>
  <c r="CF96" i="22"/>
  <c r="CE96" i="22"/>
  <c r="CD96" i="22"/>
  <c r="CC96" i="22"/>
  <c r="CB96" i="22"/>
  <c r="CA96" i="22"/>
  <c r="BZ96" i="22"/>
  <c r="BY96" i="22"/>
  <c r="BX96" i="22"/>
  <c r="BW96" i="22"/>
  <c r="BV96" i="22"/>
  <c r="BM96" i="22"/>
  <c r="BL96" i="22"/>
  <c r="BK96" i="22"/>
  <c r="BJ96" i="22"/>
  <c r="BI96" i="22"/>
  <c r="BH96" i="22"/>
  <c r="BG96" i="22"/>
  <c r="BF96" i="22"/>
  <c r="BE96" i="22"/>
  <c r="BD96" i="22"/>
  <c r="BC96" i="22"/>
  <c r="BB96" i="22"/>
  <c r="BA96" i="22"/>
  <c r="AZ96" i="22"/>
  <c r="AY96" i="22"/>
  <c r="AX96" i="22"/>
  <c r="AW96" i="22"/>
  <c r="AV96" i="22"/>
  <c r="AU96" i="22"/>
  <c r="AT96" i="22"/>
  <c r="AS96" i="22"/>
  <c r="AR96" i="22"/>
  <c r="AQ96" i="22"/>
  <c r="AP96" i="22"/>
  <c r="AO96" i="22"/>
  <c r="AN96" i="22"/>
  <c r="AM96" i="22"/>
  <c r="AL96" i="22"/>
  <c r="AK96" i="22"/>
  <c r="AJ96" i="22"/>
  <c r="AI96" i="22"/>
  <c r="AH96" i="22"/>
  <c r="AG96" i="22"/>
  <c r="AF96" i="22"/>
  <c r="AE96" i="22"/>
  <c r="AD96" i="22"/>
  <c r="AC96" i="22"/>
  <c r="AB96" i="22"/>
  <c r="AA96" i="22"/>
  <c r="Z96" i="22"/>
  <c r="Y96" i="22"/>
  <c r="X96" i="22"/>
  <c r="W96" i="22"/>
  <c r="V96" i="22"/>
  <c r="U96" i="22"/>
  <c r="T96" i="22"/>
  <c r="S96" i="22"/>
  <c r="R96" i="22"/>
  <c r="Q96" i="22"/>
  <c r="P96" i="22"/>
  <c r="CO95" i="22"/>
  <c r="CN95" i="22"/>
  <c r="CM95" i="22"/>
  <c r="CL95" i="22"/>
  <c r="CK95" i="22"/>
  <c r="CJ95" i="22"/>
  <c r="CI95" i="22"/>
  <c r="CH95" i="22"/>
  <c r="CG95" i="22"/>
  <c r="CF95" i="22"/>
  <c r="CE95" i="22"/>
  <c r="CD95" i="22"/>
  <c r="CC95" i="22"/>
  <c r="CB95" i="22"/>
  <c r="CA95" i="22"/>
  <c r="BZ95" i="22"/>
  <c r="BY95" i="22"/>
  <c r="BX95" i="22"/>
  <c r="BW95" i="22"/>
  <c r="BV95" i="22"/>
  <c r="BU95" i="22"/>
  <c r="BM95" i="22"/>
  <c r="BL95" i="22"/>
  <c r="BK95" i="22"/>
  <c r="BJ95" i="22"/>
  <c r="BI95" i="22"/>
  <c r="BH95" i="22"/>
  <c r="BG95" i="22"/>
  <c r="BF95" i="22"/>
  <c r="BE95" i="22"/>
  <c r="BD95" i="22"/>
  <c r="BC95" i="22"/>
  <c r="BB95" i="22"/>
  <c r="BA95" i="22"/>
  <c r="AZ95" i="22"/>
  <c r="AY95" i="22"/>
  <c r="AX95" i="22"/>
  <c r="AW95" i="22"/>
  <c r="AV95" i="22"/>
  <c r="AU95" i="22"/>
  <c r="AT95" i="22"/>
  <c r="AS95" i="22"/>
  <c r="AR95" i="22"/>
  <c r="AQ95" i="22"/>
  <c r="AP95" i="22"/>
  <c r="AO95" i="22"/>
  <c r="AN95" i="22"/>
  <c r="AM95" i="22"/>
  <c r="AL95" i="22"/>
  <c r="AK95" i="22"/>
  <c r="AJ95" i="22"/>
  <c r="AI95" i="22"/>
  <c r="AH95" i="22"/>
  <c r="AG95" i="22"/>
  <c r="AF95" i="22"/>
  <c r="AE95" i="22"/>
  <c r="AD95" i="22"/>
  <c r="AC95" i="22"/>
  <c r="AB95" i="22"/>
  <c r="AA95" i="22"/>
  <c r="Z95" i="22"/>
  <c r="Y95" i="22"/>
  <c r="X95" i="22"/>
  <c r="W95" i="22"/>
  <c r="V95" i="22"/>
  <c r="U95" i="22"/>
  <c r="T95" i="22"/>
  <c r="S95" i="22"/>
  <c r="R95" i="22"/>
  <c r="Q95" i="22"/>
  <c r="P95" i="22"/>
  <c r="CO94" i="22"/>
  <c r="CN94" i="22"/>
  <c r="CM94" i="22"/>
  <c r="CL94" i="22"/>
  <c r="CK94" i="22"/>
  <c r="CJ94" i="22"/>
  <c r="CI94" i="22"/>
  <c r="CH94" i="22"/>
  <c r="CG94" i="22"/>
  <c r="CF94" i="22"/>
  <c r="CE94" i="22"/>
  <c r="CD94" i="22"/>
  <c r="CC94" i="22"/>
  <c r="CB94" i="22"/>
  <c r="CA94" i="22"/>
  <c r="BZ94" i="22"/>
  <c r="BY94" i="22"/>
  <c r="BX94" i="22"/>
  <c r="BW94" i="22"/>
  <c r="BV94" i="22"/>
  <c r="BU94" i="22"/>
  <c r="BT94" i="22"/>
  <c r="BM94" i="22"/>
  <c r="BL94" i="22"/>
  <c r="BK94" i="22"/>
  <c r="BJ94" i="22"/>
  <c r="BI94" i="22"/>
  <c r="BH94" i="22"/>
  <c r="BG94" i="22"/>
  <c r="BF94" i="22"/>
  <c r="BE94" i="22"/>
  <c r="BD94" i="22"/>
  <c r="BC94" i="22"/>
  <c r="BB94" i="22"/>
  <c r="BA94" i="22"/>
  <c r="AZ94" i="22"/>
  <c r="AY94" i="22"/>
  <c r="AX94" i="22"/>
  <c r="AW94" i="22"/>
  <c r="AV94" i="22"/>
  <c r="AU94" i="22"/>
  <c r="AT94" i="22"/>
  <c r="AS94" i="22"/>
  <c r="AR94" i="22"/>
  <c r="AQ94" i="22"/>
  <c r="AP94" i="22"/>
  <c r="AO94" i="22"/>
  <c r="AN94" i="22"/>
  <c r="AM94" i="22"/>
  <c r="AL94" i="22"/>
  <c r="AK94" i="22"/>
  <c r="AJ94" i="22"/>
  <c r="AI94" i="22"/>
  <c r="AH94" i="22"/>
  <c r="AG94" i="22"/>
  <c r="AF94" i="22"/>
  <c r="AE94" i="22"/>
  <c r="AD94" i="22"/>
  <c r="AC94" i="22"/>
  <c r="AB94" i="22"/>
  <c r="AA94" i="22"/>
  <c r="Z94" i="22"/>
  <c r="Y94" i="22"/>
  <c r="X94" i="22"/>
  <c r="W94" i="22"/>
  <c r="V94" i="22"/>
  <c r="U94" i="22"/>
  <c r="T94" i="22"/>
  <c r="S94" i="22"/>
  <c r="R94" i="22"/>
  <c r="Q94" i="22"/>
  <c r="P94" i="22"/>
  <c r="CO93" i="22"/>
  <c r="CN93" i="22"/>
  <c r="CM93" i="22"/>
  <c r="CL93" i="22"/>
  <c r="CK93" i="22"/>
  <c r="CJ93" i="22"/>
  <c r="CI93" i="22"/>
  <c r="CH93" i="22"/>
  <c r="CG93" i="22"/>
  <c r="CF93" i="22"/>
  <c r="CE93" i="22"/>
  <c r="CD93" i="22"/>
  <c r="CC93" i="22"/>
  <c r="CB93" i="22"/>
  <c r="CA93" i="22"/>
  <c r="BZ93" i="22"/>
  <c r="BY93" i="22"/>
  <c r="BX93" i="22"/>
  <c r="BW93" i="22"/>
  <c r="BV93" i="22"/>
  <c r="BU93" i="22"/>
  <c r="BT93" i="22"/>
  <c r="BS93" i="22"/>
  <c r="BM93" i="22"/>
  <c r="BL93" i="22"/>
  <c r="BK93" i="22"/>
  <c r="BJ93" i="22"/>
  <c r="BI93" i="22"/>
  <c r="BH93" i="22"/>
  <c r="BG93" i="22"/>
  <c r="BF93" i="22"/>
  <c r="BE93" i="22"/>
  <c r="BD93" i="22"/>
  <c r="BC93" i="22"/>
  <c r="BB93" i="22"/>
  <c r="BA93" i="22"/>
  <c r="AZ93" i="22"/>
  <c r="AY93" i="22"/>
  <c r="AX93" i="22"/>
  <c r="AW93" i="22"/>
  <c r="AV93" i="22"/>
  <c r="AU93" i="22"/>
  <c r="AT93" i="22"/>
  <c r="AS93" i="22"/>
  <c r="AR93" i="22"/>
  <c r="AQ93" i="22"/>
  <c r="AP93" i="22"/>
  <c r="AO93" i="22"/>
  <c r="AN93" i="22"/>
  <c r="AM93" i="22"/>
  <c r="AL93" i="22"/>
  <c r="AK93" i="22"/>
  <c r="AJ93" i="22"/>
  <c r="AI93" i="22"/>
  <c r="AH93" i="22"/>
  <c r="AG93" i="22"/>
  <c r="AF93" i="22"/>
  <c r="AE93" i="22"/>
  <c r="AD93" i="22"/>
  <c r="AC93" i="22"/>
  <c r="AB93" i="22"/>
  <c r="AA93" i="22"/>
  <c r="Z93" i="22"/>
  <c r="Y93" i="22"/>
  <c r="X93" i="22"/>
  <c r="W93" i="22"/>
  <c r="V93" i="22"/>
  <c r="U93" i="22"/>
  <c r="T93" i="22"/>
  <c r="S93" i="22"/>
  <c r="R93" i="22"/>
  <c r="Q93" i="22"/>
  <c r="P93" i="22"/>
  <c r="CO92" i="22"/>
  <c r="CN92" i="22"/>
  <c r="CM92" i="22"/>
  <c r="CL92" i="22"/>
  <c r="CK92" i="22"/>
  <c r="CJ92" i="22"/>
  <c r="CI92" i="22"/>
  <c r="CH92" i="22"/>
  <c r="CG92" i="22"/>
  <c r="CF92" i="22"/>
  <c r="CE92" i="22"/>
  <c r="CD92" i="22"/>
  <c r="CC92" i="22"/>
  <c r="CB92" i="22"/>
  <c r="CA92" i="22"/>
  <c r="BZ92" i="22"/>
  <c r="BY92" i="22"/>
  <c r="BX92" i="22"/>
  <c r="BW92" i="22"/>
  <c r="BV92" i="22"/>
  <c r="BU92" i="22"/>
  <c r="BT92" i="22"/>
  <c r="BS92" i="22"/>
  <c r="BR92" i="22"/>
  <c r="BM92" i="22"/>
  <c r="BL92" i="22"/>
  <c r="BK92" i="22"/>
  <c r="BJ92" i="22"/>
  <c r="BI92" i="22"/>
  <c r="BH92" i="22"/>
  <c r="BG92" i="22"/>
  <c r="BF92" i="22"/>
  <c r="BE92" i="22"/>
  <c r="BD92" i="22"/>
  <c r="BC92" i="22"/>
  <c r="BB92" i="22"/>
  <c r="BA92" i="22"/>
  <c r="AZ92" i="22"/>
  <c r="AY92" i="22"/>
  <c r="AX92" i="22"/>
  <c r="AW92" i="22"/>
  <c r="AV92" i="22"/>
  <c r="AU92" i="22"/>
  <c r="AT92" i="22"/>
  <c r="AS92" i="22"/>
  <c r="AR92" i="22"/>
  <c r="AQ92" i="22"/>
  <c r="AP92" i="22"/>
  <c r="AO92" i="22"/>
  <c r="AN92" i="22"/>
  <c r="AM92" i="22"/>
  <c r="AL92" i="22"/>
  <c r="AK92" i="22"/>
  <c r="AJ92" i="22"/>
  <c r="AI92" i="22"/>
  <c r="AH92" i="22"/>
  <c r="AG92" i="22"/>
  <c r="AF92" i="22"/>
  <c r="AE92" i="22"/>
  <c r="AD92" i="22"/>
  <c r="AC92" i="22"/>
  <c r="AB92" i="22"/>
  <c r="AA92" i="22"/>
  <c r="Z92" i="22"/>
  <c r="Y92" i="22"/>
  <c r="X92" i="22"/>
  <c r="W92" i="22"/>
  <c r="V92" i="22"/>
  <c r="U92" i="22"/>
  <c r="T92" i="22"/>
  <c r="S92" i="22"/>
  <c r="R92" i="22"/>
  <c r="Q92" i="22"/>
  <c r="P92" i="22"/>
  <c r="G92" i="22"/>
  <c r="CO43" i="22" s="1"/>
  <c r="CO91" i="22"/>
  <c r="CN91" i="22"/>
  <c r="CM91" i="22"/>
  <c r="CL91" i="22"/>
  <c r="CK91" i="22"/>
  <c r="CJ91" i="22"/>
  <c r="CI91" i="22"/>
  <c r="CH91" i="22"/>
  <c r="CG91" i="22"/>
  <c r="CF91" i="22"/>
  <c r="CE91" i="22"/>
  <c r="CD91" i="22"/>
  <c r="CC91" i="22"/>
  <c r="CB91" i="22"/>
  <c r="CA91" i="22"/>
  <c r="BZ91" i="22"/>
  <c r="BY91" i="22"/>
  <c r="BX91" i="22"/>
  <c r="BW91" i="22"/>
  <c r="BV91" i="22"/>
  <c r="BU91" i="22"/>
  <c r="BT91" i="22"/>
  <c r="BS91" i="22"/>
  <c r="BR91" i="22"/>
  <c r="BQ91" i="22"/>
  <c r="BM91" i="22"/>
  <c r="BL91" i="22"/>
  <c r="BK91" i="22"/>
  <c r="BJ91" i="22"/>
  <c r="BI91" i="22"/>
  <c r="BH91" i="22"/>
  <c r="BG91" i="22"/>
  <c r="BF91" i="22"/>
  <c r="BE91" i="22"/>
  <c r="BD91" i="22"/>
  <c r="BC91" i="22"/>
  <c r="BB91" i="22"/>
  <c r="BA91" i="22"/>
  <c r="AZ91" i="22"/>
  <c r="AY91" i="22"/>
  <c r="AX91" i="22"/>
  <c r="AW91" i="22"/>
  <c r="AV91" i="22"/>
  <c r="AU91" i="22"/>
  <c r="AT91" i="22"/>
  <c r="AS91" i="22"/>
  <c r="AR91" i="22"/>
  <c r="AQ91" i="22"/>
  <c r="AP91" i="22"/>
  <c r="AO91" i="22"/>
  <c r="AN91" i="22"/>
  <c r="AM91" i="22"/>
  <c r="AL91" i="22"/>
  <c r="AK91" i="22"/>
  <c r="AJ91" i="22"/>
  <c r="AI91" i="22"/>
  <c r="AH91" i="22"/>
  <c r="AG91" i="22"/>
  <c r="AF91" i="22"/>
  <c r="AE91" i="22"/>
  <c r="AD91" i="22"/>
  <c r="AC91" i="22"/>
  <c r="AB91" i="22"/>
  <c r="AA91" i="22"/>
  <c r="Z91" i="22"/>
  <c r="Y91" i="22"/>
  <c r="X91" i="22"/>
  <c r="W91" i="22"/>
  <c r="V91" i="22"/>
  <c r="U91" i="22"/>
  <c r="T91" i="22"/>
  <c r="S91" i="22"/>
  <c r="R91" i="22"/>
  <c r="Q91" i="22"/>
  <c r="P91" i="22"/>
  <c r="G91" i="22"/>
  <c r="CN78" i="22" s="1"/>
  <c r="CO90" i="22"/>
  <c r="CN90" i="22"/>
  <c r="CM90" i="22"/>
  <c r="CL90" i="22"/>
  <c r="CK90" i="22"/>
  <c r="CJ90" i="22"/>
  <c r="CI90" i="22"/>
  <c r="CH90" i="22"/>
  <c r="CG90" i="22"/>
  <c r="CF90" i="22"/>
  <c r="CE90" i="22"/>
  <c r="CD90" i="22"/>
  <c r="CC90" i="22"/>
  <c r="CB90" i="22"/>
  <c r="CA90" i="22"/>
  <c r="BZ90" i="22"/>
  <c r="BY90" i="22"/>
  <c r="BX90" i="22"/>
  <c r="BW90" i="22"/>
  <c r="BV90" i="22"/>
  <c r="BU90" i="22"/>
  <c r="BT90" i="22"/>
  <c r="BS90" i="22"/>
  <c r="BR90" i="22"/>
  <c r="BQ90" i="22"/>
  <c r="BP90" i="22"/>
  <c r="BM90" i="22"/>
  <c r="BL90" i="22"/>
  <c r="BK90" i="22"/>
  <c r="BJ90" i="22"/>
  <c r="BI90" i="22"/>
  <c r="BH90" i="22"/>
  <c r="BG90" i="22"/>
  <c r="BF90" i="22"/>
  <c r="BE90" i="22"/>
  <c r="BD90" i="22"/>
  <c r="BC90" i="22"/>
  <c r="BB90" i="22"/>
  <c r="BA90" i="22"/>
  <c r="AZ90" i="22"/>
  <c r="AY90" i="22"/>
  <c r="AX90" i="22"/>
  <c r="AW90" i="22"/>
  <c r="AV90" i="22"/>
  <c r="AU90" i="22"/>
  <c r="AT90" i="22"/>
  <c r="AS90" i="22"/>
  <c r="AR90" i="22"/>
  <c r="AQ90" i="22"/>
  <c r="AP90" i="22"/>
  <c r="AO90" i="22"/>
  <c r="AN90" i="22"/>
  <c r="AM90" i="22"/>
  <c r="AL90" i="22"/>
  <c r="AK90" i="22"/>
  <c r="AJ90" i="22"/>
  <c r="AI90" i="22"/>
  <c r="AH90" i="22"/>
  <c r="AG90" i="22"/>
  <c r="AF90" i="22"/>
  <c r="AE90" i="22"/>
  <c r="AD90" i="22"/>
  <c r="AC90" i="22"/>
  <c r="AB90" i="22"/>
  <c r="AA90" i="22"/>
  <c r="Z90" i="22"/>
  <c r="Y90" i="22"/>
  <c r="X90" i="22"/>
  <c r="W90" i="22"/>
  <c r="V90" i="22"/>
  <c r="U90" i="22"/>
  <c r="T90" i="22"/>
  <c r="S90" i="22"/>
  <c r="R90" i="22"/>
  <c r="Q90" i="22"/>
  <c r="P90" i="22"/>
  <c r="G90" i="22"/>
  <c r="CO89" i="22"/>
  <c r="CN89" i="22"/>
  <c r="CM89" i="22"/>
  <c r="CL89" i="22"/>
  <c r="CK89" i="22"/>
  <c r="CJ89" i="22"/>
  <c r="CI89" i="22"/>
  <c r="CH89" i="22"/>
  <c r="CG89" i="22"/>
  <c r="CF89" i="22"/>
  <c r="CE89" i="22"/>
  <c r="CD89" i="22"/>
  <c r="CC89" i="22"/>
  <c r="CB89" i="22"/>
  <c r="CA89" i="22"/>
  <c r="BZ89" i="22"/>
  <c r="BY89" i="22"/>
  <c r="BX89" i="22"/>
  <c r="BW89" i="22"/>
  <c r="BV89" i="22"/>
  <c r="BU89" i="22"/>
  <c r="BT89" i="22"/>
  <c r="BS89" i="22"/>
  <c r="BR89" i="22"/>
  <c r="BQ89" i="22"/>
  <c r="BP89" i="22"/>
  <c r="BO89" i="22"/>
  <c r="BM89" i="22"/>
  <c r="BL89" i="22"/>
  <c r="BK89" i="22"/>
  <c r="BJ89" i="22"/>
  <c r="BI89" i="22"/>
  <c r="BH89" i="22"/>
  <c r="BG89" i="22"/>
  <c r="BF89" i="22"/>
  <c r="BE89" i="22"/>
  <c r="BD89" i="22"/>
  <c r="BC89" i="22"/>
  <c r="BB89" i="22"/>
  <c r="BA89" i="22"/>
  <c r="AZ89" i="22"/>
  <c r="AY89" i="22"/>
  <c r="AX89" i="22"/>
  <c r="AW89" i="22"/>
  <c r="AV89" i="22"/>
  <c r="AU89" i="22"/>
  <c r="AT89" i="22"/>
  <c r="AS89" i="22"/>
  <c r="AR89" i="22"/>
  <c r="AQ89" i="22"/>
  <c r="AP89" i="22"/>
  <c r="AO89" i="22"/>
  <c r="AN89" i="22"/>
  <c r="AM89" i="22"/>
  <c r="AL89" i="22"/>
  <c r="AK89" i="22"/>
  <c r="AJ89" i="22"/>
  <c r="AI89" i="22"/>
  <c r="AH89" i="22"/>
  <c r="AG89" i="22"/>
  <c r="AF89" i="22"/>
  <c r="AE89" i="22"/>
  <c r="AD89" i="22"/>
  <c r="AC89" i="22"/>
  <c r="AB89" i="22"/>
  <c r="AA89" i="22"/>
  <c r="Z89" i="22"/>
  <c r="Y89" i="22"/>
  <c r="X89" i="22"/>
  <c r="W89" i="22"/>
  <c r="V89" i="22"/>
  <c r="U89" i="22"/>
  <c r="T89" i="22"/>
  <c r="S89" i="22"/>
  <c r="R89" i="22"/>
  <c r="Q89" i="22"/>
  <c r="P89" i="22"/>
  <c r="G89" i="22"/>
  <c r="CL79" i="22" s="1"/>
  <c r="CX88" i="22"/>
  <c r="CS88" i="22"/>
  <c r="CT88" i="22" s="1"/>
  <c r="CO88" i="22"/>
  <c r="CN88" i="22"/>
  <c r="CM88" i="22"/>
  <c r="CL88" i="22"/>
  <c r="CK88" i="22"/>
  <c r="CJ88" i="22"/>
  <c r="CI88" i="22"/>
  <c r="CH88" i="22"/>
  <c r="CG88" i="22"/>
  <c r="CF88" i="22"/>
  <c r="CE88" i="22"/>
  <c r="CD88" i="22"/>
  <c r="CC88" i="22"/>
  <c r="CB88" i="22"/>
  <c r="CA88" i="22"/>
  <c r="BZ88" i="22"/>
  <c r="BY88" i="22"/>
  <c r="BX88" i="22"/>
  <c r="BW88" i="22"/>
  <c r="BV88" i="22"/>
  <c r="BU88" i="22"/>
  <c r="BT88" i="22"/>
  <c r="BS88" i="22"/>
  <c r="BR88" i="22"/>
  <c r="BQ88" i="22"/>
  <c r="BP88" i="22"/>
  <c r="BO88" i="22"/>
  <c r="BN88" i="22"/>
  <c r="BM88" i="22"/>
  <c r="BL88" i="22"/>
  <c r="BK88" i="22"/>
  <c r="BJ88" i="22"/>
  <c r="BI88" i="22"/>
  <c r="BH88" i="22"/>
  <c r="BG88" i="22"/>
  <c r="BF88" i="22"/>
  <c r="BE88" i="22"/>
  <c r="BD88" i="22"/>
  <c r="BC88" i="22"/>
  <c r="BB88" i="22"/>
  <c r="BA88" i="22"/>
  <c r="AZ88" i="22"/>
  <c r="AY88" i="22"/>
  <c r="AX88" i="22"/>
  <c r="AW88" i="22"/>
  <c r="AV88" i="22"/>
  <c r="AU88" i="22"/>
  <c r="AT88" i="22"/>
  <c r="AS88" i="22"/>
  <c r="AR88" i="22"/>
  <c r="AQ88" i="22"/>
  <c r="AP88" i="22"/>
  <c r="AO88" i="22"/>
  <c r="AN88" i="22"/>
  <c r="AM88" i="22"/>
  <c r="AL88" i="22"/>
  <c r="AK88" i="22"/>
  <c r="AJ88" i="22"/>
  <c r="AI88" i="22"/>
  <c r="AH88" i="22"/>
  <c r="AG88" i="22"/>
  <c r="AF88" i="22"/>
  <c r="AE88" i="22"/>
  <c r="AD88" i="22"/>
  <c r="AC88" i="22"/>
  <c r="AB88" i="22"/>
  <c r="AA88" i="22"/>
  <c r="Z88" i="22"/>
  <c r="Y88" i="22"/>
  <c r="X88" i="22"/>
  <c r="W88" i="22"/>
  <c r="V88" i="22"/>
  <c r="U88" i="22"/>
  <c r="T88" i="22"/>
  <c r="S88" i="22"/>
  <c r="R88" i="22"/>
  <c r="Q88" i="22"/>
  <c r="P88" i="22"/>
  <c r="G88" i="22"/>
  <c r="CK77" i="22" s="1"/>
  <c r="G87" i="22"/>
  <c r="G86" i="22"/>
  <c r="G85" i="22"/>
  <c r="CH80" i="22" s="1"/>
  <c r="G84" i="22"/>
  <c r="CG115" i="22" s="1"/>
  <c r="G83" i="22"/>
  <c r="CF114" i="22" s="1"/>
  <c r="G82" i="22"/>
  <c r="CE38" i="22" s="1"/>
  <c r="G81" i="22"/>
  <c r="CD112" i="22" s="1"/>
  <c r="CO80" i="22"/>
  <c r="CM80" i="22"/>
  <c r="CL80" i="22"/>
  <c r="BM80" i="22"/>
  <c r="BL80" i="22"/>
  <c r="BK80" i="22"/>
  <c r="BJ80" i="22"/>
  <c r="BI80" i="22"/>
  <c r="BH80" i="22"/>
  <c r="BG80" i="22"/>
  <c r="BF80" i="22"/>
  <c r="BE80" i="22"/>
  <c r="BD80" i="22"/>
  <c r="BC80" i="22"/>
  <c r="BB80" i="22"/>
  <c r="BA80" i="22"/>
  <c r="AZ80" i="22"/>
  <c r="AY80" i="22"/>
  <c r="AX80" i="22"/>
  <c r="AW80" i="22"/>
  <c r="AV80" i="22"/>
  <c r="AU80" i="22"/>
  <c r="AT80" i="22"/>
  <c r="AS80" i="22"/>
  <c r="AR80" i="22"/>
  <c r="AQ80" i="22"/>
  <c r="AP80" i="22"/>
  <c r="AO80" i="22"/>
  <c r="AN80" i="22"/>
  <c r="AM80" i="22"/>
  <c r="AL80" i="22"/>
  <c r="AK80" i="22"/>
  <c r="AJ80" i="22"/>
  <c r="AI80" i="22"/>
  <c r="AH80" i="22"/>
  <c r="AG80" i="22"/>
  <c r="AF80" i="22"/>
  <c r="AE80" i="22"/>
  <c r="AD80" i="22"/>
  <c r="AC80" i="22"/>
  <c r="AB80" i="22"/>
  <c r="AA80" i="22"/>
  <c r="Z80" i="22"/>
  <c r="Y80" i="22"/>
  <c r="X80" i="22"/>
  <c r="W80" i="22"/>
  <c r="V80" i="22"/>
  <c r="U80" i="22"/>
  <c r="T80" i="22"/>
  <c r="S80" i="22"/>
  <c r="R80" i="22"/>
  <c r="Q80" i="22"/>
  <c r="P80" i="22"/>
  <c r="G80" i="22"/>
  <c r="CC73" i="22" s="1"/>
  <c r="CM79" i="22"/>
  <c r="CH79" i="22"/>
  <c r="CF79" i="22"/>
  <c r="BM79" i="22"/>
  <c r="BL79" i="22"/>
  <c r="BK79" i="22"/>
  <c r="BJ79" i="22"/>
  <c r="BI79" i="22"/>
  <c r="BH79" i="22"/>
  <c r="BG79" i="22"/>
  <c r="BF79" i="22"/>
  <c r="BE79" i="22"/>
  <c r="BD79" i="22"/>
  <c r="BC79" i="22"/>
  <c r="BB79" i="22"/>
  <c r="BA79" i="22"/>
  <c r="AZ79" i="22"/>
  <c r="AY79" i="22"/>
  <c r="AX79" i="22"/>
  <c r="AW79" i="22"/>
  <c r="AV79" i="22"/>
  <c r="AU79" i="22"/>
  <c r="AT79" i="22"/>
  <c r="AS79" i="22"/>
  <c r="AR79" i="22"/>
  <c r="AQ79" i="22"/>
  <c r="AP79" i="22"/>
  <c r="AO79" i="22"/>
  <c r="AN79" i="22"/>
  <c r="AM79" i="22"/>
  <c r="AL79" i="22"/>
  <c r="AK79" i="22"/>
  <c r="AJ79" i="22"/>
  <c r="AI79" i="22"/>
  <c r="AH79" i="22"/>
  <c r="AG79" i="22"/>
  <c r="AF79" i="22"/>
  <c r="AE79" i="22"/>
  <c r="AD79" i="22"/>
  <c r="AC79" i="22"/>
  <c r="AB79" i="22"/>
  <c r="AA79" i="22"/>
  <c r="Z79" i="22"/>
  <c r="Y79" i="22"/>
  <c r="X79" i="22"/>
  <c r="W79" i="22"/>
  <c r="V79" i="22"/>
  <c r="U79" i="22"/>
  <c r="T79" i="22"/>
  <c r="S79" i="22"/>
  <c r="R79" i="22"/>
  <c r="Q79" i="22"/>
  <c r="P79" i="22"/>
  <c r="G79" i="22"/>
  <c r="CB76" i="22" s="1"/>
  <c r="CO78" i="22"/>
  <c r="CM78" i="22"/>
  <c r="CL78" i="22"/>
  <c r="BM78" i="22"/>
  <c r="BL78" i="22"/>
  <c r="BK78" i="22"/>
  <c r="BJ78" i="22"/>
  <c r="BI78" i="22"/>
  <c r="BH78" i="22"/>
  <c r="BG78" i="22"/>
  <c r="BF78" i="22"/>
  <c r="BE78" i="22"/>
  <c r="BD78" i="22"/>
  <c r="BC78" i="22"/>
  <c r="BB78" i="22"/>
  <c r="BA78" i="22"/>
  <c r="AZ78" i="22"/>
  <c r="AY78" i="22"/>
  <c r="AX78" i="22"/>
  <c r="AW78" i="22"/>
  <c r="AV78" i="22"/>
  <c r="AU78" i="22"/>
  <c r="AT78" i="22"/>
  <c r="AS78" i="22"/>
  <c r="AR78" i="22"/>
  <c r="AQ78" i="22"/>
  <c r="AP78" i="22"/>
  <c r="AO78" i="22"/>
  <c r="AN78" i="22"/>
  <c r="AM78" i="22"/>
  <c r="AL78" i="22"/>
  <c r="AK78" i="22"/>
  <c r="AJ78" i="22"/>
  <c r="AI78" i="22"/>
  <c r="AH78" i="22"/>
  <c r="AG78" i="22"/>
  <c r="AF78" i="22"/>
  <c r="AE78" i="22"/>
  <c r="AD78" i="22"/>
  <c r="AC78" i="22"/>
  <c r="AB78" i="22"/>
  <c r="AA78" i="22"/>
  <c r="Z78" i="22"/>
  <c r="Y78" i="22"/>
  <c r="X78" i="22"/>
  <c r="W78" i="22"/>
  <c r="V78" i="22"/>
  <c r="U78" i="22"/>
  <c r="T78" i="22"/>
  <c r="S78" i="22"/>
  <c r="R78" i="22"/>
  <c r="Q78" i="22"/>
  <c r="P78" i="22"/>
  <c r="G78" i="22"/>
  <c r="CA72" i="22" s="1"/>
  <c r="CO77" i="22"/>
  <c r="CN77" i="22"/>
  <c r="CM77" i="22"/>
  <c r="CL77" i="22"/>
  <c r="CJ77" i="22"/>
  <c r="BM77" i="22"/>
  <c r="BL77" i="22"/>
  <c r="BK77" i="22"/>
  <c r="BJ77" i="22"/>
  <c r="BI77" i="22"/>
  <c r="BH77" i="22"/>
  <c r="BG77" i="22"/>
  <c r="BF77" i="22"/>
  <c r="BE77" i="22"/>
  <c r="BD77" i="22"/>
  <c r="BC77" i="22"/>
  <c r="BB77" i="22"/>
  <c r="BA77" i="22"/>
  <c r="AZ77" i="22"/>
  <c r="AY77" i="22"/>
  <c r="AX77" i="22"/>
  <c r="AW77" i="22"/>
  <c r="AV77" i="22"/>
  <c r="AU77" i="22"/>
  <c r="AT77" i="22"/>
  <c r="AS77" i="22"/>
  <c r="AR77" i="22"/>
  <c r="AQ77" i="22"/>
  <c r="AP77" i="22"/>
  <c r="AO77" i="22"/>
  <c r="AN77" i="22"/>
  <c r="AM77" i="22"/>
  <c r="AL77" i="22"/>
  <c r="AK77" i="22"/>
  <c r="AJ77" i="22"/>
  <c r="AI77" i="22"/>
  <c r="AH77" i="22"/>
  <c r="AG77" i="22"/>
  <c r="AF77" i="22"/>
  <c r="AE77" i="22"/>
  <c r="AD77" i="22"/>
  <c r="AC77" i="22"/>
  <c r="AB77" i="22"/>
  <c r="AA77" i="22"/>
  <c r="Z77" i="22"/>
  <c r="Y77" i="22"/>
  <c r="X77" i="22"/>
  <c r="W77" i="22"/>
  <c r="V77" i="22"/>
  <c r="U77" i="22"/>
  <c r="T77" i="22"/>
  <c r="S77" i="22"/>
  <c r="R77" i="22"/>
  <c r="Q77" i="22"/>
  <c r="P77" i="22"/>
  <c r="G77" i="22"/>
  <c r="BZ66" i="22" s="1"/>
  <c r="CO76" i="22"/>
  <c r="CN76" i="22"/>
  <c r="CM76" i="22"/>
  <c r="CJ76" i="22"/>
  <c r="CC76" i="22"/>
  <c r="BM76" i="22"/>
  <c r="BL76" i="22"/>
  <c r="BK76" i="22"/>
  <c r="BJ76" i="22"/>
  <c r="BI76" i="22"/>
  <c r="BH76" i="22"/>
  <c r="BG76" i="22"/>
  <c r="BF76" i="22"/>
  <c r="BE76" i="22"/>
  <c r="BD76" i="22"/>
  <c r="BC76" i="22"/>
  <c r="BB76" i="22"/>
  <c r="BA76" i="22"/>
  <c r="AZ76" i="22"/>
  <c r="AY76" i="22"/>
  <c r="AX76" i="22"/>
  <c r="AW76" i="22"/>
  <c r="AV76" i="22"/>
  <c r="AU76" i="22"/>
  <c r="AT76" i="22"/>
  <c r="AS76" i="22"/>
  <c r="AR76" i="22"/>
  <c r="AQ76" i="22"/>
  <c r="AP76" i="22"/>
  <c r="AO76" i="22"/>
  <c r="AN76" i="22"/>
  <c r="AM76" i="22"/>
  <c r="AL76" i="22"/>
  <c r="AK76" i="22"/>
  <c r="AJ76" i="22"/>
  <c r="AI76" i="22"/>
  <c r="AH76" i="22"/>
  <c r="AG76" i="22"/>
  <c r="AF76" i="22"/>
  <c r="AE76" i="22"/>
  <c r="AD76" i="22"/>
  <c r="AC76" i="22"/>
  <c r="AB76" i="22"/>
  <c r="AA76" i="22"/>
  <c r="Z76" i="22"/>
  <c r="Y76" i="22"/>
  <c r="X76" i="22"/>
  <c r="W76" i="22"/>
  <c r="V76" i="22"/>
  <c r="U76" i="22"/>
  <c r="T76" i="22"/>
  <c r="S76" i="22"/>
  <c r="R76" i="22"/>
  <c r="Q76" i="22"/>
  <c r="P76" i="22"/>
  <c r="G76" i="22"/>
  <c r="BY76" i="22" s="1"/>
  <c r="CO75" i="22"/>
  <c r="CN75" i="22"/>
  <c r="CM75" i="22"/>
  <c r="CL75" i="22"/>
  <c r="CJ75" i="22"/>
  <c r="BM75" i="22"/>
  <c r="BL75" i="22"/>
  <c r="BK75" i="22"/>
  <c r="BJ75" i="22"/>
  <c r="BI75" i="22"/>
  <c r="BH75" i="22"/>
  <c r="BG75" i="22"/>
  <c r="BF75" i="22"/>
  <c r="BE75" i="22"/>
  <c r="BD75" i="22"/>
  <c r="BC75" i="22"/>
  <c r="BB75" i="22"/>
  <c r="BA75" i="22"/>
  <c r="AZ75" i="22"/>
  <c r="AY75" i="22"/>
  <c r="AX75" i="22"/>
  <c r="AW75" i="22"/>
  <c r="AV75" i="22"/>
  <c r="AU75" i="22"/>
  <c r="AT75" i="22"/>
  <c r="AS75" i="22"/>
  <c r="AR75" i="22"/>
  <c r="AQ75" i="22"/>
  <c r="AP75" i="22"/>
  <c r="AO75" i="22"/>
  <c r="AN75" i="22"/>
  <c r="AM75" i="22"/>
  <c r="AL75" i="22"/>
  <c r="AK75" i="22"/>
  <c r="AJ75" i="22"/>
  <c r="AI75" i="22"/>
  <c r="AH75" i="22"/>
  <c r="AG75" i="22"/>
  <c r="AF75" i="22"/>
  <c r="AE75" i="22"/>
  <c r="AD75" i="22"/>
  <c r="AC75" i="22"/>
  <c r="AB75" i="22"/>
  <c r="AA75" i="22"/>
  <c r="Z75" i="22"/>
  <c r="Y75" i="22"/>
  <c r="X75" i="22"/>
  <c r="W75" i="22"/>
  <c r="V75" i="22"/>
  <c r="U75" i="22"/>
  <c r="T75" i="22"/>
  <c r="S75" i="22"/>
  <c r="R75" i="22"/>
  <c r="Q75" i="22"/>
  <c r="P75" i="22"/>
  <c r="G75" i="22"/>
  <c r="BX41" i="22" s="1"/>
  <c r="CO74" i="22"/>
  <c r="CN74" i="22"/>
  <c r="CM74" i="22"/>
  <c r="CL74" i="22"/>
  <c r="CK74" i="22"/>
  <c r="CJ74" i="22"/>
  <c r="CF74" i="22"/>
  <c r="BM74" i="22"/>
  <c r="BL74" i="22"/>
  <c r="BK74" i="22"/>
  <c r="BJ74" i="22"/>
  <c r="BI74" i="22"/>
  <c r="BH74" i="22"/>
  <c r="BG74" i="22"/>
  <c r="BF74" i="22"/>
  <c r="BE74" i="22"/>
  <c r="BD74" i="22"/>
  <c r="BC74" i="22"/>
  <c r="BB74" i="22"/>
  <c r="BA74" i="22"/>
  <c r="AZ74" i="22"/>
  <c r="AY74" i="22"/>
  <c r="AX74" i="22"/>
  <c r="AW74" i="22"/>
  <c r="AV74" i="22"/>
  <c r="AU74" i="22"/>
  <c r="AT74" i="22"/>
  <c r="AS74" i="22"/>
  <c r="AR74" i="22"/>
  <c r="AQ74" i="22"/>
  <c r="AP74" i="22"/>
  <c r="AO74" i="22"/>
  <c r="AN74" i="22"/>
  <c r="AM74" i="22"/>
  <c r="AL74" i="22"/>
  <c r="AK74" i="22"/>
  <c r="AJ74" i="22"/>
  <c r="AI74" i="22"/>
  <c r="AH74" i="22"/>
  <c r="AG74" i="22"/>
  <c r="AF74" i="22"/>
  <c r="AE74" i="22"/>
  <c r="AD74" i="22"/>
  <c r="AC74" i="22"/>
  <c r="AB74" i="22"/>
  <c r="AA74" i="22"/>
  <c r="Z74" i="22"/>
  <c r="Y74" i="22"/>
  <c r="X74" i="22"/>
  <c r="W74" i="22"/>
  <c r="V74" i="22"/>
  <c r="U74" i="22"/>
  <c r="T74" i="22"/>
  <c r="S74" i="22"/>
  <c r="R74" i="22"/>
  <c r="Q74" i="22"/>
  <c r="P74" i="22"/>
  <c r="G74" i="22"/>
  <c r="BW63" i="22" s="1"/>
  <c r="CO73" i="22"/>
  <c r="CN73" i="22"/>
  <c r="CM73" i="22"/>
  <c r="CL73" i="22"/>
  <c r="CK73" i="22"/>
  <c r="CJ73" i="22"/>
  <c r="BM73" i="22"/>
  <c r="BL73" i="22"/>
  <c r="BK73" i="22"/>
  <c r="BJ73" i="22"/>
  <c r="BI73" i="22"/>
  <c r="BH73" i="22"/>
  <c r="BG73" i="22"/>
  <c r="BF73" i="22"/>
  <c r="BE73" i="22"/>
  <c r="BD73" i="22"/>
  <c r="BC73" i="22"/>
  <c r="BB73" i="22"/>
  <c r="BA73" i="22"/>
  <c r="AZ73" i="22"/>
  <c r="AY73" i="22"/>
  <c r="AX73" i="22"/>
  <c r="AW73" i="22"/>
  <c r="AV73" i="22"/>
  <c r="AU73" i="22"/>
  <c r="AT73" i="22"/>
  <c r="AS73" i="22"/>
  <c r="AR73" i="22"/>
  <c r="AQ73" i="22"/>
  <c r="AP73" i="22"/>
  <c r="AO73" i="22"/>
  <c r="AN73" i="22"/>
  <c r="AM73" i="22"/>
  <c r="AL73" i="22"/>
  <c r="AK73" i="22"/>
  <c r="AJ73" i="22"/>
  <c r="AI73" i="22"/>
  <c r="AH73" i="22"/>
  <c r="AG73" i="22"/>
  <c r="AF73" i="22"/>
  <c r="AE73" i="22"/>
  <c r="AD73" i="22"/>
  <c r="AC73" i="22"/>
  <c r="AB73" i="22"/>
  <c r="AA73" i="22"/>
  <c r="Z73" i="22"/>
  <c r="Y73" i="22"/>
  <c r="X73" i="22"/>
  <c r="W73" i="22"/>
  <c r="V73" i="22"/>
  <c r="U73" i="22"/>
  <c r="T73" i="22"/>
  <c r="S73" i="22"/>
  <c r="R73" i="22"/>
  <c r="Q73" i="22"/>
  <c r="P73" i="22"/>
  <c r="G73" i="22"/>
  <c r="BV70" i="22" s="1"/>
  <c r="CO72" i="22"/>
  <c r="CN72" i="22"/>
  <c r="CM72" i="22"/>
  <c r="CL72" i="22"/>
  <c r="CK72" i="22"/>
  <c r="CJ72" i="22"/>
  <c r="CI72" i="22"/>
  <c r="CF72" i="22"/>
  <c r="BM72" i="22"/>
  <c r="BL72" i="22"/>
  <c r="BK72" i="22"/>
  <c r="BJ72" i="22"/>
  <c r="BI72" i="22"/>
  <c r="BH72" i="22"/>
  <c r="BG72" i="22"/>
  <c r="BF72" i="22"/>
  <c r="BE72" i="22"/>
  <c r="BD72" i="22"/>
  <c r="BC72" i="22"/>
  <c r="BB72" i="22"/>
  <c r="BA72" i="22"/>
  <c r="AZ72" i="22"/>
  <c r="AY72" i="22"/>
  <c r="AX72" i="22"/>
  <c r="AW72" i="22"/>
  <c r="AV72" i="22"/>
  <c r="AU72" i="22"/>
  <c r="AT72" i="22"/>
  <c r="AS72" i="22"/>
  <c r="AR72" i="22"/>
  <c r="AQ72" i="22"/>
  <c r="AP72" i="22"/>
  <c r="AO72" i="22"/>
  <c r="AN72" i="22"/>
  <c r="AM72" i="22"/>
  <c r="AL72" i="22"/>
  <c r="AK72" i="22"/>
  <c r="AJ72" i="22"/>
  <c r="AI72" i="22"/>
  <c r="AH72" i="22"/>
  <c r="AG72" i="22"/>
  <c r="AF72" i="22"/>
  <c r="AE72" i="22"/>
  <c r="AD72" i="22"/>
  <c r="AC72" i="22"/>
  <c r="AB72" i="22"/>
  <c r="AA72" i="22"/>
  <c r="Z72" i="22"/>
  <c r="Y72" i="22"/>
  <c r="X72" i="22"/>
  <c r="W72" i="22"/>
  <c r="V72" i="22"/>
  <c r="U72" i="22"/>
  <c r="T72" i="22"/>
  <c r="S72" i="22"/>
  <c r="R72" i="22"/>
  <c r="Q72" i="22"/>
  <c r="P72" i="22"/>
  <c r="G72" i="22"/>
  <c r="BU31" i="22" s="1"/>
  <c r="CO71" i="22"/>
  <c r="CN71" i="22"/>
  <c r="CM71" i="22"/>
  <c r="CL71" i="22"/>
  <c r="CK71" i="22"/>
  <c r="CJ71" i="22"/>
  <c r="CI71" i="22"/>
  <c r="CH71" i="22"/>
  <c r="BM71" i="22"/>
  <c r="BL71" i="22"/>
  <c r="BK71" i="22"/>
  <c r="BJ71" i="22"/>
  <c r="BI71" i="22"/>
  <c r="BH71" i="22"/>
  <c r="BG71" i="22"/>
  <c r="BF71" i="22"/>
  <c r="BE71" i="22"/>
  <c r="BD71" i="22"/>
  <c r="BC71" i="22"/>
  <c r="BB71" i="22"/>
  <c r="BA71" i="22"/>
  <c r="AZ71" i="22"/>
  <c r="AY71" i="22"/>
  <c r="AX71" i="22"/>
  <c r="AW71" i="22"/>
  <c r="AV71" i="22"/>
  <c r="AU71" i="22"/>
  <c r="AT71" i="22"/>
  <c r="AS71" i="22"/>
  <c r="AR71" i="22"/>
  <c r="AQ71" i="22"/>
  <c r="AP71" i="22"/>
  <c r="AO71" i="22"/>
  <c r="AN71" i="22"/>
  <c r="AM71" i="22"/>
  <c r="AL71" i="22"/>
  <c r="AK71" i="22"/>
  <c r="AJ71" i="22"/>
  <c r="AI71" i="22"/>
  <c r="AH71" i="22"/>
  <c r="AG71" i="22"/>
  <c r="AF71" i="22"/>
  <c r="AE71" i="22"/>
  <c r="AD71" i="22"/>
  <c r="AC71" i="22"/>
  <c r="AB71" i="22"/>
  <c r="AA71" i="22"/>
  <c r="Z71" i="22"/>
  <c r="Y71" i="22"/>
  <c r="X71" i="22"/>
  <c r="W71" i="22"/>
  <c r="V71" i="22"/>
  <c r="U71" i="22"/>
  <c r="T71" i="22"/>
  <c r="S71" i="22"/>
  <c r="R71" i="22"/>
  <c r="Q71" i="22"/>
  <c r="P71" i="22"/>
  <c r="G71" i="22"/>
  <c r="BT60" i="22" s="1"/>
  <c r="CO70" i="22"/>
  <c r="CN70" i="22"/>
  <c r="CM70" i="22"/>
  <c r="CL70" i="22"/>
  <c r="CK70" i="22"/>
  <c r="CJ70" i="22"/>
  <c r="CI70" i="22"/>
  <c r="CH70" i="22"/>
  <c r="CG70" i="22"/>
  <c r="BM70" i="22"/>
  <c r="BL70" i="22"/>
  <c r="BK70" i="22"/>
  <c r="BJ70" i="22"/>
  <c r="BI70" i="22"/>
  <c r="BH70" i="22"/>
  <c r="BG70" i="22"/>
  <c r="BF70" i="22"/>
  <c r="BE70" i="22"/>
  <c r="BD70" i="22"/>
  <c r="BC70" i="22"/>
  <c r="BB70" i="22"/>
  <c r="BA70" i="22"/>
  <c r="AZ70" i="22"/>
  <c r="AY70" i="22"/>
  <c r="AX70" i="22"/>
  <c r="AW70" i="22"/>
  <c r="AV70" i="22"/>
  <c r="AU70" i="22"/>
  <c r="AT70" i="22"/>
  <c r="AS70" i="22"/>
  <c r="AR70" i="22"/>
  <c r="AQ70" i="22"/>
  <c r="AP70" i="22"/>
  <c r="AO70" i="22"/>
  <c r="AN70" i="22"/>
  <c r="AM70" i="22"/>
  <c r="AL70" i="22"/>
  <c r="AK70" i="22"/>
  <c r="AJ70" i="22"/>
  <c r="AI70" i="22"/>
  <c r="AH70" i="22"/>
  <c r="AG70" i="22"/>
  <c r="AF70" i="22"/>
  <c r="AE70" i="22"/>
  <c r="AD70" i="22"/>
  <c r="AC70" i="22"/>
  <c r="AB70" i="22"/>
  <c r="AA70" i="22"/>
  <c r="Z70" i="22"/>
  <c r="Y70" i="22"/>
  <c r="X70" i="22"/>
  <c r="W70" i="22"/>
  <c r="V70" i="22"/>
  <c r="U70" i="22"/>
  <c r="T70" i="22"/>
  <c r="S70" i="22"/>
  <c r="R70" i="22"/>
  <c r="Q70" i="22"/>
  <c r="P70" i="22"/>
  <c r="G70" i="22"/>
  <c r="BS65" i="22" s="1"/>
  <c r="CO69" i="22"/>
  <c r="CN69" i="22"/>
  <c r="CM69" i="22"/>
  <c r="CL69" i="22"/>
  <c r="CK69" i="22"/>
  <c r="CJ69" i="22"/>
  <c r="CI69" i="22"/>
  <c r="CH69" i="22"/>
  <c r="CG69" i="22"/>
  <c r="CF69" i="22"/>
  <c r="BV69" i="22"/>
  <c r="BM69" i="22"/>
  <c r="BL69" i="22"/>
  <c r="BK69" i="22"/>
  <c r="BJ69" i="22"/>
  <c r="BI69" i="22"/>
  <c r="BH69" i="22"/>
  <c r="BG69" i="22"/>
  <c r="BF69" i="22"/>
  <c r="BE69" i="22"/>
  <c r="BD69" i="22"/>
  <c r="BC69" i="22"/>
  <c r="BB69" i="22"/>
  <c r="BA69" i="22"/>
  <c r="AZ69" i="22"/>
  <c r="AY69" i="22"/>
  <c r="AX69" i="22"/>
  <c r="AW69" i="22"/>
  <c r="AV69" i="22"/>
  <c r="AU69" i="22"/>
  <c r="AT69" i="22"/>
  <c r="AS69" i="22"/>
  <c r="AR69" i="22"/>
  <c r="AQ69" i="22"/>
  <c r="AP69" i="22"/>
  <c r="AO69" i="22"/>
  <c r="AN69" i="22"/>
  <c r="AM69" i="22"/>
  <c r="AL69" i="22"/>
  <c r="AK69" i="22"/>
  <c r="AJ69" i="22"/>
  <c r="AI69" i="22"/>
  <c r="AH69" i="22"/>
  <c r="AG69" i="22"/>
  <c r="AF69" i="22"/>
  <c r="AE69" i="22"/>
  <c r="AD69" i="22"/>
  <c r="AC69" i="22"/>
  <c r="AB69" i="22"/>
  <c r="AA69" i="22"/>
  <c r="Z69" i="22"/>
  <c r="Y69" i="22"/>
  <c r="X69" i="22"/>
  <c r="W69" i="22"/>
  <c r="V69" i="22"/>
  <c r="U69" i="22"/>
  <c r="T69" i="22"/>
  <c r="S69" i="22"/>
  <c r="R69" i="22"/>
  <c r="Q69" i="22"/>
  <c r="P69" i="22"/>
  <c r="G69" i="22"/>
  <c r="BR75" i="22" s="1"/>
  <c r="CO68" i="22"/>
  <c r="CN68" i="22"/>
  <c r="CM68" i="22"/>
  <c r="CL68" i="22"/>
  <c r="CK68" i="22"/>
  <c r="CJ68" i="22"/>
  <c r="CI68" i="22"/>
  <c r="CH68" i="22"/>
  <c r="CG68" i="22"/>
  <c r="CF68" i="22"/>
  <c r="CE68" i="22"/>
  <c r="BM68" i="22"/>
  <c r="BL68" i="22"/>
  <c r="BK68" i="22"/>
  <c r="BJ68" i="22"/>
  <c r="BI68" i="22"/>
  <c r="BH68" i="22"/>
  <c r="BG68" i="22"/>
  <c r="BF68" i="22"/>
  <c r="BE68" i="22"/>
  <c r="BD68" i="22"/>
  <c r="BC68" i="22"/>
  <c r="BB68" i="22"/>
  <c r="BA68" i="22"/>
  <c r="AZ68" i="22"/>
  <c r="AY68" i="22"/>
  <c r="AX68" i="22"/>
  <c r="AW68" i="22"/>
  <c r="AV68" i="22"/>
  <c r="AU68" i="22"/>
  <c r="AT68" i="22"/>
  <c r="AS68" i="22"/>
  <c r="AR68" i="22"/>
  <c r="AQ68" i="22"/>
  <c r="AP68" i="22"/>
  <c r="AO68" i="22"/>
  <c r="AN68" i="22"/>
  <c r="AM68" i="22"/>
  <c r="AL68" i="22"/>
  <c r="AK68" i="22"/>
  <c r="AJ68" i="22"/>
  <c r="AI68" i="22"/>
  <c r="AH68" i="22"/>
  <c r="AG68" i="22"/>
  <c r="AF68" i="22"/>
  <c r="AE68" i="22"/>
  <c r="AD68" i="22"/>
  <c r="AC68" i="22"/>
  <c r="AB68" i="22"/>
  <c r="AA68" i="22"/>
  <c r="Z68" i="22"/>
  <c r="Y68" i="22"/>
  <c r="X68" i="22"/>
  <c r="W68" i="22"/>
  <c r="V68" i="22"/>
  <c r="U68" i="22"/>
  <c r="T68" i="22"/>
  <c r="S68" i="22"/>
  <c r="R68" i="22"/>
  <c r="Q68" i="22"/>
  <c r="P68" i="22"/>
  <c r="G68" i="22"/>
  <c r="BQ31" i="22" s="1"/>
  <c r="CO67" i="22"/>
  <c r="CN67" i="22"/>
  <c r="CM67" i="22"/>
  <c r="CL67" i="22"/>
  <c r="CK67" i="22"/>
  <c r="CJ67" i="22"/>
  <c r="CI67" i="22"/>
  <c r="CH67" i="22"/>
  <c r="CG67" i="22"/>
  <c r="CF67" i="22"/>
  <c r="CE67" i="22"/>
  <c r="CD67" i="22"/>
  <c r="BM67" i="22"/>
  <c r="BL67" i="22"/>
  <c r="BK67" i="22"/>
  <c r="BJ67" i="22"/>
  <c r="BI67" i="22"/>
  <c r="BH67" i="22"/>
  <c r="BG67" i="22"/>
  <c r="BF67" i="22"/>
  <c r="BE67" i="22"/>
  <c r="BD67" i="22"/>
  <c r="BC67" i="22"/>
  <c r="BB67" i="22"/>
  <c r="BA67" i="22"/>
  <c r="AZ67" i="22"/>
  <c r="AY67" i="22"/>
  <c r="AX67" i="22"/>
  <c r="AW67" i="22"/>
  <c r="AV67" i="22"/>
  <c r="AU67" i="22"/>
  <c r="AT67" i="22"/>
  <c r="AS67" i="22"/>
  <c r="AR67" i="22"/>
  <c r="AQ67" i="22"/>
  <c r="AP67" i="22"/>
  <c r="AO67" i="22"/>
  <c r="AN67" i="22"/>
  <c r="AM67" i="22"/>
  <c r="AL67" i="22"/>
  <c r="AK67" i="22"/>
  <c r="AJ67" i="22"/>
  <c r="AI67" i="22"/>
  <c r="AH67" i="22"/>
  <c r="AG67" i="22"/>
  <c r="AF67" i="22"/>
  <c r="AE67" i="22"/>
  <c r="AD67" i="22"/>
  <c r="AC67" i="22"/>
  <c r="AB67" i="22"/>
  <c r="AA67" i="22"/>
  <c r="Z67" i="22"/>
  <c r="Y67" i="22"/>
  <c r="X67" i="22"/>
  <c r="W67" i="22"/>
  <c r="V67" i="22"/>
  <c r="U67" i="22"/>
  <c r="T67" i="22"/>
  <c r="S67" i="22"/>
  <c r="R67" i="22"/>
  <c r="Q67" i="22"/>
  <c r="P67" i="22"/>
  <c r="G67" i="22"/>
  <c r="BP18" i="22" s="1"/>
  <c r="CO66" i="22"/>
  <c r="CN66" i="22"/>
  <c r="CM66" i="22"/>
  <c r="CL66" i="22"/>
  <c r="CK66" i="22"/>
  <c r="CJ66" i="22"/>
  <c r="CI66" i="22"/>
  <c r="CH66" i="22"/>
  <c r="CG66" i="22"/>
  <c r="CF66" i="22"/>
  <c r="CE66" i="22"/>
  <c r="CD66" i="22"/>
  <c r="CC66" i="22"/>
  <c r="BM66" i="22"/>
  <c r="BL66" i="22"/>
  <c r="BK66" i="22"/>
  <c r="BJ66" i="22"/>
  <c r="BI66" i="22"/>
  <c r="BH66" i="22"/>
  <c r="BG66" i="22"/>
  <c r="BF66" i="22"/>
  <c r="BE66" i="22"/>
  <c r="BD66" i="22"/>
  <c r="BC66" i="22"/>
  <c r="BB66" i="22"/>
  <c r="BA66" i="22"/>
  <c r="AZ66" i="22"/>
  <c r="AY66" i="22"/>
  <c r="AX66" i="22"/>
  <c r="AW66" i="22"/>
  <c r="AV66" i="22"/>
  <c r="AU66" i="22"/>
  <c r="AT66" i="22"/>
  <c r="AS66" i="22"/>
  <c r="AR66" i="22"/>
  <c r="AQ66" i="22"/>
  <c r="AP66" i="22"/>
  <c r="AO66" i="22"/>
  <c r="AN66" i="22"/>
  <c r="AM66" i="22"/>
  <c r="AL66" i="22"/>
  <c r="AK66" i="22"/>
  <c r="AJ66" i="22"/>
  <c r="AI66" i="22"/>
  <c r="AH66" i="22"/>
  <c r="AG66" i="22"/>
  <c r="AF66" i="22"/>
  <c r="AE66" i="22"/>
  <c r="AD66" i="22"/>
  <c r="AC66" i="22"/>
  <c r="AB66" i="22"/>
  <c r="AA66" i="22"/>
  <c r="Z66" i="22"/>
  <c r="Y66" i="22"/>
  <c r="X66" i="22"/>
  <c r="W66" i="22"/>
  <c r="V66" i="22"/>
  <c r="U66" i="22"/>
  <c r="T66" i="22"/>
  <c r="S66" i="22"/>
  <c r="R66" i="22"/>
  <c r="Q66" i="22"/>
  <c r="P66" i="22"/>
  <c r="G66" i="22"/>
  <c r="BO40" i="22" s="1"/>
  <c r="CO65" i="22"/>
  <c r="CN65" i="22"/>
  <c r="CM65" i="22"/>
  <c r="CL65" i="22"/>
  <c r="CK65" i="22"/>
  <c r="CJ65" i="22"/>
  <c r="CI65" i="22"/>
  <c r="CH65" i="22"/>
  <c r="CG65" i="22"/>
  <c r="CF65" i="22"/>
  <c r="CE65" i="22"/>
  <c r="CD65" i="22"/>
  <c r="CC65" i="22"/>
  <c r="CB65" i="22"/>
  <c r="BM65" i="22"/>
  <c r="BL65" i="22"/>
  <c r="BK65" i="22"/>
  <c r="BJ65" i="22"/>
  <c r="BI65" i="22"/>
  <c r="BH65" i="22"/>
  <c r="BG65" i="22"/>
  <c r="BF65" i="22"/>
  <c r="BE65" i="22"/>
  <c r="BD65" i="22"/>
  <c r="BC65" i="22"/>
  <c r="BB65" i="22"/>
  <c r="BA65" i="22"/>
  <c r="AZ65" i="22"/>
  <c r="AY65" i="22"/>
  <c r="AX65" i="22"/>
  <c r="AW65" i="22"/>
  <c r="AV65" i="22"/>
  <c r="AU65" i="22"/>
  <c r="AT65" i="22"/>
  <c r="AS65" i="22"/>
  <c r="AR65" i="22"/>
  <c r="AQ65" i="22"/>
  <c r="AP65" i="22"/>
  <c r="AO65" i="22"/>
  <c r="AN65" i="22"/>
  <c r="AM65" i="22"/>
  <c r="AL65" i="22"/>
  <c r="AK65" i="22"/>
  <c r="AJ65" i="22"/>
  <c r="AI65" i="22"/>
  <c r="AH65" i="22"/>
  <c r="AG65" i="22"/>
  <c r="AF65" i="22"/>
  <c r="AE65" i="22"/>
  <c r="AD65" i="22"/>
  <c r="AC65" i="22"/>
  <c r="AB65" i="22"/>
  <c r="AA65" i="22"/>
  <c r="Z65" i="22"/>
  <c r="Y65" i="22"/>
  <c r="X65" i="22"/>
  <c r="W65" i="22"/>
  <c r="V65" i="22"/>
  <c r="U65" i="22"/>
  <c r="T65" i="22"/>
  <c r="S65" i="22"/>
  <c r="R65" i="22"/>
  <c r="Q65" i="22"/>
  <c r="P65" i="22"/>
  <c r="G65" i="22"/>
  <c r="BN58" i="22" s="1"/>
  <c r="CO64" i="22"/>
  <c r="CN64" i="22"/>
  <c r="CM64" i="22"/>
  <c r="CL64" i="22"/>
  <c r="CK64" i="22"/>
  <c r="CJ64" i="22"/>
  <c r="CI64" i="22"/>
  <c r="CH64" i="22"/>
  <c r="CG64" i="22"/>
  <c r="CF64" i="22"/>
  <c r="CE64" i="22"/>
  <c r="CD64" i="22"/>
  <c r="CC64" i="22"/>
  <c r="CB64" i="22"/>
  <c r="CA64" i="22"/>
  <c r="BN64" i="22"/>
  <c r="BM64" i="22"/>
  <c r="BL64" i="22"/>
  <c r="BK64" i="22"/>
  <c r="BJ64" i="22"/>
  <c r="BI64" i="22"/>
  <c r="BH64" i="22"/>
  <c r="BG64" i="22"/>
  <c r="BF64" i="22"/>
  <c r="BE64" i="22"/>
  <c r="BD64" i="22"/>
  <c r="BC64" i="22"/>
  <c r="BB64" i="22"/>
  <c r="BA64" i="22"/>
  <c r="AZ64" i="22"/>
  <c r="AY64" i="22"/>
  <c r="AX64" i="22"/>
  <c r="AW64" i="22"/>
  <c r="AV64" i="22"/>
  <c r="AU64" i="22"/>
  <c r="AT64" i="22"/>
  <c r="AS64" i="22"/>
  <c r="AR64" i="22"/>
  <c r="AQ64" i="22"/>
  <c r="AP64" i="22"/>
  <c r="AO64" i="22"/>
  <c r="AN64" i="22"/>
  <c r="AM64" i="22"/>
  <c r="AL64" i="22"/>
  <c r="AK64" i="22"/>
  <c r="AJ64" i="22"/>
  <c r="AI64" i="22"/>
  <c r="AH64" i="22"/>
  <c r="AG64" i="22"/>
  <c r="AF64" i="22"/>
  <c r="AE64" i="22"/>
  <c r="AD64" i="22"/>
  <c r="AC64" i="22"/>
  <c r="AB64" i="22"/>
  <c r="AA64" i="22"/>
  <c r="Z64" i="22"/>
  <c r="Y64" i="22"/>
  <c r="X64" i="22"/>
  <c r="W64" i="22"/>
  <c r="V64" i="22"/>
  <c r="U64" i="22"/>
  <c r="T64" i="22"/>
  <c r="S64" i="22"/>
  <c r="R64" i="22"/>
  <c r="Q64" i="22"/>
  <c r="P64" i="22"/>
  <c r="H64" i="22"/>
  <c r="CO63" i="22"/>
  <c r="CN63" i="22"/>
  <c r="CM63" i="22"/>
  <c r="CL63" i="22"/>
  <c r="CK63" i="22"/>
  <c r="CJ63" i="22"/>
  <c r="CI63" i="22"/>
  <c r="CH63" i="22"/>
  <c r="CG63" i="22"/>
  <c r="CF63" i="22"/>
  <c r="CE63" i="22"/>
  <c r="CD63" i="22"/>
  <c r="CC63" i="22"/>
  <c r="CB63" i="22"/>
  <c r="CA63" i="22"/>
  <c r="BZ63" i="22"/>
  <c r="BM63" i="22"/>
  <c r="BL63" i="22"/>
  <c r="BK63" i="22"/>
  <c r="BJ63" i="22"/>
  <c r="BI63" i="22"/>
  <c r="BH63" i="22"/>
  <c r="BG63" i="22"/>
  <c r="BF63" i="22"/>
  <c r="BE63" i="22"/>
  <c r="BD63" i="22"/>
  <c r="BC63" i="22"/>
  <c r="BB63" i="22"/>
  <c r="BA63" i="22"/>
  <c r="AZ63" i="22"/>
  <c r="AY63" i="22"/>
  <c r="AX63" i="22"/>
  <c r="AW63" i="22"/>
  <c r="AV63" i="22"/>
  <c r="AU63" i="22"/>
  <c r="AT63" i="22"/>
  <c r="AS63" i="22"/>
  <c r="AR63" i="22"/>
  <c r="AQ63" i="22"/>
  <c r="AP63" i="22"/>
  <c r="AO63" i="22"/>
  <c r="AN63" i="22"/>
  <c r="AM63" i="22"/>
  <c r="AL63" i="22"/>
  <c r="AK63" i="22"/>
  <c r="AJ63" i="22"/>
  <c r="AI63" i="22"/>
  <c r="AH63" i="22"/>
  <c r="AG63" i="22"/>
  <c r="AF63" i="22"/>
  <c r="AE63" i="22"/>
  <c r="AD63" i="22"/>
  <c r="AC63" i="22"/>
  <c r="AB63" i="22"/>
  <c r="AA63" i="22"/>
  <c r="Z63" i="22"/>
  <c r="Y63" i="22"/>
  <c r="X63" i="22"/>
  <c r="W63" i="22"/>
  <c r="V63" i="22"/>
  <c r="U63" i="22"/>
  <c r="T63" i="22"/>
  <c r="S63" i="22"/>
  <c r="R63" i="22"/>
  <c r="Q63" i="22"/>
  <c r="P63" i="22"/>
  <c r="H63" i="22"/>
  <c r="CO62" i="22"/>
  <c r="CN62" i="22"/>
  <c r="CM62" i="22"/>
  <c r="CL62" i="22"/>
  <c r="CK62" i="22"/>
  <c r="CJ62" i="22"/>
  <c r="CI62" i="22"/>
  <c r="CH62" i="22"/>
  <c r="CG62" i="22"/>
  <c r="CF62" i="22"/>
  <c r="CE62" i="22"/>
  <c r="CD62" i="22"/>
  <c r="CC62" i="22"/>
  <c r="CB62" i="22"/>
  <c r="CA62" i="22"/>
  <c r="BZ62" i="22"/>
  <c r="BY62" i="22"/>
  <c r="BM62" i="22"/>
  <c r="BL62" i="22"/>
  <c r="BK62" i="22"/>
  <c r="BJ62" i="22"/>
  <c r="BI62" i="22"/>
  <c r="BH62" i="22"/>
  <c r="BG62" i="22"/>
  <c r="BF62" i="22"/>
  <c r="BE62" i="22"/>
  <c r="BD62" i="22"/>
  <c r="BC62" i="22"/>
  <c r="BB62" i="22"/>
  <c r="BA62" i="22"/>
  <c r="AZ62" i="22"/>
  <c r="AY62" i="22"/>
  <c r="AX62" i="22"/>
  <c r="AW62" i="22"/>
  <c r="AV62" i="22"/>
  <c r="AU62" i="22"/>
  <c r="AT62" i="22"/>
  <c r="AS62" i="22"/>
  <c r="AR62" i="22"/>
  <c r="AQ62" i="22"/>
  <c r="AP62" i="22"/>
  <c r="AO62" i="22"/>
  <c r="AN62" i="22"/>
  <c r="AM62" i="22"/>
  <c r="AL62" i="22"/>
  <c r="AK62" i="22"/>
  <c r="AJ62" i="22"/>
  <c r="AI62" i="22"/>
  <c r="AH62" i="22"/>
  <c r="AG62" i="22"/>
  <c r="AF62" i="22"/>
  <c r="AE62" i="22"/>
  <c r="AD62" i="22"/>
  <c r="AC62" i="22"/>
  <c r="AB62" i="22"/>
  <c r="AA62" i="22"/>
  <c r="Z62" i="22"/>
  <c r="Y62" i="22"/>
  <c r="X62" i="22"/>
  <c r="W62" i="22"/>
  <c r="V62" i="22"/>
  <c r="U62" i="22"/>
  <c r="T62" i="22"/>
  <c r="S62" i="22"/>
  <c r="R62" i="22"/>
  <c r="Q62" i="22"/>
  <c r="P62" i="22"/>
  <c r="H62" i="22"/>
  <c r="CO61" i="22"/>
  <c r="CN61" i="22"/>
  <c r="CM61" i="22"/>
  <c r="CL61" i="22"/>
  <c r="CK61" i="22"/>
  <c r="CJ61" i="22"/>
  <c r="CI61" i="22"/>
  <c r="CH61" i="22"/>
  <c r="CG61" i="22"/>
  <c r="CF61" i="22"/>
  <c r="CE61" i="22"/>
  <c r="CD61" i="22"/>
  <c r="CC61" i="22"/>
  <c r="CB61" i="22"/>
  <c r="CA61" i="22"/>
  <c r="BZ61" i="22"/>
  <c r="BY61" i="22"/>
  <c r="BX61" i="22"/>
  <c r="BM61" i="22"/>
  <c r="BL61" i="22"/>
  <c r="BK61" i="22"/>
  <c r="BJ61" i="22"/>
  <c r="BI61" i="22"/>
  <c r="BH61" i="22"/>
  <c r="BG61" i="22"/>
  <c r="BF61" i="22"/>
  <c r="BE61" i="22"/>
  <c r="BD61" i="22"/>
  <c r="BC61" i="22"/>
  <c r="BB61" i="22"/>
  <c r="BA61" i="22"/>
  <c r="AZ61" i="22"/>
  <c r="AY61" i="22"/>
  <c r="AX61" i="22"/>
  <c r="AW61" i="22"/>
  <c r="AV61" i="22"/>
  <c r="AU61" i="22"/>
  <c r="AT61" i="22"/>
  <c r="AS61" i="22"/>
  <c r="AR61" i="22"/>
  <c r="AQ61" i="22"/>
  <c r="AP61" i="22"/>
  <c r="AO61" i="22"/>
  <c r="AN61" i="22"/>
  <c r="AM61" i="22"/>
  <c r="AL61" i="22"/>
  <c r="AK61" i="22"/>
  <c r="AJ61" i="22"/>
  <c r="AI61" i="22"/>
  <c r="AH61" i="22"/>
  <c r="AG61" i="22"/>
  <c r="AF61" i="22"/>
  <c r="AE61" i="22"/>
  <c r="AD61" i="22"/>
  <c r="AC61" i="22"/>
  <c r="AB61" i="22"/>
  <c r="AA61" i="22"/>
  <c r="Z61" i="22"/>
  <c r="Y61" i="22"/>
  <c r="X61" i="22"/>
  <c r="W61" i="22"/>
  <c r="V61" i="22"/>
  <c r="U61" i="22"/>
  <c r="T61" i="22"/>
  <c r="S61" i="22"/>
  <c r="R61" i="22"/>
  <c r="Q61" i="22"/>
  <c r="P61" i="22"/>
  <c r="CO60" i="22"/>
  <c r="CN60" i="22"/>
  <c r="CM60" i="22"/>
  <c r="CL60" i="22"/>
  <c r="CK60" i="22"/>
  <c r="CJ60" i="22"/>
  <c r="CI60" i="22"/>
  <c r="CH60" i="22"/>
  <c r="CG60" i="22"/>
  <c r="CF60" i="22"/>
  <c r="CE60" i="22"/>
  <c r="CD60" i="22"/>
  <c r="CC60" i="22"/>
  <c r="CB60" i="22"/>
  <c r="CA60" i="22"/>
  <c r="BZ60" i="22"/>
  <c r="BY60" i="22"/>
  <c r="BX60" i="22"/>
  <c r="BW60" i="22"/>
  <c r="BM60" i="22"/>
  <c r="BL60" i="22"/>
  <c r="BK60" i="22"/>
  <c r="BJ60" i="22"/>
  <c r="BI60" i="22"/>
  <c r="BH60" i="22"/>
  <c r="BG60" i="22"/>
  <c r="BF60" i="22"/>
  <c r="BE60" i="22"/>
  <c r="BD60" i="22"/>
  <c r="BC60" i="22"/>
  <c r="BB60" i="22"/>
  <c r="BA60" i="22"/>
  <c r="AZ60" i="22"/>
  <c r="AY60" i="22"/>
  <c r="AX60" i="22"/>
  <c r="AW60" i="22"/>
  <c r="AV60" i="22"/>
  <c r="AU60" i="22"/>
  <c r="AT60" i="22"/>
  <c r="AS60" i="22"/>
  <c r="AR60" i="22"/>
  <c r="AQ60" i="22"/>
  <c r="AP60" i="22"/>
  <c r="AO60" i="22"/>
  <c r="AN60" i="22"/>
  <c r="AM60" i="22"/>
  <c r="AL60" i="22"/>
  <c r="AK60" i="22"/>
  <c r="AJ60" i="22"/>
  <c r="AI60" i="22"/>
  <c r="AH60" i="22"/>
  <c r="AG60" i="22"/>
  <c r="AF60" i="22"/>
  <c r="AE60" i="22"/>
  <c r="AD60" i="22"/>
  <c r="AC60" i="22"/>
  <c r="AB60" i="22"/>
  <c r="AA60" i="22"/>
  <c r="Z60" i="22"/>
  <c r="Y60" i="22"/>
  <c r="X60" i="22"/>
  <c r="W60" i="22"/>
  <c r="V60" i="22"/>
  <c r="U60" i="22"/>
  <c r="T60" i="22"/>
  <c r="S60" i="22"/>
  <c r="R60" i="22"/>
  <c r="Q60" i="22"/>
  <c r="P60" i="22"/>
  <c r="H60" i="22"/>
  <c r="CO59" i="22"/>
  <c r="CN59" i="22"/>
  <c r="CM59" i="22"/>
  <c r="CL59" i="22"/>
  <c r="CK59" i="22"/>
  <c r="CJ59" i="22"/>
  <c r="CI59" i="22"/>
  <c r="CH59" i="22"/>
  <c r="CG59" i="22"/>
  <c r="CF59" i="22"/>
  <c r="CE59" i="22"/>
  <c r="CD59" i="22"/>
  <c r="CC59" i="22"/>
  <c r="CB59" i="22"/>
  <c r="CA59" i="22"/>
  <c r="BZ59" i="22"/>
  <c r="BY59" i="22"/>
  <c r="BX59" i="22"/>
  <c r="BW59" i="22"/>
  <c r="BV59" i="22"/>
  <c r="BM59" i="22"/>
  <c r="BL59" i="22"/>
  <c r="BK59" i="22"/>
  <c r="BJ59" i="22"/>
  <c r="BI59" i="22"/>
  <c r="BH59" i="22"/>
  <c r="BG59" i="22"/>
  <c r="BF59" i="22"/>
  <c r="BE59" i="22"/>
  <c r="BD59" i="22"/>
  <c r="BC59" i="22"/>
  <c r="BB59" i="22"/>
  <c r="BA59" i="22"/>
  <c r="AZ59" i="22"/>
  <c r="AY59" i="22"/>
  <c r="AX59" i="22"/>
  <c r="AW59" i="22"/>
  <c r="AV59" i="22"/>
  <c r="AU59" i="22"/>
  <c r="AT59" i="22"/>
  <c r="AS59" i="22"/>
  <c r="AR59" i="22"/>
  <c r="AQ59" i="22"/>
  <c r="AP59" i="22"/>
  <c r="AO59" i="22"/>
  <c r="AN59" i="22"/>
  <c r="AM59" i="22"/>
  <c r="AL59" i="22"/>
  <c r="AK59" i="22"/>
  <c r="AJ59" i="22"/>
  <c r="AI59" i="22"/>
  <c r="AH59" i="22"/>
  <c r="AG59" i="22"/>
  <c r="AF59" i="22"/>
  <c r="AE59" i="22"/>
  <c r="AD59" i="22"/>
  <c r="AC59" i="22"/>
  <c r="AB59" i="22"/>
  <c r="AA59" i="22"/>
  <c r="Z59" i="22"/>
  <c r="Y59" i="22"/>
  <c r="X59" i="22"/>
  <c r="W59" i="22"/>
  <c r="V59" i="22"/>
  <c r="U59" i="22"/>
  <c r="T59" i="22"/>
  <c r="S59" i="22"/>
  <c r="R59" i="22"/>
  <c r="Q59" i="22"/>
  <c r="P59" i="22"/>
  <c r="CO58" i="22"/>
  <c r="CN58" i="22"/>
  <c r="CM58" i="22"/>
  <c r="CL58" i="22"/>
  <c r="CK58" i="22"/>
  <c r="CJ58" i="22"/>
  <c r="CI58" i="22"/>
  <c r="CH58" i="22"/>
  <c r="CG58" i="22"/>
  <c r="CF58" i="22"/>
  <c r="CE58" i="22"/>
  <c r="CD58" i="22"/>
  <c r="CC58" i="22"/>
  <c r="CB58" i="22"/>
  <c r="CA58" i="22"/>
  <c r="BZ58" i="22"/>
  <c r="BY58" i="22"/>
  <c r="BX58" i="22"/>
  <c r="BW58" i="22"/>
  <c r="BV58" i="22"/>
  <c r="BU58" i="22"/>
  <c r="BM58" i="22"/>
  <c r="BL58" i="22"/>
  <c r="BK58" i="22"/>
  <c r="BJ58" i="22"/>
  <c r="BI58" i="22"/>
  <c r="BH58" i="22"/>
  <c r="BG58" i="22"/>
  <c r="BF58" i="22"/>
  <c r="BE58" i="22"/>
  <c r="BD58" i="22"/>
  <c r="BC58" i="22"/>
  <c r="BB58" i="22"/>
  <c r="BA58" i="22"/>
  <c r="AZ58" i="22"/>
  <c r="AY58" i="22"/>
  <c r="AX58" i="22"/>
  <c r="AW58" i="22"/>
  <c r="AV58" i="22"/>
  <c r="AU58" i="22"/>
  <c r="AT58" i="22"/>
  <c r="AS58" i="22"/>
  <c r="AR58" i="22"/>
  <c r="AQ58" i="22"/>
  <c r="AP58" i="22"/>
  <c r="AO58" i="22"/>
  <c r="AN58" i="22"/>
  <c r="AM58" i="22"/>
  <c r="AL58" i="22"/>
  <c r="AK58" i="22"/>
  <c r="AJ58" i="22"/>
  <c r="AI58" i="22"/>
  <c r="AH58" i="22"/>
  <c r="AG58" i="22"/>
  <c r="AF58" i="22"/>
  <c r="AE58" i="22"/>
  <c r="AD58" i="22"/>
  <c r="AC58" i="22"/>
  <c r="AB58" i="22"/>
  <c r="AA58" i="22"/>
  <c r="Z58" i="22"/>
  <c r="Y58" i="22"/>
  <c r="X58" i="22"/>
  <c r="W58" i="22"/>
  <c r="V58" i="22"/>
  <c r="U58" i="22"/>
  <c r="T58" i="22"/>
  <c r="S58" i="22"/>
  <c r="R58" i="22"/>
  <c r="Q58" i="22"/>
  <c r="P58" i="22"/>
  <c r="CO57" i="22"/>
  <c r="CN57" i="22"/>
  <c r="CM57" i="22"/>
  <c r="CL57" i="22"/>
  <c r="CK57" i="22"/>
  <c r="CJ57" i="22"/>
  <c r="CI57" i="22"/>
  <c r="CH57" i="22"/>
  <c r="CG57" i="22"/>
  <c r="CF57" i="22"/>
  <c r="CE57" i="22"/>
  <c r="CD57" i="22"/>
  <c r="CC57" i="22"/>
  <c r="CB57" i="22"/>
  <c r="CA57" i="22"/>
  <c r="BZ57" i="22"/>
  <c r="BY57" i="22"/>
  <c r="BX57" i="22"/>
  <c r="BW57" i="22"/>
  <c r="BV57" i="22"/>
  <c r="BU57" i="22"/>
  <c r="BT57" i="22"/>
  <c r="BM57" i="22"/>
  <c r="BL57" i="22"/>
  <c r="BK57" i="22"/>
  <c r="BJ57" i="22"/>
  <c r="BI57" i="22"/>
  <c r="BH57" i="22"/>
  <c r="BG57" i="22"/>
  <c r="BF57" i="22"/>
  <c r="BE57" i="22"/>
  <c r="BD57" i="22"/>
  <c r="BC57" i="22"/>
  <c r="BB57" i="22"/>
  <c r="BA57" i="22"/>
  <c r="AZ57" i="22"/>
  <c r="AY57" i="22"/>
  <c r="AX57" i="22"/>
  <c r="AW57" i="22"/>
  <c r="AV57" i="22"/>
  <c r="AU57" i="22"/>
  <c r="AT57" i="22"/>
  <c r="AS57" i="22"/>
  <c r="AR57" i="22"/>
  <c r="AQ57" i="22"/>
  <c r="AP57" i="22"/>
  <c r="AO57" i="22"/>
  <c r="AN57" i="22"/>
  <c r="AM57" i="22"/>
  <c r="AL57" i="22"/>
  <c r="AK57" i="22"/>
  <c r="AJ57" i="22"/>
  <c r="AI57" i="22"/>
  <c r="AH57" i="22"/>
  <c r="AG57" i="22"/>
  <c r="AF57" i="22"/>
  <c r="AE57" i="22"/>
  <c r="AD57" i="22"/>
  <c r="AC57" i="22"/>
  <c r="AB57" i="22"/>
  <c r="AA57" i="22"/>
  <c r="Z57" i="22"/>
  <c r="Y57" i="22"/>
  <c r="X57" i="22"/>
  <c r="W57" i="22"/>
  <c r="V57" i="22"/>
  <c r="U57" i="22"/>
  <c r="T57" i="22"/>
  <c r="S57" i="22"/>
  <c r="R57" i="22"/>
  <c r="Q57" i="22"/>
  <c r="P57" i="22"/>
  <c r="H57" i="22"/>
  <c r="CO56" i="22"/>
  <c r="CN56" i="22"/>
  <c r="CM56" i="22"/>
  <c r="CL56" i="22"/>
  <c r="CK56" i="22"/>
  <c r="CJ56" i="22"/>
  <c r="CI56" i="22"/>
  <c r="CH56" i="22"/>
  <c r="CG56" i="22"/>
  <c r="CF56" i="22"/>
  <c r="CE56" i="22"/>
  <c r="CD56" i="22"/>
  <c r="CC56" i="22"/>
  <c r="CB56" i="22"/>
  <c r="CA56" i="22"/>
  <c r="BZ56" i="22"/>
  <c r="BY56" i="22"/>
  <c r="BX56" i="22"/>
  <c r="BW56" i="22"/>
  <c r="BV56" i="22"/>
  <c r="BU56" i="22"/>
  <c r="BT56" i="22"/>
  <c r="BS56" i="22"/>
  <c r="BM56" i="22"/>
  <c r="BL56" i="22"/>
  <c r="BK56" i="22"/>
  <c r="BJ56" i="22"/>
  <c r="BI56" i="22"/>
  <c r="BH56" i="22"/>
  <c r="BG56" i="22"/>
  <c r="BF56" i="22"/>
  <c r="BE56" i="22"/>
  <c r="BD56" i="22"/>
  <c r="BC56" i="22"/>
  <c r="BB56" i="22"/>
  <c r="BA56" i="22"/>
  <c r="AZ56" i="22"/>
  <c r="AY56" i="22"/>
  <c r="AX56" i="22"/>
  <c r="AW56" i="22"/>
  <c r="AV56" i="22"/>
  <c r="AU56" i="22"/>
  <c r="AT56" i="22"/>
  <c r="AS56" i="22"/>
  <c r="AR56" i="22"/>
  <c r="AQ56" i="22"/>
  <c r="AP56" i="22"/>
  <c r="AO56" i="22"/>
  <c r="AN56" i="22"/>
  <c r="AM56" i="22"/>
  <c r="AL56" i="22"/>
  <c r="AK56" i="22"/>
  <c r="AJ56" i="22"/>
  <c r="AI56" i="22"/>
  <c r="AH56" i="22"/>
  <c r="AG56" i="22"/>
  <c r="AF56" i="22"/>
  <c r="AE56" i="22"/>
  <c r="AD56" i="22"/>
  <c r="AC56" i="22"/>
  <c r="AB56" i="22"/>
  <c r="AA56" i="22"/>
  <c r="Z56" i="22"/>
  <c r="Y56" i="22"/>
  <c r="X56" i="22"/>
  <c r="W56" i="22"/>
  <c r="V56" i="22"/>
  <c r="U56" i="22"/>
  <c r="T56" i="22"/>
  <c r="S56" i="22"/>
  <c r="R56" i="22"/>
  <c r="Q56" i="22"/>
  <c r="P56" i="22"/>
  <c r="CO55" i="22"/>
  <c r="CN55" i="22"/>
  <c r="CM55" i="22"/>
  <c r="CL55" i="22"/>
  <c r="CK55" i="22"/>
  <c r="CJ55" i="22"/>
  <c r="CI55" i="22"/>
  <c r="CH55" i="22"/>
  <c r="CG55" i="22"/>
  <c r="CF55" i="22"/>
  <c r="CE55" i="22"/>
  <c r="CD55" i="22"/>
  <c r="CC55" i="22"/>
  <c r="CB55" i="22"/>
  <c r="CA55" i="22"/>
  <c r="BZ55" i="22"/>
  <c r="BY55" i="22"/>
  <c r="BX55" i="22"/>
  <c r="BW55" i="22"/>
  <c r="BV55" i="22"/>
  <c r="BU55" i="22"/>
  <c r="BT55" i="22"/>
  <c r="BS55" i="22"/>
  <c r="BR55" i="22"/>
  <c r="BM55" i="22"/>
  <c r="BL55" i="22"/>
  <c r="BK55" i="22"/>
  <c r="BJ55" i="22"/>
  <c r="BI55" i="22"/>
  <c r="BH55" i="22"/>
  <c r="BG55" i="22"/>
  <c r="BF55" i="22"/>
  <c r="BE55" i="22"/>
  <c r="BD55" i="22"/>
  <c r="BC55" i="22"/>
  <c r="BB55" i="22"/>
  <c r="BA55" i="22"/>
  <c r="AZ55" i="22"/>
  <c r="AY55" i="22"/>
  <c r="AX55" i="22"/>
  <c r="AW55" i="22"/>
  <c r="AV55" i="22"/>
  <c r="AU55" i="22"/>
  <c r="AT55" i="22"/>
  <c r="AS55" i="22"/>
  <c r="AR55" i="22"/>
  <c r="AQ55" i="22"/>
  <c r="AP55" i="22"/>
  <c r="AO55" i="22"/>
  <c r="AN55" i="22"/>
  <c r="AM55" i="22"/>
  <c r="AL55" i="22"/>
  <c r="AK55" i="22"/>
  <c r="AJ55" i="22"/>
  <c r="AI55" i="22"/>
  <c r="AH55" i="22"/>
  <c r="AG55" i="22"/>
  <c r="AF55" i="22"/>
  <c r="AE55" i="22"/>
  <c r="AD55" i="22"/>
  <c r="AC55" i="22"/>
  <c r="AB55" i="22"/>
  <c r="AA55" i="22"/>
  <c r="Z55" i="22"/>
  <c r="Y55" i="22"/>
  <c r="X55" i="22"/>
  <c r="W55" i="22"/>
  <c r="V55" i="22"/>
  <c r="U55" i="22"/>
  <c r="T55" i="22"/>
  <c r="S55" i="22"/>
  <c r="R55" i="22"/>
  <c r="Q55" i="22"/>
  <c r="P55" i="22"/>
  <c r="H55" i="22"/>
  <c r="CO54" i="22"/>
  <c r="CN54" i="22"/>
  <c r="CM54" i="22"/>
  <c r="CL54" i="22"/>
  <c r="CK54" i="22"/>
  <c r="CJ54" i="22"/>
  <c r="CI54" i="22"/>
  <c r="CH54" i="22"/>
  <c r="CG54" i="22"/>
  <c r="CF54" i="22"/>
  <c r="CE54" i="22"/>
  <c r="CD54" i="22"/>
  <c r="CC54" i="22"/>
  <c r="CB54" i="22"/>
  <c r="CA54" i="22"/>
  <c r="BZ54" i="22"/>
  <c r="BY54" i="22"/>
  <c r="BX54" i="22"/>
  <c r="BW54" i="22"/>
  <c r="BV54" i="22"/>
  <c r="BU54" i="22"/>
  <c r="BT54" i="22"/>
  <c r="BS54" i="22"/>
  <c r="BR54" i="22"/>
  <c r="BQ54" i="22"/>
  <c r="BM54" i="22"/>
  <c r="BL54" i="22"/>
  <c r="BK54" i="22"/>
  <c r="BJ54" i="22"/>
  <c r="BI54" i="22"/>
  <c r="BH54" i="22"/>
  <c r="BG54" i="22"/>
  <c r="BF54" i="22"/>
  <c r="BE54" i="22"/>
  <c r="BD54" i="22"/>
  <c r="BC54" i="22"/>
  <c r="BB54" i="22"/>
  <c r="BA54" i="22"/>
  <c r="AZ54" i="22"/>
  <c r="AY54" i="22"/>
  <c r="AX54" i="22"/>
  <c r="AW54" i="22"/>
  <c r="AV54" i="22"/>
  <c r="AU54" i="22"/>
  <c r="AT54" i="22"/>
  <c r="AS54" i="22"/>
  <c r="AR54" i="22"/>
  <c r="AQ54" i="22"/>
  <c r="AP54" i="22"/>
  <c r="AO54" i="22"/>
  <c r="AN54" i="22"/>
  <c r="AM54" i="22"/>
  <c r="AL54" i="22"/>
  <c r="AK54" i="22"/>
  <c r="AJ54" i="22"/>
  <c r="AI54" i="22"/>
  <c r="AH54" i="22"/>
  <c r="AG54" i="22"/>
  <c r="AF54" i="22"/>
  <c r="AE54" i="22"/>
  <c r="AD54" i="22"/>
  <c r="AC54" i="22"/>
  <c r="AB54" i="22"/>
  <c r="AA54" i="22"/>
  <c r="Z54" i="22"/>
  <c r="Y54" i="22"/>
  <c r="X54" i="22"/>
  <c r="W54" i="22"/>
  <c r="V54" i="22"/>
  <c r="U54" i="22"/>
  <c r="T54" i="22"/>
  <c r="S54" i="22"/>
  <c r="R54" i="22"/>
  <c r="Q54" i="22"/>
  <c r="P54" i="22"/>
  <c r="H54" i="22"/>
  <c r="CO53" i="22"/>
  <c r="CN53" i="22"/>
  <c r="CM53" i="22"/>
  <c r="CL53" i="22"/>
  <c r="CK53" i="22"/>
  <c r="CJ53" i="22"/>
  <c r="CI53" i="22"/>
  <c r="CH53" i="22"/>
  <c r="CG53" i="22"/>
  <c r="CF53" i="22"/>
  <c r="CE53" i="22"/>
  <c r="CD53" i="22"/>
  <c r="CC53" i="22"/>
  <c r="CB53" i="22"/>
  <c r="CA53" i="22"/>
  <c r="BZ53" i="22"/>
  <c r="BY53" i="22"/>
  <c r="BX53" i="22"/>
  <c r="BW53" i="22"/>
  <c r="BV53" i="22"/>
  <c r="BU53" i="22"/>
  <c r="BT53" i="22"/>
  <c r="BS53" i="22"/>
  <c r="BR53" i="22"/>
  <c r="BQ53" i="22"/>
  <c r="BP53" i="22"/>
  <c r="BM53" i="22"/>
  <c r="BL53" i="22"/>
  <c r="BK53" i="22"/>
  <c r="BJ53" i="22"/>
  <c r="BI53" i="22"/>
  <c r="BH53" i="22"/>
  <c r="BG53" i="22"/>
  <c r="BF53" i="22"/>
  <c r="BE53" i="22"/>
  <c r="BD53" i="22"/>
  <c r="BC53" i="22"/>
  <c r="BB53" i="22"/>
  <c r="BA53" i="22"/>
  <c r="AZ53" i="22"/>
  <c r="AY53" i="22"/>
  <c r="AX53" i="22"/>
  <c r="AW53" i="22"/>
  <c r="AV53" i="22"/>
  <c r="AU53" i="22"/>
  <c r="AT53" i="22"/>
  <c r="AS53" i="22"/>
  <c r="AR53" i="22"/>
  <c r="AQ53" i="22"/>
  <c r="AP53" i="22"/>
  <c r="AO53" i="22"/>
  <c r="AN53" i="22"/>
  <c r="AM53" i="22"/>
  <c r="AL53" i="22"/>
  <c r="AK53" i="22"/>
  <c r="AJ53" i="22"/>
  <c r="AI53" i="22"/>
  <c r="AH53" i="22"/>
  <c r="AG53" i="22"/>
  <c r="AF53" i="22"/>
  <c r="AE53" i="22"/>
  <c r="AD53" i="22"/>
  <c r="AC53" i="22"/>
  <c r="AB53" i="22"/>
  <c r="AA53" i="22"/>
  <c r="Z53" i="22"/>
  <c r="Y53" i="22"/>
  <c r="X53" i="22"/>
  <c r="W53" i="22"/>
  <c r="V53" i="22"/>
  <c r="U53" i="22"/>
  <c r="T53" i="22"/>
  <c r="S53" i="22"/>
  <c r="R53" i="22"/>
  <c r="Q53" i="22"/>
  <c r="P53" i="22"/>
  <c r="H53" i="22"/>
  <c r="CO52" i="22"/>
  <c r="CN52" i="22"/>
  <c r="CM52" i="22"/>
  <c r="CL52" i="22"/>
  <c r="CK52" i="22"/>
  <c r="CJ52" i="22"/>
  <c r="CI52" i="22"/>
  <c r="CH52" i="22"/>
  <c r="CG52" i="22"/>
  <c r="CF52" i="22"/>
  <c r="CE52" i="22"/>
  <c r="CD52" i="22"/>
  <c r="CC52" i="22"/>
  <c r="CB52" i="22"/>
  <c r="CA52" i="22"/>
  <c r="BZ52" i="22"/>
  <c r="BY52" i="22"/>
  <c r="BX52" i="22"/>
  <c r="BW52" i="22"/>
  <c r="BV52" i="22"/>
  <c r="BU52" i="22"/>
  <c r="BT52" i="22"/>
  <c r="BS52" i="22"/>
  <c r="BR52" i="22"/>
  <c r="BQ52" i="22"/>
  <c r="BP52" i="22"/>
  <c r="BO52" i="22"/>
  <c r="BM52" i="22"/>
  <c r="BL52" i="22"/>
  <c r="BK52" i="22"/>
  <c r="BJ52" i="22"/>
  <c r="BI52" i="22"/>
  <c r="BH52" i="22"/>
  <c r="BG52" i="22"/>
  <c r="BF52" i="22"/>
  <c r="BE52" i="22"/>
  <c r="BD52" i="22"/>
  <c r="BC52" i="22"/>
  <c r="BB52" i="22"/>
  <c r="BA52" i="22"/>
  <c r="AZ52" i="22"/>
  <c r="AY52" i="22"/>
  <c r="AX52" i="22"/>
  <c r="AW52" i="22"/>
  <c r="AV52" i="22"/>
  <c r="AU52" i="22"/>
  <c r="AT52" i="22"/>
  <c r="AS52" i="22"/>
  <c r="AR52" i="22"/>
  <c r="AQ52" i="22"/>
  <c r="AP52" i="22"/>
  <c r="AO52" i="22"/>
  <c r="AN52" i="22"/>
  <c r="AM52" i="22"/>
  <c r="AL52" i="22"/>
  <c r="AK52" i="22"/>
  <c r="AJ52" i="22"/>
  <c r="AI52" i="22"/>
  <c r="AH52" i="22"/>
  <c r="AG52" i="22"/>
  <c r="AF52" i="22"/>
  <c r="AE52" i="22"/>
  <c r="AD52" i="22"/>
  <c r="AC52" i="22"/>
  <c r="AB52" i="22"/>
  <c r="AA52" i="22"/>
  <c r="Z52" i="22"/>
  <c r="Y52" i="22"/>
  <c r="X52" i="22"/>
  <c r="W52" i="22"/>
  <c r="V52" i="22"/>
  <c r="U52" i="22"/>
  <c r="T52" i="22"/>
  <c r="S52" i="22"/>
  <c r="R52" i="22"/>
  <c r="Q52" i="22"/>
  <c r="P52" i="22"/>
  <c r="CX51" i="22"/>
  <c r="CS51" i="22"/>
  <c r="CT51" i="22" s="1"/>
  <c r="CO51" i="22"/>
  <c r="CN51" i="22"/>
  <c r="CM51" i="22"/>
  <c r="CL51" i="22"/>
  <c r="CK51" i="22"/>
  <c r="CJ51" i="22"/>
  <c r="CI51" i="22"/>
  <c r="CH51" i="22"/>
  <c r="CG51" i="22"/>
  <c r="CF51" i="22"/>
  <c r="CE51" i="22"/>
  <c r="CD51" i="22"/>
  <c r="CC51" i="22"/>
  <c r="CB51" i="22"/>
  <c r="CA51" i="22"/>
  <c r="BZ51" i="22"/>
  <c r="BY51" i="22"/>
  <c r="BX51" i="22"/>
  <c r="BW51" i="22"/>
  <c r="BV51" i="22"/>
  <c r="BU51" i="22"/>
  <c r="BT51" i="22"/>
  <c r="BS51" i="22"/>
  <c r="BR51" i="22"/>
  <c r="BQ51" i="22"/>
  <c r="BP51" i="22"/>
  <c r="BO51" i="22"/>
  <c r="BN51" i="22"/>
  <c r="BM51" i="22"/>
  <c r="BL51" i="22"/>
  <c r="BK51" i="22"/>
  <c r="BJ51" i="22"/>
  <c r="BI51" i="22"/>
  <c r="BH51" i="22"/>
  <c r="BG51" i="22"/>
  <c r="BF51" i="22"/>
  <c r="BE51" i="22"/>
  <c r="BD51" i="22"/>
  <c r="BC51" i="22"/>
  <c r="BB51" i="22"/>
  <c r="BA51" i="22"/>
  <c r="AZ51" i="22"/>
  <c r="AY51" i="22"/>
  <c r="AX51" i="22"/>
  <c r="AW51" i="22"/>
  <c r="AV51" i="22"/>
  <c r="AU51" i="22"/>
  <c r="AT51" i="22"/>
  <c r="AS51" i="22"/>
  <c r="AR51" i="22"/>
  <c r="AQ51" i="22"/>
  <c r="AP51" i="22"/>
  <c r="AO51" i="22"/>
  <c r="AN51" i="22"/>
  <c r="AM51" i="22"/>
  <c r="AL51" i="22"/>
  <c r="AK51" i="22"/>
  <c r="AJ51" i="22"/>
  <c r="AI51" i="22"/>
  <c r="AH51" i="22"/>
  <c r="AG51" i="22"/>
  <c r="AF51" i="22"/>
  <c r="AE51" i="22"/>
  <c r="AD51" i="22"/>
  <c r="AC51" i="22"/>
  <c r="AB51" i="22"/>
  <c r="AA51" i="22"/>
  <c r="Z51" i="22"/>
  <c r="Y51" i="22"/>
  <c r="X51" i="22"/>
  <c r="W51" i="22"/>
  <c r="V51" i="22"/>
  <c r="U51" i="22"/>
  <c r="T51" i="22"/>
  <c r="S51" i="22"/>
  <c r="R51" i="22"/>
  <c r="Q51" i="22"/>
  <c r="P51" i="22"/>
  <c r="H44" i="22"/>
  <c r="CM43" i="22"/>
  <c r="CJ43" i="22"/>
  <c r="CF43" i="22"/>
  <c r="CE43" i="22"/>
  <c r="BX43" i="22"/>
  <c r="BQ43" i="22"/>
  <c r="BP43" i="22"/>
  <c r="BO43" i="22"/>
  <c r="BN43" i="22"/>
  <c r="BM43" i="22"/>
  <c r="BL43" i="22"/>
  <c r="BK43" i="22"/>
  <c r="BJ43" i="22"/>
  <c r="BI43" i="22"/>
  <c r="BH43" i="22"/>
  <c r="BG43" i="22"/>
  <c r="BF43" i="22"/>
  <c r="BE43" i="22"/>
  <c r="BD43" i="22"/>
  <c r="BC43" i="22"/>
  <c r="BB43" i="22"/>
  <c r="BA43" i="22"/>
  <c r="AZ43" i="22"/>
  <c r="AY43" i="22"/>
  <c r="AX43" i="22"/>
  <c r="AW43" i="22"/>
  <c r="AV43" i="22"/>
  <c r="AU43" i="22"/>
  <c r="AT43" i="22"/>
  <c r="AS43" i="22"/>
  <c r="AR43" i="22"/>
  <c r="AQ43" i="22"/>
  <c r="AP43" i="22"/>
  <c r="AO43" i="22"/>
  <c r="AN43" i="22"/>
  <c r="AM43" i="22"/>
  <c r="AL43" i="22"/>
  <c r="AK43" i="22"/>
  <c r="AJ43" i="22"/>
  <c r="AI43" i="22"/>
  <c r="AH43" i="22"/>
  <c r="AG43" i="22"/>
  <c r="AF43" i="22"/>
  <c r="AE43" i="22"/>
  <c r="AD43" i="22"/>
  <c r="AC43" i="22"/>
  <c r="AB43" i="22"/>
  <c r="AA43" i="22"/>
  <c r="Z43" i="22"/>
  <c r="Y43" i="22"/>
  <c r="X43" i="22"/>
  <c r="W43" i="22"/>
  <c r="V43" i="22"/>
  <c r="U43" i="22"/>
  <c r="T43" i="22"/>
  <c r="S43" i="22"/>
  <c r="R43" i="22"/>
  <c r="Q43" i="22"/>
  <c r="P43" i="22"/>
  <c r="CM42" i="22"/>
  <c r="CJ42" i="22"/>
  <c r="CF42" i="22"/>
  <c r="CC42" i="22"/>
  <c r="BP42" i="22"/>
  <c r="BO42" i="22"/>
  <c r="BN42" i="22"/>
  <c r="BM42" i="22"/>
  <c r="BL42" i="22"/>
  <c r="BK42" i="22"/>
  <c r="BJ42" i="22"/>
  <c r="BI42" i="22"/>
  <c r="BH42" i="22"/>
  <c r="BG42" i="22"/>
  <c r="BF42" i="22"/>
  <c r="BE42" i="22"/>
  <c r="BD42" i="22"/>
  <c r="BC42" i="22"/>
  <c r="BB42" i="22"/>
  <c r="BA42" i="22"/>
  <c r="AZ42" i="22"/>
  <c r="AY42" i="22"/>
  <c r="AX42" i="22"/>
  <c r="AW42" i="22"/>
  <c r="AV42" i="22"/>
  <c r="AU42" i="22"/>
  <c r="AT42" i="22"/>
  <c r="AS42" i="22"/>
  <c r="AR42" i="22"/>
  <c r="AQ42" i="22"/>
  <c r="AP42" i="22"/>
  <c r="AO42" i="22"/>
  <c r="AN42" i="22"/>
  <c r="AM42" i="22"/>
  <c r="AL42" i="22"/>
  <c r="AK42" i="22"/>
  <c r="AJ42" i="22"/>
  <c r="AI42" i="22"/>
  <c r="AH42" i="22"/>
  <c r="AG42" i="22"/>
  <c r="AF42" i="22"/>
  <c r="AE42" i="22"/>
  <c r="AD42" i="22"/>
  <c r="AC42" i="22"/>
  <c r="AB42" i="22"/>
  <c r="AA42" i="22"/>
  <c r="Z42" i="22"/>
  <c r="Y42" i="22"/>
  <c r="X42" i="22"/>
  <c r="W42" i="22"/>
  <c r="V42" i="22"/>
  <c r="U42" i="22"/>
  <c r="T42" i="22"/>
  <c r="S42" i="22"/>
  <c r="R42" i="22"/>
  <c r="Q42" i="22"/>
  <c r="P42" i="22"/>
  <c r="CO41" i="22"/>
  <c r="CM41" i="22"/>
  <c r="CJ41" i="22"/>
  <c r="BV41" i="22"/>
  <c r="BO41" i="22"/>
  <c r="BN41" i="22"/>
  <c r="BM41" i="22"/>
  <c r="BL41" i="22"/>
  <c r="BK41" i="22"/>
  <c r="BJ41" i="22"/>
  <c r="BI41" i="22"/>
  <c r="BH41" i="22"/>
  <c r="BG41" i="22"/>
  <c r="BF41" i="22"/>
  <c r="BE41" i="22"/>
  <c r="BD41" i="22"/>
  <c r="BC41" i="22"/>
  <c r="BB41" i="22"/>
  <c r="BA41" i="22"/>
  <c r="AZ41" i="22"/>
  <c r="AY41" i="22"/>
  <c r="AX41" i="22"/>
  <c r="AW41" i="22"/>
  <c r="AV41" i="22"/>
  <c r="AU41" i="22"/>
  <c r="AT41" i="22"/>
  <c r="AS41" i="22"/>
  <c r="AR41" i="22"/>
  <c r="AQ41" i="22"/>
  <c r="AP41" i="22"/>
  <c r="AO41" i="22"/>
  <c r="AN41" i="22"/>
  <c r="AM41" i="22"/>
  <c r="AL41" i="22"/>
  <c r="AK41" i="22"/>
  <c r="AJ41" i="22"/>
  <c r="AI41" i="22"/>
  <c r="AH41" i="22"/>
  <c r="AG41" i="22"/>
  <c r="AF41" i="22"/>
  <c r="AE41" i="22"/>
  <c r="AD41" i="22"/>
  <c r="AC41" i="22"/>
  <c r="AB41" i="22"/>
  <c r="AA41" i="22"/>
  <c r="Z41" i="22"/>
  <c r="Y41" i="22"/>
  <c r="X41" i="22"/>
  <c r="W41" i="22"/>
  <c r="V41" i="22"/>
  <c r="U41" i="22"/>
  <c r="T41" i="22"/>
  <c r="S41" i="22"/>
  <c r="R41" i="22"/>
  <c r="Q41" i="22"/>
  <c r="P41" i="22"/>
  <c r="CO40" i="22"/>
  <c r="CN40" i="22"/>
  <c r="CM40" i="22"/>
  <c r="CJ40" i="22"/>
  <c r="BN40" i="22"/>
  <c r="BM40" i="22"/>
  <c r="BL40" i="22"/>
  <c r="BK40" i="22"/>
  <c r="BJ40" i="22"/>
  <c r="BI40" i="22"/>
  <c r="BH40" i="22"/>
  <c r="BG40" i="22"/>
  <c r="BF40" i="22"/>
  <c r="BE40" i="22"/>
  <c r="BD40" i="22"/>
  <c r="BC40" i="22"/>
  <c r="BB40" i="22"/>
  <c r="BA40" i="22"/>
  <c r="AZ40" i="22"/>
  <c r="AY40" i="22"/>
  <c r="AX40" i="22"/>
  <c r="AW40" i="22"/>
  <c r="AV40" i="22"/>
  <c r="AU40" i="22"/>
  <c r="AT40" i="22"/>
  <c r="AS40" i="22"/>
  <c r="AR40" i="22"/>
  <c r="AQ40" i="22"/>
  <c r="AP40" i="22"/>
  <c r="AO40" i="22"/>
  <c r="AN40" i="22"/>
  <c r="AM40" i="22"/>
  <c r="AL40" i="22"/>
  <c r="AK40" i="22"/>
  <c r="AJ40" i="22"/>
  <c r="AI40" i="22"/>
  <c r="AH40" i="22"/>
  <c r="AG40" i="22"/>
  <c r="AF40" i="22"/>
  <c r="AE40" i="22"/>
  <c r="AD40" i="22"/>
  <c r="AC40" i="22"/>
  <c r="AB40" i="22"/>
  <c r="AA40" i="22"/>
  <c r="Z40" i="22"/>
  <c r="Y40" i="22"/>
  <c r="X40" i="22"/>
  <c r="W40" i="22"/>
  <c r="V40" i="22"/>
  <c r="U40" i="22"/>
  <c r="T40" i="22"/>
  <c r="S40" i="22"/>
  <c r="R40" i="22"/>
  <c r="Q40" i="22"/>
  <c r="P40" i="22"/>
  <c r="H40" i="22"/>
  <c r="CO39" i="22"/>
  <c r="CN39" i="22"/>
  <c r="CM39" i="22"/>
  <c r="CL39" i="22"/>
  <c r="CJ39" i="22"/>
  <c r="BM39" i="22"/>
  <c r="BL39" i="22"/>
  <c r="BK39" i="22"/>
  <c r="BJ39" i="22"/>
  <c r="BI39" i="22"/>
  <c r="BH39" i="22"/>
  <c r="BG39" i="22"/>
  <c r="BF39" i="22"/>
  <c r="BE39" i="22"/>
  <c r="BD39" i="22"/>
  <c r="BC39" i="22"/>
  <c r="BB39" i="22"/>
  <c r="BA39" i="22"/>
  <c r="AZ39" i="22"/>
  <c r="AY39" i="22"/>
  <c r="AX39" i="22"/>
  <c r="AW39" i="22"/>
  <c r="AV39" i="22"/>
  <c r="AU39" i="22"/>
  <c r="AT39" i="22"/>
  <c r="AS39" i="22"/>
  <c r="AR39" i="22"/>
  <c r="AQ39" i="22"/>
  <c r="AP39" i="22"/>
  <c r="AO39" i="22"/>
  <c r="AN39" i="22"/>
  <c r="AM39" i="22"/>
  <c r="AL39" i="22"/>
  <c r="AK39" i="22"/>
  <c r="AJ39" i="22"/>
  <c r="AI39" i="22"/>
  <c r="AH39" i="22"/>
  <c r="AG39" i="22"/>
  <c r="AF39" i="22"/>
  <c r="AE39" i="22"/>
  <c r="AD39" i="22"/>
  <c r="AC39" i="22"/>
  <c r="AB39" i="22"/>
  <c r="AA39" i="22"/>
  <c r="Z39" i="22"/>
  <c r="Y39" i="22"/>
  <c r="X39" i="22"/>
  <c r="W39" i="22"/>
  <c r="V39" i="22"/>
  <c r="U39" i="22"/>
  <c r="T39" i="22"/>
  <c r="S39" i="22"/>
  <c r="R39" i="22"/>
  <c r="Q39" i="22"/>
  <c r="P39" i="22"/>
  <c r="CO38" i="22"/>
  <c r="CN38" i="22"/>
  <c r="CM38" i="22"/>
  <c r="CL38" i="22"/>
  <c r="CJ38" i="22"/>
  <c r="CF38" i="22"/>
  <c r="BM38" i="22"/>
  <c r="BL38" i="22"/>
  <c r="BK38" i="22"/>
  <c r="BJ38" i="22"/>
  <c r="BI38" i="22"/>
  <c r="BH38" i="22"/>
  <c r="BG38" i="22"/>
  <c r="BF38" i="22"/>
  <c r="BE38" i="22"/>
  <c r="BD38" i="22"/>
  <c r="BC38" i="22"/>
  <c r="BB38" i="22"/>
  <c r="BA38" i="22"/>
  <c r="AZ38" i="22"/>
  <c r="AY38" i="22"/>
  <c r="AX38" i="22"/>
  <c r="AW38" i="22"/>
  <c r="AV38" i="22"/>
  <c r="AU38" i="22"/>
  <c r="AT38" i="22"/>
  <c r="AS38" i="22"/>
  <c r="AR38" i="22"/>
  <c r="AQ38" i="22"/>
  <c r="AP38" i="22"/>
  <c r="AO38" i="22"/>
  <c r="AN38" i="22"/>
  <c r="AM38" i="22"/>
  <c r="AL38" i="22"/>
  <c r="AK38" i="22"/>
  <c r="AJ38" i="22"/>
  <c r="AI38" i="22"/>
  <c r="AH38" i="22"/>
  <c r="AG38" i="22"/>
  <c r="AF38" i="22"/>
  <c r="AE38" i="22"/>
  <c r="AD38" i="22"/>
  <c r="AC38" i="22"/>
  <c r="AB38" i="22"/>
  <c r="AA38" i="22"/>
  <c r="Z38" i="22"/>
  <c r="Y38" i="22"/>
  <c r="X38" i="22"/>
  <c r="W38" i="22"/>
  <c r="V38" i="22"/>
  <c r="U38" i="22"/>
  <c r="T38" i="22"/>
  <c r="S38" i="22"/>
  <c r="R38" i="22"/>
  <c r="Q38" i="22"/>
  <c r="P38" i="22"/>
  <c r="CO37" i="22"/>
  <c r="CN37" i="22"/>
  <c r="CM37" i="22"/>
  <c r="CL37" i="22"/>
  <c r="CK37" i="22"/>
  <c r="CJ37" i="22"/>
  <c r="CF37" i="22"/>
  <c r="BM37" i="22"/>
  <c r="BL37" i="22"/>
  <c r="BK37" i="22"/>
  <c r="BJ37" i="22"/>
  <c r="BI37" i="22"/>
  <c r="BH37" i="22"/>
  <c r="BG37" i="22"/>
  <c r="BF37" i="22"/>
  <c r="BE37" i="22"/>
  <c r="BD37" i="22"/>
  <c r="BC37" i="22"/>
  <c r="BB37" i="22"/>
  <c r="BA37" i="22"/>
  <c r="AZ37" i="22"/>
  <c r="AY37" i="22"/>
  <c r="AX37" i="22"/>
  <c r="AW37" i="22"/>
  <c r="AV37" i="22"/>
  <c r="AU37" i="22"/>
  <c r="AT37" i="22"/>
  <c r="AS37" i="22"/>
  <c r="AR37" i="22"/>
  <c r="AQ37" i="22"/>
  <c r="AP37" i="22"/>
  <c r="AO37" i="22"/>
  <c r="AN37" i="22"/>
  <c r="AM37" i="22"/>
  <c r="AL37" i="22"/>
  <c r="AK37" i="22"/>
  <c r="AJ37" i="22"/>
  <c r="AI37" i="22"/>
  <c r="AH37" i="22"/>
  <c r="AG37" i="22"/>
  <c r="AF37" i="22"/>
  <c r="AE37" i="22"/>
  <c r="AD37" i="22"/>
  <c r="AC37" i="22"/>
  <c r="AB37" i="22"/>
  <c r="AA37" i="22"/>
  <c r="Z37" i="22"/>
  <c r="Y37" i="22"/>
  <c r="X37" i="22"/>
  <c r="W37" i="22"/>
  <c r="V37" i="22"/>
  <c r="U37" i="22"/>
  <c r="T37" i="22"/>
  <c r="S37" i="22"/>
  <c r="R37" i="22"/>
  <c r="Q37" i="22"/>
  <c r="P37" i="22"/>
  <c r="CO36" i="22"/>
  <c r="CN36" i="22"/>
  <c r="CM36" i="22"/>
  <c r="CL36" i="22"/>
  <c r="CK36" i="22"/>
  <c r="CJ36" i="22"/>
  <c r="CF36" i="22"/>
  <c r="BM36" i="22"/>
  <c r="BL36" i="22"/>
  <c r="BK36" i="22"/>
  <c r="BJ36" i="22"/>
  <c r="BI36" i="22"/>
  <c r="BH36" i="22"/>
  <c r="BG36" i="22"/>
  <c r="BF36" i="22"/>
  <c r="BE36" i="22"/>
  <c r="BD36" i="22"/>
  <c r="BC36" i="22"/>
  <c r="BB36" i="22"/>
  <c r="BA36" i="22"/>
  <c r="AZ36" i="22"/>
  <c r="AY36" i="22"/>
  <c r="AX36" i="22"/>
  <c r="AW36" i="22"/>
  <c r="AV36" i="22"/>
  <c r="AU36" i="22"/>
  <c r="AT36" i="22"/>
  <c r="AS36" i="22"/>
  <c r="AR36" i="22"/>
  <c r="AQ36" i="22"/>
  <c r="AP36" i="22"/>
  <c r="AO36" i="22"/>
  <c r="AN36" i="22"/>
  <c r="AM36" i="22"/>
  <c r="AL36" i="22"/>
  <c r="AK36" i="22"/>
  <c r="AJ36" i="22"/>
  <c r="AI36" i="22"/>
  <c r="AH36" i="22"/>
  <c r="AG36" i="22"/>
  <c r="AF36" i="22"/>
  <c r="AE36" i="22"/>
  <c r="AD36" i="22"/>
  <c r="AC36" i="22"/>
  <c r="AB36" i="22"/>
  <c r="AA36" i="22"/>
  <c r="Z36" i="22"/>
  <c r="Y36" i="22"/>
  <c r="X36" i="22"/>
  <c r="W36" i="22"/>
  <c r="V36" i="22"/>
  <c r="U36" i="22"/>
  <c r="T36" i="22"/>
  <c r="S36" i="22"/>
  <c r="R36" i="22"/>
  <c r="Q36" i="22"/>
  <c r="P36" i="22"/>
  <c r="CO35" i="22"/>
  <c r="CN35" i="22"/>
  <c r="CM35" i="22"/>
  <c r="CL35" i="22"/>
  <c r="CK35" i="22"/>
  <c r="CJ35" i="22"/>
  <c r="CI35" i="22"/>
  <c r="BM35" i="22"/>
  <c r="BL35" i="22"/>
  <c r="BK35" i="22"/>
  <c r="BJ35" i="22"/>
  <c r="BI35" i="22"/>
  <c r="BH35" i="22"/>
  <c r="BG35" i="22"/>
  <c r="BF35" i="22"/>
  <c r="BE35" i="22"/>
  <c r="BD35" i="22"/>
  <c r="BC35" i="22"/>
  <c r="BB35" i="22"/>
  <c r="BA35" i="22"/>
  <c r="AZ35" i="22"/>
  <c r="AY35" i="22"/>
  <c r="AX35" i="22"/>
  <c r="AW35" i="22"/>
  <c r="AV35" i="22"/>
  <c r="AU35" i="22"/>
  <c r="AT35" i="22"/>
  <c r="AS35" i="22"/>
  <c r="AR35" i="22"/>
  <c r="AQ35" i="22"/>
  <c r="AP35" i="22"/>
  <c r="AO35" i="22"/>
  <c r="AN35" i="22"/>
  <c r="AM35" i="22"/>
  <c r="AL35" i="22"/>
  <c r="AK35" i="22"/>
  <c r="AJ35" i="22"/>
  <c r="AI35" i="22"/>
  <c r="AH35" i="22"/>
  <c r="AG35" i="22"/>
  <c r="AF35" i="22"/>
  <c r="AE35" i="22"/>
  <c r="AD35" i="22"/>
  <c r="AC35" i="22"/>
  <c r="AB35" i="22"/>
  <c r="AA35" i="22"/>
  <c r="Z35" i="22"/>
  <c r="Y35" i="22"/>
  <c r="X35" i="22"/>
  <c r="W35" i="22"/>
  <c r="V35" i="22"/>
  <c r="U35" i="22"/>
  <c r="T35" i="22"/>
  <c r="S35" i="22"/>
  <c r="R35" i="22"/>
  <c r="Q35" i="22"/>
  <c r="P35" i="22"/>
  <c r="CO34" i="22"/>
  <c r="CN34" i="22"/>
  <c r="CM34" i="22"/>
  <c r="CL34" i="22"/>
  <c r="CK34" i="22"/>
  <c r="CJ34" i="22"/>
  <c r="CI34" i="22"/>
  <c r="CH34" i="22"/>
  <c r="BX34" i="22"/>
  <c r="BT34" i="22"/>
  <c r="BM34" i="22"/>
  <c r="BL34" i="22"/>
  <c r="BK34" i="22"/>
  <c r="BJ34" i="22"/>
  <c r="BI34" i="22"/>
  <c r="BH34" i="22"/>
  <c r="BG34" i="22"/>
  <c r="BF34" i="22"/>
  <c r="BE34" i="22"/>
  <c r="BD34" i="22"/>
  <c r="BC34" i="22"/>
  <c r="BB34" i="22"/>
  <c r="BA34" i="22"/>
  <c r="AZ34" i="22"/>
  <c r="AY34" i="22"/>
  <c r="AX34" i="22"/>
  <c r="AW34" i="22"/>
  <c r="AV34" i="22"/>
  <c r="AU34" i="22"/>
  <c r="AT34" i="22"/>
  <c r="AS34" i="22"/>
  <c r="AR34" i="22"/>
  <c r="AQ34" i="22"/>
  <c r="AP34" i="22"/>
  <c r="AO34" i="22"/>
  <c r="AN34" i="22"/>
  <c r="AM34" i="22"/>
  <c r="AL34" i="22"/>
  <c r="AK34" i="22"/>
  <c r="AJ34" i="22"/>
  <c r="AI34" i="22"/>
  <c r="AH34" i="22"/>
  <c r="AG34" i="22"/>
  <c r="AF34" i="22"/>
  <c r="AE34" i="22"/>
  <c r="AD34" i="22"/>
  <c r="AC34" i="22"/>
  <c r="AB34" i="22"/>
  <c r="AA34" i="22"/>
  <c r="Z34" i="22"/>
  <c r="Y34" i="22"/>
  <c r="X34" i="22"/>
  <c r="W34" i="22"/>
  <c r="V34" i="22"/>
  <c r="U34" i="22"/>
  <c r="T34" i="22"/>
  <c r="S34" i="22"/>
  <c r="R34" i="22"/>
  <c r="Q34" i="22"/>
  <c r="P34" i="22"/>
  <c r="CO33" i="22"/>
  <c r="CN33" i="22"/>
  <c r="CM33" i="22"/>
  <c r="CL33" i="22"/>
  <c r="CK33" i="22"/>
  <c r="CJ33" i="22"/>
  <c r="CI33" i="22"/>
  <c r="CH33" i="22"/>
  <c r="CG33" i="22"/>
  <c r="CF33" i="22"/>
  <c r="BV33" i="22"/>
  <c r="BM33" i="22"/>
  <c r="BL33" i="22"/>
  <c r="BK33" i="22"/>
  <c r="BJ33" i="22"/>
  <c r="BI33" i="22"/>
  <c r="BH33" i="22"/>
  <c r="BG33" i="22"/>
  <c r="BF33" i="22"/>
  <c r="BE33" i="22"/>
  <c r="BD33" i="22"/>
  <c r="BC33" i="22"/>
  <c r="BB33" i="22"/>
  <c r="BA33" i="22"/>
  <c r="AZ33" i="22"/>
  <c r="AY33" i="22"/>
  <c r="AX33" i="22"/>
  <c r="AW33" i="22"/>
  <c r="AV33" i="22"/>
  <c r="AU33" i="22"/>
  <c r="AT33" i="22"/>
  <c r="AS33" i="22"/>
  <c r="AR33" i="22"/>
  <c r="AQ33" i="22"/>
  <c r="AP33" i="22"/>
  <c r="AO33" i="22"/>
  <c r="AN33" i="22"/>
  <c r="AM33" i="22"/>
  <c r="AL33" i="22"/>
  <c r="AK33" i="22"/>
  <c r="AJ33" i="22"/>
  <c r="AI33" i="22"/>
  <c r="AH33" i="22"/>
  <c r="AG33" i="22"/>
  <c r="AF33" i="22"/>
  <c r="AE33" i="22"/>
  <c r="AD33" i="22"/>
  <c r="AC33" i="22"/>
  <c r="AB33" i="22"/>
  <c r="AA33" i="22"/>
  <c r="Z33" i="22"/>
  <c r="Y33" i="22"/>
  <c r="X33" i="22"/>
  <c r="W33" i="22"/>
  <c r="V33" i="22"/>
  <c r="U33" i="22"/>
  <c r="T33" i="22"/>
  <c r="S33" i="22"/>
  <c r="R33" i="22"/>
  <c r="Q33" i="22"/>
  <c r="P33" i="22"/>
  <c r="H33" i="22"/>
  <c r="CO32" i="22"/>
  <c r="CN32" i="22"/>
  <c r="CM32" i="22"/>
  <c r="CL32" i="22"/>
  <c r="CK32" i="22"/>
  <c r="CJ32" i="22"/>
  <c r="CI32" i="22"/>
  <c r="CH32" i="22"/>
  <c r="CG32" i="22"/>
  <c r="CF32" i="22"/>
  <c r="BN32" i="22"/>
  <c r="BM32" i="22"/>
  <c r="BL32" i="22"/>
  <c r="BK32" i="22"/>
  <c r="BJ32" i="22"/>
  <c r="BI32" i="22"/>
  <c r="BH32" i="22"/>
  <c r="BG32" i="22"/>
  <c r="BF32" i="22"/>
  <c r="BE32" i="22"/>
  <c r="BD32" i="22"/>
  <c r="BC32" i="22"/>
  <c r="BB32" i="22"/>
  <c r="BA32" i="22"/>
  <c r="AZ32" i="22"/>
  <c r="AY32" i="22"/>
  <c r="AX32" i="22"/>
  <c r="AW32" i="22"/>
  <c r="AV32" i="22"/>
  <c r="AU32" i="22"/>
  <c r="AT32" i="22"/>
  <c r="AS32" i="22"/>
  <c r="AR32" i="22"/>
  <c r="AQ32" i="22"/>
  <c r="AP32" i="22"/>
  <c r="AO32" i="22"/>
  <c r="AN32" i="22"/>
  <c r="AM32" i="22"/>
  <c r="AL32" i="22"/>
  <c r="AK32" i="22"/>
  <c r="AJ32" i="22"/>
  <c r="AI32" i="22"/>
  <c r="AH32" i="22"/>
  <c r="AG32" i="22"/>
  <c r="AF32" i="22"/>
  <c r="AE32" i="22"/>
  <c r="AD32" i="22"/>
  <c r="AC32" i="22"/>
  <c r="AB32" i="22"/>
  <c r="AA32" i="22"/>
  <c r="Z32" i="22"/>
  <c r="Y32" i="22"/>
  <c r="X32" i="22"/>
  <c r="W32" i="22"/>
  <c r="V32" i="22"/>
  <c r="U32" i="22"/>
  <c r="T32" i="22"/>
  <c r="S32" i="22"/>
  <c r="R32" i="22"/>
  <c r="Q32" i="22"/>
  <c r="P32" i="22"/>
  <c r="H32" i="22"/>
  <c r="CO31" i="22"/>
  <c r="CN31" i="22"/>
  <c r="CM31" i="22"/>
  <c r="CL31" i="22"/>
  <c r="CK31" i="22"/>
  <c r="CJ31" i="22"/>
  <c r="CI31" i="22"/>
  <c r="CH31" i="22"/>
  <c r="CG31" i="22"/>
  <c r="CF31" i="22"/>
  <c r="CE31" i="22"/>
  <c r="BX31" i="22"/>
  <c r="BM31" i="22"/>
  <c r="BL31" i="22"/>
  <c r="BK31" i="22"/>
  <c r="BJ31" i="22"/>
  <c r="BI31" i="22"/>
  <c r="BH31" i="22"/>
  <c r="BG31" i="22"/>
  <c r="BF31" i="22"/>
  <c r="BE31" i="22"/>
  <c r="BD31" i="22"/>
  <c r="BC31" i="22"/>
  <c r="BB31" i="22"/>
  <c r="BA31" i="22"/>
  <c r="AZ31" i="22"/>
  <c r="AY31" i="22"/>
  <c r="AX31" i="22"/>
  <c r="AW31" i="22"/>
  <c r="AV31" i="22"/>
  <c r="AU31" i="22"/>
  <c r="AT31" i="22"/>
  <c r="AS31" i="22"/>
  <c r="AR31" i="22"/>
  <c r="AQ31" i="22"/>
  <c r="AP31" i="22"/>
  <c r="AO31" i="22"/>
  <c r="AN31" i="22"/>
  <c r="AM31" i="22"/>
  <c r="AL31" i="22"/>
  <c r="AK31" i="22"/>
  <c r="AJ31" i="22"/>
  <c r="AI31" i="22"/>
  <c r="AH31" i="22"/>
  <c r="AG31" i="22"/>
  <c r="AF31" i="22"/>
  <c r="AE31" i="22"/>
  <c r="AD31" i="22"/>
  <c r="AC31" i="22"/>
  <c r="AB31" i="22"/>
  <c r="AA31" i="22"/>
  <c r="Z31" i="22"/>
  <c r="Y31" i="22"/>
  <c r="X31" i="22"/>
  <c r="W31" i="22"/>
  <c r="V31" i="22"/>
  <c r="U31" i="22"/>
  <c r="T31" i="22"/>
  <c r="S31" i="22"/>
  <c r="R31" i="22"/>
  <c r="Q31" i="22"/>
  <c r="P31" i="22"/>
  <c r="CO30" i="22"/>
  <c r="CN30" i="22"/>
  <c r="CM30" i="22"/>
  <c r="CL30" i="22"/>
  <c r="CK30" i="22"/>
  <c r="CJ30" i="22"/>
  <c r="CI30" i="22"/>
  <c r="CH30" i="22"/>
  <c r="CG30" i="22"/>
  <c r="CF30" i="22"/>
  <c r="CE30" i="22"/>
  <c r="CD30" i="22"/>
  <c r="BY30" i="22"/>
  <c r="BM30" i="22"/>
  <c r="BL30" i="22"/>
  <c r="BK30" i="22"/>
  <c r="BJ30" i="22"/>
  <c r="BI30" i="22"/>
  <c r="BH30" i="22"/>
  <c r="BG30" i="22"/>
  <c r="BF30" i="22"/>
  <c r="BE30" i="22"/>
  <c r="BD30" i="22"/>
  <c r="BC30" i="22"/>
  <c r="BB30" i="22"/>
  <c r="BA30" i="22"/>
  <c r="AZ30" i="22"/>
  <c r="AY30" i="22"/>
  <c r="AX30" i="22"/>
  <c r="AW30" i="22"/>
  <c r="AV30" i="22"/>
  <c r="AU30" i="22"/>
  <c r="AT30" i="22"/>
  <c r="AS30" i="22"/>
  <c r="AR30" i="22"/>
  <c r="AQ30" i="22"/>
  <c r="AP30" i="22"/>
  <c r="AO30" i="22"/>
  <c r="AN30" i="22"/>
  <c r="AM30" i="22"/>
  <c r="AL30" i="22"/>
  <c r="AK30" i="22"/>
  <c r="AJ30" i="22"/>
  <c r="AI30" i="22"/>
  <c r="AH30" i="22"/>
  <c r="AG30" i="22"/>
  <c r="AF30" i="22"/>
  <c r="AE30" i="22"/>
  <c r="AD30" i="22"/>
  <c r="AC30" i="22"/>
  <c r="AB30" i="22"/>
  <c r="AA30" i="22"/>
  <c r="Z30" i="22"/>
  <c r="Y30" i="22"/>
  <c r="X30" i="22"/>
  <c r="W30" i="22"/>
  <c r="V30" i="22"/>
  <c r="U30" i="22"/>
  <c r="T30" i="22"/>
  <c r="S30" i="22"/>
  <c r="R30" i="22"/>
  <c r="Q30" i="22"/>
  <c r="P30" i="22"/>
  <c r="H30" i="22"/>
  <c r="CO29" i="22"/>
  <c r="CN29" i="22"/>
  <c r="CM29" i="22"/>
  <c r="CL29" i="22"/>
  <c r="CK29" i="22"/>
  <c r="CJ29" i="22"/>
  <c r="CI29" i="22"/>
  <c r="CH29" i="22"/>
  <c r="CG29" i="22"/>
  <c r="CF29" i="22"/>
  <c r="CE29" i="22"/>
  <c r="CD29" i="22"/>
  <c r="CC29" i="22"/>
  <c r="BM29" i="22"/>
  <c r="BL29" i="22"/>
  <c r="BK29" i="22"/>
  <c r="BJ29" i="22"/>
  <c r="BI29" i="22"/>
  <c r="BH29" i="22"/>
  <c r="BG29" i="22"/>
  <c r="BF29" i="22"/>
  <c r="BE29" i="22"/>
  <c r="BD29" i="22"/>
  <c r="BC29" i="22"/>
  <c r="BB29" i="22"/>
  <c r="BA29" i="22"/>
  <c r="AZ29" i="22"/>
  <c r="AY29" i="22"/>
  <c r="AX29" i="22"/>
  <c r="AW29" i="22"/>
  <c r="AV29" i="22"/>
  <c r="AU29" i="22"/>
  <c r="AT29" i="22"/>
  <c r="AS29" i="22"/>
  <c r="AR29" i="22"/>
  <c r="AQ29" i="22"/>
  <c r="AP29" i="22"/>
  <c r="AO29" i="22"/>
  <c r="AN29" i="22"/>
  <c r="AM29" i="22"/>
  <c r="AL29" i="22"/>
  <c r="AK29" i="22"/>
  <c r="AJ29" i="22"/>
  <c r="AI29" i="22"/>
  <c r="AH29" i="22"/>
  <c r="AG29" i="22"/>
  <c r="AF29" i="22"/>
  <c r="AE29" i="22"/>
  <c r="AD29" i="22"/>
  <c r="AC29" i="22"/>
  <c r="AB29" i="22"/>
  <c r="AA29" i="22"/>
  <c r="Z29" i="22"/>
  <c r="Y29" i="22"/>
  <c r="X29" i="22"/>
  <c r="W29" i="22"/>
  <c r="V29" i="22"/>
  <c r="U29" i="22"/>
  <c r="T29" i="22"/>
  <c r="S29" i="22"/>
  <c r="R29" i="22"/>
  <c r="Q29" i="22"/>
  <c r="P29" i="22"/>
  <c r="CO28" i="22"/>
  <c r="CN28" i="22"/>
  <c r="CM28" i="22"/>
  <c r="CL28" i="22"/>
  <c r="CK28" i="22"/>
  <c r="CJ28" i="22"/>
  <c r="CI28" i="22"/>
  <c r="CH28" i="22"/>
  <c r="CG28" i="22"/>
  <c r="CF28" i="22"/>
  <c r="CE28" i="22"/>
  <c r="CD28" i="22"/>
  <c r="CC28" i="22"/>
  <c r="CB28" i="22"/>
  <c r="BM28" i="22"/>
  <c r="BL28" i="22"/>
  <c r="BK28" i="22"/>
  <c r="BJ28" i="22"/>
  <c r="BI28" i="22"/>
  <c r="BH28" i="22"/>
  <c r="BG28" i="22"/>
  <c r="BF28" i="22"/>
  <c r="BE28" i="22"/>
  <c r="BD28" i="22"/>
  <c r="BC28" i="22"/>
  <c r="BB28" i="22"/>
  <c r="BA28" i="22"/>
  <c r="AZ28" i="22"/>
  <c r="AY28" i="22"/>
  <c r="AX28" i="22"/>
  <c r="AW28" i="22"/>
  <c r="AV28" i="22"/>
  <c r="AU28" i="22"/>
  <c r="AT28" i="22"/>
  <c r="AS28" i="22"/>
  <c r="AR28" i="22"/>
  <c r="AQ28" i="22"/>
  <c r="AP28" i="22"/>
  <c r="AO28" i="22"/>
  <c r="AN28" i="22"/>
  <c r="AM28" i="22"/>
  <c r="AL28" i="22"/>
  <c r="AK28" i="22"/>
  <c r="AJ28" i="22"/>
  <c r="AI28" i="22"/>
  <c r="AH28" i="22"/>
  <c r="AG28" i="22"/>
  <c r="AF28" i="22"/>
  <c r="AE28" i="22"/>
  <c r="AD28" i="22"/>
  <c r="AC28" i="22"/>
  <c r="AB28" i="22"/>
  <c r="AA28" i="22"/>
  <c r="Z28" i="22"/>
  <c r="Y28" i="22"/>
  <c r="X28" i="22"/>
  <c r="W28" i="22"/>
  <c r="V28" i="22"/>
  <c r="U28" i="22"/>
  <c r="T28" i="22"/>
  <c r="S28" i="22"/>
  <c r="R28" i="22"/>
  <c r="Q28" i="22"/>
  <c r="P28" i="22"/>
  <c r="CO27" i="22"/>
  <c r="CN27" i="22"/>
  <c r="CM27" i="22"/>
  <c r="CL27" i="22"/>
  <c r="CK27" i="22"/>
  <c r="CJ27" i="22"/>
  <c r="CI27" i="22"/>
  <c r="CH27" i="22"/>
  <c r="CG27" i="22"/>
  <c r="CF27" i="22"/>
  <c r="CE27" i="22"/>
  <c r="CD27" i="22"/>
  <c r="CC27" i="22"/>
  <c r="CB27" i="22"/>
  <c r="CA27" i="22"/>
  <c r="BM27" i="22"/>
  <c r="BL27" i="22"/>
  <c r="BK27" i="22"/>
  <c r="BJ27" i="22"/>
  <c r="BI27" i="22"/>
  <c r="BH27" i="22"/>
  <c r="BG27" i="22"/>
  <c r="BF27" i="22"/>
  <c r="BE27" i="22"/>
  <c r="BD27" i="22"/>
  <c r="BC27" i="22"/>
  <c r="BB27" i="22"/>
  <c r="BA27" i="22"/>
  <c r="AZ27" i="22"/>
  <c r="AY27" i="22"/>
  <c r="AX27" i="22"/>
  <c r="AW27" i="22"/>
  <c r="AV27" i="22"/>
  <c r="AU27" i="22"/>
  <c r="AT27" i="22"/>
  <c r="AS27" i="22"/>
  <c r="AR27" i="22"/>
  <c r="AQ27" i="22"/>
  <c r="AP27" i="22"/>
  <c r="AO27" i="22"/>
  <c r="AN27" i="22"/>
  <c r="AM27" i="22"/>
  <c r="AL27" i="22"/>
  <c r="AK27" i="22"/>
  <c r="AJ27" i="22"/>
  <c r="AI27" i="22"/>
  <c r="AH27" i="22"/>
  <c r="AG27" i="22"/>
  <c r="AF27" i="22"/>
  <c r="AE27" i="22"/>
  <c r="AD27" i="22"/>
  <c r="AC27" i="22"/>
  <c r="AB27" i="22"/>
  <c r="AA27" i="22"/>
  <c r="Z27" i="22"/>
  <c r="Y27" i="22"/>
  <c r="X27" i="22"/>
  <c r="W27" i="22"/>
  <c r="V27" i="22"/>
  <c r="U27" i="22"/>
  <c r="T27" i="22"/>
  <c r="S27" i="22"/>
  <c r="R27" i="22"/>
  <c r="Q27" i="22"/>
  <c r="P27" i="22"/>
  <c r="CO26" i="22"/>
  <c r="CN26" i="22"/>
  <c r="CM26" i="22"/>
  <c r="CL26" i="22"/>
  <c r="CK26" i="22"/>
  <c r="CJ26" i="22"/>
  <c r="CI26" i="22"/>
  <c r="CH26" i="22"/>
  <c r="CG26" i="22"/>
  <c r="CF26" i="22"/>
  <c r="CE26" i="22"/>
  <c r="CD26" i="22"/>
  <c r="CC26" i="22"/>
  <c r="CB26" i="22"/>
  <c r="CA26" i="22"/>
  <c r="BZ26" i="22"/>
  <c r="BM26" i="22"/>
  <c r="BL26" i="22"/>
  <c r="BK26" i="22"/>
  <c r="BJ26" i="22"/>
  <c r="BI26" i="22"/>
  <c r="BH26" i="22"/>
  <c r="BG26" i="22"/>
  <c r="BF26" i="22"/>
  <c r="BE26" i="22"/>
  <c r="BD26" i="22"/>
  <c r="BC26" i="22"/>
  <c r="BB26" i="22"/>
  <c r="BA26" i="22"/>
  <c r="AZ26" i="22"/>
  <c r="AY26" i="22"/>
  <c r="AX26" i="22"/>
  <c r="AW26" i="22"/>
  <c r="AV26" i="22"/>
  <c r="AU26" i="22"/>
  <c r="AT26" i="22"/>
  <c r="AS26" i="22"/>
  <c r="AR26" i="22"/>
  <c r="AQ26" i="22"/>
  <c r="AP26" i="22"/>
  <c r="AO26" i="22"/>
  <c r="AN26" i="22"/>
  <c r="AM26" i="22"/>
  <c r="AL26" i="22"/>
  <c r="AK26" i="22"/>
  <c r="AJ26" i="22"/>
  <c r="AI26" i="22"/>
  <c r="AH26" i="22"/>
  <c r="AG26" i="22"/>
  <c r="AF26" i="22"/>
  <c r="AE26" i="22"/>
  <c r="AD26" i="22"/>
  <c r="AC26" i="22"/>
  <c r="AB26" i="22"/>
  <c r="AA26" i="22"/>
  <c r="Z26" i="22"/>
  <c r="Y26" i="22"/>
  <c r="X26" i="22"/>
  <c r="W26" i="22"/>
  <c r="V26" i="22"/>
  <c r="U26" i="22"/>
  <c r="T26" i="22"/>
  <c r="S26" i="22"/>
  <c r="R26" i="22"/>
  <c r="Q26" i="22"/>
  <c r="P26" i="22"/>
  <c r="CO25" i="22"/>
  <c r="CN25" i="22"/>
  <c r="CM25" i="22"/>
  <c r="CL25" i="22"/>
  <c r="CK25" i="22"/>
  <c r="CJ25" i="22"/>
  <c r="CI25" i="22"/>
  <c r="CH25" i="22"/>
  <c r="CG25" i="22"/>
  <c r="CF25" i="22"/>
  <c r="CE25" i="22"/>
  <c r="CD25" i="22"/>
  <c r="CC25" i="22"/>
  <c r="CB25" i="22"/>
  <c r="CA25" i="22"/>
  <c r="BZ25" i="22"/>
  <c r="BY25" i="22"/>
  <c r="BX25" i="22"/>
  <c r="BN25" i="22"/>
  <c r="BM25" i="22"/>
  <c r="BL25" i="22"/>
  <c r="BK25" i="22"/>
  <c r="BJ25" i="22"/>
  <c r="BI25" i="22"/>
  <c r="BH25" i="22"/>
  <c r="BG25" i="22"/>
  <c r="BF25" i="22"/>
  <c r="BE25" i="22"/>
  <c r="BD25" i="22"/>
  <c r="BC25" i="22"/>
  <c r="BB25" i="22"/>
  <c r="BA25" i="22"/>
  <c r="AZ25" i="22"/>
  <c r="AY25" i="22"/>
  <c r="AX25" i="22"/>
  <c r="AW25" i="22"/>
  <c r="AV25" i="22"/>
  <c r="AU25" i="22"/>
  <c r="AT25" i="22"/>
  <c r="AS25" i="22"/>
  <c r="AR25" i="22"/>
  <c r="AQ25" i="22"/>
  <c r="AP25" i="22"/>
  <c r="AO25" i="22"/>
  <c r="AN25" i="22"/>
  <c r="AM25" i="22"/>
  <c r="AL25" i="22"/>
  <c r="AK25" i="22"/>
  <c r="AJ25" i="22"/>
  <c r="AI25" i="22"/>
  <c r="AH25" i="22"/>
  <c r="AG25" i="22"/>
  <c r="AF25" i="22"/>
  <c r="AE25" i="22"/>
  <c r="AD25" i="22"/>
  <c r="AC25" i="22"/>
  <c r="AB25" i="22"/>
  <c r="AA25" i="22"/>
  <c r="Z25" i="22"/>
  <c r="Y25" i="22"/>
  <c r="X25" i="22"/>
  <c r="W25" i="22"/>
  <c r="V25" i="22"/>
  <c r="U25" i="22"/>
  <c r="T25" i="22"/>
  <c r="S25" i="22"/>
  <c r="R25" i="22"/>
  <c r="Q25" i="22"/>
  <c r="P25" i="22"/>
  <c r="H25" i="22"/>
  <c r="CO24" i="22"/>
  <c r="CN24" i="22"/>
  <c r="CM24" i="22"/>
  <c r="CL24" i="22"/>
  <c r="CK24" i="22"/>
  <c r="CJ24" i="22"/>
  <c r="CI24" i="22"/>
  <c r="CH24" i="22"/>
  <c r="CG24" i="22"/>
  <c r="CF24" i="22"/>
  <c r="CE24" i="22"/>
  <c r="CD24" i="22"/>
  <c r="CC24" i="22"/>
  <c r="CB24" i="22"/>
  <c r="CA24" i="22"/>
  <c r="BZ24" i="22"/>
  <c r="BY24" i="22"/>
  <c r="BX24" i="22"/>
  <c r="BV24" i="22"/>
  <c r="BM24" i="22"/>
  <c r="BL24" i="22"/>
  <c r="BK24" i="22"/>
  <c r="BJ24" i="22"/>
  <c r="BI24" i="22"/>
  <c r="BH24" i="22"/>
  <c r="BG24" i="22"/>
  <c r="BF24" i="22"/>
  <c r="BE24" i="22"/>
  <c r="BD24" i="22"/>
  <c r="BC24" i="22"/>
  <c r="BB24" i="22"/>
  <c r="BA24" i="22"/>
  <c r="AZ24" i="22"/>
  <c r="AY24" i="22"/>
  <c r="AX24" i="22"/>
  <c r="AW24" i="22"/>
  <c r="AV24" i="22"/>
  <c r="AU24" i="22"/>
  <c r="AT24" i="22"/>
  <c r="AS24" i="22"/>
  <c r="AR24" i="22"/>
  <c r="AQ24" i="22"/>
  <c r="AP24" i="22"/>
  <c r="AO24" i="22"/>
  <c r="AN24" i="22"/>
  <c r="AM24" i="22"/>
  <c r="AL24" i="22"/>
  <c r="AK24" i="22"/>
  <c r="AJ24" i="22"/>
  <c r="AI24" i="22"/>
  <c r="AH24" i="22"/>
  <c r="AG24" i="22"/>
  <c r="AF24" i="22"/>
  <c r="AE24" i="22"/>
  <c r="AD24" i="22"/>
  <c r="AC24" i="22"/>
  <c r="AB24" i="22"/>
  <c r="AA24" i="22"/>
  <c r="Z24" i="22"/>
  <c r="Y24" i="22"/>
  <c r="X24" i="22"/>
  <c r="W24" i="22"/>
  <c r="V24" i="22"/>
  <c r="U24" i="22"/>
  <c r="T24" i="22"/>
  <c r="S24" i="22"/>
  <c r="R24" i="22"/>
  <c r="Q24" i="22"/>
  <c r="P24" i="22"/>
  <c r="CO23" i="22"/>
  <c r="CN23" i="22"/>
  <c r="CM23" i="22"/>
  <c r="CL23" i="22"/>
  <c r="CK23" i="22"/>
  <c r="CJ23" i="22"/>
  <c r="CI23" i="22"/>
  <c r="CH23" i="22"/>
  <c r="CG23" i="22"/>
  <c r="CF23" i="22"/>
  <c r="CE23" i="22"/>
  <c r="CD23" i="22"/>
  <c r="CC23" i="22"/>
  <c r="CB23" i="22"/>
  <c r="CA23" i="22"/>
  <c r="BZ23" i="22"/>
  <c r="BY23" i="22"/>
  <c r="BX23" i="22"/>
  <c r="BW23" i="22"/>
  <c r="BM23" i="22"/>
  <c r="BL23" i="22"/>
  <c r="BK23" i="22"/>
  <c r="BJ23" i="22"/>
  <c r="BI23" i="22"/>
  <c r="BH23" i="22"/>
  <c r="BG23" i="22"/>
  <c r="BF23" i="22"/>
  <c r="BE23" i="22"/>
  <c r="BD23" i="22"/>
  <c r="BC23" i="22"/>
  <c r="BB23" i="22"/>
  <c r="BA23" i="22"/>
  <c r="AZ23" i="22"/>
  <c r="AY23" i="22"/>
  <c r="AX23" i="22"/>
  <c r="AW23" i="22"/>
  <c r="AV23" i="22"/>
  <c r="AU23" i="22"/>
  <c r="AT23" i="22"/>
  <c r="AS23" i="22"/>
  <c r="AR23" i="22"/>
  <c r="AQ23" i="22"/>
  <c r="AP23" i="22"/>
  <c r="AO23" i="22"/>
  <c r="AN23" i="22"/>
  <c r="AM23" i="22"/>
  <c r="AL23" i="22"/>
  <c r="AK23" i="22"/>
  <c r="AJ23" i="22"/>
  <c r="AI23" i="22"/>
  <c r="AH23" i="22"/>
  <c r="AG23" i="22"/>
  <c r="AF23" i="22"/>
  <c r="AE23" i="22"/>
  <c r="AD23" i="22"/>
  <c r="AC23" i="22"/>
  <c r="AB23" i="22"/>
  <c r="AA23" i="22"/>
  <c r="Z23" i="22"/>
  <c r="Y23" i="22"/>
  <c r="X23" i="22"/>
  <c r="W23" i="22"/>
  <c r="V23" i="22"/>
  <c r="U23" i="22"/>
  <c r="T23" i="22"/>
  <c r="S23" i="22"/>
  <c r="R23" i="22"/>
  <c r="Q23" i="22"/>
  <c r="P23" i="22"/>
  <c r="H23" i="22"/>
  <c r="CO22" i="22"/>
  <c r="CN22" i="22"/>
  <c r="CM22" i="22"/>
  <c r="CL22" i="22"/>
  <c r="CK22" i="22"/>
  <c r="CJ22" i="22"/>
  <c r="CI22" i="22"/>
  <c r="CH22" i="22"/>
  <c r="CG22" i="22"/>
  <c r="CF22" i="22"/>
  <c r="CE22" i="22"/>
  <c r="CD22" i="22"/>
  <c r="CC22" i="22"/>
  <c r="CB22" i="22"/>
  <c r="CA22" i="22"/>
  <c r="BZ22" i="22"/>
  <c r="BY22" i="22"/>
  <c r="BX22" i="22"/>
  <c r="BW22" i="22"/>
  <c r="BV22" i="22"/>
  <c r="BM22" i="22"/>
  <c r="BL22" i="22"/>
  <c r="BK22" i="22"/>
  <c r="BJ22" i="22"/>
  <c r="BI22" i="22"/>
  <c r="BH22" i="22"/>
  <c r="BG22" i="22"/>
  <c r="BF22" i="22"/>
  <c r="BE22" i="22"/>
  <c r="BD22" i="22"/>
  <c r="BC22" i="22"/>
  <c r="BB22" i="22"/>
  <c r="BA22" i="22"/>
  <c r="AZ22" i="22"/>
  <c r="AY22" i="22"/>
  <c r="AX22" i="22"/>
  <c r="AW22" i="22"/>
  <c r="AV22" i="22"/>
  <c r="AU22" i="22"/>
  <c r="AT22" i="22"/>
  <c r="AS22" i="22"/>
  <c r="AR22" i="22"/>
  <c r="AQ22" i="22"/>
  <c r="AP22" i="22"/>
  <c r="AO22" i="22"/>
  <c r="AN22" i="22"/>
  <c r="AM22" i="22"/>
  <c r="AL22" i="22"/>
  <c r="AK22" i="22"/>
  <c r="AJ22" i="22"/>
  <c r="AI22" i="22"/>
  <c r="AH22" i="22"/>
  <c r="AG22" i="22"/>
  <c r="AF22" i="22"/>
  <c r="AE22" i="22"/>
  <c r="AD22" i="22"/>
  <c r="AC22" i="22"/>
  <c r="AB22" i="22"/>
  <c r="AA22" i="22"/>
  <c r="Z22" i="22"/>
  <c r="Y22" i="22"/>
  <c r="X22" i="22"/>
  <c r="W22" i="22"/>
  <c r="V22" i="22"/>
  <c r="U22" i="22"/>
  <c r="T22" i="22"/>
  <c r="S22" i="22"/>
  <c r="R22" i="22"/>
  <c r="Q22" i="22"/>
  <c r="P22" i="22"/>
  <c r="CO21" i="22"/>
  <c r="CN21" i="22"/>
  <c r="CM21" i="22"/>
  <c r="CL21" i="22"/>
  <c r="CK21" i="22"/>
  <c r="CJ21" i="22"/>
  <c r="CI21" i="22"/>
  <c r="CH21" i="22"/>
  <c r="CG21" i="22"/>
  <c r="CF21" i="22"/>
  <c r="CE21" i="22"/>
  <c r="CD21" i="22"/>
  <c r="CC21" i="22"/>
  <c r="CB21" i="22"/>
  <c r="CA21" i="22"/>
  <c r="BZ21" i="22"/>
  <c r="BY21" i="22"/>
  <c r="BX21" i="22"/>
  <c r="BW21" i="22"/>
  <c r="BV21" i="22"/>
  <c r="BU21" i="22"/>
  <c r="BM21" i="22"/>
  <c r="BL21" i="22"/>
  <c r="BK21" i="22"/>
  <c r="BJ21" i="22"/>
  <c r="BI21" i="22"/>
  <c r="BH21" i="22"/>
  <c r="BG21" i="22"/>
  <c r="BF21" i="22"/>
  <c r="BE21" i="22"/>
  <c r="BD21" i="22"/>
  <c r="BC21" i="22"/>
  <c r="BB21" i="22"/>
  <c r="BA21" i="22"/>
  <c r="AZ21" i="22"/>
  <c r="AY21" i="22"/>
  <c r="AX21" i="22"/>
  <c r="AW21" i="22"/>
  <c r="AV21" i="22"/>
  <c r="AU21" i="22"/>
  <c r="AT21" i="22"/>
  <c r="AS21" i="22"/>
  <c r="AR21" i="22"/>
  <c r="AQ21" i="22"/>
  <c r="AP21" i="22"/>
  <c r="AO21" i="22"/>
  <c r="AN21" i="22"/>
  <c r="AM21" i="22"/>
  <c r="AL21" i="22"/>
  <c r="AK21" i="22"/>
  <c r="AJ21" i="22"/>
  <c r="AI21" i="22"/>
  <c r="AH21" i="22"/>
  <c r="AG21" i="22"/>
  <c r="AF21" i="22"/>
  <c r="AE21" i="22"/>
  <c r="AD21" i="22"/>
  <c r="AC21" i="22"/>
  <c r="AB21" i="22"/>
  <c r="AA21" i="22"/>
  <c r="Z21" i="22"/>
  <c r="Y21" i="22"/>
  <c r="X21" i="22"/>
  <c r="W21" i="22"/>
  <c r="V21" i="22"/>
  <c r="U21" i="22"/>
  <c r="T21" i="22"/>
  <c r="S21" i="22"/>
  <c r="R21" i="22"/>
  <c r="Q21" i="22"/>
  <c r="P21" i="22"/>
  <c r="CO20" i="22"/>
  <c r="CN20" i="22"/>
  <c r="CM20" i="22"/>
  <c r="CL20" i="22"/>
  <c r="CK20" i="22"/>
  <c r="CJ20" i="22"/>
  <c r="CI20" i="22"/>
  <c r="CH20" i="22"/>
  <c r="CG20" i="22"/>
  <c r="CF20" i="22"/>
  <c r="CE20" i="22"/>
  <c r="CD20" i="22"/>
  <c r="CC20" i="22"/>
  <c r="CB20" i="22"/>
  <c r="CA20" i="22"/>
  <c r="BZ20" i="22"/>
  <c r="BY20" i="22"/>
  <c r="BX20" i="22"/>
  <c r="BW20" i="22"/>
  <c r="BV20" i="22"/>
  <c r="BU20" i="22"/>
  <c r="BT20" i="22"/>
  <c r="BM20" i="22"/>
  <c r="BL20" i="22"/>
  <c r="BK20" i="22"/>
  <c r="BJ20" i="22"/>
  <c r="BI20" i="22"/>
  <c r="BH20" i="22"/>
  <c r="BG20" i="22"/>
  <c r="BF20" i="22"/>
  <c r="BE20" i="22"/>
  <c r="BD20" i="22"/>
  <c r="BC20" i="22"/>
  <c r="BB20" i="22"/>
  <c r="BA20" i="22"/>
  <c r="AZ20" i="22"/>
  <c r="AY20" i="22"/>
  <c r="AX20" i="22"/>
  <c r="AW20" i="22"/>
  <c r="AV20" i="22"/>
  <c r="AU20" i="22"/>
  <c r="AT20" i="22"/>
  <c r="AS20" i="22"/>
  <c r="AR20" i="22"/>
  <c r="AQ20" i="22"/>
  <c r="AP20" i="22"/>
  <c r="AO20" i="22"/>
  <c r="AN20" i="22"/>
  <c r="AM20" i="22"/>
  <c r="AL20" i="22"/>
  <c r="AK20" i="22"/>
  <c r="AJ20" i="22"/>
  <c r="AI20" i="22"/>
  <c r="AH20" i="22"/>
  <c r="AG20" i="22"/>
  <c r="AF20" i="22"/>
  <c r="AE20" i="22"/>
  <c r="AD20" i="22"/>
  <c r="AC20" i="22"/>
  <c r="AB20" i="22"/>
  <c r="AA20" i="22"/>
  <c r="Z20" i="22"/>
  <c r="Y20" i="22"/>
  <c r="X20" i="22"/>
  <c r="W20" i="22"/>
  <c r="V20" i="22"/>
  <c r="U20" i="22"/>
  <c r="T20" i="22"/>
  <c r="S20" i="22"/>
  <c r="R20" i="22"/>
  <c r="Q20" i="22"/>
  <c r="P20" i="22"/>
  <c r="CO19" i="22"/>
  <c r="CN19" i="22"/>
  <c r="CM19" i="22"/>
  <c r="CL19" i="22"/>
  <c r="CK19" i="22"/>
  <c r="CJ19" i="22"/>
  <c r="CI19" i="22"/>
  <c r="CH19" i="22"/>
  <c r="CG19" i="22"/>
  <c r="CF19" i="22"/>
  <c r="CE19" i="22"/>
  <c r="CD19" i="22"/>
  <c r="CC19" i="22"/>
  <c r="CB19" i="22"/>
  <c r="CA19" i="22"/>
  <c r="BZ19" i="22"/>
  <c r="BY19" i="22"/>
  <c r="BX19" i="22"/>
  <c r="BW19" i="22"/>
  <c r="BV19" i="22"/>
  <c r="BU19" i="22"/>
  <c r="BT19" i="22"/>
  <c r="BS19" i="22"/>
  <c r="BM19" i="22"/>
  <c r="BL19" i="22"/>
  <c r="BK19" i="22"/>
  <c r="BJ19" i="22"/>
  <c r="BI19" i="22"/>
  <c r="BH19" i="22"/>
  <c r="BG19" i="22"/>
  <c r="BF19" i="22"/>
  <c r="BE19" i="22"/>
  <c r="BD19" i="22"/>
  <c r="BC19" i="22"/>
  <c r="BB19" i="22"/>
  <c r="BA19" i="22"/>
  <c r="AZ19" i="22"/>
  <c r="AY19" i="22"/>
  <c r="AX19" i="22"/>
  <c r="AW19" i="22"/>
  <c r="AV19" i="22"/>
  <c r="AU19" i="22"/>
  <c r="AT19" i="22"/>
  <c r="AS19" i="22"/>
  <c r="AR19" i="22"/>
  <c r="AQ19" i="22"/>
  <c r="AP19" i="22"/>
  <c r="AO19" i="22"/>
  <c r="AN19" i="22"/>
  <c r="AM19" i="22"/>
  <c r="AL19" i="22"/>
  <c r="AK19" i="22"/>
  <c r="AJ19" i="22"/>
  <c r="AI19" i="22"/>
  <c r="AH19" i="22"/>
  <c r="AG19" i="22"/>
  <c r="AF19" i="22"/>
  <c r="AE19" i="22"/>
  <c r="AD19" i="22"/>
  <c r="AC19" i="22"/>
  <c r="AB19" i="22"/>
  <c r="AA19" i="22"/>
  <c r="Z19" i="22"/>
  <c r="Y19" i="22"/>
  <c r="X19" i="22"/>
  <c r="W19" i="22"/>
  <c r="V19" i="22"/>
  <c r="U19" i="22"/>
  <c r="T19" i="22"/>
  <c r="S19" i="22"/>
  <c r="R19" i="22"/>
  <c r="Q19" i="22"/>
  <c r="P19" i="22"/>
  <c r="H19" i="22"/>
  <c r="CO18" i="22"/>
  <c r="CN18" i="22"/>
  <c r="CM18" i="22"/>
  <c r="CL18" i="22"/>
  <c r="CK18" i="22"/>
  <c r="CJ18" i="22"/>
  <c r="CI18" i="22"/>
  <c r="CH18" i="22"/>
  <c r="CG18" i="22"/>
  <c r="CF18" i="22"/>
  <c r="CE18" i="22"/>
  <c r="CD18" i="22"/>
  <c r="CC18" i="22"/>
  <c r="CB18" i="22"/>
  <c r="CA18" i="22"/>
  <c r="BZ18" i="22"/>
  <c r="BY18" i="22"/>
  <c r="BX18" i="22"/>
  <c r="BW18" i="22"/>
  <c r="BV18" i="22"/>
  <c r="BU18" i="22"/>
  <c r="BT18" i="22"/>
  <c r="BS18" i="22"/>
  <c r="BR18" i="22"/>
  <c r="BM18" i="22"/>
  <c r="BL18" i="22"/>
  <c r="BK18" i="22"/>
  <c r="BJ18" i="22"/>
  <c r="BI18" i="22"/>
  <c r="BH18" i="22"/>
  <c r="BG18" i="22"/>
  <c r="BF18" i="22"/>
  <c r="BE18" i="22"/>
  <c r="BD18" i="22"/>
  <c r="BC18" i="22"/>
  <c r="BB18" i="22"/>
  <c r="BA18" i="22"/>
  <c r="AZ18" i="22"/>
  <c r="AY18" i="22"/>
  <c r="AX18" i="22"/>
  <c r="AW18" i="22"/>
  <c r="AV18" i="22"/>
  <c r="AU18" i="22"/>
  <c r="AT18" i="22"/>
  <c r="AS18" i="22"/>
  <c r="AR18" i="22"/>
  <c r="AQ18" i="22"/>
  <c r="AP18" i="22"/>
  <c r="AO18" i="22"/>
  <c r="AN18" i="22"/>
  <c r="AM18" i="22"/>
  <c r="AL18" i="22"/>
  <c r="AK18" i="22"/>
  <c r="AJ18" i="22"/>
  <c r="AI18" i="22"/>
  <c r="AH18" i="22"/>
  <c r="AG18" i="22"/>
  <c r="AF18" i="22"/>
  <c r="AE18" i="22"/>
  <c r="AD18" i="22"/>
  <c r="AC18" i="22"/>
  <c r="AB18" i="22"/>
  <c r="AA18" i="22"/>
  <c r="Z18" i="22"/>
  <c r="Y18" i="22"/>
  <c r="X18" i="22"/>
  <c r="W18" i="22"/>
  <c r="V18" i="22"/>
  <c r="U18" i="22"/>
  <c r="T18" i="22"/>
  <c r="S18" i="22"/>
  <c r="R18" i="22"/>
  <c r="Q18" i="22"/>
  <c r="P18" i="22"/>
  <c r="CO17" i="22"/>
  <c r="CN17" i="22"/>
  <c r="CM17" i="22"/>
  <c r="CL17" i="22"/>
  <c r="CK17" i="22"/>
  <c r="CJ17" i="22"/>
  <c r="CI17" i="22"/>
  <c r="CH17" i="22"/>
  <c r="CG17" i="22"/>
  <c r="CF17" i="22"/>
  <c r="CE17" i="22"/>
  <c r="CD17" i="22"/>
  <c r="CC17" i="22"/>
  <c r="CB17" i="22"/>
  <c r="CA17" i="22"/>
  <c r="BZ17" i="22"/>
  <c r="BY17" i="22"/>
  <c r="BX17" i="22"/>
  <c r="BW17" i="22"/>
  <c r="BV17" i="22"/>
  <c r="BU17" i="22"/>
  <c r="BT17" i="22"/>
  <c r="BS17" i="22"/>
  <c r="BR17" i="22"/>
  <c r="BQ17" i="22"/>
  <c r="BM17" i="22"/>
  <c r="BL17" i="22"/>
  <c r="BK17" i="22"/>
  <c r="BJ17" i="22"/>
  <c r="BI17" i="22"/>
  <c r="BH17" i="22"/>
  <c r="BG17" i="22"/>
  <c r="BF17" i="22"/>
  <c r="BE17" i="22"/>
  <c r="BD17" i="22"/>
  <c r="BC17" i="22"/>
  <c r="BB17" i="22"/>
  <c r="BA17" i="22"/>
  <c r="AZ17" i="22"/>
  <c r="AY17" i="22"/>
  <c r="AX17" i="22"/>
  <c r="AW17" i="22"/>
  <c r="AV17" i="22"/>
  <c r="AU17" i="22"/>
  <c r="AT17" i="22"/>
  <c r="AS17" i="22"/>
  <c r="AR17" i="22"/>
  <c r="AQ17" i="22"/>
  <c r="AP17" i="22"/>
  <c r="AO17" i="22"/>
  <c r="AN17" i="22"/>
  <c r="AM17" i="22"/>
  <c r="AL17" i="22"/>
  <c r="AK17" i="22"/>
  <c r="AJ17" i="22"/>
  <c r="AI17" i="22"/>
  <c r="AH17" i="22"/>
  <c r="AG17" i="22"/>
  <c r="AF17" i="22"/>
  <c r="AE17" i="22"/>
  <c r="AD17" i="22"/>
  <c r="AC17" i="22"/>
  <c r="AB17" i="22"/>
  <c r="AA17" i="22"/>
  <c r="Z17" i="22"/>
  <c r="Y17" i="22"/>
  <c r="X17" i="22"/>
  <c r="W17" i="22"/>
  <c r="V17" i="22"/>
  <c r="U17" i="22"/>
  <c r="T17" i="22"/>
  <c r="S17" i="22"/>
  <c r="R17" i="22"/>
  <c r="Q17" i="22"/>
  <c r="P17" i="22"/>
  <c r="H17" i="22"/>
  <c r="CO16" i="22"/>
  <c r="CN16" i="22"/>
  <c r="CM16" i="22"/>
  <c r="CL16" i="22"/>
  <c r="CK16" i="22"/>
  <c r="CJ16" i="22"/>
  <c r="CI16" i="22"/>
  <c r="CH16" i="22"/>
  <c r="CG16" i="22"/>
  <c r="CF16" i="22"/>
  <c r="CE16" i="22"/>
  <c r="CD16" i="22"/>
  <c r="CC16" i="22"/>
  <c r="CB16" i="22"/>
  <c r="CA16" i="22"/>
  <c r="BZ16" i="22"/>
  <c r="BY16" i="22"/>
  <c r="BX16" i="22"/>
  <c r="BW16" i="22"/>
  <c r="BV16" i="22"/>
  <c r="BU16" i="22"/>
  <c r="BT16" i="22"/>
  <c r="BS16" i="22"/>
  <c r="BR16" i="22"/>
  <c r="BQ16" i="22"/>
  <c r="BP16" i="22"/>
  <c r="BM16" i="22"/>
  <c r="BL16" i="22"/>
  <c r="BK16" i="22"/>
  <c r="BJ16" i="22"/>
  <c r="BI16" i="22"/>
  <c r="BH16" i="22"/>
  <c r="BG16" i="22"/>
  <c r="BF16" i="22"/>
  <c r="BE16" i="22"/>
  <c r="BD16" i="22"/>
  <c r="BC16" i="22"/>
  <c r="BB16" i="22"/>
  <c r="BA16" i="22"/>
  <c r="AZ16" i="22"/>
  <c r="AY16" i="22"/>
  <c r="AX16" i="22"/>
  <c r="AW16" i="22"/>
  <c r="AV16" i="22"/>
  <c r="AU16" i="22"/>
  <c r="AT16" i="22"/>
  <c r="AS16" i="22"/>
  <c r="AR16" i="22"/>
  <c r="AQ16" i="22"/>
  <c r="AP16" i="22"/>
  <c r="AO16" i="22"/>
  <c r="AN16" i="22"/>
  <c r="AM16" i="22"/>
  <c r="AL16" i="22"/>
  <c r="AK16" i="22"/>
  <c r="AJ16" i="22"/>
  <c r="AI16" i="22"/>
  <c r="AH16" i="22"/>
  <c r="AG16" i="22"/>
  <c r="AF16" i="22"/>
  <c r="AE16" i="22"/>
  <c r="AD16" i="22"/>
  <c r="AC16" i="22"/>
  <c r="AB16" i="22"/>
  <c r="AA16" i="22"/>
  <c r="Z16" i="22"/>
  <c r="Y16" i="22"/>
  <c r="X16" i="22"/>
  <c r="W16" i="22"/>
  <c r="V16" i="22"/>
  <c r="U16" i="22"/>
  <c r="T16" i="22"/>
  <c r="S16" i="22"/>
  <c r="R16" i="22"/>
  <c r="Q16" i="22"/>
  <c r="P16" i="22"/>
  <c r="CO15" i="22"/>
  <c r="CN15" i="22"/>
  <c r="CM15" i="22"/>
  <c r="CL15" i="22"/>
  <c r="CK15" i="22"/>
  <c r="CJ15" i="22"/>
  <c r="CI15" i="22"/>
  <c r="CH15" i="22"/>
  <c r="CG15" i="22"/>
  <c r="CF15" i="22"/>
  <c r="CE15" i="22"/>
  <c r="CD15" i="22"/>
  <c r="CC15" i="22"/>
  <c r="CB15" i="22"/>
  <c r="CA15" i="22"/>
  <c r="BZ15" i="22"/>
  <c r="BY15" i="22"/>
  <c r="BX15" i="22"/>
  <c r="BW15" i="22"/>
  <c r="BV15" i="22"/>
  <c r="BU15" i="22"/>
  <c r="BT15" i="22"/>
  <c r="BS15" i="22"/>
  <c r="BR15" i="22"/>
  <c r="BQ15" i="22"/>
  <c r="BP15" i="22"/>
  <c r="BO15" i="22"/>
  <c r="BM15" i="22"/>
  <c r="BL15" i="22"/>
  <c r="BK15" i="22"/>
  <c r="BJ15" i="22"/>
  <c r="BI15" i="22"/>
  <c r="BH15" i="22"/>
  <c r="BG15" i="22"/>
  <c r="BF15" i="22"/>
  <c r="BE15" i="22"/>
  <c r="BD15" i="22"/>
  <c r="BC15" i="22"/>
  <c r="BB15" i="22"/>
  <c r="BA15" i="22"/>
  <c r="AZ15" i="22"/>
  <c r="AY15" i="22"/>
  <c r="AX15" i="22"/>
  <c r="AW15" i="22"/>
  <c r="AV15" i="22"/>
  <c r="AU15" i="22"/>
  <c r="AT15" i="22"/>
  <c r="AS15" i="22"/>
  <c r="AR15" i="22"/>
  <c r="AQ15" i="22"/>
  <c r="AP15" i="22"/>
  <c r="AO15" i="22"/>
  <c r="AN15" i="22"/>
  <c r="AM15" i="22"/>
  <c r="AL15" i="22"/>
  <c r="AK15" i="22"/>
  <c r="AJ15" i="22"/>
  <c r="AI15" i="22"/>
  <c r="AH15" i="22"/>
  <c r="AG15" i="22"/>
  <c r="AF15" i="22"/>
  <c r="AE15" i="22"/>
  <c r="AD15" i="22"/>
  <c r="AC15" i="22"/>
  <c r="AB15" i="22"/>
  <c r="AA15" i="22"/>
  <c r="Z15" i="22"/>
  <c r="Y15" i="22"/>
  <c r="X15" i="22"/>
  <c r="W15" i="22"/>
  <c r="V15" i="22"/>
  <c r="U15" i="22"/>
  <c r="T15" i="22"/>
  <c r="S15" i="22"/>
  <c r="R15" i="22"/>
  <c r="Q15" i="22"/>
  <c r="P15" i="22"/>
  <c r="CX14" i="22"/>
  <c r="CS14" i="22"/>
  <c r="CO14" i="22"/>
  <c r="CN14" i="22"/>
  <c r="CM14" i="22"/>
  <c r="CL14" i="22"/>
  <c r="CK14" i="22"/>
  <c r="CJ14" i="22"/>
  <c r="CI14" i="22"/>
  <c r="CH14" i="22"/>
  <c r="CG14" i="22"/>
  <c r="CF14" i="22"/>
  <c r="CE14" i="22"/>
  <c r="CD14" i="22"/>
  <c r="CC14" i="22"/>
  <c r="CB14" i="22"/>
  <c r="CA14" i="22"/>
  <c r="BZ14" i="22"/>
  <c r="BY14" i="22"/>
  <c r="BX14" i="22"/>
  <c r="BW14" i="22"/>
  <c r="BV14" i="22"/>
  <c r="BU14" i="22"/>
  <c r="BT14" i="22"/>
  <c r="BS14" i="22"/>
  <c r="BR14" i="22"/>
  <c r="BQ14" i="22"/>
  <c r="BP14" i="22"/>
  <c r="BO14" i="22"/>
  <c r="BN14" i="22"/>
  <c r="BM14" i="22"/>
  <c r="BL14" i="22"/>
  <c r="BK14" i="22"/>
  <c r="BJ14" i="22"/>
  <c r="BI14" i="22"/>
  <c r="BH14" i="22"/>
  <c r="BG14" i="22"/>
  <c r="BF14" i="22"/>
  <c r="BE14" i="22"/>
  <c r="BD14" i="22"/>
  <c r="BC14" i="22"/>
  <c r="BB14" i="22"/>
  <c r="BA14" i="22"/>
  <c r="AZ14" i="22"/>
  <c r="AY14" i="22"/>
  <c r="AX14" i="22"/>
  <c r="AW14" i="22"/>
  <c r="AV14" i="22"/>
  <c r="AU14" i="22"/>
  <c r="AT14" i="22"/>
  <c r="AS14" i="22"/>
  <c r="AR14" i="22"/>
  <c r="AQ14" i="22"/>
  <c r="AP14" i="22"/>
  <c r="AO14" i="22"/>
  <c r="AN14" i="22"/>
  <c r="AM14" i="22"/>
  <c r="AL14" i="22"/>
  <c r="AK14" i="22"/>
  <c r="AJ14" i="22"/>
  <c r="AI14" i="22"/>
  <c r="AH14" i="22"/>
  <c r="AG14" i="22"/>
  <c r="AF14" i="22"/>
  <c r="AE14" i="22"/>
  <c r="AD14" i="22"/>
  <c r="AC14" i="22"/>
  <c r="AB14" i="22"/>
  <c r="AA14" i="22"/>
  <c r="Z14" i="22"/>
  <c r="Y14" i="22"/>
  <c r="X14" i="22"/>
  <c r="W14" i="22"/>
  <c r="V14" i="22"/>
  <c r="U14" i="22"/>
  <c r="T14" i="22"/>
  <c r="S14" i="22"/>
  <c r="R14" i="22"/>
  <c r="Q14" i="22"/>
  <c r="P14" i="22"/>
  <c r="J13" i="22"/>
  <c r="G13" i="22"/>
  <c r="E44" i="5"/>
  <c r="E22" i="5"/>
  <c r="E30" i="5"/>
  <c r="E38" i="5"/>
  <c r="E46" i="5"/>
  <c r="E31" i="5"/>
  <c r="E39" i="5"/>
  <c r="E47" i="5"/>
  <c r="E23" i="5"/>
  <c r="E24" i="5"/>
  <c r="E32" i="5"/>
  <c r="E48" i="5"/>
  <c r="E34" i="5"/>
  <c r="E28" i="5"/>
  <c r="E21" i="5"/>
  <c r="E45" i="5"/>
  <c r="E40" i="5"/>
  <c r="E25" i="5"/>
  <c r="E33" i="5"/>
  <c r="E20" i="5"/>
  <c r="E41" i="5"/>
  <c r="E36" i="5"/>
  <c r="E26" i="5"/>
  <c r="E35" i="5"/>
  <c r="E42" i="5"/>
  <c r="E27" i="5"/>
  <c r="E37" i="5"/>
  <c r="E43" i="5"/>
  <c r="E29" i="5"/>
  <c r="CC35" i="22" l="1"/>
  <c r="CK42" i="22"/>
  <c r="CC78" i="22"/>
  <c r="CG80" i="22"/>
  <c r="CH38" i="22"/>
  <c r="CA41" i="22"/>
  <c r="CL42" i="22"/>
  <c r="CK78" i="22"/>
  <c r="CK80" i="22"/>
  <c r="CK41" i="22"/>
  <c r="CC75" i="22"/>
  <c r="CN80" i="22"/>
  <c r="CC30" i="22"/>
  <c r="CA31" i="22"/>
  <c r="CC33" i="22"/>
  <c r="CC71" i="22"/>
  <c r="CC77" i="22"/>
  <c r="G48" i="18"/>
  <c r="CC41" i="22"/>
  <c r="CC34" i="22"/>
  <c r="CC37" i="22"/>
  <c r="CC40" i="22"/>
  <c r="CC31" i="22"/>
  <c r="CC32" i="22"/>
  <c r="CK40" i="22"/>
  <c r="CH77" i="22"/>
  <c r="CC72" i="22"/>
  <c r="CK38" i="22"/>
  <c r="CL41" i="22"/>
  <c r="CL40" i="22"/>
  <c r="CC79" i="22"/>
  <c r="CC36" i="22"/>
  <c r="CC39" i="22"/>
  <c r="CA66" i="22"/>
  <c r="CC67" i="22"/>
  <c r="CC68" i="22"/>
  <c r="CC69" i="22"/>
  <c r="CK79" i="22"/>
  <c r="CC70" i="22"/>
  <c r="CC74" i="22"/>
  <c r="CC43" i="22"/>
  <c r="CH36" i="22"/>
  <c r="CK39" i="22"/>
  <c r="H58" i="18"/>
  <c r="H59" i="18"/>
  <c r="H60" i="18"/>
  <c r="CK43" i="22"/>
  <c r="CA73" i="22"/>
  <c r="CC38" i="22"/>
  <c r="CL43" i="22"/>
  <c r="CL76" i="22"/>
  <c r="BN26" i="22"/>
  <c r="BX36" i="22"/>
  <c r="BW69" i="22"/>
  <c r="BX70" i="22"/>
  <c r="BX38" i="22"/>
  <c r="BN19" i="22"/>
  <c r="CE37" i="22"/>
  <c r="CE36" i="22"/>
  <c r="BO37" i="22"/>
  <c r="BX37" i="22"/>
  <c r="BX28" i="22"/>
  <c r="BX40" i="22"/>
  <c r="BN15" i="22"/>
  <c r="CU15" i="22" s="1"/>
  <c r="BX29" i="22"/>
  <c r="CG36" i="22"/>
  <c r="BP66" i="22"/>
  <c r="BW70" i="22"/>
  <c r="BN30" i="22"/>
  <c r="BX35" i="22"/>
  <c r="BN56" i="22"/>
  <c r="BN63" i="22"/>
  <c r="BX33" i="22"/>
  <c r="BX30" i="22"/>
  <c r="BN60" i="22"/>
  <c r="BX63" i="22"/>
  <c r="BX32" i="22"/>
  <c r="BX42" i="22"/>
  <c r="BX26" i="22"/>
  <c r="BX27" i="22"/>
  <c r="BN31" i="22"/>
  <c r="BX39" i="22"/>
  <c r="BP30" i="22"/>
  <c r="BQ30" i="22"/>
  <c r="BS24" i="22"/>
  <c r="BS67" i="22"/>
  <c r="BN20" i="22"/>
  <c r="BV27" i="22"/>
  <c r="CF35" i="22"/>
  <c r="BN57" i="22"/>
  <c r="BS26" i="22"/>
  <c r="BS20" i="22"/>
  <c r="CE33" i="22"/>
  <c r="CF34" i="22"/>
  <c r="CF41" i="22"/>
  <c r="CF76" i="22"/>
  <c r="BS66" i="22"/>
  <c r="BS30" i="22"/>
  <c r="BS27" i="22"/>
  <c r="BW40" i="22"/>
  <c r="CE40" i="22"/>
  <c r="BV65" i="22"/>
  <c r="CF73" i="22"/>
  <c r="BS58" i="22"/>
  <c r="BP60" i="22"/>
  <c r="BS63" i="22"/>
  <c r="BW33" i="22"/>
  <c r="CD35" i="22"/>
  <c r="BW24" i="22"/>
  <c r="CE35" i="22"/>
  <c r="BN28" i="22"/>
  <c r="CE39" i="22"/>
  <c r="CF40" i="22"/>
  <c r="BW65" i="22"/>
  <c r="CF39" i="22"/>
  <c r="BN62" i="22"/>
  <c r="CD72" i="22"/>
  <c r="BU27" i="22"/>
  <c r="CD68" i="22"/>
  <c r="CH72" i="22"/>
  <c r="CD79" i="22"/>
  <c r="BZ73" i="22"/>
  <c r="BR27" i="22"/>
  <c r="BR43" i="22"/>
  <c r="CB31" i="22"/>
  <c r="BS43" i="22"/>
  <c r="BS59" i="22"/>
  <c r="BP21" i="22"/>
  <c r="BP56" i="22"/>
  <c r="BT59" i="22"/>
  <c r="BR38" i="22"/>
  <c r="CG76" i="22"/>
  <c r="BS21" i="22"/>
  <c r="BS32" i="22"/>
  <c r="BS33" i="22"/>
  <c r="BS38" i="22"/>
  <c r="CB39" i="22"/>
  <c r="CB40" i="22"/>
  <c r="CB43" i="22"/>
  <c r="BS64" i="22"/>
  <c r="CF70" i="22"/>
  <c r="CB75" i="22"/>
  <c r="CH76" i="22"/>
  <c r="BP57" i="22"/>
  <c r="BT39" i="22"/>
  <c r="BT43" i="22"/>
  <c r="BR21" i="22"/>
  <c r="CD31" i="22"/>
  <c r="BT21" i="22"/>
  <c r="CD75" i="22"/>
  <c r="BS57" i="22"/>
  <c r="BS69" i="22"/>
  <c r="BS25" i="22"/>
  <c r="BS42" i="22"/>
  <c r="BP32" i="22"/>
  <c r="BP34" i="22"/>
  <c r="BP37" i="22"/>
  <c r="BP17" i="22"/>
  <c r="CB29" i="22"/>
  <c r="BR34" i="22"/>
  <c r="BP62" i="22"/>
  <c r="BT65" i="22"/>
  <c r="CF75" i="22"/>
  <c r="BZ30" i="22"/>
  <c r="BT27" i="22"/>
  <c r="BP41" i="22"/>
  <c r="CB69" i="22"/>
  <c r="CB36" i="22"/>
  <c r="BP26" i="22"/>
  <c r="BS34" i="22"/>
  <c r="CD36" i="22"/>
  <c r="CG38" i="22"/>
  <c r="CH43" i="22"/>
  <c r="BR58" i="22"/>
  <c r="BS62" i="22"/>
  <c r="BZ74" i="22"/>
  <c r="CH75" i="22"/>
  <c r="BO57" i="22"/>
  <c r="CB70" i="22"/>
  <c r="BW62" i="22"/>
  <c r="BW30" i="22"/>
  <c r="BV30" i="22"/>
  <c r="BV60" i="22"/>
  <c r="BW66" i="22"/>
  <c r="BU26" i="22"/>
  <c r="BP28" i="22"/>
  <c r="BP64" i="22"/>
  <c r="BP59" i="22"/>
  <c r="CB66" i="22"/>
  <c r="CG71" i="22"/>
  <c r="CD74" i="22"/>
  <c r="BO25" i="22"/>
  <c r="BW26" i="22"/>
  <c r="BV28" i="22"/>
  <c r="BW32" i="22"/>
  <c r="BW34" i="22"/>
  <c r="BN35" i="22"/>
  <c r="CD37" i="22"/>
  <c r="CE41" i="22"/>
  <c r="BW42" i="22"/>
  <c r="BP55" i="22"/>
  <c r="BU64" i="22"/>
  <c r="CG72" i="22"/>
  <c r="CD73" i="22"/>
  <c r="CG79" i="22"/>
  <c r="BV71" i="22"/>
  <c r="CB71" i="22"/>
  <c r="BU28" i="22"/>
  <c r="BU38" i="22"/>
  <c r="CB30" i="22"/>
  <c r="CB42" i="22"/>
  <c r="BP19" i="22"/>
  <c r="BU25" i="22"/>
  <c r="BN29" i="22"/>
  <c r="BO31" i="22"/>
  <c r="BN33" i="22"/>
  <c r="BV35" i="22"/>
  <c r="CG37" i="22"/>
  <c r="BW38" i="22"/>
  <c r="BP54" i="22"/>
  <c r="BP61" i="22"/>
  <c r="BO63" i="22"/>
  <c r="BW67" i="22"/>
  <c r="CE78" i="22"/>
  <c r="BV37" i="22"/>
  <c r="BO56" i="22"/>
  <c r="BO38" i="22"/>
  <c r="CB74" i="22"/>
  <c r="BU34" i="22"/>
  <c r="CD41" i="22"/>
  <c r="BO19" i="22"/>
  <c r="BN18" i="22"/>
  <c r="BN22" i="22"/>
  <c r="BV25" i="22"/>
  <c r="BP27" i="22"/>
  <c r="BP29" i="22"/>
  <c r="BP31" i="22"/>
  <c r="CD32" i="22"/>
  <c r="BO33" i="22"/>
  <c r="CE34" i="22"/>
  <c r="BW35" i="22"/>
  <c r="BP36" i="22"/>
  <c r="CH37" i="22"/>
  <c r="BU39" i="22"/>
  <c r="CE42" i="22"/>
  <c r="BO58" i="22"/>
  <c r="BW61" i="22"/>
  <c r="BP63" i="22"/>
  <c r="CB67" i="22"/>
  <c r="CB77" i="22"/>
  <c r="CF78" i="22"/>
  <c r="BW41" i="22"/>
  <c r="CB33" i="22"/>
  <c r="BO32" i="22"/>
  <c r="CB72" i="22"/>
  <c r="BP23" i="22"/>
  <c r="CB37" i="22"/>
  <c r="BP25" i="22"/>
  <c r="BW28" i="22"/>
  <c r="BV64" i="22"/>
  <c r="CB34" i="22"/>
  <c r="CN43" i="22"/>
  <c r="BU59" i="22"/>
  <c r="BP22" i="22"/>
  <c r="BN24" i="22"/>
  <c r="BW25" i="22"/>
  <c r="BV29" i="22"/>
  <c r="CE32" i="22"/>
  <c r="BP33" i="22"/>
  <c r="BV36" i="22"/>
  <c r="CB38" i="22"/>
  <c r="BV39" i="22"/>
  <c r="BU43" i="22"/>
  <c r="BN53" i="22"/>
  <c r="BP58" i="22"/>
  <c r="BP65" i="22"/>
  <c r="BW68" i="22"/>
  <c r="CH78" i="22"/>
  <c r="BW27" i="22"/>
  <c r="BU37" i="22"/>
  <c r="BW72" i="22"/>
  <c r="BU60" i="22"/>
  <c r="BW71" i="22"/>
  <c r="BO64" i="22"/>
  <c r="BO20" i="22"/>
  <c r="CB73" i="22"/>
  <c r="BV23" i="22"/>
  <c r="BP35" i="22"/>
  <c r="BU67" i="22"/>
  <c r="CB32" i="22"/>
  <c r="BU35" i="22"/>
  <c r="BP39" i="22"/>
  <c r="CG73" i="22"/>
  <c r="BU22" i="22"/>
  <c r="BP24" i="22"/>
  <c r="BW29" i="22"/>
  <c r="BV31" i="22"/>
  <c r="CB35" i="22"/>
  <c r="BW36" i="22"/>
  <c r="BW39" i="22"/>
  <c r="BP40" i="22"/>
  <c r="CG42" i="22"/>
  <c r="BV43" i="22"/>
  <c r="BN52" i="22"/>
  <c r="CU52" i="22" s="1"/>
  <c r="BV63" i="22"/>
  <c r="CB68" i="22"/>
  <c r="CF77" i="22"/>
  <c r="BU71" i="22"/>
  <c r="BO26" i="22"/>
  <c r="BW37" i="22"/>
  <c r="CB41" i="22"/>
  <c r="BP38" i="22"/>
  <c r="BU42" i="22"/>
  <c r="BP20" i="22"/>
  <c r="BV26" i="22"/>
  <c r="BV32" i="22"/>
  <c r="BV34" i="22"/>
  <c r="BV42" i="22"/>
  <c r="BV38" i="22"/>
  <c r="CG41" i="22"/>
  <c r="BW64" i="22"/>
  <c r="BV67" i="22"/>
  <c r="CD78" i="22"/>
  <c r="BN17" i="22"/>
  <c r="BW31" i="22"/>
  <c r="BU33" i="22"/>
  <c r="BN37" i="22"/>
  <c r="BV40" i="22"/>
  <c r="CH42" i="22"/>
  <c r="BW43" i="22"/>
  <c r="BU65" i="22"/>
  <c r="CG77" i="22"/>
  <c r="CA29" i="22"/>
  <c r="BR42" i="22"/>
  <c r="BT67" i="22"/>
  <c r="CA70" i="22"/>
  <c r="BR32" i="22"/>
  <c r="BR63" i="22"/>
  <c r="BZ65" i="22"/>
  <c r="CA28" i="22"/>
  <c r="BY27" i="22"/>
  <c r="BR31" i="22"/>
  <c r="BY34" i="22"/>
  <c r="BN36" i="22"/>
  <c r="BS37" i="22"/>
  <c r="CA39" i="22"/>
  <c r="CD40" i="22"/>
  <c r="BR41" i="22"/>
  <c r="CH41" i="22"/>
  <c r="BY43" i="22"/>
  <c r="BN55" i="22"/>
  <c r="BR56" i="22"/>
  <c r="BN61" i="22"/>
  <c r="BT63" i="22"/>
  <c r="BY67" i="22"/>
  <c r="BU69" i="22"/>
  <c r="CD70" i="22"/>
  <c r="CH73" i="22"/>
  <c r="CG74" i="22"/>
  <c r="CD76" i="22"/>
  <c r="CD77" i="22"/>
  <c r="BY36" i="22"/>
  <c r="CA30" i="22"/>
  <c r="BR64" i="22"/>
  <c r="CA68" i="22"/>
  <c r="BZ70" i="22"/>
  <c r="BZ76" i="22"/>
  <c r="BT38" i="22"/>
  <c r="CA40" i="22"/>
  <c r="CA76" i="22"/>
  <c r="BT26" i="22"/>
  <c r="BZ28" i="22"/>
  <c r="BR25" i="22"/>
  <c r="BT69" i="22"/>
  <c r="BT32" i="22"/>
  <c r="BN16" i="22"/>
  <c r="BO17" i="22"/>
  <c r="BN23" i="22"/>
  <c r="BR24" i="22"/>
  <c r="BT25" i="22"/>
  <c r="BZ27" i="22"/>
  <c r="BO29" i="22"/>
  <c r="BS31" i="22"/>
  <c r="BU32" i="22"/>
  <c r="BZ34" i="22"/>
  <c r="BO36" i="22"/>
  <c r="BT37" i="22"/>
  <c r="BS41" i="22"/>
  <c r="CN42" i="22"/>
  <c r="BZ43" i="22"/>
  <c r="BN54" i="22"/>
  <c r="BO55" i="22"/>
  <c r="BO61" i="22"/>
  <c r="BR62" i="22"/>
  <c r="BU63" i="22"/>
  <c r="BZ67" i="22"/>
  <c r="BY71" i="22"/>
  <c r="CH74" i="22"/>
  <c r="CG75" i="22"/>
  <c r="CG78" i="22"/>
  <c r="BT58" i="22"/>
  <c r="CA77" i="22"/>
  <c r="BT33" i="22"/>
  <c r="BZ35" i="22"/>
  <c r="BR19" i="22"/>
  <c r="BR29" i="22"/>
  <c r="BZ38" i="22"/>
  <c r="BO53" i="22"/>
  <c r="BT62" i="22"/>
  <c r="BR23" i="22"/>
  <c r="BU24" i="22"/>
  <c r="BO28" i="22"/>
  <c r="BS29" i="22"/>
  <c r="BT30" i="22"/>
  <c r="BZ33" i="22"/>
  <c r="BO35" i="22"/>
  <c r="BS36" i="22"/>
  <c r="CA38" i="22"/>
  <c r="BN39" i="22"/>
  <c r="BR40" i="22"/>
  <c r="CH40" i="22"/>
  <c r="BZ42" i="22"/>
  <c r="BO60" i="22"/>
  <c r="BS61" i="22"/>
  <c r="BU62" i="22"/>
  <c r="BU66" i="22"/>
  <c r="BR68" i="22"/>
  <c r="BZ69" i="22"/>
  <c r="CK75" i="22"/>
  <c r="CO79" i="22"/>
  <c r="BZ36" i="22"/>
  <c r="BZ75" i="22"/>
  <c r="CA75" i="22"/>
  <c r="BY28" i="22"/>
  <c r="BT42" i="22"/>
  <c r="BT64" i="22"/>
  <c r="BO18" i="22"/>
  <c r="BO30" i="22"/>
  <c r="CA65" i="22"/>
  <c r="BT31" i="22"/>
  <c r="BY64" i="22"/>
  <c r="BR36" i="22"/>
  <c r="BU41" i="22"/>
  <c r="BZ64" i="22"/>
  <c r="BO22" i="22"/>
  <c r="BS23" i="22"/>
  <c r="BT29" i="22"/>
  <c r="BU30" i="22"/>
  <c r="BY32" i="22"/>
  <c r="CA33" i="22"/>
  <c r="CD34" i="22"/>
  <c r="CG35" i="22"/>
  <c r="BT36" i="22"/>
  <c r="BO39" i="22"/>
  <c r="BS40" i="22"/>
  <c r="CN41" i="22"/>
  <c r="CA42" i="22"/>
  <c r="CD43" i="22"/>
  <c r="BN59" i="22"/>
  <c r="BT61" i="22"/>
  <c r="BV62" i="22"/>
  <c r="BY63" i="22"/>
  <c r="BV66" i="22"/>
  <c r="BS68" i="22"/>
  <c r="CA69" i="22"/>
  <c r="BV72" i="22"/>
  <c r="CK76" i="22"/>
  <c r="BY40" i="22"/>
  <c r="BZ68" i="22"/>
  <c r="CA36" i="22"/>
  <c r="BR57" i="22"/>
  <c r="BO16" i="22"/>
  <c r="BO54" i="22"/>
  <c r="BT24" i="22"/>
  <c r="CD39" i="22"/>
  <c r="BY42" i="22"/>
  <c r="BT66" i="22"/>
  <c r="BY69" i="22"/>
  <c r="CA71" i="22"/>
  <c r="CN79" i="22"/>
  <c r="BN21" i="22"/>
  <c r="BT23" i="22"/>
  <c r="BN27" i="22"/>
  <c r="BR28" i="22"/>
  <c r="BU29" i="22"/>
  <c r="BZ32" i="22"/>
  <c r="BN34" i="22"/>
  <c r="BR35" i="22"/>
  <c r="CH35" i="22"/>
  <c r="BU36" i="22"/>
  <c r="BY37" i="22"/>
  <c r="CG39" i="22"/>
  <c r="BT40" i="22"/>
  <c r="BO59" i="22"/>
  <c r="BR60" i="22"/>
  <c r="BU61" i="22"/>
  <c r="BO65" i="22"/>
  <c r="BT68" i="22"/>
  <c r="BT70" i="22"/>
  <c r="CD71" i="22"/>
  <c r="BY68" i="22"/>
  <c r="BZ29" i="22"/>
  <c r="CA74" i="22"/>
  <c r="BR33" i="22"/>
  <c r="BY65" i="22"/>
  <c r="CA35" i="22"/>
  <c r="BO23" i="22"/>
  <c r="BR30" i="22"/>
  <c r="BY38" i="22"/>
  <c r="BT41" i="22"/>
  <c r="CO42" i="22"/>
  <c r="BZ71" i="22"/>
  <c r="BR61" i="22"/>
  <c r="BR22" i="22"/>
  <c r="BO21" i="22"/>
  <c r="BS22" i="22"/>
  <c r="BU23" i="22"/>
  <c r="BO27" i="22"/>
  <c r="BS28" i="22"/>
  <c r="BY31" i="22"/>
  <c r="CA32" i="22"/>
  <c r="BO34" i="22"/>
  <c r="BS35" i="22"/>
  <c r="BZ37" i="22"/>
  <c r="CD38" i="22"/>
  <c r="BR39" i="22"/>
  <c r="CH39" i="22"/>
  <c r="BU40" i="22"/>
  <c r="BY41" i="22"/>
  <c r="CP42" i="22"/>
  <c r="BS60" i="22"/>
  <c r="BV61" i="22"/>
  <c r="BY66" i="22"/>
  <c r="BU68" i="22"/>
  <c r="BU70" i="22"/>
  <c r="CE71" i="22"/>
  <c r="BZ72" i="22"/>
  <c r="BY29" i="22"/>
  <c r="BY70" i="22"/>
  <c r="BR20" i="22"/>
  <c r="BR26" i="22"/>
  <c r="BZ40" i="22"/>
  <c r="BY35" i="22"/>
  <c r="BY39" i="22"/>
  <c r="BO24" i="22"/>
  <c r="BR37" i="22"/>
  <c r="BZ39" i="22"/>
  <c r="BO62" i="22"/>
  <c r="CA34" i="22"/>
  <c r="CA43" i="22"/>
  <c r="CA67" i="22"/>
  <c r="BY26" i="22"/>
  <c r="BY33" i="22"/>
  <c r="CG40" i="22"/>
  <c r="BT22" i="22"/>
  <c r="BT28" i="22"/>
  <c r="BZ31" i="22"/>
  <c r="CD33" i="22"/>
  <c r="CG34" i="22"/>
  <c r="BT35" i="22"/>
  <c r="CA37" i="22"/>
  <c r="BN38" i="22"/>
  <c r="BS39" i="22"/>
  <c r="BZ41" i="22"/>
  <c r="CD42" i="22"/>
  <c r="CG43" i="22"/>
  <c r="BR59" i="22"/>
  <c r="BV68" i="22"/>
  <c r="CD69" i="22"/>
  <c r="CF71" i="22"/>
  <c r="CD80" i="22"/>
  <c r="K31" i="18"/>
  <c r="K43" i="18"/>
  <c r="K39" i="18"/>
  <c r="K42" i="18"/>
  <c r="G47" i="18"/>
  <c r="S47" i="18" s="1"/>
  <c r="H57" i="18"/>
  <c r="H23" i="18"/>
  <c r="H65" i="18"/>
  <c r="H64" i="18"/>
  <c r="H63" i="18"/>
  <c r="H62" i="18"/>
  <c r="H61" i="18"/>
  <c r="U48" i="18"/>
  <c r="S48" i="18"/>
  <c r="M46" i="18"/>
  <c r="E49" i="18"/>
  <c r="K32" i="18"/>
  <c r="K36" i="18"/>
  <c r="K40" i="18"/>
  <c r="K44" i="18"/>
  <c r="I49" i="18"/>
  <c r="J47" i="18"/>
  <c r="J48" i="18"/>
  <c r="K33" i="18"/>
  <c r="K37" i="18"/>
  <c r="K41" i="18"/>
  <c r="K45" i="18"/>
  <c r="CP15" i="22"/>
  <c r="CP22" i="22"/>
  <c r="CU51" i="22"/>
  <c r="CP109" i="22"/>
  <c r="CP68" i="22"/>
  <c r="CP41" i="22"/>
  <c r="CP14" i="22"/>
  <c r="CP43" i="22"/>
  <c r="CP21" i="22"/>
  <c r="CP101" i="22"/>
  <c r="CP112" i="22"/>
  <c r="CP19" i="22"/>
  <c r="CP116" i="22"/>
  <c r="CP20" i="22"/>
  <c r="CP24" i="22"/>
  <c r="CP61" i="22"/>
  <c r="CP16" i="22"/>
  <c r="CP23" i="22"/>
  <c r="CP40" i="22"/>
  <c r="CP66" i="22"/>
  <c r="CP17" i="22"/>
  <c r="CP18" i="22"/>
  <c r="CP25" i="22"/>
  <c r="CP26" i="22"/>
  <c r="CP27" i="22"/>
  <c r="CP28" i="22"/>
  <c r="CP29" i="22"/>
  <c r="CP60" i="22"/>
  <c r="CP62" i="22"/>
  <c r="CP63" i="22"/>
  <c r="BN112" i="22"/>
  <c r="BN94" i="22"/>
  <c r="BN91" i="22"/>
  <c r="BN79" i="22"/>
  <c r="BN66" i="22"/>
  <c r="BN65" i="22"/>
  <c r="BO74" i="22"/>
  <c r="BO90" i="22"/>
  <c r="BO78" i="22"/>
  <c r="BO71" i="22"/>
  <c r="BO66" i="22"/>
  <c r="BP74" i="22"/>
  <c r="BP98" i="22"/>
  <c r="BP95" i="22"/>
  <c r="BP77" i="22"/>
  <c r="BP70" i="22"/>
  <c r="CP69" i="22"/>
  <c r="BS75" i="22"/>
  <c r="BS101" i="22"/>
  <c r="BS74" i="22"/>
  <c r="CP70" i="22"/>
  <c r="BT75" i="22"/>
  <c r="BT74" i="22"/>
  <c r="BT73" i="22"/>
  <c r="BU75" i="22"/>
  <c r="BU80" i="22"/>
  <c r="BU73" i="22"/>
  <c r="BU72" i="22"/>
  <c r="BV76" i="22"/>
  <c r="BV79" i="22"/>
  <c r="BV73" i="22"/>
  <c r="BW113" i="22"/>
  <c r="BW105" i="22"/>
  <c r="BW78" i="22"/>
  <c r="CP75" i="22"/>
  <c r="CP76" i="22"/>
  <c r="CP77" i="22"/>
  <c r="CQ77" i="22" s="1"/>
  <c r="CC111" i="22"/>
  <c r="CC80" i="22"/>
  <c r="CP89" i="22"/>
  <c r="CP100" i="22"/>
  <c r="CP108" i="22"/>
  <c r="J92" i="22"/>
  <c r="J85" i="22"/>
  <c r="J81" i="22"/>
  <c r="J73" i="22"/>
  <c r="J80" i="22"/>
  <c r="J72" i="22"/>
  <c r="J66" i="22"/>
  <c r="J91" i="22"/>
  <c r="J88" i="22"/>
  <c r="J84" i="22"/>
  <c r="J79" i="22"/>
  <c r="J65" i="22"/>
  <c r="J90" i="22"/>
  <c r="J78" i="22"/>
  <c r="J71" i="22"/>
  <c r="J64" i="22"/>
  <c r="J89" i="22"/>
  <c r="J87" i="22"/>
  <c r="J83" i="22"/>
  <c r="J77" i="22"/>
  <c r="J70" i="22"/>
  <c r="J63" i="22"/>
  <c r="J76" i="22"/>
  <c r="J69" i="22"/>
  <c r="J62" i="22"/>
  <c r="J86" i="22"/>
  <c r="J82" i="22"/>
  <c r="J75" i="22"/>
  <c r="J68" i="22"/>
  <c r="J61" i="22"/>
  <c r="BQ116" i="22"/>
  <c r="BQ108" i="22"/>
  <c r="BQ100" i="22"/>
  <c r="BQ117" i="22"/>
  <c r="BQ109" i="22"/>
  <c r="BQ101" i="22"/>
  <c r="BQ110" i="22"/>
  <c r="BQ102" i="22"/>
  <c r="BQ111" i="22"/>
  <c r="BQ103" i="22"/>
  <c r="BQ112" i="22"/>
  <c r="BQ104" i="22"/>
  <c r="BQ96" i="22"/>
  <c r="BQ113" i="22"/>
  <c r="BQ105" i="22"/>
  <c r="BQ97" i="22"/>
  <c r="BQ114" i="22"/>
  <c r="BQ106" i="22"/>
  <c r="BQ98" i="22"/>
  <c r="BQ75" i="22"/>
  <c r="BQ68" i="22"/>
  <c r="BQ61" i="22"/>
  <c r="BQ60" i="22"/>
  <c r="BQ115" i="22"/>
  <c r="BQ107" i="22"/>
  <c r="BQ99" i="22"/>
  <c r="BQ74" i="22"/>
  <c r="BQ67" i="22"/>
  <c r="BQ59" i="22"/>
  <c r="BQ58" i="22"/>
  <c r="BQ57" i="22"/>
  <c r="BQ92" i="22"/>
  <c r="BQ73" i="22"/>
  <c r="H72" i="22"/>
  <c r="BQ56" i="22"/>
  <c r="BQ55" i="22"/>
  <c r="BQ93" i="22"/>
  <c r="BQ80" i="22"/>
  <c r="BQ72" i="22"/>
  <c r="BQ66" i="22"/>
  <c r="BQ94" i="22"/>
  <c r="BQ79" i="22"/>
  <c r="BQ65" i="22"/>
  <c r="BQ78" i="22"/>
  <c r="BQ71" i="22"/>
  <c r="BQ64" i="22"/>
  <c r="BQ95" i="22"/>
  <c r="BQ77" i="22"/>
  <c r="BQ70" i="22"/>
  <c r="BQ63" i="22"/>
  <c r="CP73" i="22"/>
  <c r="CI110" i="22"/>
  <c r="CI111" i="22"/>
  <c r="CI112" i="22"/>
  <c r="CI113" i="22"/>
  <c r="CI114" i="22"/>
  <c r="CI115" i="22"/>
  <c r="CI116" i="22"/>
  <c r="CI73" i="22"/>
  <c r="CI117" i="22"/>
  <c r="CI80" i="22"/>
  <c r="CI79" i="22"/>
  <c r="CI78" i="22"/>
  <c r="CI77" i="22"/>
  <c r="CI76" i="22"/>
  <c r="CI75" i="22"/>
  <c r="J25" i="22"/>
  <c r="J26" i="22"/>
  <c r="J27" i="22"/>
  <c r="J28" i="22"/>
  <c r="J29" i="22"/>
  <c r="CP30" i="22"/>
  <c r="CP31" i="22"/>
  <c r="BQ32" i="22"/>
  <c r="J47" i="22"/>
  <c r="CP52" i="22"/>
  <c r="BQ76" i="22"/>
  <c r="CP92" i="22"/>
  <c r="CP59" i="22"/>
  <c r="J60" i="22"/>
  <c r="CU14" i="22"/>
  <c r="J30" i="22"/>
  <c r="J31" i="22"/>
  <c r="CP32" i="22"/>
  <c r="BQ33" i="22"/>
  <c r="BQ34" i="22"/>
  <c r="BQ35" i="22"/>
  <c r="BQ36" i="22"/>
  <c r="BQ37" i="22"/>
  <c r="BQ38" i="22"/>
  <c r="BQ39" i="22"/>
  <c r="J48" i="22"/>
  <c r="J52" i="22"/>
  <c r="CP53" i="22"/>
  <c r="CP72" i="22"/>
  <c r="CI74" i="22"/>
  <c r="BX115" i="22"/>
  <c r="BX107" i="22"/>
  <c r="BX99" i="22"/>
  <c r="BX116" i="22"/>
  <c r="BX108" i="22"/>
  <c r="BX100" i="22"/>
  <c r="BX117" i="22"/>
  <c r="BX109" i="22"/>
  <c r="BX101" i="22"/>
  <c r="BX110" i="22"/>
  <c r="BX102" i="22"/>
  <c r="BX111" i="22"/>
  <c r="BX103" i="22"/>
  <c r="BX112" i="22"/>
  <c r="BX104" i="22"/>
  <c r="BX113" i="22"/>
  <c r="BX105" i="22"/>
  <c r="BX114" i="22"/>
  <c r="BX76" i="22"/>
  <c r="BX69" i="22"/>
  <c r="BX62" i="22"/>
  <c r="BX75" i="22"/>
  <c r="BX68" i="22"/>
  <c r="BX74" i="22"/>
  <c r="BX67" i="22"/>
  <c r="BX73" i="22"/>
  <c r="BX80" i="22"/>
  <c r="BX72" i="22"/>
  <c r="BX66" i="22"/>
  <c r="BX79" i="22"/>
  <c r="BX65" i="22"/>
  <c r="BX78" i="22"/>
  <c r="BX71" i="22"/>
  <c r="BX64" i="22"/>
  <c r="CT14" i="22"/>
  <c r="J32" i="22"/>
  <c r="CP33" i="22"/>
  <c r="CP34" i="22"/>
  <c r="CP35" i="22"/>
  <c r="CP36" i="22"/>
  <c r="CP37" i="22"/>
  <c r="CP38" i="22"/>
  <c r="CP39" i="22"/>
  <c r="BQ40" i="22"/>
  <c r="BQ41" i="22"/>
  <c r="BQ42" i="22"/>
  <c r="J49" i="22"/>
  <c r="J53" i="22"/>
  <c r="CP54" i="22"/>
  <c r="CP55" i="22"/>
  <c r="J56" i="22"/>
  <c r="CU88" i="22"/>
  <c r="CP91" i="22"/>
  <c r="J23" i="22"/>
  <c r="BQ18" i="22"/>
  <c r="J33" i="22"/>
  <c r="J34" i="22"/>
  <c r="J35" i="22"/>
  <c r="J36" i="22"/>
  <c r="CI36" i="22"/>
  <c r="J37" i="22"/>
  <c r="CI37" i="22"/>
  <c r="J38" i="22"/>
  <c r="CI38" i="22"/>
  <c r="J39" i="22"/>
  <c r="CI39" i="22"/>
  <c r="J50" i="22"/>
  <c r="CP51" i="22"/>
  <c r="J54" i="22"/>
  <c r="CP56" i="22"/>
  <c r="CP65" i="22"/>
  <c r="CE114" i="22"/>
  <c r="CE106" i="22"/>
  <c r="CE115" i="22"/>
  <c r="CE107" i="22"/>
  <c r="CE116" i="22"/>
  <c r="CE108" i="22"/>
  <c r="CE117" i="22"/>
  <c r="CE109" i="22"/>
  <c r="CE110" i="22"/>
  <c r="CE111" i="22"/>
  <c r="CE112" i="22"/>
  <c r="CE113" i="22"/>
  <c r="CE77" i="22"/>
  <c r="CE70" i="22"/>
  <c r="CE76" i="22"/>
  <c r="CE69" i="22"/>
  <c r="CE75" i="22"/>
  <c r="CE74" i="22"/>
  <c r="CE73" i="22"/>
  <c r="CE80" i="22"/>
  <c r="CE72" i="22"/>
  <c r="CE79" i="22"/>
  <c r="CP90" i="22"/>
  <c r="CP93" i="22"/>
  <c r="J24" i="22"/>
  <c r="CP58" i="22"/>
  <c r="BQ19" i="22"/>
  <c r="CU19" i="22" s="1"/>
  <c r="BQ20" i="22"/>
  <c r="BQ21" i="22"/>
  <c r="BQ22" i="22"/>
  <c r="J40" i="22"/>
  <c r="CI40" i="22"/>
  <c r="J41" i="22"/>
  <c r="CI41" i="22"/>
  <c r="J42" i="22"/>
  <c r="CI42" i="22"/>
  <c r="J43" i="22"/>
  <c r="CI43" i="22"/>
  <c r="J51" i="22"/>
  <c r="J55" i="22"/>
  <c r="BQ62" i="22"/>
  <c r="J74" i="22"/>
  <c r="J46" i="22"/>
  <c r="J16" i="22"/>
  <c r="J17" i="22"/>
  <c r="J18" i="22"/>
  <c r="BQ23" i="22"/>
  <c r="BQ24" i="22"/>
  <c r="J44" i="22"/>
  <c r="J57" i="22"/>
  <c r="J67" i="22"/>
  <c r="CP74" i="22"/>
  <c r="BX77" i="22"/>
  <c r="CP94" i="22"/>
  <c r="BX106" i="22"/>
  <c r="J15" i="22"/>
  <c r="J19" i="22"/>
  <c r="J20" i="22"/>
  <c r="J21" i="22"/>
  <c r="J22" i="22"/>
  <c r="BQ25" i="22"/>
  <c r="BQ26" i="22"/>
  <c r="BQ27" i="22"/>
  <c r="BQ28" i="22"/>
  <c r="BQ29" i="22"/>
  <c r="J45" i="22"/>
  <c r="CP57" i="22"/>
  <c r="J58" i="22"/>
  <c r="J59" i="22"/>
  <c r="CP67" i="22"/>
  <c r="BQ69" i="22"/>
  <c r="CP79" i="22"/>
  <c r="CP80" i="22"/>
  <c r="BR117" i="22"/>
  <c r="BR109" i="22"/>
  <c r="BR101" i="22"/>
  <c r="BR110" i="22"/>
  <c r="BR102" i="22"/>
  <c r="BR111" i="22"/>
  <c r="BR103" i="22"/>
  <c r="BR112" i="22"/>
  <c r="BR104" i="22"/>
  <c r="BR96" i="22"/>
  <c r="BR113" i="22"/>
  <c r="BR105" i="22"/>
  <c r="BR97" i="22"/>
  <c r="BR114" i="22"/>
  <c r="BR106" i="22"/>
  <c r="BR98" i="22"/>
  <c r="BR115" i="22"/>
  <c r="BR107" i="22"/>
  <c r="BR99" i="22"/>
  <c r="BR69" i="22"/>
  <c r="BP71" i="22"/>
  <c r="BN72" i="22"/>
  <c r="BY116" i="22"/>
  <c r="BY108" i="22"/>
  <c r="BY100" i="22"/>
  <c r="BY117" i="22"/>
  <c r="BY109" i="22"/>
  <c r="BY101" i="22"/>
  <c r="BY110" i="22"/>
  <c r="BY102" i="22"/>
  <c r="BY111" i="22"/>
  <c r="BY103" i="22"/>
  <c r="BY112" i="22"/>
  <c r="BY104" i="22"/>
  <c r="BY113" i="22"/>
  <c r="BY105" i="22"/>
  <c r="BY114" i="22"/>
  <c r="BY106" i="22"/>
  <c r="BR76" i="22"/>
  <c r="BY77" i="22"/>
  <c r="BP78" i="22"/>
  <c r="BO79" i="22"/>
  <c r="BW79" i="22"/>
  <c r="BN80" i="22"/>
  <c r="BV80" i="22"/>
  <c r="BO91" i="22"/>
  <c r="BN93" i="22"/>
  <c r="BO94" i="22"/>
  <c r="BN96" i="22"/>
  <c r="BO97" i="22"/>
  <c r="CP102" i="22"/>
  <c r="BU111" i="22"/>
  <c r="BS110" i="22"/>
  <c r="BS102" i="22"/>
  <c r="BS111" i="22"/>
  <c r="BS103" i="22"/>
  <c r="BS112" i="22"/>
  <c r="BS104" i="22"/>
  <c r="BS96" i="22"/>
  <c r="BS113" i="22"/>
  <c r="BS105" i="22"/>
  <c r="BS97" i="22"/>
  <c r="BS114" i="22"/>
  <c r="BS106" i="22"/>
  <c r="BS98" i="22"/>
  <c r="BS115" i="22"/>
  <c r="BS107" i="22"/>
  <c r="BS99" i="22"/>
  <c r="BS116" i="22"/>
  <c r="BS108" i="22"/>
  <c r="BS100" i="22"/>
  <c r="BR70" i="22"/>
  <c r="BO72" i="22"/>
  <c r="BN73" i="22"/>
  <c r="BU74" i="22"/>
  <c r="BS76" i="22"/>
  <c r="BZ117" i="22"/>
  <c r="BZ109" i="22"/>
  <c r="BZ101" i="22"/>
  <c r="BZ110" i="22"/>
  <c r="BZ102" i="22"/>
  <c r="BZ111" i="22"/>
  <c r="BZ103" i="22"/>
  <c r="BZ112" i="22"/>
  <c r="BZ104" i="22"/>
  <c r="BZ113" i="22"/>
  <c r="BZ105" i="22"/>
  <c r="BZ114" i="22"/>
  <c r="BZ106" i="22"/>
  <c r="BZ115" i="22"/>
  <c r="BZ107" i="22"/>
  <c r="BR77" i="22"/>
  <c r="BZ77" i="22"/>
  <c r="BY78" i="22"/>
  <c r="BP79" i="22"/>
  <c r="BO80" i="22"/>
  <c r="BW80" i="22"/>
  <c r="CF115" i="22"/>
  <c r="CF107" i="22"/>
  <c r="CF116" i="22"/>
  <c r="CF108" i="22"/>
  <c r="CF117" i="22"/>
  <c r="CF109" i="22"/>
  <c r="CF110" i="22"/>
  <c r="CF111" i="22"/>
  <c r="CF112" i="22"/>
  <c r="CF113" i="22"/>
  <c r="CJ111" i="22"/>
  <c r="CJ112" i="22"/>
  <c r="CJ113" i="22"/>
  <c r="CJ114" i="22"/>
  <c r="CJ115" i="22"/>
  <c r="CJ116" i="22"/>
  <c r="CJ117" i="22"/>
  <c r="CL113" i="22"/>
  <c r="CL114" i="22"/>
  <c r="CL115" i="22"/>
  <c r="CL116" i="22"/>
  <c r="CL117" i="22"/>
  <c r="BP91" i="22"/>
  <c r="BN92" i="22"/>
  <c r="BO93" i="22"/>
  <c r="BP94" i="22"/>
  <c r="BR95" i="22"/>
  <c r="BS109" i="22"/>
  <c r="CP117" i="22"/>
  <c r="CP64" i="22"/>
  <c r="BN67" i="22"/>
  <c r="BS70" i="22"/>
  <c r="BT111" i="22"/>
  <c r="BT103" i="22"/>
  <c r="BT112" i="22"/>
  <c r="BT104" i="22"/>
  <c r="BT96" i="22"/>
  <c r="BT113" i="22"/>
  <c r="BT105" i="22"/>
  <c r="BT97" i="22"/>
  <c r="BT114" i="22"/>
  <c r="BT106" i="22"/>
  <c r="BT98" i="22"/>
  <c r="BT115" i="22"/>
  <c r="BT107" i="22"/>
  <c r="BT99" i="22"/>
  <c r="BT116" i="22"/>
  <c r="BT108" i="22"/>
  <c r="BT100" i="22"/>
  <c r="BT117" i="22"/>
  <c r="BT109" i="22"/>
  <c r="BT101" i="22"/>
  <c r="BR71" i="22"/>
  <c r="CP71" i="22"/>
  <c r="BP72" i="22"/>
  <c r="BO73" i="22"/>
  <c r="BW73" i="22"/>
  <c r="BN74" i="22"/>
  <c r="BV74" i="22"/>
  <c r="BT76" i="22"/>
  <c r="BS77" i="22"/>
  <c r="CA110" i="22"/>
  <c r="CA102" i="22"/>
  <c r="CA111" i="22"/>
  <c r="CA103" i="22"/>
  <c r="CA112" i="22"/>
  <c r="CA104" i="22"/>
  <c r="CA113" i="22"/>
  <c r="CA105" i="22"/>
  <c r="CA114" i="22"/>
  <c r="CA106" i="22"/>
  <c r="CA115" i="22"/>
  <c r="CA107" i="22"/>
  <c r="CA116" i="22"/>
  <c r="CA108" i="22"/>
  <c r="BR78" i="22"/>
  <c r="BZ78" i="22"/>
  <c r="CP78" i="22"/>
  <c r="CQ79" i="22" s="1"/>
  <c r="BY79" i="22"/>
  <c r="BP80" i="22"/>
  <c r="CF80" i="22"/>
  <c r="CM114" i="22"/>
  <c r="CM115" i="22"/>
  <c r="CM116" i="22"/>
  <c r="CM117" i="22"/>
  <c r="BO92" i="22"/>
  <c r="BP93" i="22"/>
  <c r="BS95" i="22"/>
  <c r="BR100" i="22"/>
  <c r="BT102" i="22"/>
  <c r="CP103" i="22"/>
  <c r="CA109" i="22"/>
  <c r="BN113" i="22"/>
  <c r="BN105" i="22"/>
  <c r="BN97" i="22"/>
  <c r="BN114" i="22"/>
  <c r="BN106" i="22"/>
  <c r="BN98" i="22"/>
  <c r="BN115" i="22"/>
  <c r="BN107" i="22"/>
  <c r="BN99" i="22"/>
  <c r="BN116" i="22"/>
  <c r="BN108" i="22"/>
  <c r="BN100" i="22"/>
  <c r="BN117" i="22"/>
  <c r="BN109" i="22"/>
  <c r="BN101" i="22"/>
  <c r="BN110" i="22"/>
  <c r="BN102" i="22"/>
  <c r="BN111" i="22"/>
  <c r="BN103" i="22"/>
  <c r="BR65" i="22"/>
  <c r="BO67" i="22"/>
  <c r="BN68" i="22"/>
  <c r="BS71" i="22"/>
  <c r="BU112" i="22"/>
  <c r="BU104" i="22"/>
  <c r="BU96" i="22"/>
  <c r="BU113" i="22"/>
  <c r="BU105" i="22"/>
  <c r="BU97" i="22"/>
  <c r="BU114" i="22"/>
  <c r="BU106" i="22"/>
  <c r="BU98" i="22"/>
  <c r="BU115" i="22"/>
  <c r="BU107" i="22"/>
  <c r="BU99" i="22"/>
  <c r="BU116" i="22"/>
  <c r="BU108" i="22"/>
  <c r="BU100" i="22"/>
  <c r="BU117" i="22"/>
  <c r="BU109" i="22"/>
  <c r="BU101" i="22"/>
  <c r="BU110" i="22"/>
  <c r="BU102" i="22"/>
  <c r="BY72" i="22"/>
  <c r="BP73" i="22"/>
  <c r="BW74" i="22"/>
  <c r="BN75" i="22"/>
  <c r="BV75" i="22"/>
  <c r="BU76" i="22"/>
  <c r="BT77" i="22"/>
  <c r="BS78" i="22"/>
  <c r="CA78" i="22"/>
  <c r="CB111" i="22"/>
  <c r="CB103" i="22"/>
  <c r="CB112" i="22"/>
  <c r="CB104" i="22"/>
  <c r="CB113" i="22"/>
  <c r="CB105" i="22"/>
  <c r="CB114" i="22"/>
  <c r="CB106" i="22"/>
  <c r="CB115" i="22"/>
  <c r="CB107" i="22"/>
  <c r="CB116" i="22"/>
  <c r="CB108" i="22"/>
  <c r="CB117" i="22"/>
  <c r="CB109" i="22"/>
  <c r="BR79" i="22"/>
  <c r="BZ79" i="22"/>
  <c r="BY80" i="22"/>
  <c r="CG116" i="22"/>
  <c r="CG108" i="22"/>
  <c r="CG117" i="22"/>
  <c r="CG109" i="22"/>
  <c r="CG110" i="22"/>
  <c r="CG111" i="22"/>
  <c r="CG112" i="22"/>
  <c r="CG113" i="22"/>
  <c r="CG114" i="22"/>
  <c r="CK112" i="22"/>
  <c r="CK113" i="22"/>
  <c r="CK114" i="22"/>
  <c r="CK115" i="22"/>
  <c r="CK116" i="22"/>
  <c r="CK117" i="22"/>
  <c r="CP88" i="22"/>
  <c r="CQ89" i="22" s="1"/>
  <c r="CS89" i="22" s="1"/>
  <c r="CN115" i="22"/>
  <c r="CN116" i="22"/>
  <c r="CN117" i="22"/>
  <c r="BP92" i="22"/>
  <c r="BR94" i="22"/>
  <c r="BT95" i="22"/>
  <c r="CP104" i="22"/>
  <c r="BR108" i="22"/>
  <c r="CP110" i="22"/>
  <c r="BV112" i="22"/>
  <c r="BS117" i="22"/>
  <c r="BO114" i="22"/>
  <c r="BO106" i="22"/>
  <c r="BO98" i="22"/>
  <c r="BO115" i="22"/>
  <c r="BO107" i="22"/>
  <c r="BO99" i="22"/>
  <c r="BO116" i="22"/>
  <c r="BO108" i="22"/>
  <c r="BO100" i="22"/>
  <c r="BO117" i="22"/>
  <c r="BO109" i="22"/>
  <c r="BO101" i="22"/>
  <c r="BO110" i="22"/>
  <c r="BO102" i="22"/>
  <c r="BO111" i="22"/>
  <c r="BO103" i="22"/>
  <c r="BO95" i="22"/>
  <c r="BO112" i="22"/>
  <c r="BO104" i="22"/>
  <c r="BO96" i="22"/>
  <c r="BR66" i="22"/>
  <c r="BP67" i="22"/>
  <c r="BO68" i="22"/>
  <c r="BN69" i="22"/>
  <c r="BT71" i="22"/>
  <c r="BR72" i="22"/>
  <c r="BY73" i="22"/>
  <c r="BO75" i="22"/>
  <c r="BW75" i="22"/>
  <c r="BN76" i="22"/>
  <c r="BU77" i="22"/>
  <c r="BT78" i="22"/>
  <c r="CB78" i="22"/>
  <c r="CJ78" i="22"/>
  <c r="BS79" i="22"/>
  <c r="CA79" i="22"/>
  <c r="CC112" i="22"/>
  <c r="CC104" i="22"/>
  <c r="CC113" i="22"/>
  <c r="CC105" i="22"/>
  <c r="CC114" i="22"/>
  <c r="CC106" i="22"/>
  <c r="CC115" i="22"/>
  <c r="CC107" i="22"/>
  <c r="CC116" i="22"/>
  <c r="CC108" i="22"/>
  <c r="CC117" i="22"/>
  <c r="CC109" i="22"/>
  <c r="CC110" i="22"/>
  <c r="BR80" i="22"/>
  <c r="BZ80" i="22"/>
  <c r="CO116" i="22"/>
  <c r="CO117" i="22"/>
  <c r="BR93" i="22"/>
  <c r="BS94" i="22"/>
  <c r="CP95" i="22"/>
  <c r="BU103" i="22"/>
  <c r="BZ108" i="22"/>
  <c r="BO113" i="22"/>
  <c r="BR116" i="22"/>
  <c r="CA117" i="22"/>
  <c r="BP115" i="22"/>
  <c r="BP107" i="22"/>
  <c r="BP99" i="22"/>
  <c r="BP116" i="22"/>
  <c r="BP108" i="22"/>
  <c r="BP100" i="22"/>
  <c r="BP117" i="22"/>
  <c r="BP109" i="22"/>
  <c r="BP101" i="22"/>
  <c r="BP110" i="22"/>
  <c r="BP102" i="22"/>
  <c r="BP111" i="22"/>
  <c r="BP103" i="22"/>
  <c r="BP112" i="22"/>
  <c r="BP104" i="22"/>
  <c r="BP96" i="22"/>
  <c r="BP113" i="22"/>
  <c r="BP105" i="22"/>
  <c r="BP97" i="22"/>
  <c r="BP68" i="22"/>
  <c r="BO69" i="22"/>
  <c r="BN70" i="22"/>
  <c r="BS72" i="22"/>
  <c r="BV113" i="22"/>
  <c r="BV105" i="22"/>
  <c r="BV97" i="22"/>
  <c r="BV114" i="22"/>
  <c r="BV106" i="22"/>
  <c r="BV98" i="22"/>
  <c r="BV115" i="22"/>
  <c r="BV107" i="22"/>
  <c r="BV99" i="22"/>
  <c r="BV116" i="22"/>
  <c r="BV108" i="22"/>
  <c r="BV100" i="22"/>
  <c r="BV117" i="22"/>
  <c r="BV109" i="22"/>
  <c r="BV101" i="22"/>
  <c r="BV110" i="22"/>
  <c r="BV102" i="22"/>
  <c r="BV111" i="22"/>
  <c r="BV103" i="22"/>
  <c r="BR73" i="22"/>
  <c r="BY74" i="22"/>
  <c r="BP75" i="22"/>
  <c r="BO76" i="22"/>
  <c r="BW76" i="22"/>
  <c r="BN77" i="22"/>
  <c r="BV77" i="22"/>
  <c r="BU78" i="22"/>
  <c r="BT79" i="22"/>
  <c r="CB79" i="22"/>
  <c r="CJ79" i="22"/>
  <c r="BS80" i="22"/>
  <c r="CA80" i="22"/>
  <c r="CD113" i="22"/>
  <c r="CD105" i="22"/>
  <c r="CD114" i="22"/>
  <c r="CD106" i="22"/>
  <c r="CD115" i="22"/>
  <c r="CD107" i="22"/>
  <c r="CD116" i="22"/>
  <c r="CD108" i="22"/>
  <c r="CD117" i="22"/>
  <c r="CD109" i="22"/>
  <c r="CD110" i="22"/>
  <c r="CD111" i="22"/>
  <c r="CH117" i="22"/>
  <c r="CH109" i="22"/>
  <c r="CH110" i="22"/>
  <c r="CH111" i="22"/>
  <c r="CH112" i="22"/>
  <c r="CH113" i="22"/>
  <c r="CH114" i="22"/>
  <c r="CH115" i="22"/>
  <c r="BN89" i="22"/>
  <c r="CU89" i="22" s="1"/>
  <c r="H92" i="22"/>
  <c r="BN104" i="22"/>
  <c r="BT110" i="22"/>
  <c r="BP114" i="22"/>
  <c r="BZ116" i="22"/>
  <c r="H67" i="22"/>
  <c r="BR67" i="22"/>
  <c r="BP69" i="22"/>
  <c r="BO70" i="22"/>
  <c r="BN71" i="22"/>
  <c r="BT72" i="22"/>
  <c r="BS73" i="22"/>
  <c r="BW114" i="22"/>
  <c r="BW106" i="22"/>
  <c r="BW98" i="22"/>
  <c r="BW115" i="22"/>
  <c r="BW107" i="22"/>
  <c r="BW99" i="22"/>
  <c r="BW116" i="22"/>
  <c r="BW108" i="22"/>
  <c r="BW100" i="22"/>
  <c r="BW117" i="22"/>
  <c r="BW109" i="22"/>
  <c r="BW101" i="22"/>
  <c r="BW110" i="22"/>
  <c r="BW102" i="22"/>
  <c r="BW111" i="22"/>
  <c r="BW103" i="22"/>
  <c r="BW112" i="22"/>
  <c r="BW104" i="22"/>
  <c r="BR74" i="22"/>
  <c r="BY75" i="22"/>
  <c r="BP76" i="22"/>
  <c r="BO77" i="22"/>
  <c r="BW77" i="22"/>
  <c r="BN78" i="22"/>
  <c r="BV78" i="22"/>
  <c r="BU79" i="22"/>
  <c r="BT80" i="22"/>
  <c r="CB80" i="22"/>
  <c r="CJ80" i="22"/>
  <c r="BN90" i="22"/>
  <c r="CU90" i="22" s="1"/>
  <c r="BN95" i="22"/>
  <c r="CP96" i="22"/>
  <c r="BV104" i="22"/>
  <c r="BO105" i="22"/>
  <c r="BP106" i="22"/>
  <c r="BY107" i="22"/>
  <c r="CB110" i="22"/>
  <c r="CP111" i="22"/>
  <c r="BY115" i="22"/>
  <c r="CH116" i="22"/>
  <c r="CP99" i="22"/>
  <c r="CP107" i="22"/>
  <c r="CP115" i="22"/>
  <c r="CP98" i="22"/>
  <c r="CP106" i="22"/>
  <c r="CP114" i="22"/>
  <c r="CP97" i="22"/>
  <c r="CP105" i="22"/>
  <c r="CP113" i="22"/>
  <c r="U47" i="18" l="1"/>
  <c r="CQ20" i="22"/>
  <c r="CQ28" i="22"/>
  <c r="CQ22" i="22"/>
  <c r="CQ66" i="22"/>
  <c r="CQ90" i="22"/>
  <c r="CU16" i="22"/>
  <c r="CV16" i="22" s="1"/>
  <c r="CU31" i="22"/>
  <c r="CQ42" i="22"/>
  <c r="CQ43" i="22"/>
  <c r="CQ112" i="22"/>
  <c r="CU59" i="22"/>
  <c r="CU57" i="22"/>
  <c r="CV58" i="22" s="1"/>
  <c r="CQ19" i="22"/>
  <c r="CQ100" i="22"/>
  <c r="CU24" i="22"/>
  <c r="CV25" i="22" s="1"/>
  <c r="CQ23" i="22"/>
  <c r="CQ101" i="22"/>
  <c r="CQ116" i="22"/>
  <c r="CU63" i="22"/>
  <c r="CU27" i="22"/>
  <c r="CU23" i="22"/>
  <c r="CU18" i="22"/>
  <c r="CU17" i="22"/>
  <c r="CV17" i="22" s="1"/>
  <c r="CU53" i="22"/>
  <c r="CQ92" i="22"/>
  <c r="CU22" i="22"/>
  <c r="CQ113" i="22"/>
  <c r="CQ102" i="22"/>
  <c r="CU21" i="22"/>
  <c r="CU109" i="22"/>
  <c r="CU55" i="22"/>
  <c r="CQ69" i="22"/>
  <c r="CQ65" i="22"/>
  <c r="CV15" i="22"/>
  <c r="CW15" i="22" s="1"/>
  <c r="CX15" i="22" s="1"/>
  <c r="CQ16" i="22"/>
  <c r="CU54" i="22"/>
  <c r="CV54" i="22" s="1"/>
  <c r="CU61" i="22"/>
  <c r="CU34" i="22"/>
  <c r="CQ41" i="22"/>
  <c r="CU56" i="22"/>
  <c r="CU43" i="22"/>
  <c r="CQ70" i="22"/>
  <c r="CU26" i="22"/>
  <c r="CU30" i="22"/>
  <c r="CV31" i="22" s="1"/>
  <c r="CQ75" i="22"/>
  <c r="CU64" i="22"/>
  <c r="CU58" i="22"/>
  <c r="CQ68" i="22"/>
  <c r="CU60" i="22"/>
  <c r="CQ72" i="22"/>
  <c r="CU29" i="22"/>
  <c r="CU28" i="22"/>
  <c r="CQ61" i="22"/>
  <c r="CU32" i="22"/>
  <c r="CU35" i="22"/>
  <c r="CV35" i="22" s="1"/>
  <c r="CU20" i="22"/>
  <c r="CV20" i="22" s="1"/>
  <c r="CQ52" i="22"/>
  <c r="CS52" i="22" s="1"/>
  <c r="CT52" i="22" s="1"/>
  <c r="CQ109" i="22"/>
  <c r="CU25" i="22"/>
  <c r="CU33" i="22"/>
  <c r="CV34" i="22" s="1"/>
  <c r="CQ21" i="22"/>
  <c r="CQ59" i="22"/>
  <c r="CQ117" i="22"/>
  <c r="CQ17" i="22"/>
  <c r="CQ15" i="22"/>
  <c r="CS15" i="22" s="1"/>
  <c r="CQ18" i="22"/>
  <c r="J49" i="18"/>
  <c r="I50" i="18"/>
  <c r="F49" i="18"/>
  <c r="G49" i="18" s="1"/>
  <c r="E50" i="18"/>
  <c r="R47" i="18"/>
  <c r="H24" i="18"/>
  <c r="H76" i="18" s="1"/>
  <c r="H75" i="18"/>
  <c r="H74" i="18"/>
  <c r="H73" i="18"/>
  <c r="H72" i="18"/>
  <c r="H71" i="18"/>
  <c r="H70" i="18"/>
  <c r="H69" i="18"/>
  <c r="H68" i="18"/>
  <c r="H67" i="18"/>
  <c r="H66" i="18"/>
  <c r="R48" i="18"/>
  <c r="CU111" i="22"/>
  <c r="CQ26" i="22"/>
  <c r="CQ25" i="22"/>
  <c r="CV52" i="22"/>
  <c r="CW52" i="22" s="1"/>
  <c r="CX52" i="22" s="1"/>
  <c r="CQ108" i="22"/>
  <c r="CQ73" i="22"/>
  <c r="CQ58" i="22"/>
  <c r="CQ60" i="22"/>
  <c r="CQ40" i="22"/>
  <c r="CU106" i="22"/>
  <c r="CQ106" i="22"/>
  <c r="CU105" i="22"/>
  <c r="CQ98" i="22"/>
  <c r="CQ115" i="22"/>
  <c r="CU95" i="22"/>
  <c r="CU66" i="22"/>
  <c r="CU71" i="22"/>
  <c r="CQ24" i="22"/>
  <c r="CU62" i="22"/>
  <c r="CU78" i="22"/>
  <c r="CU104" i="22"/>
  <c r="CV90" i="22"/>
  <c r="CU77" i="22"/>
  <c r="CU101" i="22"/>
  <c r="CU70" i="22"/>
  <c r="CU110" i="22"/>
  <c r="CV111" i="22" s="1"/>
  <c r="CU117" i="22"/>
  <c r="CU113" i="22"/>
  <c r="CU103" i="22"/>
  <c r="CU76" i="22"/>
  <c r="CU69" i="22"/>
  <c r="CU112" i="22"/>
  <c r="CU116" i="22"/>
  <c r="CU99" i="22"/>
  <c r="CU107" i="22"/>
  <c r="CU115" i="22"/>
  <c r="CU75" i="22"/>
  <c r="CU68" i="22"/>
  <c r="CU102" i="22"/>
  <c r="CU100" i="22"/>
  <c r="CU108" i="22"/>
  <c r="CV109" i="22" s="1"/>
  <c r="CU114" i="22"/>
  <c r="CV115" i="22" s="1"/>
  <c r="CU93" i="22"/>
  <c r="CU74" i="22"/>
  <c r="CU98" i="22"/>
  <c r="CU67" i="22"/>
  <c r="CU92" i="22"/>
  <c r="CU73" i="22"/>
  <c r="CU97" i="22"/>
  <c r="CU96" i="22"/>
  <c r="CU94" i="22"/>
  <c r="CU91" i="22"/>
  <c r="CV91" i="22" s="1"/>
  <c r="CU80" i="22"/>
  <c r="CU79" i="22"/>
  <c r="CU72" i="22"/>
  <c r="CQ56" i="22"/>
  <c r="CU42" i="22"/>
  <c r="CU41" i="22"/>
  <c r="CV42" i="22" s="1"/>
  <c r="CU40" i="22"/>
  <c r="CQ38" i="22"/>
  <c r="CQ35" i="22"/>
  <c r="CU39" i="22"/>
  <c r="CU38" i="22"/>
  <c r="CU37" i="22"/>
  <c r="CU36" i="22"/>
  <c r="CQ33" i="22"/>
  <c r="CU65" i="22"/>
  <c r="CV66" i="22" s="1"/>
  <c r="CQ76" i="22"/>
  <c r="CQ63" i="22"/>
  <c r="CQ62" i="22"/>
  <c r="CV53" i="22"/>
  <c r="CQ29" i="22"/>
  <c r="CQ27" i="22"/>
  <c r="CV22" i="22"/>
  <c r="CQ95" i="22"/>
  <c r="CQ94" i="22"/>
  <c r="CV89" i="22"/>
  <c r="CW89" i="22" s="1"/>
  <c r="CQ32" i="22"/>
  <c r="CQ80" i="22"/>
  <c r="CQ91" i="22"/>
  <c r="CQ67" i="22"/>
  <c r="CQ55" i="22"/>
  <c r="CQ37" i="22"/>
  <c r="CQ111" i="22"/>
  <c r="CQ78" i="22"/>
  <c r="CQ57" i="22"/>
  <c r="CQ34" i="22"/>
  <c r="CQ54" i="22"/>
  <c r="CQ31" i="22"/>
  <c r="CQ74" i="22"/>
  <c r="CQ103" i="22"/>
  <c r="CQ71" i="22"/>
  <c r="CQ39" i="22"/>
  <c r="CQ53" i="22"/>
  <c r="CQ30" i="22"/>
  <c r="CQ107" i="22"/>
  <c r="CQ97" i="22"/>
  <c r="CQ99" i="22"/>
  <c r="CQ36" i="22"/>
  <c r="CQ114" i="22"/>
  <c r="CQ96" i="22"/>
  <c r="CQ105" i="22"/>
  <c r="CS90" i="22"/>
  <c r="CT89" i="22"/>
  <c r="CQ104" i="22"/>
  <c r="CQ110" i="22"/>
  <c r="CQ64" i="22"/>
  <c r="CQ93" i="22"/>
  <c r="CV64" i="22" l="1"/>
  <c r="CV75" i="22"/>
  <c r="CV114" i="22"/>
  <c r="CV106" i="22"/>
  <c r="CV60" i="22"/>
  <c r="CS16" i="22"/>
  <c r="CS17" i="22" s="1"/>
  <c r="CV69" i="22"/>
  <c r="CV28" i="22"/>
  <c r="CV59" i="22"/>
  <c r="CV55" i="22"/>
  <c r="CV56" i="22"/>
  <c r="CV97" i="22"/>
  <c r="CV18" i="22"/>
  <c r="CW16" i="22"/>
  <c r="CW17" i="22" s="1"/>
  <c r="CV92" i="22"/>
  <c r="CV23" i="22"/>
  <c r="CV61" i="22"/>
  <c r="CV19" i="22"/>
  <c r="CV29" i="22"/>
  <c r="CV24" i="22"/>
  <c r="CV26" i="22"/>
  <c r="CV110" i="22"/>
  <c r="CV95" i="22"/>
  <c r="CV107" i="22"/>
  <c r="CV63" i="22"/>
  <c r="CV98" i="22"/>
  <c r="CV33" i="22"/>
  <c r="CV112" i="22"/>
  <c r="CV67" i="22"/>
  <c r="CW53" i="22"/>
  <c r="CV65" i="22"/>
  <c r="CS53" i="22"/>
  <c r="CS54" i="22" s="1"/>
  <c r="CV57" i="22"/>
  <c r="CV27" i="22"/>
  <c r="CV62" i="22"/>
  <c r="CV43" i="22"/>
  <c r="CV101" i="22"/>
  <c r="CV38" i="22"/>
  <c r="CV103" i="22"/>
  <c r="CV30" i="22"/>
  <c r="CV32" i="22"/>
  <c r="CV40" i="22"/>
  <c r="CV105" i="22"/>
  <c r="CV36" i="22"/>
  <c r="CV78" i="22"/>
  <c r="CT15" i="22"/>
  <c r="CV117" i="22"/>
  <c r="CV108" i="22"/>
  <c r="CV74" i="22"/>
  <c r="CV113" i="22"/>
  <c r="CV93" i="22"/>
  <c r="CV70" i="22"/>
  <c r="CV77" i="22"/>
  <c r="CV21" i="22"/>
  <c r="CV102" i="22"/>
  <c r="CV37" i="22"/>
  <c r="CV104" i="22"/>
  <c r="F50" i="18"/>
  <c r="G50" i="18" s="1"/>
  <c r="E51" i="18"/>
  <c r="U49" i="18"/>
  <c r="S49" i="18"/>
  <c r="J50" i="18"/>
  <c r="I51" i="18"/>
  <c r="R49" i="18"/>
  <c r="CV100" i="22"/>
  <c r="CV72" i="22"/>
  <c r="CV96" i="22"/>
  <c r="CV116" i="22"/>
  <c r="CV99" i="22"/>
  <c r="CV71" i="22"/>
  <c r="CV68" i="22"/>
  <c r="CV39" i="22"/>
  <c r="CV73" i="22"/>
  <c r="CV80" i="22"/>
  <c r="CV76" i="22"/>
  <c r="CV41" i="22"/>
  <c r="CV94" i="22"/>
  <c r="CV79" i="22"/>
  <c r="CW54" i="22"/>
  <c r="CX53" i="22"/>
  <c r="CW90" i="22"/>
  <c r="CX89" i="22"/>
  <c r="CS91" i="22"/>
  <c r="CT90" i="22"/>
  <c r="CT16" i="22" l="1"/>
  <c r="CX16" i="22"/>
  <c r="CT53" i="22"/>
  <c r="R50" i="18"/>
  <c r="J51" i="18"/>
  <c r="I52" i="18"/>
  <c r="F51" i="18"/>
  <c r="G51" i="18" s="1"/>
  <c r="E52" i="18"/>
  <c r="U50" i="18"/>
  <c r="S50" i="18"/>
  <c r="CS18" i="22"/>
  <c r="CT17" i="22"/>
  <c r="CW91" i="22"/>
  <c r="CX90" i="22"/>
  <c r="CX17" i="22"/>
  <c r="CW18" i="22"/>
  <c r="CX54" i="22"/>
  <c r="CW55" i="22"/>
  <c r="CT91" i="22"/>
  <c r="CS92" i="22"/>
  <c r="CT54" i="22"/>
  <c r="CS55" i="22"/>
  <c r="F52" i="18" l="1"/>
  <c r="G52" i="18" s="1"/>
  <c r="E53" i="18"/>
  <c r="U51" i="18"/>
  <c r="S51" i="18"/>
  <c r="J52" i="18"/>
  <c r="I53" i="18"/>
  <c r="R51" i="18"/>
  <c r="CX55" i="22"/>
  <c r="CW56" i="22"/>
  <c r="CW19" i="22"/>
  <c r="CX18" i="22"/>
  <c r="CT55" i="22"/>
  <c r="CS56" i="22"/>
  <c r="CW92" i="22"/>
  <c r="CX91" i="22"/>
  <c r="CS93" i="22"/>
  <c r="CT92" i="22"/>
  <c r="CS19" i="22"/>
  <c r="CT18" i="22"/>
  <c r="J53" i="18" l="1"/>
  <c r="I54" i="18"/>
  <c r="F53" i="18"/>
  <c r="G53" i="18" s="1"/>
  <c r="E54" i="18"/>
  <c r="R52" i="18"/>
  <c r="U52" i="18"/>
  <c r="S52" i="18"/>
  <c r="CS57" i="22"/>
  <c r="CT56" i="22"/>
  <c r="CS20" i="22"/>
  <c r="CT19" i="22"/>
  <c r="CX19" i="22"/>
  <c r="CW20" i="22"/>
  <c r="CX92" i="22"/>
  <c r="CW93" i="22"/>
  <c r="CW57" i="22"/>
  <c r="CX56" i="22"/>
  <c r="CS94" i="22"/>
  <c r="CT93" i="22"/>
  <c r="J54" i="18" l="1"/>
  <c r="I55" i="18"/>
  <c r="F54" i="18"/>
  <c r="G54" i="18" s="1"/>
  <c r="E55" i="18"/>
  <c r="R53" i="18"/>
  <c r="U53" i="18"/>
  <c r="S53" i="18"/>
  <c r="CX20" i="22"/>
  <c r="CW21" i="22"/>
  <c r="CT94" i="22"/>
  <c r="CS95" i="22"/>
  <c r="CS21" i="22"/>
  <c r="CT20" i="22"/>
  <c r="CX93" i="22"/>
  <c r="CW94" i="22"/>
  <c r="CX57" i="22"/>
  <c r="CW58" i="22"/>
  <c r="CS58" i="22"/>
  <c r="CT57" i="22"/>
  <c r="J55" i="18" l="1"/>
  <c r="I56" i="18"/>
  <c r="U54" i="18"/>
  <c r="S54" i="18"/>
  <c r="R54" i="18"/>
  <c r="F55" i="18"/>
  <c r="G55" i="18" s="1"/>
  <c r="E56" i="18"/>
  <c r="CS96" i="22"/>
  <c r="CT95" i="22"/>
  <c r="CS22" i="22"/>
  <c r="CT21" i="22"/>
  <c r="CT58" i="22"/>
  <c r="CS59" i="22"/>
  <c r="CW95" i="22"/>
  <c r="CX94" i="22"/>
  <c r="CX58" i="22"/>
  <c r="CW59" i="22"/>
  <c r="CX21" i="22"/>
  <c r="CW22" i="22"/>
  <c r="U55" i="18" l="1"/>
  <c r="S55" i="18"/>
  <c r="R55" i="18"/>
  <c r="F56" i="18"/>
  <c r="G56" i="18" s="1"/>
  <c r="E57" i="18"/>
  <c r="J56" i="18"/>
  <c r="I57" i="18"/>
  <c r="CW96" i="22"/>
  <c r="CX95" i="22"/>
  <c r="CS23" i="22"/>
  <c r="CT22" i="22"/>
  <c r="CS60" i="22"/>
  <c r="CT59" i="22"/>
  <c r="CW60" i="22"/>
  <c r="CX59" i="22"/>
  <c r="CW23" i="22"/>
  <c r="CX22" i="22"/>
  <c r="CT96" i="22"/>
  <c r="CS97" i="22"/>
  <c r="R56" i="18" l="1"/>
  <c r="U56" i="18"/>
  <c r="S56" i="18"/>
  <c r="F57" i="18"/>
  <c r="G57" i="18" s="1"/>
  <c r="E58" i="18"/>
  <c r="J57" i="18"/>
  <c r="I58" i="18"/>
  <c r="CX60" i="22"/>
  <c r="CW61" i="22"/>
  <c r="CT97" i="22"/>
  <c r="CS98" i="22"/>
  <c r="CT60" i="22"/>
  <c r="CS61" i="22"/>
  <c r="CT23" i="22"/>
  <c r="CS24" i="22"/>
  <c r="CX23" i="22"/>
  <c r="CW24" i="22"/>
  <c r="CX96" i="22"/>
  <c r="CW97" i="22"/>
  <c r="U57" i="18" l="1"/>
  <c r="S57" i="18"/>
  <c r="F58" i="18"/>
  <c r="G58" i="18" s="1"/>
  <c r="E59" i="18"/>
  <c r="J58" i="18"/>
  <c r="I59" i="18"/>
  <c r="R57" i="18"/>
  <c r="CX97" i="22"/>
  <c r="CW98" i="22"/>
  <c r="CS25" i="22"/>
  <c r="CT24" i="22"/>
  <c r="CW25" i="22"/>
  <c r="CX24" i="22"/>
  <c r="CW62" i="22"/>
  <c r="CX61" i="22"/>
  <c r="CS62" i="22"/>
  <c r="CT61" i="22"/>
  <c r="CT98" i="22"/>
  <c r="CS99" i="22"/>
  <c r="J59" i="18" l="1"/>
  <c r="I60" i="18"/>
  <c r="F59" i="18"/>
  <c r="G59" i="18" s="1"/>
  <c r="E60" i="18"/>
  <c r="R58" i="18"/>
  <c r="U58" i="18"/>
  <c r="S58" i="18"/>
  <c r="CX62" i="22"/>
  <c r="CW63" i="22"/>
  <c r="CX25" i="22"/>
  <c r="CW26" i="22"/>
  <c r="CW99" i="22"/>
  <c r="CX98" i="22"/>
  <c r="CT99" i="22"/>
  <c r="CS100" i="22"/>
  <c r="CT25" i="22"/>
  <c r="CS26" i="22"/>
  <c r="CS63" i="22"/>
  <c r="CT62" i="22"/>
  <c r="F60" i="18" l="1"/>
  <c r="G60" i="18" s="1"/>
  <c r="E61" i="18"/>
  <c r="R59" i="18"/>
  <c r="U59" i="18"/>
  <c r="S59" i="18"/>
  <c r="J60" i="18"/>
  <c r="I61" i="18"/>
  <c r="CX26" i="22"/>
  <c r="CW27" i="22"/>
  <c r="CS64" i="22"/>
  <c r="CT63" i="22"/>
  <c r="CT100" i="22"/>
  <c r="CS101" i="22"/>
  <c r="CW100" i="22"/>
  <c r="CX99" i="22"/>
  <c r="CW64" i="22"/>
  <c r="CX63" i="22"/>
  <c r="CT26" i="22"/>
  <c r="CS27" i="22"/>
  <c r="R60" i="18" l="1"/>
  <c r="J61" i="18"/>
  <c r="I62" i="18"/>
  <c r="E62" i="18"/>
  <c r="F61" i="18"/>
  <c r="G61" i="18" s="1"/>
  <c r="U60" i="18"/>
  <c r="S60" i="18"/>
  <c r="CT101" i="22"/>
  <c r="CS102" i="22"/>
  <c r="CT27" i="22"/>
  <c r="CS28" i="22"/>
  <c r="CX100" i="22"/>
  <c r="CW101" i="22"/>
  <c r="CS65" i="22"/>
  <c r="CT64" i="22"/>
  <c r="CX27" i="22"/>
  <c r="CW28" i="22"/>
  <c r="CW65" i="22"/>
  <c r="CX64" i="22"/>
  <c r="E63" i="18" l="1"/>
  <c r="F62" i="18"/>
  <c r="G62" i="18" s="1"/>
  <c r="U61" i="18"/>
  <c r="S61" i="18"/>
  <c r="J62" i="18"/>
  <c r="I63" i="18"/>
  <c r="R61" i="18"/>
  <c r="CT28" i="22"/>
  <c r="CS29" i="22"/>
  <c r="CS66" i="22"/>
  <c r="CT65" i="22"/>
  <c r="CX101" i="22"/>
  <c r="CW102" i="22"/>
  <c r="CS103" i="22"/>
  <c r="CT102" i="22"/>
  <c r="CW66" i="22"/>
  <c r="CX65" i="22"/>
  <c r="CX28" i="22"/>
  <c r="CW29" i="22"/>
  <c r="R62" i="18" l="1"/>
  <c r="J63" i="18"/>
  <c r="I64" i="18"/>
  <c r="U62" i="18"/>
  <c r="S62" i="18"/>
  <c r="E64" i="18"/>
  <c r="F63" i="18"/>
  <c r="G63" i="18" s="1"/>
  <c r="CS104" i="22"/>
  <c r="CT103" i="22"/>
  <c r="CS67" i="22"/>
  <c r="CT66" i="22"/>
  <c r="CX102" i="22"/>
  <c r="CW103" i="22"/>
  <c r="CW30" i="22"/>
  <c r="CX29" i="22"/>
  <c r="CS30" i="22"/>
  <c r="CT29" i="22"/>
  <c r="CW67" i="22"/>
  <c r="CX66" i="22"/>
  <c r="E65" i="18" l="1"/>
  <c r="F64" i="18"/>
  <c r="G64" i="18" s="1"/>
  <c r="J64" i="18"/>
  <c r="I65" i="18"/>
  <c r="U63" i="18"/>
  <c r="S63" i="18"/>
  <c r="R63" i="18"/>
  <c r="CW31" i="22"/>
  <c r="CX30" i="22"/>
  <c r="CX103" i="22"/>
  <c r="CW104" i="22"/>
  <c r="CW68" i="22"/>
  <c r="CX67" i="22"/>
  <c r="CS68" i="22"/>
  <c r="CT67" i="22"/>
  <c r="CT30" i="22"/>
  <c r="CS31" i="22"/>
  <c r="CT104" i="22"/>
  <c r="CS105" i="22"/>
  <c r="U64" i="18" l="1"/>
  <c r="S64" i="18"/>
  <c r="J65" i="18"/>
  <c r="I66" i="18"/>
  <c r="R64" i="18"/>
  <c r="E66" i="18"/>
  <c r="F65" i="18"/>
  <c r="G65" i="18" s="1"/>
  <c r="CS69" i="22"/>
  <c r="CT68" i="22"/>
  <c r="CX104" i="22"/>
  <c r="CW105" i="22"/>
  <c r="CW69" i="22"/>
  <c r="CX68" i="22"/>
  <c r="CT105" i="22"/>
  <c r="CS106" i="22"/>
  <c r="CS32" i="22"/>
  <c r="CT31" i="22"/>
  <c r="CX31" i="22"/>
  <c r="CW32" i="22"/>
  <c r="E67" i="18" l="1"/>
  <c r="F66" i="18"/>
  <c r="G66" i="18" s="1"/>
  <c r="J66" i="18"/>
  <c r="I67" i="18"/>
  <c r="U65" i="18"/>
  <c r="S65" i="18"/>
  <c r="R65" i="18"/>
  <c r="CW70" i="22"/>
  <c r="CX69" i="22"/>
  <c r="CX105" i="22"/>
  <c r="CW106" i="22"/>
  <c r="CT106" i="22"/>
  <c r="CS107" i="22"/>
  <c r="CW33" i="22"/>
  <c r="CX32" i="22"/>
  <c r="CS33" i="22"/>
  <c r="CT32" i="22"/>
  <c r="CS70" i="22"/>
  <c r="CT69" i="22"/>
  <c r="U66" i="18" l="1"/>
  <c r="S66" i="18"/>
  <c r="J67" i="18"/>
  <c r="I68" i="18"/>
  <c r="R66" i="18"/>
  <c r="E68" i="18"/>
  <c r="F67" i="18"/>
  <c r="G67" i="18" s="1"/>
  <c r="CW107" i="22"/>
  <c r="CX106" i="22"/>
  <c r="CX33" i="22"/>
  <c r="CW34" i="22"/>
  <c r="CT107" i="22"/>
  <c r="CS108" i="22"/>
  <c r="CS71" i="22"/>
  <c r="CT70" i="22"/>
  <c r="CT33" i="22"/>
  <c r="CS34" i="22"/>
  <c r="CW71" i="22"/>
  <c r="CX70" i="22"/>
  <c r="U67" i="18" l="1"/>
  <c r="S67" i="18"/>
  <c r="E69" i="18"/>
  <c r="F68" i="18"/>
  <c r="G68" i="18" s="1"/>
  <c r="J68" i="18"/>
  <c r="I69" i="18"/>
  <c r="R67" i="18"/>
  <c r="CT108" i="22"/>
  <c r="CS109" i="22"/>
  <c r="CX34" i="22"/>
  <c r="CW35" i="22"/>
  <c r="CS72" i="22"/>
  <c r="CT71" i="22"/>
  <c r="CW72" i="22"/>
  <c r="CX71" i="22"/>
  <c r="CT34" i="22"/>
  <c r="CS35" i="22"/>
  <c r="CW108" i="22"/>
  <c r="CX107" i="22"/>
  <c r="J69" i="18" l="1"/>
  <c r="I70" i="18"/>
  <c r="U68" i="18"/>
  <c r="S68" i="18"/>
  <c r="R68" i="18"/>
  <c r="E70" i="18"/>
  <c r="F69" i="18"/>
  <c r="G69" i="18" s="1"/>
  <c r="CX35" i="22"/>
  <c r="CW36" i="22"/>
  <c r="CW73" i="22"/>
  <c r="CX72" i="22"/>
  <c r="CT72" i="22"/>
  <c r="CS73" i="22"/>
  <c r="CX108" i="22"/>
  <c r="CW109" i="22"/>
  <c r="CT109" i="22"/>
  <c r="CS110" i="22"/>
  <c r="CT35" i="22"/>
  <c r="CS36" i="22"/>
  <c r="E71" i="18" l="1"/>
  <c r="F70" i="18"/>
  <c r="G70" i="18" s="1"/>
  <c r="U69" i="18"/>
  <c r="S69" i="18"/>
  <c r="R69" i="18"/>
  <c r="J70" i="18"/>
  <c r="I71" i="18"/>
  <c r="CX109" i="22"/>
  <c r="CW110" i="22"/>
  <c r="CT36" i="22"/>
  <c r="CS37" i="22"/>
  <c r="CX36" i="22"/>
  <c r="CW37" i="22"/>
  <c r="CS74" i="22"/>
  <c r="CT73" i="22"/>
  <c r="CW74" i="22"/>
  <c r="CX73" i="22"/>
  <c r="CS111" i="22"/>
  <c r="CT110" i="22"/>
  <c r="J71" i="18" l="1"/>
  <c r="I72" i="18"/>
  <c r="R70" i="18"/>
  <c r="U70" i="18"/>
  <c r="S70" i="18"/>
  <c r="E72" i="18"/>
  <c r="F71" i="18"/>
  <c r="G71" i="18" s="1"/>
  <c r="CS75" i="22"/>
  <c r="CT74" i="22"/>
  <c r="CT37" i="22"/>
  <c r="CS38" i="22"/>
  <c r="CX110" i="22"/>
  <c r="CW111" i="22"/>
  <c r="CX37" i="22"/>
  <c r="CW38" i="22"/>
  <c r="CS112" i="22"/>
  <c r="CT111" i="22"/>
  <c r="CW75" i="22"/>
  <c r="CX74" i="22"/>
  <c r="U71" i="18" l="1"/>
  <c r="S71" i="18"/>
  <c r="R71" i="18"/>
  <c r="E73" i="18"/>
  <c r="F72" i="18"/>
  <c r="G72" i="18" s="1"/>
  <c r="J72" i="18"/>
  <c r="I73" i="18"/>
  <c r="CX38" i="22"/>
  <c r="CW39" i="22"/>
  <c r="CX111" i="22"/>
  <c r="CW112" i="22"/>
  <c r="CT38" i="22"/>
  <c r="CS39" i="22"/>
  <c r="CW76" i="22"/>
  <c r="CX75" i="22"/>
  <c r="CT112" i="22"/>
  <c r="CS113" i="22"/>
  <c r="CS76" i="22"/>
  <c r="CT75" i="22"/>
  <c r="R72" i="18" l="1"/>
  <c r="E74" i="18"/>
  <c r="F73" i="18"/>
  <c r="G73" i="18" s="1"/>
  <c r="J73" i="18"/>
  <c r="I74" i="18"/>
  <c r="U72" i="18"/>
  <c r="S72" i="18"/>
  <c r="CW77" i="22"/>
  <c r="CX76" i="22"/>
  <c r="CX112" i="22"/>
  <c r="CW113" i="22"/>
  <c r="CS40" i="22"/>
  <c r="CT39" i="22"/>
  <c r="CS77" i="22"/>
  <c r="CT76" i="22"/>
  <c r="CT113" i="22"/>
  <c r="CS114" i="22"/>
  <c r="CW40" i="22"/>
  <c r="CX39" i="22"/>
  <c r="U73" i="18" l="1"/>
  <c r="S73" i="18"/>
  <c r="R73" i="18"/>
  <c r="J74" i="18"/>
  <c r="I75" i="18"/>
  <c r="E75" i="18"/>
  <c r="F74" i="18"/>
  <c r="G74" i="18" s="1"/>
  <c r="CS78" i="22"/>
  <c r="CT77" i="22"/>
  <c r="CX113" i="22"/>
  <c r="CW114" i="22"/>
  <c r="CT114" i="22"/>
  <c r="CS115" i="22"/>
  <c r="CT40" i="22"/>
  <c r="CS41" i="22"/>
  <c r="CX40" i="22"/>
  <c r="CW41" i="22"/>
  <c r="CW78" i="22"/>
  <c r="CX77" i="22"/>
  <c r="U74" i="18" l="1"/>
  <c r="S74" i="18"/>
  <c r="J75" i="18"/>
  <c r="I76" i="18"/>
  <c r="R74" i="18"/>
  <c r="F75" i="18"/>
  <c r="G75" i="18" s="1"/>
  <c r="E76" i="18"/>
  <c r="F76" i="18" s="1"/>
  <c r="G76" i="18" s="1"/>
  <c r="CT41" i="22"/>
  <c r="CS42" i="22"/>
  <c r="CW115" i="22"/>
  <c r="CX114" i="22"/>
  <c r="CX41" i="22"/>
  <c r="CW42" i="22"/>
  <c r="CT115" i="22"/>
  <c r="CS116" i="22"/>
  <c r="CW79" i="22"/>
  <c r="CX78" i="22"/>
  <c r="CS79" i="22"/>
  <c r="CT78" i="22"/>
  <c r="U76" i="18" l="1"/>
  <c r="S76" i="18"/>
  <c r="R75" i="18"/>
  <c r="U75" i="18"/>
  <c r="S75" i="18"/>
  <c r="J76" i="18"/>
  <c r="CW116" i="22"/>
  <c r="CX115" i="22"/>
  <c r="CT116" i="22"/>
  <c r="CS117" i="22"/>
  <c r="CT117" i="22" s="1"/>
  <c r="CX42" i="22"/>
  <c r="CW43" i="22"/>
  <c r="CX43" i="22" s="1"/>
  <c r="CT42" i="22"/>
  <c r="CS43" i="22"/>
  <c r="CT43" i="22" s="1"/>
  <c r="CS80" i="22"/>
  <c r="CT80" i="22" s="1"/>
  <c r="CT79" i="22"/>
  <c r="CW80" i="22"/>
  <c r="CX80" i="22" s="1"/>
  <c r="CX79" i="22"/>
  <c r="R76" i="18" l="1"/>
  <c r="CX116" i="22"/>
  <c r="CW117" i="22"/>
  <c r="CX117" i="22" s="1"/>
  <c r="C76" i="10" l="1"/>
  <c r="C14" i="10"/>
  <c r="Q3" i="9"/>
  <c r="D14" i="9"/>
  <c r="D13" i="9"/>
  <c r="Q24" i="8" l="1"/>
  <c r="R24" i="8" s="1"/>
  <c r="S24" i="8" s="1"/>
  <c r="N24" i="8"/>
  <c r="M24" i="8"/>
  <c r="W11" i="8"/>
  <c r="W10" i="8"/>
  <c r="W9" i="8"/>
  <c r="W8" i="8"/>
  <c r="O25" i="8" s="1"/>
  <c r="P7" i="17"/>
  <c r="P6" i="17"/>
  <c r="L7" i="17"/>
  <c r="L6" i="17"/>
  <c r="H7" i="17"/>
  <c r="H6" i="17"/>
  <c r="E19" i="6"/>
  <c r="X3" i="11"/>
  <c r="D21" i="5"/>
  <c r="M5" i="9"/>
  <c r="M4" i="9"/>
  <c r="I19" i="5"/>
  <c r="C21" i="15" s="1"/>
  <c r="H19" i="5"/>
  <c r="F23" i="8"/>
  <c r="G23" i="8"/>
  <c r="H23" i="8"/>
  <c r="E124" i="10"/>
  <c r="E123" i="10"/>
  <c r="E122" i="10"/>
  <c r="E121" i="10"/>
  <c r="E120" i="10"/>
  <c r="E119" i="10"/>
  <c r="E118" i="10"/>
  <c r="E117" i="10"/>
  <c r="E116" i="10"/>
  <c r="E115" i="10"/>
  <c r="E114" i="10"/>
  <c r="E113" i="10"/>
  <c r="E112" i="10"/>
  <c r="E111" i="10"/>
  <c r="C72" i="10"/>
  <c r="C68" i="10"/>
  <c r="C67" i="10"/>
  <c r="E62" i="10"/>
  <c r="E61" i="10"/>
  <c r="E60" i="10"/>
  <c r="E59" i="10"/>
  <c r="E58" i="10"/>
  <c r="E57" i="10"/>
  <c r="E56" i="10"/>
  <c r="E55" i="10"/>
  <c r="E54" i="10"/>
  <c r="E53" i="10"/>
  <c r="E52" i="10"/>
  <c r="E51" i="10"/>
  <c r="E50" i="10"/>
  <c r="E49" i="10"/>
  <c r="C10" i="10"/>
  <c r="C6" i="10"/>
  <c r="C5" i="10"/>
  <c r="R19" i="2"/>
  <c r="Q19" i="2"/>
  <c r="P19" i="2"/>
  <c r="F19" i="2"/>
  <c r="O19" i="2"/>
  <c r="C4" i="14"/>
  <c r="C5" i="14"/>
  <c r="C6" i="14"/>
  <c r="C7" i="14"/>
  <c r="C8" i="14"/>
  <c r="C9" i="14"/>
  <c r="C10" i="14"/>
  <c r="C11" i="14"/>
  <c r="C12" i="14"/>
  <c r="C13" i="14"/>
  <c r="C14" i="14"/>
  <c r="C15" i="14"/>
  <c r="C16" i="14"/>
  <c r="C17" i="14"/>
  <c r="C18" i="14"/>
  <c r="C3" i="14"/>
  <c r="G6" i="14"/>
  <c r="G5" i="14"/>
  <c r="G4" i="14"/>
  <c r="B19" i="14" s="1"/>
  <c r="C19" i="14" l="1"/>
  <c r="B20" i="14"/>
  <c r="C73" i="10"/>
  <c r="C75" i="10" s="1"/>
  <c r="Q14" i="8"/>
  <c r="Q13" i="8"/>
  <c r="O26" i="8"/>
  <c r="O27" i="8" s="1"/>
  <c r="O28" i="8" s="1"/>
  <c r="O29" i="8" s="1"/>
  <c r="O30" i="8" s="1"/>
  <c r="Q30" i="8" s="1"/>
  <c r="Q23" i="8"/>
  <c r="Q22" i="8"/>
  <c r="Q21" i="8"/>
  <c r="Q19" i="8"/>
  <c r="Q20" i="8"/>
  <c r="Q18" i="8"/>
  <c r="Q17" i="8"/>
  <c r="Q16" i="8"/>
  <c r="Q15" i="8"/>
  <c r="O31" i="8"/>
  <c r="M25" i="8"/>
  <c r="Q12" i="8"/>
  <c r="Q11" i="8"/>
  <c r="Q10" i="8"/>
  <c r="Q9" i="8"/>
  <c r="Q25" i="8"/>
  <c r="Q8" i="8"/>
  <c r="N25" i="8"/>
  <c r="E63" i="10"/>
  <c r="C11" i="10"/>
  <c r="C13" i="10" s="1"/>
  <c r="E125" i="10"/>
  <c r="F3" i="5"/>
  <c r="F4" i="5"/>
  <c r="F5" i="5"/>
  <c r="F6" i="5"/>
  <c r="F7" i="5"/>
  <c r="F8" i="5"/>
  <c r="F9" i="5"/>
  <c r="F10" i="5"/>
  <c r="F11" i="5"/>
  <c r="F12" i="5"/>
  <c r="F13" i="5"/>
  <c r="F14" i="5"/>
  <c r="F15" i="5"/>
  <c r="F16" i="5"/>
  <c r="F17" i="5"/>
  <c r="F18" i="5"/>
  <c r="F19" i="5"/>
  <c r="C20" i="5"/>
  <c r="D20" i="5"/>
  <c r="C21" i="5"/>
  <c r="C22" i="5"/>
  <c r="D22" i="5"/>
  <c r="C23" i="5"/>
  <c r="D23" i="5"/>
  <c r="C24" i="5"/>
  <c r="D24" i="5"/>
  <c r="C25" i="5"/>
  <c r="D25" i="5"/>
  <c r="C26" i="5"/>
  <c r="D26" i="5"/>
  <c r="C27" i="5"/>
  <c r="D27" i="5"/>
  <c r="C28" i="5"/>
  <c r="D28" i="5"/>
  <c r="C29" i="5"/>
  <c r="D29" i="5"/>
  <c r="C30" i="5"/>
  <c r="D30" i="5"/>
  <c r="C31" i="5"/>
  <c r="D31" i="5"/>
  <c r="C32" i="5"/>
  <c r="D32" i="5"/>
  <c r="C33" i="5"/>
  <c r="D33" i="5"/>
  <c r="C34" i="5"/>
  <c r="D34" i="5"/>
  <c r="C35" i="5"/>
  <c r="D35" i="5"/>
  <c r="C36" i="5"/>
  <c r="D36" i="5"/>
  <c r="C37" i="5"/>
  <c r="D37" i="5"/>
  <c r="C38" i="5"/>
  <c r="D38" i="5"/>
  <c r="C39" i="5"/>
  <c r="D39" i="5"/>
  <c r="C40" i="5"/>
  <c r="D40" i="5"/>
  <c r="C41" i="5"/>
  <c r="D41" i="5"/>
  <c r="C42" i="5"/>
  <c r="D42" i="5"/>
  <c r="C43" i="5"/>
  <c r="D43" i="5"/>
  <c r="C44" i="5"/>
  <c r="D44" i="5"/>
  <c r="C45" i="5"/>
  <c r="D45" i="5"/>
  <c r="C46" i="5"/>
  <c r="D46" i="5"/>
  <c r="C47" i="5"/>
  <c r="D47" i="5"/>
  <c r="C48" i="5"/>
  <c r="D48" i="5"/>
  <c r="X5" i="11"/>
  <c r="X6" i="11"/>
  <c r="X4" i="11"/>
  <c r="R20" i="11"/>
  <c r="R21" i="11" s="1"/>
  <c r="R22" i="11" s="1"/>
  <c r="R23" i="11" s="1"/>
  <c r="R24" i="11" s="1"/>
  <c r="R25" i="11" s="1"/>
  <c r="R26" i="11" s="1"/>
  <c r="R27" i="11" s="1"/>
  <c r="R28" i="11" s="1"/>
  <c r="R29" i="11" s="1"/>
  <c r="R30" i="11" s="1"/>
  <c r="R31" i="11" s="1"/>
  <c r="R32" i="11" s="1"/>
  <c r="R33" i="11" s="1"/>
  <c r="R34" i="11" s="1"/>
  <c r="R35" i="11" s="1"/>
  <c r="R36" i="11" s="1"/>
  <c r="R37" i="11" s="1"/>
  <c r="R38" i="11" s="1"/>
  <c r="R39" i="11" s="1"/>
  <c r="R40" i="11" s="1"/>
  <c r="R41" i="11" s="1"/>
  <c r="R42" i="11" s="1"/>
  <c r="R43" i="11" s="1"/>
  <c r="R44" i="11" s="1"/>
  <c r="R45" i="11" s="1"/>
  <c r="R46" i="11" s="1"/>
  <c r="R47" i="11" s="1"/>
  <c r="R48" i="11" s="1"/>
  <c r="B21" i="14" l="1"/>
  <c r="C20" i="14"/>
  <c r="Q29" i="8"/>
  <c r="Q26" i="8"/>
  <c r="Q27" i="8"/>
  <c r="Q28" i="8"/>
  <c r="O32" i="8"/>
  <c r="Q31" i="8"/>
  <c r="N26" i="8"/>
  <c r="M26" i="8"/>
  <c r="F42" i="5"/>
  <c r="F35" i="5"/>
  <c r="F26" i="5"/>
  <c r="F46" i="5"/>
  <c r="F30" i="5"/>
  <c r="F23" i="5"/>
  <c r="F32" i="5"/>
  <c r="F36" i="5"/>
  <c r="F22" i="5"/>
  <c r="F41" i="5"/>
  <c r="F25" i="5"/>
  <c r="F48" i="5"/>
  <c r="F40" i="5"/>
  <c r="F24" i="5"/>
  <c r="F47" i="5"/>
  <c r="F39" i="5"/>
  <c r="F31" i="5"/>
  <c r="F38" i="5"/>
  <c r="F45" i="5"/>
  <c r="F37" i="5"/>
  <c r="F29" i="5"/>
  <c r="F21" i="5"/>
  <c r="F44" i="5"/>
  <c r="F28" i="5"/>
  <c r="F20" i="5"/>
  <c r="G20" i="5" s="1"/>
  <c r="F33" i="5"/>
  <c r="F43" i="5"/>
  <c r="F27" i="5"/>
  <c r="F34" i="5"/>
  <c r="S19" i="11"/>
  <c r="S18" i="11" s="1"/>
  <c r="I20" i="5" l="1"/>
  <c r="C22" i="15" s="1"/>
  <c r="D15" i="9"/>
  <c r="B22" i="14"/>
  <c r="C21" i="14"/>
  <c r="O33" i="8"/>
  <c r="Q32" i="8"/>
  <c r="N27" i="8"/>
  <c r="M27" i="8"/>
  <c r="H20" i="5"/>
  <c r="G21" i="5"/>
  <c r="S22" i="11"/>
  <c r="S20" i="11"/>
  <c r="I21" i="5" l="1"/>
  <c r="C23" i="15" s="1"/>
  <c r="D16" i="9"/>
  <c r="B23" i="14"/>
  <c r="C22" i="14"/>
  <c r="O34" i="8"/>
  <c r="Q33" i="8"/>
  <c r="N28" i="8"/>
  <c r="M28" i="8"/>
  <c r="G22" i="5"/>
  <c r="H21" i="5"/>
  <c r="Q22" i="11"/>
  <c r="P20" i="11"/>
  <c r="P22" i="11"/>
  <c r="Q20" i="11"/>
  <c r="D226" i="11"/>
  <c r="F226" i="11" s="1"/>
  <c r="D225" i="11"/>
  <c r="F225" i="11" s="1"/>
  <c r="D224" i="11"/>
  <c r="E224" i="11" s="1"/>
  <c r="D223" i="11"/>
  <c r="F223" i="11" s="1"/>
  <c r="D222" i="11"/>
  <c r="E222" i="11" s="1"/>
  <c r="D221" i="11"/>
  <c r="F221" i="11" s="1"/>
  <c r="D220" i="11"/>
  <c r="F220" i="11" s="1"/>
  <c r="D219" i="11"/>
  <c r="F219" i="11" s="1"/>
  <c r="D218" i="11"/>
  <c r="F218" i="11" s="1"/>
  <c r="D217" i="11"/>
  <c r="E217" i="11" s="1"/>
  <c r="D216" i="11"/>
  <c r="F216" i="11" s="1"/>
  <c r="D215" i="11"/>
  <c r="F215" i="11" s="1"/>
  <c r="D214" i="11"/>
  <c r="F214" i="11" s="1"/>
  <c r="D213" i="11"/>
  <c r="D212" i="11"/>
  <c r="D211" i="11"/>
  <c r="E211" i="11" s="1"/>
  <c r="D210" i="11"/>
  <c r="F210" i="11" s="1"/>
  <c r="D209" i="11"/>
  <c r="F209" i="11" s="1"/>
  <c r="D208" i="11"/>
  <c r="F208" i="11" s="1"/>
  <c r="D207" i="11"/>
  <c r="F207" i="11" s="1"/>
  <c r="D206" i="11"/>
  <c r="E206" i="11" s="1"/>
  <c r="D205" i="11"/>
  <c r="F205" i="11" s="1"/>
  <c r="D204" i="11"/>
  <c r="F204" i="11" s="1"/>
  <c r="D203" i="11"/>
  <c r="E203" i="11" s="1"/>
  <c r="D202" i="11"/>
  <c r="F202" i="11" s="1"/>
  <c r="D201" i="11"/>
  <c r="E201" i="11" s="1"/>
  <c r="D200" i="11"/>
  <c r="F200" i="11" s="1"/>
  <c r="D199" i="11"/>
  <c r="F199" i="11" s="1"/>
  <c r="D198" i="11"/>
  <c r="F198" i="11" s="1"/>
  <c r="D197" i="11"/>
  <c r="D196" i="11"/>
  <c r="D195" i="11"/>
  <c r="E195" i="11" s="1"/>
  <c r="D194" i="11"/>
  <c r="F194" i="11" s="1"/>
  <c r="D193" i="11"/>
  <c r="F193" i="11" s="1"/>
  <c r="D192" i="11"/>
  <c r="E192" i="11" s="1"/>
  <c r="D191" i="11"/>
  <c r="F191" i="11" s="1"/>
  <c r="D190" i="11"/>
  <c r="E190" i="11" s="1"/>
  <c r="D189" i="11"/>
  <c r="F189" i="11" s="1"/>
  <c r="D188" i="11"/>
  <c r="F188" i="11" s="1"/>
  <c r="D187" i="11"/>
  <c r="F187" i="11" s="1"/>
  <c r="D186" i="11"/>
  <c r="D185" i="11"/>
  <c r="E185" i="11" s="1"/>
  <c r="D184" i="11"/>
  <c r="F184" i="11" s="1"/>
  <c r="D183" i="11"/>
  <c r="F183" i="11" s="1"/>
  <c r="D182" i="11"/>
  <c r="E182" i="11" s="1"/>
  <c r="D181" i="11"/>
  <c r="D180" i="11"/>
  <c r="D179" i="11"/>
  <c r="F179" i="11" s="1"/>
  <c r="D178" i="11"/>
  <c r="F178" i="11" s="1"/>
  <c r="D177" i="11"/>
  <c r="F177" i="11" s="1"/>
  <c r="D176" i="11"/>
  <c r="E176" i="11" s="1"/>
  <c r="D175" i="11"/>
  <c r="F175" i="11" s="1"/>
  <c r="D174" i="11"/>
  <c r="E174" i="11" s="1"/>
  <c r="D173" i="11"/>
  <c r="E173" i="11" s="1"/>
  <c r="D172" i="11"/>
  <c r="F172" i="11" s="1"/>
  <c r="D171" i="11"/>
  <c r="F171" i="11" s="1"/>
  <c r="D170" i="11"/>
  <c r="F170" i="11" s="1"/>
  <c r="D169" i="11"/>
  <c r="E169" i="11" s="1"/>
  <c r="D168" i="11"/>
  <c r="F168" i="11" s="1"/>
  <c r="D167" i="11"/>
  <c r="F167" i="11" s="1"/>
  <c r="D166" i="11"/>
  <c r="F166" i="11" s="1"/>
  <c r="D165" i="11"/>
  <c r="D164" i="11"/>
  <c r="D163" i="11"/>
  <c r="F163" i="11" s="1"/>
  <c r="D162" i="11"/>
  <c r="F162" i="11" s="1"/>
  <c r="D161" i="11"/>
  <c r="F161" i="11" s="1"/>
  <c r="D160" i="11"/>
  <c r="E160" i="11" s="1"/>
  <c r="D159" i="11"/>
  <c r="F159" i="11" s="1"/>
  <c r="D158" i="11"/>
  <c r="E158" i="11" s="1"/>
  <c r="D157" i="11"/>
  <c r="E157" i="11" s="1"/>
  <c r="D156" i="11"/>
  <c r="F156" i="11" s="1"/>
  <c r="D155" i="11"/>
  <c r="F155" i="11" s="1"/>
  <c r="D154" i="11"/>
  <c r="F154" i="11" s="1"/>
  <c r="D153" i="11"/>
  <c r="E153" i="11" s="1"/>
  <c r="D152" i="11"/>
  <c r="F152" i="11" s="1"/>
  <c r="D151" i="11"/>
  <c r="F151" i="11" s="1"/>
  <c r="D150" i="11"/>
  <c r="F150" i="11" s="1"/>
  <c r="D149" i="11"/>
  <c r="D148" i="11"/>
  <c r="D147" i="11"/>
  <c r="F147" i="11" s="1"/>
  <c r="D146" i="11"/>
  <c r="F146" i="11" s="1"/>
  <c r="D145" i="11"/>
  <c r="F145" i="11" s="1"/>
  <c r="D144" i="11"/>
  <c r="D143" i="11"/>
  <c r="F143" i="11" s="1"/>
  <c r="D142" i="11"/>
  <c r="E142" i="11" s="1"/>
  <c r="D141" i="11"/>
  <c r="E141" i="11" s="1"/>
  <c r="D140" i="11"/>
  <c r="F140" i="11" s="1"/>
  <c r="D139" i="11"/>
  <c r="F139" i="11" s="1"/>
  <c r="D138" i="11"/>
  <c r="E138" i="11" s="1"/>
  <c r="D137" i="11"/>
  <c r="E137" i="11" s="1"/>
  <c r="D136" i="11"/>
  <c r="E136" i="11" s="1"/>
  <c r="D135" i="11"/>
  <c r="F135" i="11" s="1"/>
  <c r="D134" i="11"/>
  <c r="E134" i="11" s="1"/>
  <c r="D133" i="11"/>
  <c r="D132" i="11"/>
  <c r="D131" i="11"/>
  <c r="F131" i="11" s="1"/>
  <c r="D130" i="11"/>
  <c r="F130" i="11" s="1"/>
  <c r="D129" i="11"/>
  <c r="F129" i="11" s="1"/>
  <c r="D128" i="11"/>
  <c r="F128" i="11" s="1"/>
  <c r="D127" i="11"/>
  <c r="F127" i="11" s="1"/>
  <c r="D126" i="11"/>
  <c r="E126" i="11" s="1"/>
  <c r="D125" i="11"/>
  <c r="F125" i="11" s="1"/>
  <c r="D124" i="11"/>
  <c r="F124" i="11" s="1"/>
  <c r="D123" i="11"/>
  <c r="F123" i="11" s="1"/>
  <c r="D122" i="11"/>
  <c r="E122" i="11" s="1"/>
  <c r="D121" i="11"/>
  <c r="E121" i="11" s="1"/>
  <c r="D120" i="11"/>
  <c r="F120" i="11" s="1"/>
  <c r="D119" i="11"/>
  <c r="F119" i="11" s="1"/>
  <c r="D118" i="11"/>
  <c r="F118" i="11" s="1"/>
  <c r="D117" i="11"/>
  <c r="F117" i="11" s="1"/>
  <c r="D116" i="11"/>
  <c r="D115" i="11"/>
  <c r="F115" i="11" s="1"/>
  <c r="D114" i="11"/>
  <c r="D113" i="11"/>
  <c r="F113" i="11" s="1"/>
  <c r="D112" i="11"/>
  <c r="F112" i="11" s="1"/>
  <c r="D111" i="11"/>
  <c r="F111" i="11" s="1"/>
  <c r="D110" i="11"/>
  <c r="E110" i="11" s="1"/>
  <c r="D109" i="11"/>
  <c r="F109" i="11" s="1"/>
  <c r="D108" i="11"/>
  <c r="F108" i="11" s="1"/>
  <c r="D107" i="11"/>
  <c r="E107" i="11" s="1"/>
  <c r="D106" i="11"/>
  <c r="E106" i="11" s="1"/>
  <c r="D105" i="11"/>
  <c r="E105" i="11" s="1"/>
  <c r="D104" i="11"/>
  <c r="E104" i="11" s="1"/>
  <c r="D103" i="11"/>
  <c r="F103" i="11" s="1"/>
  <c r="D102" i="11"/>
  <c r="E102" i="11" s="1"/>
  <c r="D101" i="11"/>
  <c r="F101" i="11" s="1"/>
  <c r="D100" i="11"/>
  <c r="D99" i="11"/>
  <c r="F99" i="11" s="1"/>
  <c r="D98" i="11"/>
  <c r="D97" i="11"/>
  <c r="D96" i="11"/>
  <c r="F96" i="11" s="1"/>
  <c r="D95" i="11"/>
  <c r="F95" i="11" s="1"/>
  <c r="D94" i="11"/>
  <c r="E94" i="11" s="1"/>
  <c r="D93" i="11"/>
  <c r="F93" i="11" s="1"/>
  <c r="D92" i="11"/>
  <c r="F92" i="11" s="1"/>
  <c r="D91" i="11"/>
  <c r="F91" i="11" s="1"/>
  <c r="D90" i="11"/>
  <c r="F90" i="11" s="1"/>
  <c r="D89" i="11"/>
  <c r="E89" i="11" s="1"/>
  <c r="D88" i="11"/>
  <c r="F88" i="11" s="1"/>
  <c r="D87" i="11"/>
  <c r="F87" i="11" s="1"/>
  <c r="D86" i="11"/>
  <c r="F86" i="11" s="1"/>
  <c r="D85" i="11"/>
  <c r="F85" i="11" s="1"/>
  <c r="D84" i="11"/>
  <c r="F84" i="11" s="1"/>
  <c r="D83" i="11"/>
  <c r="F83" i="11" s="1"/>
  <c r="D82" i="11"/>
  <c r="D81" i="11"/>
  <c r="D80" i="11"/>
  <c r="F80" i="11" s="1"/>
  <c r="D79" i="11"/>
  <c r="F79" i="11" s="1"/>
  <c r="D78" i="11"/>
  <c r="E78" i="11" s="1"/>
  <c r="D77" i="11"/>
  <c r="E77" i="11" s="1"/>
  <c r="D76" i="11"/>
  <c r="F76" i="11" s="1"/>
  <c r="D75" i="11"/>
  <c r="E75" i="11" s="1"/>
  <c r="D74" i="11"/>
  <c r="F74" i="11" s="1"/>
  <c r="D73" i="11"/>
  <c r="E73" i="11" s="1"/>
  <c r="D72" i="11"/>
  <c r="F72" i="11" s="1"/>
  <c r="D71" i="11"/>
  <c r="E71" i="11" s="1"/>
  <c r="D70" i="11"/>
  <c r="E70" i="11" s="1"/>
  <c r="D69" i="11"/>
  <c r="D68" i="11"/>
  <c r="F68" i="11" s="1"/>
  <c r="D67" i="11"/>
  <c r="F67" i="11" s="1"/>
  <c r="D66" i="11"/>
  <c r="D65" i="11"/>
  <c r="D64" i="11"/>
  <c r="F64" i="11" s="1"/>
  <c r="D63" i="11"/>
  <c r="F63" i="11" s="1"/>
  <c r="D62" i="11"/>
  <c r="E62" i="11" s="1"/>
  <c r="D61" i="11"/>
  <c r="F61" i="11" s="1"/>
  <c r="D60" i="11"/>
  <c r="F60" i="11" s="1"/>
  <c r="D59" i="11"/>
  <c r="F59" i="11" s="1"/>
  <c r="D58" i="11"/>
  <c r="F58" i="11" s="1"/>
  <c r="D57" i="11"/>
  <c r="E57" i="11" s="1"/>
  <c r="D56" i="11"/>
  <c r="F56" i="11" s="1"/>
  <c r="D55" i="11"/>
  <c r="F55" i="11" s="1"/>
  <c r="D54" i="11"/>
  <c r="E54" i="11" s="1"/>
  <c r="D53" i="11"/>
  <c r="F53" i="11" s="1"/>
  <c r="D52" i="11"/>
  <c r="F52" i="11" s="1"/>
  <c r="D51" i="11"/>
  <c r="F51" i="11" s="1"/>
  <c r="D50" i="11"/>
  <c r="D49" i="11"/>
  <c r="D48" i="11"/>
  <c r="F48" i="11" s="1"/>
  <c r="D47" i="11"/>
  <c r="F47" i="11" s="1"/>
  <c r="D46" i="11"/>
  <c r="E46" i="11" s="1"/>
  <c r="D45" i="11"/>
  <c r="F45" i="11" s="1"/>
  <c r="D44" i="11"/>
  <c r="F44" i="11" s="1"/>
  <c r="D43" i="11"/>
  <c r="F43" i="11" s="1"/>
  <c r="D42" i="11"/>
  <c r="F42" i="11" s="1"/>
  <c r="D41" i="11"/>
  <c r="E41" i="11" s="1"/>
  <c r="D40" i="11"/>
  <c r="F40" i="11" s="1"/>
  <c r="D39" i="11"/>
  <c r="E39" i="11" s="1"/>
  <c r="D38" i="11"/>
  <c r="E38" i="11" s="1"/>
  <c r="D37" i="11"/>
  <c r="F37" i="11" s="1"/>
  <c r="D36" i="11"/>
  <c r="F36" i="11" s="1"/>
  <c r="D35" i="11"/>
  <c r="F35" i="11" s="1"/>
  <c r="D34" i="11"/>
  <c r="D33" i="11"/>
  <c r="D32" i="11"/>
  <c r="F32" i="11" s="1"/>
  <c r="D31" i="11"/>
  <c r="F31" i="11" s="1"/>
  <c r="D30" i="11"/>
  <c r="E30" i="11" s="1"/>
  <c r="D29" i="11"/>
  <c r="F29" i="11" s="1"/>
  <c r="D28" i="11"/>
  <c r="F28" i="11" s="1"/>
  <c r="D27" i="11"/>
  <c r="F27" i="11" s="1"/>
  <c r="D26" i="11"/>
  <c r="F26" i="11" s="1"/>
  <c r="D25" i="11"/>
  <c r="E25" i="11" s="1"/>
  <c r="D24" i="11"/>
  <c r="F24" i="11" s="1"/>
  <c r="D23" i="11"/>
  <c r="F23" i="11" s="1"/>
  <c r="D22" i="11"/>
  <c r="F22" i="11" s="1"/>
  <c r="D21" i="11"/>
  <c r="F21" i="11" s="1"/>
  <c r="D20" i="11"/>
  <c r="F20" i="11" s="1"/>
  <c r="D19" i="11"/>
  <c r="F19" i="11" s="1"/>
  <c r="D18" i="11"/>
  <c r="D17" i="11"/>
  <c r="D16" i="11"/>
  <c r="F16" i="11" s="1"/>
  <c r="D15" i="11"/>
  <c r="F15" i="11" s="1"/>
  <c r="D14" i="11"/>
  <c r="E14" i="11" s="1"/>
  <c r="D13" i="11"/>
  <c r="F13" i="11" s="1"/>
  <c r="D12" i="11"/>
  <c r="F12" i="11" s="1"/>
  <c r="D11" i="11"/>
  <c r="F11" i="11" s="1"/>
  <c r="D10" i="11"/>
  <c r="F10" i="11" s="1"/>
  <c r="D9" i="11"/>
  <c r="E9" i="11" s="1"/>
  <c r="D8" i="11"/>
  <c r="E8" i="11" s="1"/>
  <c r="D7" i="11"/>
  <c r="E7" i="11" s="1"/>
  <c r="D6" i="11"/>
  <c r="F6" i="11" s="1"/>
  <c r="D5" i="11"/>
  <c r="F5" i="11" s="1"/>
  <c r="D4" i="11"/>
  <c r="F4" i="11" s="1"/>
  <c r="D3" i="11"/>
  <c r="F3" i="11" s="1"/>
  <c r="D2" i="11"/>
  <c r="H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24" i="8"/>
  <c r="D21" i="4"/>
  <c r="E21" i="4"/>
  <c r="D22" i="4"/>
  <c r="E22" i="4"/>
  <c r="D23" i="4"/>
  <c r="E23" i="4"/>
  <c r="D24" i="4"/>
  <c r="E24" i="4"/>
  <c r="D25" i="4"/>
  <c r="E25" i="4"/>
  <c r="D26" i="4"/>
  <c r="E26" i="4"/>
  <c r="D27" i="4"/>
  <c r="E27" i="4"/>
  <c r="D28" i="4"/>
  <c r="E28" i="4"/>
  <c r="D29" i="4"/>
  <c r="E29" i="4"/>
  <c r="D30" i="4"/>
  <c r="E30" i="4"/>
  <c r="D31" i="4"/>
  <c r="E31" i="4"/>
  <c r="D32" i="4"/>
  <c r="E32" i="4"/>
  <c r="D33" i="4"/>
  <c r="E33" i="4"/>
  <c r="D34" i="4"/>
  <c r="E34" i="4"/>
  <c r="D35" i="4"/>
  <c r="E35" i="4"/>
  <c r="D36" i="4"/>
  <c r="E36" i="4"/>
  <c r="D37" i="4"/>
  <c r="E37" i="4"/>
  <c r="D38" i="4"/>
  <c r="E38" i="4"/>
  <c r="D39" i="4"/>
  <c r="E39" i="4"/>
  <c r="D40" i="4"/>
  <c r="E40" i="4"/>
  <c r="D41" i="4"/>
  <c r="E41" i="4"/>
  <c r="D42" i="4"/>
  <c r="E42" i="4"/>
  <c r="D43" i="4"/>
  <c r="E43" i="4"/>
  <c r="D44" i="4"/>
  <c r="E44" i="4"/>
  <c r="D45" i="4"/>
  <c r="E45" i="4"/>
  <c r="D46" i="4"/>
  <c r="E46" i="4"/>
  <c r="D47" i="4"/>
  <c r="E47" i="4"/>
  <c r="D48" i="4"/>
  <c r="E48" i="4"/>
  <c r="D49" i="4"/>
  <c r="E49" i="4"/>
  <c r="E20" i="4"/>
  <c r="D20" i="4"/>
  <c r="C21" i="4"/>
  <c r="C22" i="4"/>
  <c r="C23" i="4"/>
  <c r="C24" i="4"/>
  <c r="C25" i="4"/>
  <c r="C26" i="4"/>
  <c r="C27" i="4"/>
  <c r="C28" i="4"/>
  <c r="C29" i="4"/>
  <c r="C30" i="4"/>
  <c r="F30" i="4" s="1"/>
  <c r="C25" i="10" s="1"/>
  <c r="C31" i="4"/>
  <c r="C32" i="4"/>
  <c r="C33" i="4"/>
  <c r="C34" i="4"/>
  <c r="C35" i="4"/>
  <c r="C36" i="4"/>
  <c r="C37" i="4"/>
  <c r="C38" i="4"/>
  <c r="C39" i="4"/>
  <c r="C40" i="4"/>
  <c r="C41" i="4"/>
  <c r="C42" i="4"/>
  <c r="C43" i="4"/>
  <c r="C44" i="4"/>
  <c r="C45" i="4"/>
  <c r="C46" i="4"/>
  <c r="F46" i="4" s="1"/>
  <c r="C41" i="10" s="1"/>
  <c r="C47" i="4"/>
  <c r="C48" i="4"/>
  <c r="C49" i="4"/>
  <c r="C20" i="4"/>
  <c r="D21" i="6"/>
  <c r="D20"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20" i="6"/>
  <c r="E5" i="6"/>
  <c r="E6" i="6"/>
  <c r="E7" i="6"/>
  <c r="E8" i="6"/>
  <c r="E9" i="6"/>
  <c r="E10" i="6"/>
  <c r="E11" i="6"/>
  <c r="E12" i="6"/>
  <c r="E13" i="6"/>
  <c r="E14" i="6"/>
  <c r="E15" i="6"/>
  <c r="E16" i="6"/>
  <c r="E17" i="6"/>
  <c r="E18" i="6"/>
  <c r="E4" i="6"/>
  <c r="R5" i="2"/>
  <c r="R6" i="2"/>
  <c r="R7" i="2"/>
  <c r="R8" i="2"/>
  <c r="R9" i="2"/>
  <c r="R10" i="2"/>
  <c r="R11" i="2"/>
  <c r="R12" i="2"/>
  <c r="R13" i="2"/>
  <c r="R14" i="2"/>
  <c r="R15" i="2"/>
  <c r="R16" i="2"/>
  <c r="R17" i="2"/>
  <c r="R18" i="2"/>
  <c r="R4" i="2"/>
  <c r="O4" i="2"/>
  <c r="J9" i="8"/>
  <c r="J10" i="8"/>
  <c r="J11" i="8"/>
  <c r="J12" i="8"/>
  <c r="J13" i="8"/>
  <c r="J14" i="8"/>
  <c r="J15" i="8"/>
  <c r="J16" i="8"/>
  <c r="J17" i="8"/>
  <c r="J18" i="8"/>
  <c r="J19" i="8"/>
  <c r="J20" i="8"/>
  <c r="J21" i="8"/>
  <c r="J22" i="8"/>
  <c r="J23" i="8"/>
  <c r="J8" i="8"/>
  <c r="F5" i="2"/>
  <c r="F6" i="2"/>
  <c r="F7" i="2"/>
  <c r="F8" i="2"/>
  <c r="F9" i="2"/>
  <c r="F10" i="2"/>
  <c r="F11" i="2"/>
  <c r="F12" i="2"/>
  <c r="F13" i="2"/>
  <c r="F14" i="2"/>
  <c r="F15" i="2"/>
  <c r="F16" i="2"/>
  <c r="F17" i="2"/>
  <c r="F18" i="2"/>
  <c r="F4" i="2"/>
  <c r="O5" i="2"/>
  <c r="O6" i="2"/>
  <c r="O7" i="2"/>
  <c r="O8" i="2"/>
  <c r="O9" i="2"/>
  <c r="O10" i="2"/>
  <c r="O11" i="2"/>
  <c r="O12" i="2"/>
  <c r="O13" i="2"/>
  <c r="O14" i="2"/>
  <c r="O15" i="2"/>
  <c r="O16" i="2"/>
  <c r="O17" i="2"/>
  <c r="O18" i="2"/>
  <c r="F47" i="4" l="1"/>
  <c r="C42" i="10" s="1"/>
  <c r="F31" i="4"/>
  <c r="C26" i="10" s="1"/>
  <c r="G5" i="15"/>
  <c r="G19" i="15"/>
  <c r="G18" i="15"/>
  <c r="G17" i="15"/>
  <c r="G16" i="15"/>
  <c r="G15" i="15"/>
  <c r="G14" i="15"/>
  <c r="G13" i="15"/>
  <c r="G12" i="15"/>
  <c r="G11" i="15"/>
  <c r="G10" i="15"/>
  <c r="G9" i="15"/>
  <c r="G8" i="15"/>
  <c r="G7" i="15"/>
  <c r="G6" i="15"/>
  <c r="I22" i="5"/>
  <c r="C24" i="15" s="1"/>
  <c r="Q4" i="9"/>
  <c r="Q5" i="9" s="1"/>
  <c r="D12" i="9" s="1"/>
  <c r="D17" i="9"/>
  <c r="B24" i="14"/>
  <c r="C23" i="14"/>
  <c r="G20" i="15"/>
  <c r="F45" i="4"/>
  <c r="C40" i="10" s="1"/>
  <c r="F44" i="4"/>
  <c r="C39" i="10" s="1"/>
  <c r="F28" i="4"/>
  <c r="C23" i="10" s="1"/>
  <c r="F29" i="4"/>
  <c r="F37" i="4"/>
  <c r="F21" i="4"/>
  <c r="C16" i="10" s="1"/>
  <c r="F36" i="4"/>
  <c r="G36" i="4" s="1"/>
  <c r="F35" i="4"/>
  <c r="C30" i="10" s="1"/>
  <c r="G47" i="4"/>
  <c r="G51" i="8" s="1"/>
  <c r="H47" i="4"/>
  <c r="E48" i="15" s="1"/>
  <c r="F34" i="4"/>
  <c r="C29" i="10" s="1"/>
  <c r="F49" i="4"/>
  <c r="C44" i="10" s="1"/>
  <c r="F33" i="4"/>
  <c r="C28" i="10" s="1"/>
  <c r="F48" i="4"/>
  <c r="C43" i="10" s="1"/>
  <c r="F32" i="4"/>
  <c r="C27" i="10" s="1"/>
  <c r="F20" i="4"/>
  <c r="C15" i="10" s="1"/>
  <c r="F27" i="4"/>
  <c r="C22" i="10" s="1"/>
  <c r="F42" i="4"/>
  <c r="C37" i="10" s="1"/>
  <c r="F26" i="4"/>
  <c r="C21" i="10" s="1"/>
  <c r="G46" i="4"/>
  <c r="G50" i="8" s="1"/>
  <c r="H46" i="4"/>
  <c r="E47" i="15" s="1"/>
  <c r="F41" i="4"/>
  <c r="C36" i="10" s="1"/>
  <c r="F25" i="4"/>
  <c r="C20" i="10" s="1"/>
  <c r="G35" i="4"/>
  <c r="G31" i="4"/>
  <c r="H31" i="4"/>
  <c r="E32" i="15" s="1"/>
  <c r="F43" i="4"/>
  <c r="C38" i="10" s="1"/>
  <c r="F40" i="4"/>
  <c r="C35" i="10" s="1"/>
  <c r="F24" i="4"/>
  <c r="C19" i="10" s="1"/>
  <c r="F23" i="4"/>
  <c r="C18" i="10" s="1"/>
  <c r="G44" i="4"/>
  <c r="G48" i="8" s="1"/>
  <c r="H44" i="4"/>
  <c r="E45" i="15" s="1"/>
  <c r="F39" i="4"/>
  <c r="C34" i="10" s="1"/>
  <c r="F38" i="4"/>
  <c r="C33" i="10" s="1"/>
  <c r="F22" i="4"/>
  <c r="C17" i="10" s="1"/>
  <c r="G30" i="4"/>
  <c r="H30" i="4"/>
  <c r="E31" i="15" s="1"/>
  <c r="H37" i="4"/>
  <c r="E38" i="15" s="1"/>
  <c r="O35" i="8"/>
  <c r="Q34" i="8"/>
  <c r="N29" i="8"/>
  <c r="M29" i="8"/>
  <c r="G23" i="5"/>
  <c r="H22" i="5"/>
  <c r="S30" i="11"/>
  <c r="S27" i="11"/>
  <c r="P25" i="11"/>
  <c r="S25" i="11"/>
  <c r="P19" i="11"/>
  <c r="Q21" i="11"/>
  <c r="S21" i="11"/>
  <c r="P24" i="11"/>
  <c r="S24" i="11"/>
  <c r="P26" i="11"/>
  <c r="S26" i="11"/>
  <c r="Q23" i="11"/>
  <c r="S23" i="11"/>
  <c r="P23" i="11"/>
  <c r="F62" i="11"/>
  <c r="G62" i="11" s="1"/>
  <c r="Q19" i="11"/>
  <c r="F141" i="11"/>
  <c r="G141" i="11" s="1"/>
  <c r="P21" i="11"/>
  <c r="E59" i="11"/>
  <c r="G59" i="11" s="1"/>
  <c r="E123" i="11"/>
  <c r="G123" i="11" s="1"/>
  <c r="F138" i="11"/>
  <c r="G138" i="11" s="1"/>
  <c r="E139" i="11"/>
  <c r="G139" i="11" s="1"/>
  <c r="F102" i="11"/>
  <c r="G102" i="11" s="1"/>
  <c r="E191" i="11"/>
  <c r="G191" i="11" s="1"/>
  <c r="F158" i="11"/>
  <c r="G158" i="11" s="1"/>
  <c r="F54" i="11"/>
  <c r="G54" i="11" s="1"/>
  <c r="E159" i="11"/>
  <c r="G159" i="11" s="1"/>
  <c r="E6" i="11"/>
  <c r="G6" i="11" s="1"/>
  <c r="E43" i="11"/>
  <c r="G43" i="11" s="1"/>
  <c r="F70" i="11"/>
  <c r="G70" i="11" s="1"/>
  <c r="E150" i="11"/>
  <c r="G150" i="11" s="1"/>
  <c r="E179" i="11"/>
  <c r="G179" i="11" s="1"/>
  <c r="F201" i="11"/>
  <c r="G201" i="11" s="1"/>
  <c r="E5" i="11"/>
  <c r="G5" i="11" s="1"/>
  <c r="E21" i="11"/>
  <c r="G21" i="11" s="1"/>
  <c r="F39" i="11"/>
  <c r="G39" i="11" s="1"/>
  <c r="F75" i="11"/>
  <c r="E200" i="11"/>
  <c r="G200" i="11" s="1"/>
  <c r="F41" i="11"/>
  <c r="G41" i="11" s="1"/>
  <c r="E90" i="11"/>
  <c r="G90" i="11" s="1"/>
  <c r="E72" i="11"/>
  <c r="G72" i="11" s="1"/>
  <c r="G75" i="11"/>
  <c r="F14" i="11"/>
  <c r="G14" i="11" s="1"/>
  <c r="E11" i="11"/>
  <c r="G11" i="11" s="1"/>
  <c r="E86" i="11"/>
  <c r="G86" i="11" s="1"/>
  <c r="F182" i="11"/>
  <c r="G182" i="11" s="1"/>
  <c r="F25" i="11"/>
  <c r="G25" i="11" s="1"/>
  <c r="E63" i="11"/>
  <c r="G63" i="11" s="1"/>
  <c r="E15" i="11"/>
  <c r="G15" i="11" s="1"/>
  <c r="F94" i="11"/>
  <c r="G94" i="11" s="1"/>
  <c r="E23" i="11"/>
  <c r="G23" i="11" s="1"/>
  <c r="F73" i="11"/>
  <c r="G73" i="11" s="1"/>
  <c r="E99" i="11"/>
  <c r="G99" i="11" s="1"/>
  <c r="P30" i="11"/>
  <c r="Q30" i="11"/>
  <c r="F211" i="11"/>
  <c r="F142" i="11"/>
  <c r="E19" i="11"/>
  <c r="G19" i="11" s="1"/>
  <c r="E27" i="11"/>
  <c r="G27" i="11" s="1"/>
  <c r="F57" i="11"/>
  <c r="G57" i="11" s="1"/>
  <c r="F38" i="11"/>
  <c r="F46" i="11"/>
  <c r="G46" i="11" s="1"/>
  <c r="F77" i="11"/>
  <c r="F126" i="11"/>
  <c r="G126" i="11" s="1"/>
  <c r="E143" i="11"/>
  <c r="G143" i="11" s="1"/>
  <c r="E166" i="11"/>
  <c r="G166" i="11" s="1"/>
  <c r="F185" i="11"/>
  <c r="G185" i="11" s="1"/>
  <c r="F203" i="11"/>
  <c r="G203" i="11" s="1"/>
  <c r="E214" i="11"/>
  <c r="G214" i="11" s="1"/>
  <c r="E223" i="11"/>
  <c r="G223" i="11" s="1"/>
  <c r="S28" i="11"/>
  <c r="F89" i="11"/>
  <c r="G89" i="11" s="1"/>
  <c r="F107" i="11"/>
  <c r="G107" i="11" s="1"/>
  <c r="E118" i="11"/>
  <c r="G118" i="11" s="1"/>
  <c r="E155" i="11"/>
  <c r="G155" i="11" s="1"/>
  <c r="E175" i="11"/>
  <c r="G175" i="11" s="1"/>
  <c r="F195" i="11"/>
  <c r="G195" i="11" s="1"/>
  <c r="S32" i="11"/>
  <c r="E47" i="11"/>
  <c r="G47" i="11" s="1"/>
  <c r="F78" i="11"/>
  <c r="G78" i="11" s="1"/>
  <c r="E127" i="11"/>
  <c r="G127" i="11" s="1"/>
  <c r="F136" i="11"/>
  <c r="G136" i="11" s="1"/>
  <c r="F224" i="11"/>
  <c r="S31" i="11"/>
  <c r="E95" i="11"/>
  <c r="G95" i="11" s="1"/>
  <c r="F134" i="11"/>
  <c r="G134" i="11" s="1"/>
  <c r="E109" i="11"/>
  <c r="G109" i="11" s="1"/>
  <c r="E128" i="11"/>
  <c r="G128" i="11" s="1"/>
  <c r="F137" i="11"/>
  <c r="G137" i="11" s="1"/>
  <c r="E187" i="11"/>
  <c r="G187" i="11" s="1"/>
  <c r="F206" i="11"/>
  <c r="G206" i="11" s="1"/>
  <c r="Q27" i="11"/>
  <c r="S29" i="11"/>
  <c r="E22" i="11"/>
  <c r="G22" i="11" s="1"/>
  <c r="F30" i="11"/>
  <c r="G30" i="11" s="1"/>
  <c r="E91" i="11"/>
  <c r="G91" i="11" s="1"/>
  <c r="F169" i="11"/>
  <c r="G169" i="11" s="1"/>
  <c r="E198" i="11"/>
  <c r="G198" i="11" s="1"/>
  <c r="F217" i="11"/>
  <c r="G217" i="11" s="1"/>
  <c r="Q26" i="11"/>
  <c r="E207" i="11"/>
  <c r="G207" i="11" s="1"/>
  <c r="Q25" i="11"/>
  <c r="F105" i="11"/>
  <c r="G105" i="11" s="1"/>
  <c r="F174" i="11"/>
  <c r="G174" i="11" s="1"/>
  <c r="F9" i="11"/>
  <c r="E79" i="11"/>
  <c r="G79" i="11" s="1"/>
  <c r="E31" i="11"/>
  <c r="G31" i="11" s="1"/>
  <c r="F110" i="11"/>
  <c r="G110" i="11" s="1"/>
  <c r="F121" i="11"/>
  <c r="G121" i="11" s="1"/>
  <c r="E170" i="11"/>
  <c r="G170" i="11" s="1"/>
  <c r="Q24" i="11"/>
  <c r="P27" i="11"/>
  <c r="F222" i="11"/>
  <c r="G222" i="11" s="1"/>
  <c r="E93" i="11"/>
  <c r="G93" i="11" s="1"/>
  <c r="E111" i="11"/>
  <c r="G111" i="11" s="1"/>
  <c r="E131" i="11"/>
  <c r="G131" i="11" s="1"/>
  <c r="E171" i="11"/>
  <c r="G171" i="11" s="1"/>
  <c r="F190" i="11"/>
  <c r="G190" i="11" s="1"/>
  <c r="E219" i="11"/>
  <c r="G219" i="11" s="1"/>
  <c r="E45" i="11"/>
  <c r="G45" i="11" s="1"/>
  <c r="F153" i="11"/>
  <c r="G153" i="11" s="1"/>
  <c r="F104" i="11"/>
  <c r="G104" i="11" s="1"/>
  <c r="E151" i="11"/>
  <c r="G151" i="11" s="1"/>
  <c r="F148" i="11"/>
  <c r="E148" i="11"/>
  <c r="F114" i="11"/>
  <c r="E114" i="11"/>
  <c r="E42" i="11"/>
  <c r="G42" i="11" s="1"/>
  <c r="E51" i="11"/>
  <c r="G51" i="11" s="1"/>
  <c r="E68" i="11"/>
  <c r="G68" i="11" s="1"/>
  <c r="E186" i="11"/>
  <c r="F186" i="11"/>
  <c r="E37" i="11"/>
  <c r="G37" i="11" s="1"/>
  <c r="F69" i="11"/>
  <c r="E69" i="11"/>
  <c r="F100" i="11"/>
  <c r="E100" i="11"/>
  <c r="F180" i="11"/>
  <c r="E180" i="11"/>
  <c r="E119" i="11"/>
  <c r="G119" i="11" s="1"/>
  <c r="F144" i="11"/>
  <c r="E144" i="11"/>
  <c r="E154" i="11"/>
  <c r="G154" i="11" s="1"/>
  <c r="E64" i="11"/>
  <c r="G64" i="11" s="1"/>
  <c r="F81" i="11"/>
  <c r="E81" i="11"/>
  <c r="E24" i="11"/>
  <c r="G24" i="11" s="1"/>
  <c r="E164" i="11"/>
  <c r="F164" i="11"/>
  <c r="F149" i="11"/>
  <c r="E149" i="11"/>
  <c r="F50" i="11"/>
  <c r="E50" i="11"/>
  <c r="E10" i="11"/>
  <c r="G10" i="11" s="1"/>
  <c r="E32" i="11"/>
  <c r="G32" i="11" s="1"/>
  <c r="E55" i="11"/>
  <c r="G55" i="11" s="1"/>
  <c r="E61" i="11"/>
  <c r="G61" i="11" s="1"/>
  <c r="F65" i="11"/>
  <c r="E65" i="11"/>
  <c r="E88" i="11"/>
  <c r="G88" i="11" s="1"/>
  <c r="F106" i="11"/>
  <c r="F192" i="11"/>
  <c r="G192" i="11" s="1"/>
  <c r="E208" i="11"/>
  <c r="G208" i="11" s="1"/>
  <c r="E3" i="11"/>
  <c r="G3" i="11" s="1"/>
  <c r="F7" i="11"/>
  <c r="G7" i="11" s="1"/>
  <c r="E16" i="11"/>
  <c r="G16" i="11" s="1"/>
  <c r="F34" i="11"/>
  <c r="E34" i="11"/>
  <c r="E52" i="11"/>
  <c r="G52" i="11" s="1"/>
  <c r="F116" i="11"/>
  <c r="E116" i="11"/>
  <c r="F82" i="11"/>
  <c r="E82" i="11"/>
  <c r="F165" i="11"/>
  <c r="E165" i="11"/>
  <c r="E87" i="11"/>
  <c r="G87" i="11" s="1"/>
  <c r="E115" i="11"/>
  <c r="G115" i="11" s="1"/>
  <c r="F212" i="11"/>
  <c r="E212" i="11"/>
  <c r="E83" i="11"/>
  <c r="G83" i="11" s="1"/>
  <c r="E96" i="11"/>
  <c r="G96" i="11" s="1"/>
  <c r="E125" i="11"/>
  <c r="G125" i="11" s="1"/>
  <c r="E218" i="11"/>
  <c r="G218" i="11" s="1"/>
  <c r="F213" i="11"/>
  <c r="E213" i="11"/>
  <c r="E26" i="11"/>
  <c r="G26" i="11" s="1"/>
  <c r="E48" i="11"/>
  <c r="G48" i="11" s="1"/>
  <c r="E112" i="11"/>
  <c r="G112" i="11" s="1"/>
  <c r="F17" i="11"/>
  <c r="E17" i="11"/>
  <c r="E40" i="11"/>
  <c r="G40" i="11" s="1"/>
  <c r="E58" i="11"/>
  <c r="G58" i="11" s="1"/>
  <c r="E67" i="11"/>
  <c r="G67" i="11" s="1"/>
  <c r="F71" i="11"/>
  <c r="G71" i="11" s="1"/>
  <c r="E80" i="11"/>
  <c r="G80" i="11" s="1"/>
  <c r="F98" i="11"/>
  <c r="E98" i="11"/>
  <c r="F122" i="11"/>
  <c r="G122" i="11" s="1"/>
  <c r="E147" i="11"/>
  <c r="G147" i="11" s="1"/>
  <c r="E168" i="11"/>
  <c r="G168" i="11" s="1"/>
  <c r="F173" i="11"/>
  <c r="G173" i="11" s="1"/>
  <c r="E189" i="11"/>
  <c r="G189" i="11" s="1"/>
  <c r="E199" i="11"/>
  <c r="G199" i="11" s="1"/>
  <c r="E196" i="11"/>
  <c r="F196" i="11"/>
  <c r="F181" i="11"/>
  <c r="E181" i="11"/>
  <c r="F33" i="11"/>
  <c r="E33" i="11"/>
  <c r="E74" i="11"/>
  <c r="G74" i="11" s="1"/>
  <c r="F160" i="11"/>
  <c r="G160" i="11" s="1"/>
  <c r="F2" i="11"/>
  <c r="E2" i="11"/>
  <c r="E101" i="11"/>
  <c r="G101" i="11" s="1"/>
  <c r="E135" i="11"/>
  <c r="G135" i="11" s="1"/>
  <c r="F176" i="11"/>
  <c r="E35" i="11"/>
  <c r="G35" i="11" s="1"/>
  <c r="F8" i="11"/>
  <c r="E53" i="11"/>
  <c r="G53" i="11" s="1"/>
  <c r="E117" i="11"/>
  <c r="G117" i="11" s="1"/>
  <c r="F157" i="11"/>
  <c r="E13" i="11"/>
  <c r="G13" i="11" s="1"/>
  <c r="E4" i="11"/>
  <c r="G4" i="11" s="1"/>
  <c r="E85" i="11"/>
  <c r="G85" i="11" s="1"/>
  <c r="E103" i="11"/>
  <c r="G103" i="11" s="1"/>
  <c r="E132" i="11"/>
  <c r="F132" i="11"/>
  <c r="E163" i="11"/>
  <c r="G163" i="11" s="1"/>
  <c r="E184" i="11"/>
  <c r="G184" i="11" s="1"/>
  <c r="E205" i="11"/>
  <c r="G205" i="11" s="1"/>
  <c r="E215" i="11"/>
  <c r="G215" i="11" s="1"/>
  <c r="E202" i="11"/>
  <c r="G202" i="11" s="1"/>
  <c r="E56" i="11"/>
  <c r="G56" i="11" s="1"/>
  <c r="F197" i="11"/>
  <c r="E197" i="11"/>
  <c r="F97" i="11"/>
  <c r="E97" i="11"/>
  <c r="E84" i="11"/>
  <c r="G84" i="11" s="1"/>
  <c r="E152" i="11"/>
  <c r="G152" i="11" s="1"/>
  <c r="E183" i="11"/>
  <c r="G183" i="11" s="1"/>
  <c r="F49" i="11"/>
  <c r="E49" i="11"/>
  <c r="E221" i="11"/>
  <c r="G221" i="11" s="1"/>
  <c r="E120" i="11"/>
  <c r="G120" i="11" s="1"/>
  <c r="E29" i="11"/>
  <c r="G29" i="11" s="1"/>
  <c r="E20" i="11"/>
  <c r="G20" i="11" s="1"/>
  <c r="F66" i="11"/>
  <c r="E66" i="11"/>
  <c r="E167" i="11"/>
  <c r="G167" i="11" s="1"/>
  <c r="F18" i="11"/>
  <c r="E18" i="11"/>
  <c r="E36" i="11"/>
  <c r="G36" i="11" s="1"/>
  <c r="F133" i="11"/>
  <c r="E133" i="11"/>
  <c r="E216" i="11"/>
  <c r="G216" i="11" s="1"/>
  <c r="E113" i="11"/>
  <c r="G113" i="11" s="1"/>
  <c r="E129" i="11"/>
  <c r="G129" i="11" s="1"/>
  <c r="E145" i="11"/>
  <c r="G145" i="11" s="1"/>
  <c r="E161" i="11"/>
  <c r="G161" i="11" s="1"/>
  <c r="E177" i="11"/>
  <c r="G177" i="11" s="1"/>
  <c r="E193" i="11"/>
  <c r="G193" i="11" s="1"/>
  <c r="E209" i="11"/>
  <c r="G209" i="11" s="1"/>
  <c r="E225" i="11"/>
  <c r="G225" i="11" s="1"/>
  <c r="E130" i="11"/>
  <c r="G130" i="11" s="1"/>
  <c r="E146" i="11"/>
  <c r="G146" i="11" s="1"/>
  <c r="E162" i="11"/>
  <c r="G162" i="11" s="1"/>
  <c r="E178" i="11"/>
  <c r="G178" i="11" s="1"/>
  <c r="E194" i="11"/>
  <c r="G194" i="11" s="1"/>
  <c r="E210" i="11"/>
  <c r="G210" i="11" s="1"/>
  <c r="E226" i="11"/>
  <c r="G226" i="11" s="1"/>
  <c r="E12" i="11"/>
  <c r="G12" i="11" s="1"/>
  <c r="E28" i="11"/>
  <c r="G28" i="11" s="1"/>
  <c r="E44" i="11"/>
  <c r="G44" i="11" s="1"/>
  <c r="E60" i="11"/>
  <c r="G60" i="11" s="1"/>
  <c r="E76" i="11"/>
  <c r="G76" i="11" s="1"/>
  <c r="E92" i="11"/>
  <c r="G92" i="11" s="1"/>
  <c r="E108" i="11"/>
  <c r="G108" i="11" s="1"/>
  <c r="E124" i="11"/>
  <c r="G124" i="11" s="1"/>
  <c r="E140" i="11"/>
  <c r="G140" i="11" s="1"/>
  <c r="E156" i="11"/>
  <c r="G156" i="11" s="1"/>
  <c r="E172" i="11"/>
  <c r="G172" i="11" s="1"/>
  <c r="E188" i="11"/>
  <c r="G188" i="11" s="1"/>
  <c r="E204" i="11"/>
  <c r="G204" i="11" s="1"/>
  <c r="E220" i="11"/>
  <c r="G220" i="11" s="1"/>
  <c r="E22" i="6"/>
  <c r="F22" i="6" s="1"/>
  <c r="C79" i="10" s="1"/>
  <c r="E23" i="6"/>
  <c r="F23" i="6" s="1"/>
  <c r="C80" i="10" s="1"/>
  <c r="E24" i="6"/>
  <c r="F24" i="6" s="1"/>
  <c r="C81" i="10" s="1"/>
  <c r="E25" i="6"/>
  <c r="F25" i="6" s="1"/>
  <c r="C82" i="10" s="1"/>
  <c r="E26" i="6"/>
  <c r="F26" i="6" s="1"/>
  <c r="C83" i="10" s="1"/>
  <c r="E27" i="6"/>
  <c r="F27" i="6" s="1"/>
  <c r="C84" i="10" s="1"/>
  <c r="E28" i="6"/>
  <c r="F28" i="6" s="1"/>
  <c r="C85" i="10" s="1"/>
  <c r="E29" i="6"/>
  <c r="F29" i="6" s="1"/>
  <c r="C86" i="10" s="1"/>
  <c r="E30" i="6"/>
  <c r="F30" i="6" s="1"/>
  <c r="C87" i="10" s="1"/>
  <c r="E31" i="6"/>
  <c r="F31" i="6" s="1"/>
  <c r="C88" i="10" s="1"/>
  <c r="E32" i="6"/>
  <c r="F32" i="6" s="1"/>
  <c r="C89" i="10" s="1"/>
  <c r="E33" i="6"/>
  <c r="F33" i="6" s="1"/>
  <c r="C90" i="10" s="1"/>
  <c r="E34" i="6"/>
  <c r="F34" i="6" s="1"/>
  <c r="C91" i="10" s="1"/>
  <c r="E35" i="6"/>
  <c r="F35" i="6" s="1"/>
  <c r="C92" i="10" s="1"/>
  <c r="E36" i="6"/>
  <c r="F36" i="6" s="1"/>
  <c r="C93" i="10" s="1"/>
  <c r="E37" i="6"/>
  <c r="F37" i="6" s="1"/>
  <c r="C94" i="10" s="1"/>
  <c r="E38" i="6"/>
  <c r="F38" i="6" s="1"/>
  <c r="C95" i="10" s="1"/>
  <c r="E39" i="6"/>
  <c r="F39" i="6" s="1"/>
  <c r="C96" i="10" s="1"/>
  <c r="E40" i="6"/>
  <c r="F40" i="6" s="1"/>
  <c r="C97" i="10" s="1"/>
  <c r="E41" i="6"/>
  <c r="F41" i="6" s="1"/>
  <c r="C98" i="10" s="1"/>
  <c r="E42" i="6"/>
  <c r="F42" i="6" s="1"/>
  <c r="C99" i="10" s="1"/>
  <c r="E43" i="6"/>
  <c r="F43" i="6" s="1"/>
  <c r="C100" i="10" s="1"/>
  <c r="E44" i="6"/>
  <c r="F44" i="6" s="1"/>
  <c r="C101" i="10" s="1"/>
  <c r="E45" i="6"/>
  <c r="F45" i="6" s="1"/>
  <c r="C102" i="10" s="1"/>
  <c r="E46" i="6"/>
  <c r="F46" i="6" s="1"/>
  <c r="C103" i="10" s="1"/>
  <c r="E47" i="6"/>
  <c r="F47" i="6" s="1"/>
  <c r="C104" i="10" s="1"/>
  <c r="E48" i="6"/>
  <c r="F48" i="6" s="1"/>
  <c r="C105" i="10" s="1"/>
  <c r="E49" i="6"/>
  <c r="F49" i="6" s="1"/>
  <c r="H25" i="8"/>
  <c r="H45" i="4" l="1"/>
  <c r="E46" i="15" s="1"/>
  <c r="G21" i="4"/>
  <c r="G45" i="4"/>
  <c r="G49" i="8" s="1"/>
  <c r="H28" i="4"/>
  <c r="E29" i="15" s="1"/>
  <c r="G28" i="4"/>
  <c r="H35" i="4"/>
  <c r="E36" i="15" s="1"/>
  <c r="H21" i="4"/>
  <c r="E22" i="15" s="1"/>
  <c r="I23" i="5"/>
  <c r="C25" i="15" s="1"/>
  <c r="D18" i="9"/>
  <c r="G34" i="8"/>
  <c r="G32" i="8"/>
  <c r="G35" i="8"/>
  <c r="G39" i="8"/>
  <c r="G40" i="8"/>
  <c r="G25" i="8"/>
  <c r="H36" i="4"/>
  <c r="E37" i="15" s="1"/>
  <c r="C31" i="10"/>
  <c r="G37" i="4"/>
  <c r="C32" i="10"/>
  <c r="G29" i="4"/>
  <c r="C24" i="10"/>
  <c r="B25" i="14"/>
  <c r="C24" i="14"/>
  <c r="H29" i="4"/>
  <c r="E30" i="15" s="1"/>
  <c r="G26" i="4"/>
  <c r="H26" i="4"/>
  <c r="E27" i="15" s="1"/>
  <c r="G42" i="4"/>
  <c r="G46" i="8" s="1"/>
  <c r="H42" i="4"/>
  <c r="E43" i="15" s="1"/>
  <c r="G23" i="4"/>
  <c r="H23" i="4"/>
  <c r="E24" i="15" s="1"/>
  <c r="G27" i="4"/>
  <c r="H27" i="4"/>
  <c r="E28" i="15" s="1"/>
  <c r="G24" i="4"/>
  <c r="H24" i="4"/>
  <c r="E25" i="15" s="1"/>
  <c r="H20" i="4"/>
  <c r="E21" i="15" s="1"/>
  <c r="G20" i="4"/>
  <c r="G40" i="4"/>
  <c r="G44" i="8" s="1"/>
  <c r="H40" i="4"/>
  <c r="E41" i="15" s="1"/>
  <c r="G32" i="4"/>
  <c r="H32" i="4"/>
  <c r="E33" i="15" s="1"/>
  <c r="G43" i="4"/>
  <c r="G47" i="8" s="1"/>
  <c r="H43" i="4"/>
  <c r="E44" i="15" s="1"/>
  <c r="G48" i="4"/>
  <c r="G52" i="8" s="1"/>
  <c r="H48" i="4"/>
  <c r="E49" i="15" s="1"/>
  <c r="G34" i="4"/>
  <c r="H34" i="4"/>
  <c r="E35" i="15" s="1"/>
  <c r="G22" i="4"/>
  <c r="H22" i="4"/>
  <c r="E23" i="15" s="1"/>
  <c r="G38" i="4"/>
  <c r="H38" i="4"/>
  <c r="E39" i="15" s="1"/>
  <c r="G25" i="4"/>
  <c r="H25" i="4"/>
  <c r="E26" i="15" s="1"/>
  <c r="G49" i="4"/>
  <c r="G53" i="8" s="1"/>
  <c r="H49" i="4"/>
  <c r="E50" i="15" s="1"/>
  <c r="G39" i="4"/>
  <c r="H39" i="4"/>
  <c r="E40" i="15" s="1"/>
  <c r="G41" i="4"/>
  <c r="G45" i="8" s="1"/>
  <c r="H41" i="4"/>
  <c r="E42" i="15" s="1"/>
  <c r="G33" i="4"/>
  <c r="H33" i="4"/>
  <c r="E34" i="15" s="1"/>
  <c r="I17" i="17"/>
  <c r="L17" i="17"/>
  <c r="G17" i="17"/>
  <c r="K17" i="17"/>
  <c r="E17" i="17"/>
  <c r="J17" i="17"/>
  <c r="F17" i="17"/>
  <c r="D17" i="17"/>
  <c r="H17" i="17"/>
  <c r="J16" i="17"/>
  <c r="I16" i="17"/>
  <c r="D16" i="17"/>
  <c r="H16" i="17"/>
  <c r="E16" i="17"/>
  <c r="G16" i="17"/>
  <c r="F16" i="17"/>
  <c r="L16" i="17"/>
  <c r="K16" i="17"/>
  <c r="D15" i="17"/>
  <c r="E15" i="17"/>
  <c r="J15" i="17"/>
  <c r="H15" i="17"/>
  <c r="G15" i="17"/>
  <c r="L15" i="17"/>
  <c r="F15" i="17"/>
  <c r="I15" i="17"/>
  <c r="K15" i="17"/>
  <c r="O36" i="8"/>
  <c r="Q35" i="8"/>
  <c r="N30" i="8"/>
  <c r="M30" i="8"/>
  <c r="G49" i="6"/>
  <c r="F53" i="8" s="1"/>
  <c r="H49" i="6"/>
  <c r="D50" i="15" s="1"/>
  <c r="G33" i="6"/>
  <c r="F37" i="8" s="1"/>
  <c r="H33" i="6"/>
  <c r="D34" i="15" s="1"/>
  <c r="G48" i="6"/>
  <c r="F52" i="8" s="1"/>
  <c r="H48" i="6"/>
  <c r="D49" i="15" s="1"/>
  <c r="G32" i="6"/>
  <c r="H32" i="6"/>
  <c r="D33" i="15" s="1"/>
  <c r="G46" i="6"/>
  <c r="F50" i="8" s="1"/>
  <c r="H46" i="6"/>
  <c r="D47" i="15" s="1"/>
  <c r="G45" i="6"/>
  <c r="F49" i="8" s="1"/>
  <c r="H45" i="6"/>
  <c r="D46" i="15" s="1"/>
  <c r="G44" i="6"/>
  <c r="F48" i="8" s="1"/>
  <c r="H44" i="6"/>
  <c r="D45" i="15" s="1"/>
  <c r="G26" i="6"/>
  <c r="H26" i="6"/>
  <c r="D27" i="15" s="1"/>
  <c r="G35" i="6"/>
  <c r="H35" i="6"/>
  <c r="D36" i="15" s="1"/>
  <c r="G34" i="6"/>
  <c r="H34" i="6"/>
  <c r="D35" i="15" s="1"/>
  <c r="G29" i="6"/>
  <c r="H29" i="6"/>
  <c r="D30" i="15" s="1"/>
  <c r="G27" i="6"/>
  <c r="H27" i="6"/>
  <c r="D28" i="15" s="1"/>
  <c r="G42" i="6"/>
  <c r="F46" i="8" s="1"/>
  <c r="H42" i="6"/>
  <c r="D43" i="15" s="1"/>
  <c r="G30" i="6"/>
  <c r="H30" i="6"/>
  <c r="D31" i="15" s="1"/>
  <c r="G47" i="6"/>
  <c r="F51" i="8" s="1"/>
  <c r="H47" i="6"/>
  <c r="D48" i="15" s="1"/>
  <c r="G38" i="6"/>
  <c r="H38" i="6"/>
  <c r="D39" i="15" s="1"/>
  <c r="G37" i="6"/>
  <c r="H37" i="6"/>
  <c r="D38" i="15" s="1"/>
  <c r="G28" i="6"/>
  <c r="H28" i="6"/>
  <c r="D29" i="15" s="1"/>
  <c r="G43" i="6"/>
  <c r="F47" i="8" s="1"/>
  <c r="H43" i="6"/>
  <c r="D44" i="15" s="1"/>
  <c r="G31" i="6"/>
  <c r="H31" i="6"/>
  <c r="D32" i="15" s="1"/>
  <c r="G24" i="6"/>
  <c r="H24" i="6"/>
  <c r="D25" i="15" s="1"/>
  <c r="G25" i="6"/>
  <c r="H25" i="6"/>
  <c r="D26" i="15" s="1"/>
  <c r="G40" i="6"/>
  <c r="F44" i="8" s="1"/>
  <c r="H40" i="6"/>
  <c r="D41" i="15" s="1"/>
  <c r="G39" i="6"/>
  <c r="H39" i="6"/>
  <c r="D40" i="15" s="1"/>
  <c r="G23" i="6"/>
  <c r="H23" i="6"/>
  <c r="D24" i="15" s="1"/>
  <c r="G36" i="6"/>
  <c r="H36" i="6"/>
  <c r="D37" i="15" s="1"/>
  <c r="G41" i="6"/>
  <c r="F45" i="8" s="1"/>
  <c r="H41" i="6"/>
  <c r="D42" i="15" s="1"/>
  <c r="G22" i="6"/>
  <c r="H22" i="6"/>
  <c r="D23" i="15" s="1"/>
  <c r="G24" i="5"/>
  <c r="H23" i="5"/>
  <c r="G212" i="11"/>
  <c r="G81" i="11"/>
  <c r="G17" i="11"/>
  <c r="G213" i="11"/>
  <c r="G114" i="11"/>
  <c r="G148" i="11"/>
  <c r="G180" i="11"/>
  <c r="G49" i="11"/>
  <c r="G133" i="11"/>
  <c r="G98" i="11"/>
  <c r="G34" i="11"/>
  <c r="G197" i="11"/>
  <c r="G50" i="11"/>
  <c r="G65" i="11"/>
  <c r="G142" i="11"/>
  <c r="Q29" i="11"/>
  <c r="P29" i="11"/>
  <c r="G77" i="11"/>
  <c r="G97" i="11"/>
  <c r="G2" i="11"/>
  <c r="G100" i="11"/>
  <c r="Q32" i="11"/>
  <c r="P32" i="11"/>
  <c r="G224" i="11"/>
  <c r="G82" i="11"/>
  <c r="G38" i="11"/>
  <c r="P28" i="11"/>
  <c r="Q28" i="11"/>
  <c r="G164" i="11"/>
  <c r="G181" i="11"/>
  <c r="G116" i="11"/>
  <c r="G144" i="11"/>
  <c r="G9" i="11"/>
  <c r="P31" i="11"/>
  <c r="Q31" i="11"/>
  <c r="G211" i="11"/>
  <c r="G18" i="11"/>
  <c r="G176" i="11"/>
  <c r="G106" i="11"/>
  <c r="G186" i="11"/>
  <c r="G196" i="11"/>
  <c r="G132" i="11"/>
  <c r="G8" i="11"/>
  <c r="G66" i="11"/>
  <c r="G33" i="11"/>
  <c r="G165" i="11"/>
  <c r="G157" i="11"/>
  <c r="G149" i="11"/>
  <c r="G69" i="11"/>
  <c r="I24" i="5" l="1"/>
  <c r="C26" i="15" s="1"/>
  <c r="D19" i="9"/>
  <c r="I18" i="17"/>
  <c r="F18" i="17"/>
  <c r="D18" i="17"/>
  <c r="L18" i="17"/>
  <c r="J18" i="17"/>
  <c r="K18" i="17"/>
  <c r="G18" i="17"/>
  <c r="E18" i="17"/>
  <c r="F26" i="8"/>
  <c r="F40" i="8"/>
  <c r="F27" i="8"/>
  <c r="F43" i="8"/>
  <c r="F29" i="8"/>
  <c r="F28" i="8"/>
  <c r="F35" i="8"/>
  <c r="F32" i="8"/>
  <c r="F41" i="8"/>
  <c r="F42" i="8"/>
  <c r="F34" i="8"/>
  <c r="F31" i="8"/>
  <c r="F33" i="8"/>
  <c r="F38" i="8"/>
  <c r="F39" i="8"/>
  <c r="F30" i="8"/>
  <c r="F36" i="8"/>
  <c r="G37" i="8"/>
  <c r="G43" i="8"/>
  <c r="G29" i="8"/>
  <c r="G42" i="8"/>
  <c r="G26" i="8"/>
  <c r="G38" i="8"/>
  <c r="G36" i="8"/>
  <c r="G24" i="8"/>
  <c r="G28" i="8"/>
  <c r="G31" i="8"/>
  <c r="G27" i="8"/>
  <c r="G30" i="8"/>
  <c r="B26" i="14"/>
  <c r="C25" i="14"/>
  <c r="G33" i="8"/>
  <c r="G41" i="8"/>
  <c r="F25" i="15"/>
  <c r="G58" i="15" s="1"/>
  <c r="F23" i="15"/>
  <c r="L56" i="15" s="1"/>
  <c r="F26" i="15"/>
  <c r="P59" i="15" s="1"/>
  <c r="F24" i="15"/>
  <c r="P57" i="15" s="1"/>
  <c r="H18" i="17"/>
  <c r="O37" i="8"/>
  <c r="Q36" i="8"/>
  <c r="N31" i="8"/>
  <c r="M31" i="8"/>
  <c r="G25" i="5"/>
  <c r="D20" i="9" s="1"/>
  <c r="H24" i="5"/>
  <c r="Q37" i="11"/>
  <c r="S37" i="11"/>
  <c r="P35" i="11"/>
  <c r="S35" i="11"/>
  <c r="P34" i="11"/>
  <c r="S34" i="11"/>
  <c r="Q36" i="11"/>
  <c r="S36" i="11"/>
  <c r="Q33" i="11"/>
  <c r="S33" i="11"/>
  <c r="P33" i="11"/>
  <c r="P39" i="11"/>
  <c r="S40" i="11"/>
  <c r="P36" i="11"/>
  <c r="Q35" i="11"/>
  <c r="P37" i="11"/>
  <c r="Q34" i="11"/>
  <c r="H26" i="8"/>
  <c r="J26" i="8" l="1"/>
  <c r="J58" i="15"/>
  <c r="O58" i="15"/>
  <c r="Q58" i="15"/>
  <c r="K58" i="15"/>
  <c r="P56" i="15"/>
  <c r="L58" i="15"/>
  <c r="P58" i="15"/>
  <c r="O59" i="15"/>
  <c r="I59" i="15"/>
  <c r="J56" i="15"/>
  <c r="O56" i="15"/>
  <c r="Q56" i="15"/>
  <c r="F56" i="15"/>
  <c r="B27" i="14"/>
  <c r="C26" i="14"/>
  <c r="H57" i="15"/>
  <c r="N59" i="15"/>
  <c r="N57" i="15"/>
  <c r="Q57" i="15"/>
  <c r="F57" i="15"/>
  <c r="K57" i="15"/>
  <c r="E56" i="15"/>
  <c r="J59" i="15"/>
  <c r="L59" i="15"/>
  <c r="I58" i="15"/>
  <c r="H59" i="15"/>
  <c r="H56" i="15"/>
  <c r="N58" i="15"/>
  <c r="K59" i="15"/>
  <c r="M56" i="15"/>
  <c r="M59" i="15"/>
  <c r="I56" i="15"/>
  <c r="N56" i="15"/>
  <c r="H58" i="15"/>
  <c r="M58" i="15"/>
  <c r="O57" i="15"/>
  <c r="G56" i="15"/>
  <c r="Q59" i="15"/>
  <c r="K56" i="15"/>
  <c r="I57" i="15"/>
  <c r="M57" i="15"/>
  <c r="G57" i="15"/>
  <c r="L57" i="15"/>
  <c r="J57" i="15"/>
  <c r="G23" i="15"/>
  <c r="I25" i="5"/>
  <c r="C27" i="15" s="1"/>
  <c r="F27" i="15" s="1"/>
  <c r="J19" i="17"/>
  <c r="K19" i="17"/>
  <c r="I19" i="17"/>
  <c r="H19" i="17"/>
  <c r="L19" i="17"/>
  <c r="G19" i="17"/>
  <c r="D19" i="17"/>
  <c r="F19" i="17"/>
  <c r="E19" i="17"/>
  <c r="O38" i="8"/>
  <c r="Q37" i="8"/>
  <c r="N32" i="8"/>
  <c r="M32" i="8"/>
  <c r="G26" i="5"/>
  <c r="D21" i="9" s="1"/>
  <c r="H25" i="5"/>
  <c r="P38" i="11"/>
  <c r="S38" i="11"/>
  <c r="Q39" i="11"/>
  <c r="S39" i="11"/>
  <c r="Q42" i="11"/>
  <c r="S42" i="11"/>
  <c r="Q40" i="11"/>
  <c r="P41" i="11"/>
  <c r="S41" i="11"/>
  <c r="P40" i="11"/>
  <c r="Q41" i="11"/>
  <c r="P42" i="11"/>
  <c r="Q38" i="11"/>
  <c r="S44" i="11"/>
  <c r="S45" i="11"/>
  <c r="S46" i="11"/>
  <c r="S43" i="11"/>
  <c r="S47" i="11"/>
  <c r="H27" i="8"/>
  <c r="J27" i="8" s="1"/>
  <c r="CY17" i="22" l="1"/>
  <c r="CY91" i="22" s="1"/>
  <c r="C50" i="18"/>
  <c r="CY16" i="22"/>
  <c r="C49" i="18"/>
  <c r="B28" i="14"/>
  <c r="C27" i="14"/>
  <c r="Q60" i="15"/>
  <c r="J60" i="15"/>
  <c r="K60" i="15"/>
  <c r="L60" i="15"/>
  <c r="M60" i="15"/>
  <c r="O60" i="15"/>
  <c r="N60" i="15"/>
  <c r="I60" i="15"/>
  <c r="P60" i="15"/>
  <c r="G24" i="15"/>
  <c r="C56" i="15"/>
  <c r="D56" i="15"/>
  <c r="I26" i="5"/>
  <c r="C28" i="15" s="1"/>
  <c r="F28" i="15" s="1"/>
  <c r="I20" i="17"/>
  <c r="J20" i="17"/>
  <c r="L20" i="17"/>
  <c r="G20" i="17"/>
  <c r="E20" i="17"/>
  <c r="D20" i="17"/>
  <c r="F20" i="17"/>
  <c r="H20" i="17"/>
  <c r="K20" i="17"/>
  <c r="O39" i="8"/>
  <c r="Q38" i="8"/>
  <c r="N33" i="8"/>
  <c r="M33" i="8"/>
  <c r="G27" i="5"/>
  <c r="D22" i="9" s="1"/>
  <c r="H26" i="5"/>
  <c r="S48" i="11"/>
  <c r="P47" i="11"/>
  <c r="Q47" i="11"/>
  <c r="Q46" i="11"/>
  <c r="P46" i="11"/>
  <c r="Q43" i="11"/>
  <c r="P43" i="11"/>
  <c r="P44" i="11"/>
  <c r="Q44" i="11"/>
  <c r="Q45" i="11"/>
  <c r="P45" i="11"/>
  <c r="H28" i="8"/>
  <c r="J28" i="8" s="1"/>
  <c r="CY54" i="22" l="1"/>
  <c r="CY18" i="22"/>
  <c r="C51" i="18"/>
  <c r="K49" i="18"/>
  <c r="T49" i="18" s="1"/>
  <c r="N49" i="18"/>
  <c r="L49" i="18"/>
  <c r="M49" i="18" s="1"/>
  <c r="O49" i="18"/>
  <c r="CY53" i="22"/>
  <c r="CY90" i="22"/>
  <c r="K50" i="18"/>
  <c r="T50" i="18" s="1"/>
  <c r="N50" i="18"/>
  <c r="O50" i="18"/>
  <c r="L50" i="18"/>
  <c r="CY92" i="22"/>
  <c r="CY55" i="22"/>
  <c r="B29" i="14"/>
  <c r="C28" i="14"/>
  <c r="O61" i="15"/>
  <c r="J61" i="15"/>
  <c r="P61" i="15"/>
  <c r="N61" i="15"/>
  <c r="K61" i="15"/>
  <c r="Q61" i="15"/>
  <c r="L61" i="15"/>
  <c r="M61" i="15"/>
  <c r="G25" i="15"/>
  <c r="C57" i="15"/>
  <c r="D57" i="15"/>
  <c r="E57" i="15"/>
  <c r="I27" i="5"/>
  <c r="C29" i="15" s="1"/>
  <c r="F29" i="15" s="1"/>
  <c r="E21" i="17"/>
  <c r="G21" i="17"/>
  <c r="H21" i="17"/>
  <c r="J21" i="17"/>
  <c r="F21" i="17"/>
  <c r="L21" i="17"/>
  <c r="K21" i="17"/>
  <c r="D21" i="17"/>
  <c r="I21" i="17"/>
  <c r="O40" i="8"/>
  <c r="Q39" i="8"/>
  <c r="N34" i="8"/>
  <c r="M34" i="8"/>
  <c r="G28" i="5"/>
  <c r="D23" i="9" s="1"/>
  <c r="H27" i="5"/>
  <c r="P48" i="11"/>
  <c r="Q48" i="11"/>
  <c r="H29" i="8"/>
  <c r="J29" i="8" s="1"/>
  <c r="M50" i="18" l="1"/>
  <c r="CY19" i="22"/>
  <c r="C52" i="18"/>
  <c r="K51" i="18"/>
  <c r="T51" i="18" s="1"/>
  <c r="O51" i="18"/>
  <c r="N51" i="18"/>
  <c r="L51" i="18"/>
  <c r="M51" i="18" s="1"/>
  <c r="CY56" i="22"/>
  <c r="CY93" i="22"/>
  <c r="B30" i="14"/>
  <c r="C29" i="14"/>
  <c r="K62" i="15"/>
  <c r="Q62" i="15"/>
  <c r="O62" i="15"/>
  <c r="L62" i="15"/>
  <c r="N62" i="15"/>
  <c r="P62" i="15"/>
  <c r="M62" i="15"/>
  <c r="G26" i="15"/>
  <c r="F58" i="15"/>
  <c r="E58" i="15"/>
  <c r="C58" i="15"/>
  <c r="D58" i="15"/>
  <c r="I28" i="5"/>
  <c r="C30" i="15" s="1"/>
  <c r="F30" i="15" s="1"/>
  <c r="K22" i="17"/>
  <c r="I22" i="17"/>
  <c r="L22" i="17"/>
  <c r="F22" i="17"/>
  <c r="E22" i="17"/>
  <c r="H22" i="17"/>
  <c r="G22" i="17"/>
  <c r="J22" i="17"/>
  <c r="D22" i="17"/>
  <c r="O41" i="8"/>
  <c r="Q40" i="8"/>
  <c r="N35" i="8"/>
  <c r="M35" i="8"/>
  <c r="G29" i="5"/>
  <c r="H28" i="5"/>
  <c r="H30" i="8"/>
  <c r="J30" i="8" s="1"/>
  <c r="CY20" i="22" l="1"/>
  <c r="C53" i="18"/>
  <c r="K52" i="18"/>
  <c r="T52" i="18" s="1"/>
  <c r="O52" i="18"/>
  <c r="L52" i="18"/>
  <c r="M52" i="18" s="1"/>
  <c r="N52" i="18"/>
  <c r="CY57" i="22"/>
  <c r="CY94" i="22"/>
  <c r="I29" i="5"/>
  <c r="C31" i="15" s="1"/>
  <c r="F31" i="15" s="1"/>
  <c r="N64" i="15" s="1"/>
  <c r="D24" i="9"/>
  <c r="B31" i="14"/>
  <c r="C30" i="14"/>
  <c r="P63" i="15"/>
  <c r="O63" i="15"/>
  <c r="Q63" i="15"/>
  <c r="N63" i="15"/>
  <c r="L63" i="15"/>
  <c r="M63" i="15"/>
  <c r="G27" i="15"/>
  <c r="E59" i="15"/>
  <c r="F59" i="15"/>
  <c r="C59" i="15"/>
  <c r="G59" i="15"/>
  <c r="D59" i="15"/>
  <c r="O42" i="8"/>
  <c r="Q41" i="8"/>
  <c r="M36" i="8"/>
  <c r="N36" i="8"/>
  <c r="G30" i="5"/>
  <c r="H29" i="5"/>
  <c r="H31" i="8"/>
  <c r="J31" i="8" s="1"/>
  <c r="CY21" i="22" l="1"/>
  <c r="C54" i="18"/>
  <c r="K53" i="18"/>
  <c r="T53" i="18" s="1"/>
  <c r="O53" i="18"/>
  <c r="L53" i="18"/>
  <c r="M53" i="18" s="1"/>
  <c r="N53" i="18"/>
  <c r="M64" i="15"/>
  <c r="Q64" i="15"/>
  <c r="P64" i="15"/>
  <c r="O64" i="15"/>
  <c r="CY95" i="22"/>
  <c r="CY58" i="22"/>
  <c r="I30" i="5"/>
  <c r="C32" i="15" s="1"/>
  <c r="F32" i="15" s="1"/>
  <c r="P65" i="15" s="1"/>
  <c r="D25" i="9"/>
  <c r="B32" i="14"/>
  <c r="C31" i="14"/>
  <c r="G28" i="15"/>
  <c r="E60" i="15"/>
  <c r="F60" i="15"/>
  <c r="C60" i="15"/>
  <c r="G60" i="15"/>
  <c r="H60" i="15"/>
  <c r="D60" i="15"/>
  <c r="O43" i="8"/>
  <c r="Q42" i="8"/>
  <c r="N37" i="8"/>
  <c r="M37" i="8"/>
  <c r="G31" i="5"/>
  <c r="H30" i="5"/>
  <c r="H32" i="8"/>
  <c r="J32" i="8" s="1"/>
  <c r="CY22" i="22" l="1"/>
  <c r="C55" i="18"/>
  <c r="K54" i="18"/>
  <c r="T54" i="18" s="1"/>
  <c r="O54" i="18"/>
  <c r="N54" i="18"/>
  <c r="L54" i="18"/>
  <c r="M54" i="18" s="1"/>
  <c r="Q65" i="15"/>
  <c r="N65" i="15"/>
  <c r="O65" i="15"/>
  <c r="CY96" i="22"/>
  <c r="CY59" i="22"/>
  <c r="I31" i="5"/>
  <c r="C33" i="15" s="1"/>
  <c r="F33" i="15" s="1"/>
  <c r="Q66" i="15" s="1"/>
  <c r="D26" i="9"/>
  <c r="B33" i="14"/>
  <c r="C32" i="14"/>
  <c r="G29" i="15"/>
  <c r="E61" i="15"/>
  <c r="F61" i="15"/>
  <c r="G61" i="15"/>
  <c r="C61" i="15"/>
  <c r="H61" i="15"/>
  <c r="D61" i="15"/>
  <c r="I61" i="15"/>
  <c r="O44" i="8"/>
  <c r="Q43" i="8"/>
  <c r="M38" i="8"/>
  <c r="N38" i="8"/>
  <c r="G32" i="5"/>
  <c r="H31" i="5"/>
  <c r="H33" i="8"/>
  <c r="J33" i="8" s="1"/>
  <c r="K55" i="18" l="1"/>
  <c r="T55" i="18" s="1"/>
  <c r="O55" i="18"/>
  <c r="N55" i="18"/>
  <c r="L55" i="18"/>
  <c r="M55" i="18" s="1"/>
  <c r="CY23" i="22"/>
  <c r="CY97" i="22" s="1"/>
  <c r="C56" i="18"/>
  <c r="O66" i="15"/>
  <c r="P66" i="15"/>
  <c r="I32" i="5"/>
  <c r="C34" i="15" s="1"/>
  <c r="F34" i="15" s="1"/>
  <c r="P67" i="15" s="1"/>
  <c r="D27" i="9"/>
  <c r="B34" i="14"/>
  <c r="C33" i="14"/>
  <c r="G30" i="15"/>
  <c r="D62" i="15"/>
  <c r="J62" i="15"/>
  <c r="I62" i="15"/>
  <c r="E62" i="15"/>
  <c r="F62" i="15"/>
  <c r="G62" i="15"/>
  <c r="C62" i="15"/>
  <c r="H62" i="15"/>
  <c r="O45" i="8"/>
  <c r="Q44" i="8"/>
  <c r="N39" i="8"/>
  <c r="M39" i="8"/>
  <c r="G33" i="5"/>
  <c r="H32" i="5"/>
  <c r="H34" i="8"/>
  <c r="J34" i="8" s="1"/>
  <c r="CY60" i="22" l="1"/>
  <c r="CY24" i="22"/>
  <c r="CY61" i="22" s="1"/>
  <c r="C57" i="18"/>
  <c r="K56" i="18"/>
  <c r="T56" i="18" s="1"/>
  <c r="O56" i="18"/>
  <c r="N56" i="18"/>
  <c r="L56" i="18"/>
  <c r="M56" i="18" s="1"/>
  <c r="Q67" i="15"/>
  <c r="I33" i="5"/>
  <c r="C35" i="15" s="1"/>
  <c r="F35" i="15" s="1"/>
  <c r="Q68" i="15" s="1"/>
  <c r="D28" i="9"/>
  <c r="B35" i="14"/>
  <c r="C34" i="14"/>
  <c r="G31" i="15"/>
  <c r="I63" i="15"/>
  <c r="D63" i="15"/>
  <c r="J63" i="15"/>
  <c r="E63" i="15"/>
  <c r="K63" i="15"/>
  <c r="F63" i="15"/>
  <c r="G63" i="15"/>
  <c r="C63" i="15"/>
  <c r="H63" i="15"/>
  <c r="O46" i="8"/>
  <c r="Q45" i="8"/>
  <c r="N40" i="8"/>
  <c r="M40" i="8"/>
  <c r="G34" i="5"/>
  <c r="H33" i="5"/>
  <c r="H35" i="8"/>
  <c r="J35" i="8" s="1"/>
  <c r="CY98" i="22" l="1"/>
  <c r="K57" i="18"/>
  <c r="T57" i="18" s="1"/>
  <c r="N57" i="18"/>
  <c r="O57" i="18"/>
  <c r="L57" i="18"/>
  <c r="M57" i="18" s="1"/>
  <c r="CY25" i="22"/>
  <c r="CY99" i="22" s="1"/>
  <c r="C58" i="18"/>
  <c r="I34" i="5"/>
  <c r="C36" i="15" s="1"/>
  <c r="F36" i="15" s="1"/>
  <c r="D29" i="9"/>
  <c r="B36" i="14"/>
  <c r="C35" i="14"/>
  <c r="G32" i="15"/>
  <c r="I64" i="15"/>
  <c r="D64" i="15"/>
  <c r="J64" i="15"/>
  <c r="E64" i="15"/>
  <c r="K64" i="15"/>
  <c r="F64" i="15"/>
  <c r="L64" i="15"/>
  <c r="G64" i="15"/>
  <c r="C64" i="15"/>
  <c r="H64" i="15"/>
  <c r="O47" i="8"/>
  <c r="Q46" i="8"/>
  <c r="M41" i="8"/>
  <c r="N41" i="8"/>
  <c r="G35" i="5"/>
  <c r="H34" i="5"/>
  <c r="H36" i="8"/>
  <c r="J36" i="8" s="1"/>
  <c r="CY62" i="22" l="1"/>
  <c r="CY26" i="22"/>
  <c r="CY100" i="22" s="1"/>
  <c r="C59" i="18"/>
  <c r="K58" i="18"/>
  <c r="T58" i="18" s="1"/>
  <c r="L58" i="18"/>
  <c r="M58" i="18" s="1"/>
  <c r="N58" i="18"/>
  <c r="O58" i="18"/>
  <c r="I35" i="5"/>
  <c r="C37" i="15" s="1"/>
  <c r="F37" i="15" s="1"/>
  <c r="D30" i="9"/>
  <c r="B37" i="14"/>
  <c r="C36" i="14"/>
  <c r="G33" i="15"/>
  <c r="I65" i="15"/>
  <c r="D65" i="15"/>
  <c r="F65" i="15"/>
  <c r="J65" i="15"/>
  <c r="E65" i="15"/>
  <c r="K65" i="15"/>
  <c r="H65" i="15"/>
  <c r="L65" i="15"/>
  <c r="G65" i="15"/>
  <c r="M65" i="15"/>
  <c r="C65" i="15"/>
  <c r="O48" i="8"/>
  <c r="Q47" i="8"/>
  <c r="N42" i="8"/>
  <c r="M42" i="8"/>
  <c r="G36" i="5"/>
  <c r="H35" i="5"/>
  <c r="H37" i="8"/>
  <c r="J37" i="8" s="1"/>
  <c r="CY63" i="22" l="1"/>
  <c r="CY27" i="22"/>
  <c r="CY101" i="22" s="1"/>
  <c r="C60" i="18"/>
  <c r="K59" i="18"/>
  <c r="T59" i="18" s="1"/>
  <c r="L59" i="18"/>
  <c r="M59" i="18" s="1"/>
  <c r="N59" i="18"/>
  <c r="O59" i="18"/>
  <c r="CY64" i="22"/>
  <c r="I36" i="5"/>
  <c r="C38" i="15" s="1"/>
  <c r="F38" i="15" s="1"/>
  <c r="D31" i="9"/>
  <c r="B38" i="14"/>
  <c r="C37" i="14"/>
  <c r="G34" i="15"/>
  <c r="H66" i="15"/>
  <c r="N66" i="15"/>
  <c r="D66" i="15"/>
  <c r="I66" i="15"/>
  <c r="J66" i="15"/>
  <c r="E66" i="15"/>
  <c r="K66" i="15"/>
  <c r="F66" i="15"/>
  <c r="C66" i="15"/>
  <c r="L66" i="15"/>
  <c r="G66" i="15"/>
  <c r="M66" i="15"/>
  <c r="O49" i="8"/>
  <c r="Q48" i="8"/>
  <c r="N43" i="8"/>
  <c r="M43" i="8"/>
  <c r="G37" i="5"/>
  <c r="H36" i="5"/>
  <c r="H38" i="8"/>
  <c r="J38" i="8" s="1"/>
  <c r="CY28" i="22" l="1"/>
  <c r="C61" i="18"/>
  <c r="K60" i="18"/>
  <c r="T60" i="18" s="1"/>
  <c r="O60" i="18"/>
  <c r="L60" i="18"/>
  <c r="M60" i="18" s="1"/>
  <c r="N60" i="18"/>
  <c r="CY102" i="22"/>
  <c r="CY65" i="22"/>
  <c r="I37" i="5"/>
  <c r="C39" i="15" s="1"/>
  <c r="F39" i="15" s="1"/>
  <c r="D32" i="9"/>
  <c r="B39" i="14"/>
  <c r="C38" i="14"/>
  <c r="G35" i="15"/>
  <c r="M67" i="15"/>
  <c r="H67" i="15"/>
  <c r="N67" i="15"/>
  <c r="I67" i="15"/>
  <c r="D67" i="15"/>
  <c r="O67" i="15"/>
  <c r="C67" i="15"/>
  <c r="J67" i="15"/>
  <c r="E67" i="15"/>
  <c r="K67" i="15"/>
  <c r="F67" i="15"/>
  <c r="L67" i="15"/>
  <c r="G67" i="15"/>
  <c r="O50" i="8"/>
  <c r="Q49" i="8"/>
  <c r="N44" i="8"/>
  <c r="M44" i="8"/>
  <c r="G38" i="5"/>
  <c r="H37" i="5"/>
  <c r="H39" i="8"/>
  <c r="J39" i="8" s="1"/>
  <c r="K61" i="18" l="1"/>
  <c r="T61" i="18" s="1"/>
  <c r="O61" i="18"/>
  <c r="N61" i="18"/>
  <c r="L61" i="18"/>
  <c r="M61" i="18" s="1"/>
  <c r="CY29" i="22"/>
  <c r="CY103" i="22" s="1"/>
  <c r="C62" i="18"/>
  <c r="I38" i="5"/>
  <c r="C40" i="15" s="1"/>
  <c r="F40" i="15" s="1"/>
  <c r="D33" i="9"/>
  <c r="B40" i="14"/>
  <c r="C39" i="14"/>
  <c r="G36" i="15"/>
  <c r="M68" i="15"/>
  <c r="C68" i="15"/>
  <c r="H68" i="15"/>
  <c r="D68" i="15"/>
  <c r="N68" i="15"/>
  <c r="I68" i="15"/>
  <c r="E68" i="15"/>
  <c r="O68" i="15"/>
  <c r="J68" i="15"/>
  <c r="P68" i="15"/>
  <c r="K68" i="15"/>
  <c r="G68" i="15"/>
  <c r="F68" i="15"/>
  <c r="L68" i="15"/>
  <c r="O51" i="8"/>
  <c r="Q50" i="8"/>
  <c r="M45" i="8"/>
  <c r="N45" i="8"/>
  <c r="G39" i="5"/>
  <c r="H38" i="5"/>
  <c r="H40" i="8"/>
  <c r="J40" i="8" s="1"/>
  <c r="CY66" i="22" l="1"/>
  <c r="K62" i="18"/>
  <c r="T62" i="18" s="1"/>
  <c r="N62" i="18"/>
  <c r="L62" i="18"/>
  <c r="M62" i="18" s="1"/>
  <c r="O62" i="18"/>
  <c r="CY30" i="22"/>
  <c r="CY104" i="22" s="1"/>
  <c r="C63" i="18"/>
  <c r="I39" i="5"/>
  <c r="C41" i="15" s="1"/>
  <c r="F41" i="15" s="1"/>
  <c r="D34" i="9"/>
  <c r="B41" i="14"/>
  <c r="C40" i="14"/>
  <c r="G37" i="15"/>
  <c r="G69" i="15"/>
  <c r="M69" i="15"/>
  <c r="C69" i="15"/>
  <c r="H69" i="15"/>
  <c r="N69" i="15"/>
  <c r="I69" i="15"/>
  <c r="D69" i="15"/>
  <c r="O69" i="15"/>
  <c r="J69" i="15"/>
  <c r="E69" i="15"/>
  <c r="P69" i="15"/>
  <c r="K69" i="15"/>
  <c r="L69" i="15"/>
  <c r="F69" i="15"/>
  <c r="Q69" i="15"/>
  <c r="O52" i="8"/>
  <c r="Q51" i="8"/>
  <c r="N46" i="8"/>
  <c r="M46" i="8"/>
  <c r="G40" i="5"/>
  <c r="H39" i="5"/>
  <c r="H41" i="8"/>
  <c r="J41" i="8" s="1"/>
  <c r="CY67" i="22" l="1"/>
  <c r="K63" i="18"/>
  <c r="T63" i="18" s="1"/>
  <c r="O63" i="18"/>
  <c r="N63" i="18"/>
  <c r="L63" i="18"/>
  <c r="M63" i="18" s="1"/>
  <c r="CY31" i="22"/>
  <c r="CY68" i="22" s="1"/>
  <c r="C64" i="18"/>
  <c r="I40" i="5"/>
  <c r="C42" i="15" s="1"/>
  <c r="F42" i="15" s="1"/>
  <c r="D35" i="9"/>
  <c r="B42" i="14"/>
  <c r="C41" i="14"/>
  <c r="G38" i="15"/>
  <c r="L70" i="15"/>
  <c r="G70" i="15"/>
  <c r="M70" i="15"/>
  <c r="C70" i="15"/>
  <c r="H70" i="15"/>
  <c r="N70" i="15"/>
  <c r="I70" i="15"/>
  <c r="D70" i="15"/>
  <c r="O70" i="15"/>
  <c r="J70" i="15"/>
  <c r="E70" i="15"/>
  <c r="P70" i="15"/>
  <c r="K70" i="15"/>
  <c r="Q70" i="15"/>
  <c r="F70" i="15"/>
  <c r="O53" i="8"/>
  <c r="Q53" i="8" s="1"/>
  <c r="Q52" i="8"/>
  <c r="N47" i="8"/>
  <c r="M47" i="8"/>
  <c r="G41" i="5"/>
  <c r="H40" i="5"/>
  <c r="H42" i="8"/>
  <c r="J42" i="8" s="1"/>
  <c r="CY105" i="22" l="1"/>
  <c r="K64" i="18"/>
  <c r="T64" i="18" s="1"/>
  <c r="O64" i="18"/>
  <c r="L64" i="18"/>
  <c r="M64" i="18" s="1"/>
  <c r="N64" i="18"/>
  <c r="CY32" i="22"/>
  <c r="CY106" i="22" s="1"/>
  <c r="C65" i="18"/>
  <c r="I41" i="5"/>
  <c r="C43" i="15" s="1"/>
  <c r="F43" i="15" s="1"/>
  <c r="D36" i="9"/>
  <c r="B43" i="14"/>
  <c r="C42" i="14"/>
  <c r="G39" i="15"/>
  <c r="Q71" i="15"/>
  <c r="L71" i="15"/>
  <c r="G71" i="15"/>
  <c r="C71" i="15"/>
  <c r="M71" i="15"/>
  <c r="H71" i="15"/>
  <c r="N71" i="15"/>
  <c r="D71" i="15"/>
  <c r="I71" i="15"/>
  <c r="O71" i="15"/>
  <c r="J71" i="15"/>
  <c r="E71" i="15"/>
  <c r="P71" i="15"/>
  <c r="K71" i="15"/>
  <c r="F71" i="15"/>
  <c r="M48" i="8"/>
  <c r="N48" i="8"/>
  <c r="G42" i="5"/>
  <c r="H41" i="5"/>
  <c r="H43" i="8"/>
  <c r="J43" i="8" s="1"/>
  <c r="CY69" i="22" l="1"/>
  <c r="K65" i="18"/>
  <c r="T65" i="18" s="1"/>
  <c r="O65" i="18"/>
  <c r="L65" i="18"/>
  <c r="M65" i="18" s="1"/>
  <c r="N65" i="18"/>
  <c r="CY33" i="22"/>
  <c r="CY107" i="22" s="1"/>
  <c r="C66" i="18"/>
  <c r="I42" i="5"/>
  <c r="C44" i="15" s="1"/>
  <c r="F44" i="15" s="1"/>
  <c r="D37" i="9"/>
  <c r="B44" i="14"/>
  <c r="C43" i="14"/>
  <c r="G40" i="15"/>
  <c r="F72" i="15"/>
  <c r="Q72" i="15"/>
  <c r="L72" i="15"/>
  <c r="G72" i="15"/>
  <c r="M72" i="15"/>
  <c r="C72" i="15"/>
  <c r="H72" i="15"/>
  <c r="K72" i="15"/>
  <c r="I72" i="15"/>
  <c r="N72" i="15"/>
  <c r="D72" i="15"/>
  <c r="O72" i="15"/>
  <c r="J72" i="15"/>
  <c r="E72" i="15"/>
  <c r="P72" i="15"/>
  <c r="N49" i="8"/>
  <c r="M49" i="8"/>
  <c r="G43" i="5"/>
  <c r="H42" i="5"/>
  <c r="H44" i="8"/>
  <c r="J44" i="8" s="1"/>
  <c r="CY70" i="22" l="1"/>
  <c r="K66" i="18"/>
  <c r="T66" i="18" s="1"/>
  <c r="N66" i="18"/>
  <c r="O66" i="18"/>
  <c r="L66" i="18"/>
  <c r="M66" i="18" s="1"/>
  <c r="CY34" i="22"/>
  <c r="CY108" i="22" s="1"/>
  <c r="C67" i="18"/>
  <c r="I43" i="5"/>
  <c r="C45" i="15" s="1"/>
  <c r="F45" i="15" s="1"/>
  <c r="D38" i="9"/>
  <c r="B45" i="14"/>
  <c r="C44" i="14"/>
  <c r="G41" i="15"/>
  <c r="K73" i="15"/>
  <c r="F73" i="15"/>
  <c r="Q73" i="15"/>
  <c r="C73" i="15"/>
  <c r="L73" i="15"/>
  <c r="G73" i="15"/>
  <c r="M73" i="15"/>
  <c r="H73" i="15"/>
  <c r="N73" i="15"/>
  <c r="I73" i="15"/>
  <c r="D73" i="15"/>
  <c r="O73" i="15"/>
  <c r="J73" i="15"/>
  <c r="E73" i="15"/>
  <c r="P73" i="15"/>
  <c r="N50" i="8"/>
  <c r="M50" i="8"/>
  <c r="G44" i="5"/>
  <c r="H43" i="5"/>
  <c r="H45" i="8"/>
  <c r="J45" i="8" s="1"/>
  <c r="CY71" i="22" l="1"/>
  <c r="K67" i="18"/>
  <c r="T67" i="18" s="1"/>
  <c r="O67" i="18"/>
  <c r="N67" i="18"/>
  <c r="L67" i="18"/>
  <c r="M67" i="18" s="1"/>
  <c r="CY35" i="22"/>
  <c r="CY109" i="22" s="1"/>
  <c r="C68" i="18"/>
  <c r="I44" i="5"/>
  <c r="C46" i="15" s="1"/>
  <c r="F46" i="15" s="1"/>
  <c r="D39" i="9"/>
  <c r="B46" i="14"/>
  <c r="C45" i="14"/>
  <c r="G42" i="15"/>
  <c r="P74" i="15"/>
  <c r="K74" i="15"/>
  <c r="F74" i="15"/>
  <c r="Q74" i="15"/>
  <c r="L74" i="15"/>
  <c r="G74" i="15"/>
  <c r="M74" i="15"/>
  <c r="C74" i="15"/>
  <c r="H74" i="15"/>
  <c r="E74" i="15"/>
  <c r="N74" i="15"/>
  <c r="I74" i="15"/>
  <c r="D74" i="15"/>
  <c r="O74" i="15"/>
  <c r="J74" i="15"/>
  <c r="M51" i="8"/>
  <c r="N51" i="8"/>
  <c r="G45" i="5"/>
  <c r="H44" i="5"/>
  <c r="H46" i="8"/>
  <c r="J46" i="8" s="1"/>
  <c r="CY72" i="22" l="1"/>
  <c r="K68" i="18"/>
  <c r="T68" i="18" s="1"/>
  <c r="N68" i="18"/>
  <c r="O68" i="18"/>
  <c r="L68" i="18"/>
  <c r="M68" i="18" s="1"/>
  <c r="CY36" i="22"/>
  <c r="CY110" i="22" s="1"/>
  <c r="C69" i="18"/>
  <c r="I45" i="5"/>
  <c r="C47" i="15" s="1"/>
  <c r="F47" i="15" s="1"/>
  <c r="D40" i="9"/>
  <c r="B47" i="14"/>
  <c r="C47" i="14" s="1"/>
  <c r="C46" i="14"/>
  <c r="G43" i="15"/>
  <c r="E75" i="15"/>
  <c r="P75" i="15"/>
  <c r="K75" i="15"/>
  <c r="F75" i="15"/>
  <c r="C75" i="15"/>
  <c r="Q75" i="15"/>
  <c r="H75" i="15"/>
  <c r="L75" i="15"/>
  <c r="G75" i="15"/>
  <c r="J75" i="15"/>
  <c r="M75" i="15"/>
  <c r="N75" i="15"/>
  <c r="I75" i="15"/>
  <c r="D75" i="15"/>
  <c r="O75" i="15"/>
  <c r="M52" i="8"/>
  <c r="N52" i="8"/>
  <c r="G46" i="5"/>
  <c r="H45" i="5"/>
  <c r="H47" i="8"/>
  <c r="J47" i="8" s="1"/>
  <c r="CY73" i="22" l="1"/>
  <c r="K69" i="18"/>
  <c r="T69" i="18" s="1"/>
  <c r="N69" i="18"/>
  <c r="O69" i="18"/>
  <c r="L69" i="18"/>
  <c r="M69" i="18" s="1"/>
  <c r="CY37" i="22"/>
  <c r="CY111" i="22" s="1"/>
  <c r="C70" i="18"/>
  <c r="I46" i="5"/>
  <c r="C48" i="15" s="1"/>
  <c r="F48" i="15" s="1"/>
  <c r="D41" i="9"/>
  <c r="G44" i="15"/>
  <c r="J76" i="15"/>
  <c r="E76" i="15"/>
  <c r="P76" i="15"/>
  <c r="K76" i="15"/>
  <c r="F76" i="15"/>
  <c r="Q76" i="15"/>
  <c r="L76" i="15"/>
  <c r="G76" i="15"/>
  <c r="M76" i="15"/>
  <c r="C76" i="15"/>
  <c r="H76" i="15"/>
  <c r="O76" i="15"/>
  <c r="N76" i="15"/>
  <c r="I76" i="15"/>
  <c r="D76" i="15"/>
  <c r="N53" i="8"/>
  <c r="M53" i="8"/>
  <c r="G47" i="5"/>
  <c r="H46" i="5"/>
  <c r="H48" i="8"/>
  <c r="J48" i="8" s="1"/>
  <c r="CY74" i="22" l="1"/>
  <c r="CY38" i="22"/>
  <c r="C71" i="18"/>
  <c r="K70" i="18"/>
  <c r="T70" i="18" s="1"/>
  <c r="O70" i="18"/>
  <c r="N70" i="18"/>
  <c r="L70" i="18"/>
  <c r="M70" i="18" s="1"/>
  <c r="CY112" i="22"/>
  <c r="CY75" i="22"/>
  <c r="I47" i="5"/>
  <c r="C49" i="15" s="1"/>
  <c r="F49" i="15" s="1"/>
  <c r="D42" i="9"/>
  <c r="G45" i="15"/>
  <c r="O77" i="15"/>
  <c r="J77" i="15"/>
  <c r="E77" i="15"/>
  <c r="P77" i="15"/>
  <c r="K77" i="15"/>
  <c r="F77" i="15"/>
  <c r="Q77" i="15"/>
  <c r="L77" i="15"/>
  <c r="G77" i="15"/>
  <c r="D77" i="15"/>
  <c r="M77" i="15"/>
  <c r="C77" i="15"/>
  <c r="H77" i="15"/>
  <c r="N77" i="15"/>
  <c r="I77" i="15"/>
  <c r="G48" i="5"/>
  <c r="H47" i="5"/>
  <c r="H49" i="8"/>
  <c r="J49" i="8" s="1"/>
  <c r="CY39" i="22" l="1"/>
  <c r="C72" i="18"/>
  <c r="K71" i="18"/>
  <c r="T71" i="18" s="1"/>
  <c r="O71" i="18"/>
  <c r="N71" i="18"/>
  <c r="L71" i="18"/>
  <c r="M71" i="18" s="1"/>
  <c r="CY113" i="22"/>
  <c r="CY76" i="22"/>
  <c r="G46" i="15"/>
  <c r="D78" i="15"/>
  <c r="O78" i="15"/>
  <c r="J78" i="15"/>
  <c r="E78" i="15"/>
  <c r="P78" i="15"/>
  <c r="K78" i="15"/>
  <c r="G78" i="15"/>
  <c r="F78" i="15"/>
  <c r="Q78" i="15"/>
  <c r="L78" i="15"/>
  <c r="C78" i="15"/>
  <c r="M78" i="15"/>
  <c r="H78" i="15"/>
  <c r="I78" i="15"/>
  <c r="N78" i="15"/>
  <c r="H48" i="5"/>
  <c r="I48" i="5"/>
  <c r="C50" i="15" s="1"/>
  <c r="F50" i="15" s="1"/>
  <c r="H50" i="8"/>
  <c r="J50" i="8" s="1"/>
  <c r="CY40" i="22" l="1"/>
  <c r="C73" i="18"/>
  <c r="K72" i="18"/>
  <c r="T72" i="18" s="1"/>
  <c r="L72" i="18"/>
  <c r="M72" i="18" s="1"/>
  <c r="O72" i="18"/>
  <c r="N72" i="18"/>
  <c r="CY114" i="22"/>
  <c r="CY77" i="22"/>
  <c r="G47" i="15"/>
  <c r="I79" i="15"/>
  <c r="D79" i="15"/>
  <c r="O79" i="15"/>
  <c r="J79" i="15"/>
  <c r="E79" i="15"/>
  <c r="P79" i="15"/>
  <c r="K79" i="15"/>
  <c r="F79" i="15"/>
  <c r="Q79" i="15"/>
  <c r="L79" i="15"/>
  <c r="G79" i="15"/>
  <c r="N79" i="15"/>
  <c r="M79" i="15"/>
  <c r="C79" i="15"/>
  <c r="H79" i="15"/>
  <c r="H51" i="8"/>
  <c r="J51" i="8" s="1"/>
  <c r="CY41" i="22" l="1"/>
  <c r="C74" i="18"/>
  <c r="K73" i="18"/>
  <c r="T73" i="18" s="1"/>
  <c r="L73" i="18"/>
  <c r="M73" i="18" s="1"/>
  <c r="O73" i="18"/>
  <c r="N73" i="18"/>
  <c r="CY115" i="22"/>
  <c r="CY78" i="22"/>
  <c r="G48" i="15"/>
  <c r="N80" i="15"/>
  <c r="I80" i="15"/>
  <c r="D80" i="15"/>
  <c r="O80" i="15"/>
  <c r="J80" i="15"/>
  <c r="E80" i="15"/>
  <c r="P80" i="15"/>
  <c r="K80" i="15"/>
  <c r="F80" i="15"/>
  <c r="Q80" i="15"/>
  <c r="L80" i="15"/>
  <c r="G80" i="15"/>
  <c r="C80" i="15"/>
  <c r="M80" i="15"/>
  <c r="H80" i="15"/>
  <c r="H52" i="8"/>
  <c r="J52" i="8" s="1"/>
  <c r="CY42" i="22" l="1"/>
  <c r="C75" i="18"/>
  <c r="K74" i="18"/>
  <c r="T74" i="18" s="1"/>
  <c r="N74" i="18"/>
  <c r="O74" i="18"/>
  <c r="L74" i="18"/>
  <c r="M74" i="18" s="1"/>
  <c r="CY79" i="22"/>
  <c r="CY116" i="22"/>
  <c r="G49" i="15"/>
  <c r="N81" i="15"/>
  <c r="I81" i="15"/>
  <c r="D81" i="15"/>
  <c r="O81" i="15"/>
  <c r="J81" i="15"/>
  <c r="H81" i="15"/>
  <c r="E81" i="15"/>
  <c r="P81" i="15"/>
  <c r="K81" i="15"/>
  <c r="F81" i="15"/>
  <c r="Q81" i="15"/>
  <c r="L81" i="15"/>
  <c r="G81" i="15"/>
  <c r="C81" i="15"/>
  <c r="M81" i="15"/>
  <c r="H53" i="8"/>
  <c r="J53" i="8" s="1"/>
  <c r="E21" i="6"/>
  <c r="F21" i="6" s="1"/>
  <c r="C78" i="10" s="1"/>
  <c r="E20" i="6"/>
  <c r="F20" i="6" s="1"/>
  <c r="C77" i="10" s="1"/>
  <c r="CY43" i="22" l="1"/>
  <c r="C76" i="18"/>
  <c r="K75" i="18"/>
  <c r="T75" i="18" s="1"/>
  <c r="N75" i="18"/>
  <c r="L75" i="18"/>
  <c r="M75" i="18" s="1"/>
  <c r="O75" i="18"/>
  <c r="CY117" i="22"/>
  <c r="CY80" i="22"/>
  <c r="G50" i="15"/>
  <c r="H82" i="15"/>
  <c r="N82" i="15"/>
  <c r="I82" i="15"/>
  <c r="D82" i="15"/>
  <c r="C82" i="15"/>
  <c r="O82" i="15"/>
  <c r="J82" i="15"/>
  <c r="E82" i="15"/>
  <c r="P82" i="15"/>
  <c r="K82" i="15"/>
  <c r="F82" i="15"/>
  <c r="Q82" i="15"/>
  <c r="L82" i="15"/>
  <c r="G82" i="15"/>
  <c r="M82" i="15"/>
  <c r="H13" i="17"/>
  <c r="L13" i="17"/>
  <c r="G13" i="17"/>
  <c r="I13" i="17"/>
  <c r="D13" i="17"/>
  <c r="E13" i="17"/>
  <c r="J13" i="17"/>
  <c r="K13" i="17"/>
  <c r="F13" i="17"/>
  <c r="D14" i="17"/>
  <c r="G14" i="17"/>
  <c r="F14" i="17"/>
  <c r="L14" i="17"/>
  <c r="I14" i="17"/>
  <c r="H14" i="17"/>
  <c r="E14" i="17"/>
  <c r="J14" i="17"/>
  <c r="K14" i="17"/>
  <c r="H20" i="6"/>
  <c r="D21" i="15" s="1"/>
  <c r="F21" i="15" s="1"/>
  <c r="G20" i="6"/>
  <c r="H21" i="6"/>
  <c r="D22" i="15" s="1"/>
  <c r="F22" i="15" s="1"/>
  <c r="G21" i="6"/>
  <c r="S14" i="11"/>
  <c r="S13" i="11"/>
  <c r="S3" i="11"/>
  <c r="S12" i="11"/>
  <c r="S15" i="11"/>
  <c r="S11" i="11"/>
  <c r="S10" i="11"/>
  <c r="S17" i="11"/>
  <c r="S16" i="11"/>
  <c r="S9" i="11"/>
  <c r="S8" i="11"/>
  <c r="S7" i="11"/>
  <c r="S6" i="11"/>
  <c r="S5" i="11"/>
  <c r="S4" i="11"/>
  <c r="O76" i="18" l="1"/>
  <c r="N76" i="18"/>
  <c r="K76" i="18"/>
  <c r="T76" i="18" s="1"/>
  <c r="L76" i="18"/>
  <c r="F25" i="8"/>
  <c r="J25" i="8" s="1"/>
  <c r="C48" i="18" s="1"/>
  <c r="F24" i="8"/>
  <c r="J24" i="8" s="1"/>
  <c r="C47" i="18" s="1"/>
  <c r="Q55" i="15"/>
  <c r="L55" i="15"/>
  <c r="G55" i="15"/>
  <c r="D55" i="15"/>
  <c r="M55" i="15"/>
  <c r="H55" i="15"/>
  <c r="N55" i="15"/>
  <c r="I55" i="15"/>
  <c r="O55" i="15"/>
  <c r="J55" i="15"/>
  <c r="E55" i="15"/>
  <c r="P55" i="15"/>
  <c r="F55" i="15"/>
  <c r="K55" i="15"/>
  <c r="O54" i="15"/>
  <c r="C54" i="15"/>
  <c r="P54" i="15"/>
  <c r="G54" i="15"/>
  <c r="M54" i="15"/>
  <c r="Q54" i="15"/>
  <c r="D54" i="15"/>
  <c r="N54" i="15"/>
  <c r="E54" i="15"/>
  <c r="F54" i="15"/>
  <c r="H54" i="15"/>
  <c r="I54" i="15"/>
  <c r="J54" i="15"/>
  <c r="L54" i="15"/>
  <c r="K54" i="15"/>
  <c r="M83" i="15"/>
  <c r="H83" i="15"/>
  <c r="N83" i="15"/>
  <c r="C83" i="15"/>
  <c r="I83" i="15"/>
  <c r="D83" i="15"/>
  <c r="O83" i="15"/>
  <c r="J83" i="15"/>
  <c r="E83" i="15"/>
  <c r="P83" i="15"/>
  <c r="K83" i="15"/>
  <c r="F83" i="15"/>
  <c r="Q83" i="15"/>
  <c r="L83" i="15"/>
  <c r="G83" i="15"/>
  <c r="M76" i="18" l="1"/>
  <c r="K47" i="18"/>
  <c r="T47" i="18" s="1"/>
  <c r="O47" i="18"/>
  <c r="N47" i="18"/>
  <c r="L47" i="18"/>
  <c r="M47" i="18" s="1"/>
  <c r="K48" i="18"/>
  <c r="T48" i="18" s="1"/>
  <c r="O48" i="18"/>
  <c r="N48" i="18"/>
  <c r="L48" i="18"/>
  <c r="M48" i="18" s="1"/>
  <c r="T77" i="18"/>
  <c r="G21" i="15"/>
  <c r="CY14" i="22"/>
  <c r="G22" i="15"/>
  <c r="C55" i="15" s="1"/>
  <c r="C84" i="15" s="1"/>
  <c r="CY15" i="22"/>
  <c r="K84" i="15"/>
  <c r="L84" i="15"/>
  <c r="J84" i="15"/>
  <c r="I84" i="15"/>
  <c r="H84" i="15"/>
  <c r="F84" i="15"/>
  <c r="E84" i="15"/>
  <c r="N84" i="15"/>
  <c r="D84" i="15"/>
  <c r="Q84" i="15"/>
  <c r="M84" i="15"/>
  <c r="G84" i="15"/>
  <c r="P84" i="15"/>
  <c r="O84" i="15"/>
  <c r="CY89" i="22" l="1"/>
  <c r="CY52" i="22"/>
  <c r="CY88" i="22"/>
  <c r="CY51" i="22"/>
  <c r="R25" i="8" l="1"/>
  <c r="S25" i="8" s="1"/>
  <c r="R36" i="8"/>
  <c r="S36" i="8" s="1"/>
  <c r="R37" i="8"/>
  <c r="S37" i="8" s="1"/>
  <c r="R52" i="8"/>
  <c r="S52" i="8" s="1"/>
  <c r="R47" i="8"/>
  <c r="S47" i="8" s="1"/>
  <c r="R38" i="8"/>
  <c r="S38" i="8" s="1"/>
  <c r="R29" i="8"/>
  <c r="S29" i="8" s="1"/>
  <c r="R51" i="8"/>
  <c r="S51" i="8" s="1"/>
  <c r="R45" i="8"/>
  <c r="S45" i="8" s="1"/>
  <c r="R32" i="8"/>
  <c r="S32" i="8" s="1"/>
  <c r="R39" i="8"/>
  <c r="S39" i="8" s="1"/>
  <c r="R43" i="8"/>
  <c r="S43" i="8" s="1"/>
  <c r="R48" i="8"/>
  <c r="S48" i="8" s="1"/>
  <c r="R35" i="8"/>
  <c r="S35" i="8" s="1"/>
  <c r="R50" i="8"/>
  <c r="S50" i="8" s="1"/>
  <c r="R27" i="8"/>
  <c r="S27" i="8" s="1"/>
  <c r="R31" i="8"/>
  <c r="S31" i="8" s="1"/>
  <c r="R49" i="8"/>
  <c r="S49" i="8" s="1"/>
  <c r="R53" i="8"/>
  <c r="S53" i="8" s="1"/>
  <c r="R26" i="8"/>
  <c r="S26" i="8" s="1"/>
  <c r="R41" i="8"/>
  <c r="S41" i="8" s="1"/>
  <c r="R44" i="8"/>
  <c r="S44" i="8" s="1"/>
  <c r="R30" i="8"/>
  <c r="S30" i="8" s="1"/>
  <c r="R28" i="8"/>
  <c r="S28" i="8" s="1"/>
  <c r="R33" i="8"/>
  <c r="S33" i="8" s="1"/>
  <c r="R42" i="8"/>
  <c r="S42" i="8" s="1"/>
  <c r="R40" i="8"/>
  <c r="S40" i="8" s="1"/>
  <c r="R46" i="8"/>
  <c r="S46" i="8" s="1"/>
  <c r="R34" i="8"/>
  <c r="S34" i="8" s="1"/>
  <c r="R23" i="8"/>
  <c r="S23" i="8" s="1"/>
  <c r="R15" i="8"/>
  <c r="S15" i="8" s="1"/>
  <c r="R19" i="8"/>
  <c r="S19" i="8" s="1"/>
  <c r="R17" i="8"/>
  <c r="S17" i="8" s="1"/>
  <c r="R9" i="8"/>
  <c r="S9" i="8" s="1"/>
  <c r="R16" i="8"/>
  <c r="S16" i="8" s="1"/>
  <c r="R10" i="8"/>
  <c r="S10" i="8" s="1"/>
  <c r="R8" i="8"/>
  <c r="S8" i="8" s="1"/>
  <c r="R14" i="8"/>
  <c r="S14" i="8" s="1"/>
  <c r="R18" i="8"/>
  <c r="S18" i="8" s="1"/>
  <c r="R11" i="8"/>
  <c r="S11" i="8" s="1"/>
  <c r="R12" i="8"/>
  <c r="S12" i="8" s="1"/>
  <c r="R20" i="8"/>
  <c r="S20" i="8" s="1"/>
  <c r="R13" i="8"/>
  <c r="S13" i="8" s="1"/>
  <c r="R22" i="8"/>
  <c r="S22" i="8" s="1"/>
  <c r="R21" i="8"/>
  <c r="S21"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chengwei .</author>
  </authors>
  <commentList>
    <comment ref="CT13" authorId="0" shapeId="0" xr:uid="{0B15CB2F-EEF3-4BC7-BC62-A0B2CC465AD8}">
      <text>
        <r>
          <rPr>
            <sz val="9"/>
            <color indexed="81"/>
            <rFont val="Tahoma"/>
            <family val="2"/>
          </rPr>
          <t>Taking into account of plant's availability across the year.</t>
        </r>
      </text>
    </comment>
    <comment ref="CX13" authorId="0" shapeId="0" xr:uid="{EEB27919-F577-4E02-AC5E-7898580D111A}">
      <text>
        <r>
          <rPr>
            <sz val="9"/>
            <color indexed="81"/>
            <rFont val="Tahoma"/>
            <family val="2"/>
          </rPr>
          <t>Taking into account of plant's availability across the year.</t>
        </r>
      </text>
    </comment>
    <comment ref="CY13" authorId="0" shapeId="0" xr:uid="{668CA307-127A-4EE5-A24A-707AC2FB9AA9}">
      <text>
        <r>
          <rPr>
            <sz val="9"/>
            <color indexed="81"/>
            <rFont val="Tahoma"/>
            <family val="2"/>
          </rPr>
          <t>Reference from "Demand Model)</t>
        </r>
      </text>
    </comment>
    <comment ref="I45" authorId="0" shapeId="0" xr:uid="{93FDF367-CC6A-4153-8263-851B9CE2E14B}">
      <text>
        <r>
          <rPr>
            <sz val="9"/>
            <color indexed="81"/>
            <rFont val="Tahoma"/>
            <family val="2"/>
          </rPr>
          <t>Recommissioned</t>
        </r>
      </text>
    </comment>
    <comment ref="I46" authorId="0" shapeId="0" xr:uid="{128823F6-3DBC-4960-BBA8-56FEB81F6D57}">
      <text>
        <r>
          <rPr>
            <sz val="9"/>
            <color indexed="81"/>
            <rFont val="Tahoma"/>
            <family val="2"/>
          </rPr>
          <t>Recommissioned</t>
        </r>
      </text>
    </comment>
    <comment ref="I47" authorId="0" shapeId="0" xr:uid="{9F99B8B1-AD91-40E0-9FE4-C7834DFF270D}">
      <text>
        <r>
          <rPr>
            <sz val="9"/>
            <color indexed="81"/>
            <rFont val="Tahoma"/>
            <family val="2"/>
          </rPr>
          <t>Recommissioned</t>
        </r>
      </text>
    </comment>
    <comment ref="CT50" authorId="0" shapeId="0" xr:uid="{0F3AB187-DBDF-485B-891F-513058A079E3}">
      <text>
        <r>
          <rPr>
            <sz val="9"/>
            <color indexed="81"/>
            <rFont val="Tahoma"/>
            <family val="2"/>
          </rPr>
          <t>Taking into account of plant's availability across the year.</t>
        </r>
      </text>
    </comment>
    <comment ref="CX50" authorId="0" shapeId="0" xr:uid="{0204459A-4CDC-453E-9118-5A37BE65D9B8}">
      <text>
        <r>
          <rPr>
            <sz val="9"/>
            <color indexed="81"/>
            <rFont val="Tahoma"/>
            <family val="2"/>
          </rPr>
          <t>Taking into account of plant's availability across the year.</t>
        </r>
      </text>
    </comment>
    <comment ref="CY50" authorId="0" shapeId="0" xr:uid="{4F85EC1E-6DF7-4D74-A927-B0D72AF2FBBE}">
      <text>
        <r>
          <rPr>
            <sz val="9"/>
            <color indexed="81"/>
            <rFont val="Tahoma"/>
            <family val="2"/>
          </rPr>
          <t>Reference from "Demand Model)</t>
        </r>
      </text>
    </comment>
    <comment ref="CT87" authorId="0" shapeId="0" xr:uid="{7CA638F6-879E-4F50-AA61-09374849D866}">
      <text>
        <r>
          <rPr>
            <sz val="9"/>
            <color indexed="81"/>
            <rFont val="Tahoma"/>
            <family val="2"/>
          </rPr>
          <t>Taking into account of plant's availability across the year.</t>
        </r>
      </text>
    </comment>
    <comment ref="CX87" authorId="0" shapeId="0" xr:uid="{7EC75085-3F6E-47DC-95DD-76312D3CBA07}">
      <text>
        <r>
          <rPr>
            <sz val="9"/>
            <color indexed="81"/>
            <rFont val="Tahoma"/>
            <family val="2"/>
          </rPr>
          <t>Taking into account of plant's availability across the year.</t>
        </r>
      </text>
    </comment>
    <comment ref="CY87" authorId="0" shapeId="0" xr:uid="{70F504A6-7D57-4F1B-A20A-60FEE21070C5}">
      <text>
        <r>
          <rPr>
            <sz val="9"/>
            <color indexed="81"/>
            <rFont val="Tahoma"/>
            <family val="2"/>
          </rPr>
          <t>Reference from "Demand Model)</t>
        </r>
      </text>
    </comment>
  </commentList>
</comments>
</file>

<file path=xl/sharedStrings.xml><?xml version="1.0" encoding="utf-8"?>
<sst xmlns="http://schemas.openxmlformats.org/spreadsheetml/2006/main" count="683" uniqueCount="344">
  <si>
    <t>electricity_consumption_gwh</t>
  </si>
  <si>
    <t>Goods Producing Industry</t>
  </si>
  <si>
    <t>Business Services and Transport Industry</t>
  </si>
  <si>
    <t>Households</t>
  </si>
  <si>
    <t>Others</t>
  </si>
  <si>
    <t>TOTAL</t>
  </si>
  <si>
    <t>Year</t>
  </si>
  <si>
    <t>Manufacturing</t>
  </si>
  <si>
    <t>Construction</t>
  </si>
  <si>
    <t>Utilities</t>
  </si>
  <si>
    <t>Other Industry-Related</t>
  </si>
  <si>
    <t>Wholesale and Retail Trade</t>
  </si>
  <si>
    <t>Accomodation and Food Services</t>
  </si>
  <si>
    <t>Information and Communications</t>
  </si>
  <si>
    <t>Financial and Insurance Activities</t>
  </si>
  <si>
    <t>Real Estate Activities</t>
  </si>
  <si>
    <t>Professional, Scientific</t>
  </si>
  <si>
    <t>Other Commercial-Related</t>
  </si>
  <si>
    <t>Transport-Related</t>
  </si>
  <si>
    <t>2020 data</t>
  </si>
  <si>
    <t>Goods</t>
  </si>
  <si>
    <t>Services</t>
  </si>
  <si>
    <t>Transport</t>
  </si>
  <si>
    <t>U</t>
  </si>
  <si>
    <t xml:space="preserve">  </t>
  </si>
  <si>
    <t>Legend</t>
  </si>
  <si>
    <t>Input</t>
  </si>
  <si>
    <t>Decision</t>
  </si>
  <si>
    <t>Parameter</t>
  </si>
  <si>
    <t>Historical</t>
  </si>
  <si>
    <t>Output</t>
  </si>
  <si>
    <t>Intermediate</t>
  </si>
  <si>
    <t>Results</t>
  </si>
  <si>
    <t>Key Results</t>
  </si>
  <si>
    <t>Notes</t>
  </si>
  <si>
    <t>Base Model</t>
  </si>
  <si>
    <t>Demand: Annual Power Consumption (GwH)</t>
  </si>
  <si>
    <t>Supply: Annual Power Available Capacity</t>
  </si>
  <si>
    <t>Solar Power Implementation Rate</t>
  </si>
  <si>
    <t>Goods Producers</t>
  </si>
  <si>
    <t>Services and Transportation</t>
  </si>
  <si>
    <t>Total</t>
  </si>
  <si>
    <t>Years</t>
  </si>
  <si>
    <t>Available Capacity (GwH)</t>
  </si>
  <si>
    <t>Outage Capacity (GwH)</t>
  </si>
  <si>
    <t>Total Capacity (GwH)</t>
  </si>
  <si>
    <t>Availability (%)</t>
  </si>
  <si>
    <t>Normalised Total Capacity (GwH)</t>
  </si>
  <si>
    <t>Normalised Available Capacity 
(GwH)</t>
  </si>
  <si>
    <t>Normalised Outage Capacity 
(GwH)</t>
  </si>
  <si>
    <t>Period</t>
  </si>
  <si>
    <t>Target
(MWp)</t>
  </si>
  <si>
    <t>Average Rate (GW/yr)</t>
  </si>
  <si>
    <t>GDP Contribution</t>
  </si>
  <si>
    <t>Electricity Consumption 
(GWH)</t>
  </si>
  <si>
    <t>Manufacturing  ($M SGD)</t>
  </si>
  <si>
    <t>Construction
($M SGD)</t>
  </si>
  <si>
    <t>Other Goods Producing Industries (Utilities, Agriculture, Fishing, Quarrying) ($M SGD)</t>
  </si>
  <si>
    <t>TOTAL value of Goods produced in SG
($M SGD)</t>
  </si>
  <si>
    <t>Electricity Consumption 
with COVID 
(GWH)</t>
  </si>
  <si>
    <t>Electrical Consumption</t>
  </si>
  <si>
    <t>Wholesale &amp; Retail Trade And Transportation &amp; Storage 
($M SGD)</t>
  </si>
  <si>
    <t>Information &amp; Communications, Finance &amp; Insurance And Professional Services
($M SGD)</t>
  </si>
  <si>
    <t>Accommodation &amp; Food Services, Real Estate, Administrative &amp; Support Services And Other Services Industries
($M SGD)</t>
  </si>
  <si>
    <t>TOTAL value of  Services produced in SG
($M SGD)</t>
  </si>
  <si>
    <t>Electrical Consumption
(GWH)</t>
  </si>
  <si>
    <t>Electrical Consumption with COVID
(GWH)</t>
  </si>
  <si>
    <t>Birth Rate (per 1000)</t>
  </si>
  <si>
    <t>Death Rate (per 1000)</t>
  </si>
  <si>
    <t>Net Migration Rate (per 1000 population)</t>
  </si>
  <si>
    <t>Growth Rate (per 1000)</t>
  </si>
  <si>
    <t>Population</t>
  </si>
  <si>
    <t>Electricity Consumption (GWH)</t>
  </si>
  <si>
    <t>SENSITIVITY ANALYSIS - POPULATION</t>
  </si>
  <si>
    <t>Rate</t>
  </si>
  <si>
    <t>Consumption Slope</t>
  </si>
  <si>
    <t>Intecept</t>
  </si>
  <si>
    <t>Electricity Consumption</t>
  </si>
  <si>
    <t>Net Migration Rate (per 1000)</t>
  </si>
  <si>
    <t>Net Growth Rate (per 100)</t>
  </si>
  <si>
    <t>Electicity Consumption of Households (GWH)</t>
  </si>
  <si>
    <t>Net Growth Rate</t>
  </si>
  <si>
    <t>SENSITIVITY ANALYSIS - GDP</t>
  </si>
  <si>
    <t>SERVICES MODEL</t>
  </si>
  <si>
    <t xml:space="preserve">Slope for consumption per gdp </t>
  </si>
  <si>
    <t xml:space="preserve">intercept for consumption per gdp </t>
  </si>
  <si>
    <t>Total GDP contribution</t>
  </si>
  <si>
    <t>Avg GDP rate</t>
  </si>
  <si>
    <t>consumption for 2021</t>
  </si>
  <si>
    <t>GDP Rate</t>
  </si>
  <si>
    <t>GDP</t>
  </si>
  <si>
    <t>TOTAL by Services and Transportation Industries
($M SGD)</t>
  </si>
  <si>
    <t xml:space="preserve">GDP change </t>
  </si>
  <si>
    <t>AVERAGE</t>
  </si>
  <si>
    <t>GOODS MODEL</t>
  </si>
  <si>
    <t>years</t>
  </si>
  <si>
    <t>TOTAL by Goods Producing Industries 
($M SGD)</t>
  </si>
  <si>
    <t>Growth Rate</t>
  </si>
  <si>
    <t>SENSITIVITY ANALYSIS - COVID IMPACT CONTINUES</t>
  </si>
  <si>
    <t>Household Electricity Consumption- COVID (gwh)</t>
  </si>
  <si>
    <t>Goods Electricity Consumption- COVID (gwh)</t>
  </si>
  <si>
    <t>Services Electricity Consumption- COVID (gwh)</t>
  </si>
  <si>
    <t>Total Electricity Consumption- COVID (gwh)</t>
  </si>
  <si>
    <t>Total Annual Electrical Consumption- CONSIDERING NO COVID (GWH)</t>
  </si>
  <si>
    <t>Number of years covid continues</t>
  </si>
  <si>
    <t>SENSITIVITY ANALYSIS - WORK FROM HOME TREND CONTINUES IN THE NEW NORMAL</t>
  </si>
  <si>
    <t>Base Year</t>
  </si>
  <si>
    <t>Slope</t>
  </si>
  <si>
    <t>Intercept</t>
  </si>
  <si>
    <t>Forecasted Electricity Consumption</t>
  </si>
  <si>
    <t>Household Change</t>
  </si>
  <si>
    <t>GDP Change</t>
  </si>
  <si>
    <t>Solar PV
(MW)</t>
  </si>
  <si>
    <t>Change in Solar PV (MW)</t>
  </si>
  <si>
    <t>Solar energy implementation</t>
  </si>
  <si>
    <t>Target</t>
  </si>
  <si>
    <t>Average Rate (MW/yr)</t>
  </si>
  <si>
    <t>Sensitivity Analysis</t>
  </si>
  <si>
    <t>Power Generation Capacity Model</t>
  </si>
  <si>
    <t>Power generation plants do not last forever and would eventually be decommissioned when it has pushed beyond its useful lifespan (be it loss of maintenance support from OEM, poorer efficiency of machine compared to building a new unit, etc)</t>
  </si>
  <si>
    <t>From 2021 to 2050</t>
  </si>
  <si>
    <t>Typically, the lifespan of a power generation plant is ~25 years.</t>
  </si>
  <si>
    <t>Basis:</t>
  </si>
  <si>
    <t>However, extensive maintenance and/or upgrades may help to extend its typical lifespan and this will be subjected to indvidual business needs and strategy.</t>
  </si>
  <si>
    <t>- Assumed that the power plant will be decommissioned at age 40 years old and above.</t>
  </si>
  <si>
    <t>- Incineration plants are excluded from the assumption age for decommissioning (as their intent is for waste-to-energy and not expected to be main power supply)</t>
  </si>
  <si>
    <t>Hence, we will look at the potential energy crunch that would happen as power generation plants start to decommission at varying plant age, without new power plants being built.</t>
  </si>
  <si>
    <t>- Plant availability is accounted to emulate the actual power generation capacity as power plants undergo outages (plant trip or maintenance) from time to time within a year.</t>
  </si>
  <si>
    <t>Current government plans/target for Solar Farms are included.</t>
  </si>
  <si>
    <t>Extracted from</t>
  </si>
  <si>
    <t>Expected Power Plant Age before decommissioned</t>
  </si>
  <si>
    <t>https://www.ema.gov.sg/Licensees_Electricity_Generation_Company.aspx</t>
  </si>
  <si>
    <t>New Solar Farms</t>
  </si>
  <si>
    <t>Not including new Solar Farms</t>
  </si>
  <si>
    <t>Including new Solar Farms</t>
  </si>
  <si>
    <t>Power Generation Plants in Singapore</t>
  </si>
  <si>
    <t>Total MW (current)</t>
  </si>
  <si>
    <t>Date Now</t>
  </si>
  <si>
    <t>Total Capacity in MW</t>
  </si>
  <si>
    <t>Drop in Capacity</t>
  </si>
  <si>
    <t>Plant Availability</t>
  </si>
  <si>
    <t>Normalized Capacity (MW)</t>
  </si>
  <si>
    <t>Normalized Capacity (MW) with Availability</t>
  </si>
  <si>
    <t>Avg MW Demand</t>
  </si>
  <si>
    <t>Tag</t>
  </si>
  <si>
    <t>Company</t>
  </si>
  <si>
    <t>Type</t>
  </si>
  <si>
    <t>Power Station</t>
  </si>
  <si>
    <t>Capacity (MW per hour)</t>
  </si>
  <si>
    <t>Cumulative Capacity</t>
  </si>
  <si>
    <t>Commercial Operation Date</t>
  </si>
  <si>
    <t>Age (Years)</t>
  </si>
  <si>
    <t>Comments</t>
  </si>
  <si>
    <t>Sembcorp Cogen</t>
  </si>
  <si>
    <t>Cogen</t>
  </si>
  <si>
    <t>SKACCP1</t>
  </si>
  <si>
    <t>SKACCP2</t>
  </si>
  <si>
    <t>SKACCP3</t>
  </si>
  <si>
    <t>Pacific Light Power</t>
  </si>
  <si>
    <t>PACLBLK1</t>
  </si>
  <si>
    <t>PACLBLK2</t>
  </si>
  <si>
    <t>Keppel Merlimau Cogen</t>
  </si>
  <si>
    <t>GRF Unit 1</t>
  </si>
  <si>
    <t>GRF Unit 2</t>
  </si>
  <si>
    <t>GRF Unit 3</t>
  </si>
  <si>
    <t>GRF Unit 4</t>
  </si>
  <si>
    <t>National Enviroment Agency</t>
  </si>
  <si>
    <t>Incineration</t>
  </si>
  <si>
    <t>Tuas Incineration Plant</t>
  </si>
  <si>
    <t>Tuas South Incineration Plant</t>
  </si>
  <si>
    <t>Tuas Power Generation</t>
  </si>
  <si>
    <t>TUACCP1</t>
  </si>
  <si>
    <t>TUACCP2</t>
  </si>
  <si>
    <t>TUACCP3</t>
  </si>
  <si>
    <t>TUACCP4</t>
  </si>
  <si>
    <t>TUACCP5</t>
  </si>
  <si>
    <t>Shell Eastern Petroleum</t>
  </si>
  <si>
    <t>ECCSTG</t>
  </si>
  <si>
    <t>ECCSGTG</t>
  </si>
  <si>
    <t>Senoko Waste-To-Energy</t>
  </si>
  <si>
    <t>Senoko Incineration Plant</t>
  </si>
  <si>
    <t>Senoko Energy</t>
  </si>
  <si>
    <t>SNKCCP1</t>
  </si>
  <si>
    <t>SNKCCP2</t>
  </si>
  <si>
    <t>SNKCCP3</t>
  </si>
  <si>
    <t>SNKCCP4</t>
  </si>
  <si>
    <t>SNKCCP5</t>
  </si>
  <si>
    <t>SNKCCP6</t>
  </si>
  <si>
    <t>SNKCCP7</t>
  </si>
  <si>
    <t>ExxonMobil Asia Pacific</t>
  </si>
  <si>
    <t>GTG 3</t>
  </si>
  <si>
    <t>GTG 4</t>
  </si>
  <si>
    <t>GTG A</t>
  </si>
  <si>
    <t>GTG B</t>
  </si>
  <si>
    <t>YTL PowerSeraya</t>
  </si>
  <si>
    <t>PSPS 1 SER G1</t>
  </si>
  <si>
    <t>Original commission date 1/4/1987</t>
  </si>
  <si>
    <t>PSPS 2 SER G2</t>
  </si>
  <si>
    <t>Original commission date 1/10/1987</t>
  </si>
  <si>
    <t>PSPS 3 SER G3</t>
  </si>
  <si>
    <t>Original commission date 1/1/1988</t>
  </si>
  <si>
    <t>JPS GT1</t>
  </si>
  <si>
    <t>JPS GT2</t>
  </si>
  <si>
    <t>PSPS CCP1</t>
  </si>
  <si>
    <t>Insights:</t>
  </si>
  <si>
    <t>PSPS CCP2</t>
  </si>
  <si>
    <t>- Power generation capacity will see a crunch at different points in time from now till 2050, depending on the age when the plants are being decommissioned.</t>
  </si>
  <si>
    <t>PSPS CCP3</t>
  </si>
  <si>
    <t>- Hence this also highlighted the importance and urgency from Government to establish alternative power sources.</t>
  </si>
  <si>
    <t>PSPS CCP4</t>
  </si>
  <si>
    <t>- Expansion in solar farms, importing power from overseas and even a nuclear plant option.</t>
  </si>
  <si>
    <t>Keppel Seghers Tuas Waste-to-Energy</t>
  </si>
  <si>
    <t>Waste-To-Energy Plant</t>
  </si>
  <si>
    <t>- It would be quite unlikely that the crunch will occur in 2032 as industries usually do not operate till the recommended lifespan.</t>
  </si>
  <si>
    <t>Tuaspring</t>
  </si>
  <si>
    <t>TSPBLK1</t>
  </si>
  <si>
    <t>- It is of the business' interest to push the boundaries and squeeze more mileage out of their assets.</t>
  </si>
  <si>
    <t>TP Utilities</t>
  </si>
  <si>
    <t>Unit 1</t>
  </si>
  <si>
    <t>- With better maintenance technology, better operating strategies and cheaper replacement parts (unless it becomes obelete or hard to find), it is possible and economical to push forth this strategy.</t>
  </si>
  <si>
    <t>Unit 2</t>
  </si>
  <si>
    <t>Singapore Refining Company</t>
  </si>
  <si>
    <t>Cogen Unit 01</t>
  </si>
  <si>
    <t>Cogen Unit 02</t>
  </si>
  <si>
    <t>Cogen Unit 03</t>
  </si>
  <si>
    <t>TuasOne</t>
  </si>
  <si>
    <t>Sembcorp Floating Solar</t>
  </si>
  <si>
    <t>Solar</t>
  </si>
  <si>
    <t>Sembfloat</t>
  </si>
  <si>
    <t>Sembcorp Solar</t>
  </si>
  <si>
    <t>Sembsolar</t>
  </si>
  <si>
    <t>Placeholder - Future Solar Farm 1A</t>
  </si>
  <si>
    <t>---</t>
  </si>
  <si>
    <t>Government's target (Operational dates assumed)</t>
  </si>
  <si>
    <t>Placeholder - Future Solar Farm 1B</t>
  </si>
  <si>
    <t>Placeholder - Future Solar Farm 1C</t>
  </si>
  <si>
    <t>Placeholder - Future Solar Farm 2A</t>
  </si>
  <si>
    <t>Placeholder - Future Solar Farm 2B</t>
  </si>
  <si>
    <t>Placeholder - Future Solar Farm 2C</t>
  </si>
  <si>
    <t>Placeholder - Future Solar Farm 2D</t>
  </si>
  <si>
    <t>Placeholder - Future Solar Farm 2E</t>
  </si>
  <si>
    <t>Placeholder - Future Solar Import 3A</t>
  </si>
  <si>
    <t>Placeholder - Future Solar Import 3B</t>
  </si>
  <si>
    <t>Placeholder - Future Solar Import 3C</t>
  </si>
  <si>
    <t>Placeholder - Future Solar Import 3D</t>
  </si>
  <si>
    <t>Placeholder - Future Solar Import 3E</t>
  </si>
  <si>
    <t>Placeholder - Future Solar Import 3F</t>
  </si>
  <si>
    <t>Placeholder - Future Solar Import 3G</t>
  </si>
  <si>
    <t>Placeholder - Future Solar Import 3H</t>
  </si>
  <si>
    <t>Placeholder - Future Solar Import 3I</t>
  </si>
  <si>
    <t>Placeholder - Future Solar Import 3J</t>
  </si>
  <si>
    <t>Placeholder - Future Solar Import 3K</t>
  </si>
  <si>
    <t>Placeholder - Future Solar Import 3L</t>
  </si>
  <si>
    <t>Placeholder - Future Solar Import 3M</t>
  </si>
  <si>
    <t>Placeholder - Future Solar Import 3N</t>
  </si>
  <si>
    <t>Placeholder - Future Solar Import 3O</t>
  </si>
  <si>
    <t>Placeholder - Future Solar Import 3P</t>
  </si>
  <si>
    <t>Placeholder - Future Solar Import 3Q</t>
  </si>
  <si>
    <t>Placeholder - Future Solar Import 3S</t>
  </si>
  <si>
    <t>Placeholder - Future Solar Import 3T</t>
  </si>
  <si>
    <t>Placeholder - Future Solar Import 3U</t>
  </si>
  <si>
    <t>Trade-Off Analysis</t>
  </si>
  <si>
    <t>Change in consumption due to Carbon Tax implementation</t>
  </si>
  <si>
    <t>Notes &amp; Assumptions</t>
  </si>
  <si>
    <t>Solar PV in the future implemented as per SG Green Plan and Solar farm import plan.</t>
  </si>
  <si>
    <t>Implementation of Solar to be done gradually, accumulating an average per year.</t>
  </si>
  <si>
    <t>No decommissioning of power plants of other technology during this period.</t>
  </si>
  <si>
    <t>17% of tax cost to be transferred to consumers, referencing from Sweden case study on power tariffs post carbon tax implementation.</t>
  </si>
  <si>
    <t>Average tariff rates used for households and industries, across different providers.</t>
  </si>
  <si>
    <t>Constistent growth rate assumed for tariffs, due to uncertainty in LNG and Solar markets. Power tariffs does not account for LNG demand/supply swing due to complexity of analysis.</t>
  </si>
  <si>
    <t>Carbon tax from 2024 - 2030 to be assumed as $15/tCO2e, maximum rate based on news articles ($10-$15/tCO2e).</t>
  </si>
  <si>
    <t>Carbon tax adjustment rates assumed to be 5-yearly post 2030.</t>
  </si>
  <si>
    <t>80% of power producers emit more than 25000T GHG annually, hence tax apply to 80% of energy consumed.</t>
  </si>
  <si>
    <t>Assume consumers pattern change as such: Total Electrical Cost (without carbon tax) = Revised Cost + Carbon Tax</t>
  </si>
  <si>
    <t>Remaining Target
(MW)</t>
  </si>
  <si>
    <t>Tax 
($/tCO2e)</t>
  </si>
  <si>
    <t>Tariff Increment Rate</t>
  </si>
  <si>
    <t>% Cost of tax carried by consumer</t>
  </si>
  <si>
    <t>% of Power Producers taxed</t>
  </si>
  <si>
    <t>Tax increment rate</t>
  </si>
  <si>
    <t>Solver = 0</t>
  </si>
  <si>
    <t>post 2030, 5-yearly</t>
  </si>
  <si>
    <t>Model Power Demand 
(GwH)</t>
  </si>
  <si>
    <t>Total Generation (MW)</t>
  </si>
  <si>
    <t>Solar PV 
(MW)</t>
  </si>
  <si>
    <t>% Solar 
(MW)</t>
  </si>
  <si>
    <t>Average CO2 emission rate
(kg CO2/kWh)</t>
  </si>
  <si>
    <t>Carbon Tax Rates
($/tCO2e)</t>
  </si>
  <si>
    <t>Avg Power Tariff without Tax
(SG cents per kWh)</t>
  </si>
  <si>
    <t>Avg Tariff with Carbon Tax (SG cents per kWh)</t>
  </si>
  <si>
    <t>Power Cost without Carbon Tax
($M SGD)</t>
  </si>
  <si>
    <t>Power Cost with Carbon Tax
($M SGD)</t>
  </si>
  <si>
    <t>% Paid to Carbon Tax</t>
  </si>
  <si>
    <t>Total Carbon Tax Paid
($M SGD)</t>
  </si>
  <si>
    <t>Total Carbon Emmission 
(kT CO2e)</t>
  </si>
  <si>
    <t>Revised Power Demand</t>
  </si>
  <si>
    <t>Revised Power Cost
($M SGD)</t>
  </si>
  <si>
    <t>Carbon Tax 
($M SGD)</t>
  </si>
  <si>
    <t>Cost Difference (with tax - without tax)
($M SGD)</t>
  </si>
  <si>
    <t>Revised Carbon Emmission 
(kT CO2e)</t>
  </si>
  <si>
    <t>Model</t>
  </si>
  <si>
    <t>$10 increment</t>
  </si>
  <si>
    <t>$20 increment</t>
  </si>
  <si>
    <t>$30 increment</t>
  </si>
  <si>
    <t>$40 increment</t>
  </si>
  <si>
    <t>$50 increment</t>
  </si>
  <si>
    <t>Total Power Demand 
(GwH)</t>
  </si>
  <si>
    <t>Revised Carbon Emissions</t>
  </si>
  <si>
    <t>Month</t>
  </si>
  <si>
    <t>Outage Capacity (MW)</t>
  </si>
  <si>
    <t>Remaining Capacity (MW)</t>
  </si>
  <si>
    <t>No. of Hours</t>
  </si>
  <si>
    <t>Outage Capacity
(GwH)</t>
  </si>
  <si>
    <t>Remaining Capacity (GwH)</t>
  </si>
  <si>
    <t>Total Capacity 
(MwH)</t>
  </si>
  <si>
    <t>Data</t>
  </si>
  <si>
    <t xml:space="preserve">-&gt; </t>
  </si>
  <si>
    <t>Outage Cap. (GwH)</t>
  </si>
  <si>
    <t>Remaining Cap. (GwH)</t>
  </si>
  <si>
    <t>2003</t>
  </si>
  <si>
    <t>2004</t>
  </si>
  <si>
    <t>2005</t>
  </si>
  <si>
    <t>2006</t>
  </si>
  <si>
    <t>2007</t>
  </si>
  <si>
    <t>2008</t>
  </si>
  <si>
    <t>2009</t>
  </si>
  <si>
    <t>2010</t>
  </si>
  <si>
    <t>2011</t>
  </si>
  <si>
    <t>2012</t>
  </si>
  <si>
    <t>2013</t>
  </si>
  <si>
    <t>2014</t>
  </si>
  <si>
    <t>2015</t>
  </si>
  <si>
    <t>2016</t>
  </si>
  <si>
    <t>2017</t>
  </si>
  <si>
    <t>2018</t>
  </si>
  <si>
    <t>2019</t>
  </si>
  <si>
    <t>2020</t>
  </si>
  <si>
    <t>2021</t>
  </si>
  <si>
    <t>Grand Total</t>
  </si>
  <si>
    <t>Max Avg GwH Demand</t>
  </si>
  <si>
    <t>Min Avg GwH Demand</t>
  </si>
  <si>
    <t>Max MW Demand</t>
  </si>
  <si>
    <t>Min MW Demand</t>
  </si>
  <si>
    <t>Trade-Off Analysis (Results from Solver)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</si>
</sst>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Red]\-&quot;$&quot;#,##0"/>
    <numFmt numFmtId="44" formatCode="_-&quot;$&quot;* #,##0.00_-;\-&quot;$&quot;* #,##0.00_-;_-&quot;$&quot;* &quot;-&quot;??_-;_-@_-"/>
    <numFmt numFmtId="43" formatCode="_-* #,##0.00_-;\-* #,##0.00_-;_-* &quot;-&quot;??_-;_-@_-"/>
    <numFmt numFmtId="164" formatCode="0.000"/>
    <numFmt numFmtId="165" formatCode="0.0000"/>
    <numFmt numFmtId="166" formatCode="0.0"/>
    <numFmt numFmtId="167" formatCode="0.0%"/>
    <numFmt numFmtId="168" formatCode="yyyy"/>
    <numFmt numFmtId="169" formatCode="0.0000000"/>
    <numFmt numFmtId="170" formatCode="0.0000000000000000%"/>
    <numFmt numFmtId="171" formatCode="&quot;$&quot;#,##0.00"/>
    <numFmt numFmtId="172" formatCode="0.0000%"/>
  </numFmts>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0"/>
      <name val="Arial"/>
      <family val="2"/>
    </font>
    <font>
      <b/>
      <sz val="10"/>
      <name val="Arial"/>
      <family val="2"/>
    </font>
    <font>
      <sz val="10"/>
      <color theme="1"/>
      <name val="Arial"/>
      <family val="2"/>
    </font>
    <font>
      <sz val="8"/>
      <name val="Calibri"/>
      <family val="2"/>
      <scheme val="minor"/>
    </font>
    <font>
      <sz val="11"/>
      <color theme="2"/>
      <name val="Calibri"/>
      <family val="2"/>
      <scheme val="minor"/>
    </font>
    <font>
      <sz val="11"/>
      <name val="Calibri"/>
      <family val="2"/>
      <scheme val="minor"/>
    </font>
    <font>
      <b/>
      <sz val="14"/>
      <color theme="1"/>
      <name val="Calibri"/>
      <family val="2"/>
      <scheme val="minor"/>
    </font>
    <font>
      <u/>
      <sz val="11"/>
      <color theme="10"/>
      <name val="Calibri"/>
      <family val="2"/>
      <scheme val="minor"/>
    </font>
    <font>
      <sz val="9"/>
      <color indexed="81"/>
      <name val="Tahoma"/>
      <family val="2"/>
    </font>
    <font>
      <b/>
      <sz val="16"/>
      <color theme="1"/>
      <name val="Calibri"/>
      <family val="2"/>
      <scheme val="minor"/>
    </font>
    <font>
      <b/>
      <sz val="18"/>
      <color theme="1"/>
      <name val="Calibri"/>
      <family val="2"/>
      <scheme val="minor"/>
    </font>
    <font>
      <i/>
      <sz val="16"/>
      <color theme="1"/>
      <name val="Calibri"/>
      <family val="2"/>
      <scheme val="minor"/>
    </font>
    <font>
      <sz val="11"/>
      <name val="Calibri"/>
      <family val="2"/>
    </font>
    <font>
      <sz val="11"/>
      <color rgb="FFFF0000"/>
      <name val="Calibri"/>
      <family val="2"/>
    </font>
    <font>
      <b/>
      <u/>
      <sz val="11"/>
      <color theme="1"/>
      <name val="Calibri"/>
      <family val="2"/>
      <scheme val="minor"/>
    </font>
    <font>
      <u/>
      <sz val="11"/>
      <color theme="1"/>
      <name val="Calibri"/>
      <family val="2"/>
      <scheme val="minor"/>
    </font>
    <font>
      <sz val="11"/>
      <color theme="9"/>
      <name val="Calibri"/>
      <family val="2"/>
      <scheme val="minor"/>
    </font>
    <font>
      <sz val="10"/>
      <color indexed="9"/>
      <name val="Arial"/>
      <family val="2"/>
    </font>
    <font>
      <sz val="10"/>
      <color indexed="63"/>
      <name val="Arial"/>
      <family val="2"/>
    </font>
  </fonts>
  <fills count="5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7" tint="0.79998168889431442"/>
        <bgColor indexed="64"/>
      </patternFill>
    </fill>
    <fill>
      <patternFill patternType="solid">
        <fgColor rgb="FFFFFFCC"/>
        <bgColor indexed="64"/>
      </patternFill>
    </fill>
    <fill>
      <patternFill patternType="solid">
        <fgColor theme="8" tint="-0.249977111117893"/>
        <bgColor indexed="64"/>
      </patternFill>
    </fill>
    <fill>
      <patternFill patternType="solid">
        <fgColor rgb="FFFFFF0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4" tint="-0.249977111117893"/>
        <bgColor indexed="64"/>
      </patternFill>
    </fill>
    <fill>
      <patternFill patternType="solid">
        <fgColor theme="7"/>
        <bgColor indexed="64"/>
      </patternFill>
    </fill>
    <fill>
      <patternFill patternType="solid">
        <fgColor theme="5" tint="0.79998168889431442"/>
        <bgColor indexed="64"/>
      </patternFill>
    </fill>
    <fill>
      <patternFill patternType="solid">
        <fgColor theme="6"/>
        <bgColor indexed="64"/>
      </patternFill>
    </fill>
    <fill>
      <patternFill patternType="solid">
        <fgColor rgb="FFD9D9D9"/>
        <bgColor rgb="FF000000"/>
      </patternFill>
    </fill>
    <fill>
      <patternFill patternType="solid">
        <fgColor theme="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49998474074526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2"/>
        <bgColor indexed="64"/>
      </patternFill>
    </fill>
    <fill>
      <patternFill patternType="solid">
        <fgColor indexed="24"/>
        <bgColor indexed="64"/>
      </patternFill>
    </fill>
    <fill>
      <patternFill patternType="solid">
        <fgColor rgb="FF9999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medium">
        <color indexed="64"/>
      </bottom>
      <diagonal/>
    </border>
    <border>
      <left/>
      <right/>
      <top style="medium">
        <color indexed="64"/>
      </top>
      <bottom style="thin">
        <color auto="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indexed="64"/>
      </left>
      <right style="thin">
        <color indexed="64"/>
      </right>
      <top/>
      <bottom/>
      <diagonal/>
    </border>
  </borders>
  <cellStyleXfs count="49">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9" fillId="0" borderId="0"/>
    <xf numFmtId="0" fontId="19" fillId="0" borderId="0"/>
    <xf numFmtId="0" fontId="26" fillId="0" borderId="0" applyNumberFormat="0" applyFill="0" applyBorder="0" applyAlignment="0" applyProtection="0"/>
    <xf numFmtId="0" fontId="19" fillId="0" borderId="0"/>
  </cellStyleXfs>
  <cellXfs count="344">
    <xf numFmtId="0" fontId="0" fillId="0" borderId="0" xfId="0"/>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2" fontId="0" fillId="0" borderId="0" xfId="0" applyNumberFormat="1" applyAlignment="1">
      <alignment horizontal="center"/>
    </xf>
    <xf numFmtId="0" fontId="0" fillId="0" borderId="10" xfId="0" applyBorder="1" applyAlignment="1">
      <alignment horizontal="center" vertical="center" wrapText="1"/>
    </xf>
    <xf numFmtId="2" fontId="0" fillId="0" borderId="10" xfId="0" applyNumberFormat="1" applyBorder="1" applyAlignment="1">
      <alignment horizontal="center" vertical="center" wrapText="1"/>
    </xf>
    <xf numFmtId="2" fontId="0" fillId="0" borderId="10" xfId="0" applyNumberFormat="1" applyBorder="1" applyAlignment="1">
      <alignment horizontal="center"/>
    </xf>
    <xf numFmtId="0" fontId="0" fillId="0" borderId="15" xfId="0" applyBorder="1" applyAlignment="1">
      <alignment horizontal="center" vertical="center" wrapText="1"/>
    </xf>
    <xf numFmtId="0" fontId="0" fillId="0" borderId="16" xfId="0" applyBorder="1" applyAlignment="1">
      <alignment horizontal="center" vertical="center" wrapText="1"/>
    </xf>
    <xf numFmtId="2" fontId="0" fillId="0" borderId="16" xfId="0" applyNumberFormat="1" applyBorder="1" applyAlignment="1">
      <alignment horizontal="center" vertical="center" wrapText="1"/>
    </xf>
    <xf numFmtId="2" fontId="0" fillId="0" borderId="16" xfId="0" applyNumberFormat="1" applyBorder="1" applyAlignment="1">
      <alignment horizontal="center"/>
    </xf>
    <xf numFmtId="0" fontId="0" fillId="0" borderId="21" xfId="0" applyBorder="1" applyAlignment="1">
      <alignment horizontal="center" vertical="center" wrapText="1"/>
    </xf>
    <xf numFmtId="2" fontId="0" fillId="0" borderId="21" xfId="0" applyNumberFormat="1" applyBorder="1" applyAlignment="1">
      <alignment horizontal="center" vertical="center" wrapText="1"/>
    </xf>
    <xf numFmtId="2" fontId="0" fillId="0" borderId="22" xfId="0" applyNumberFormat="1" applyBorder="1" applyAlignment="1">
      <alignment horizontal="center" vertical="center" wrapText="1"/>
    </xf>
    <xf numFmtId="2" fontId="0" fillId="0" borderId="21" xfId="0" applyNumberFormat="1" applyBorder="1" applyAlignment="1">
      <alignment horizontal="center"/>
    </xf>
    <xf numFmtId="0" fontId="0" fillId="0" borderId="22" xfId="0" applyBorder="1" applyAlignment="1">
      <alignment horizontal="center" vertical="center" wrapText="1"/>
    </xf>
    <xf numFmtId="0" fontId="0" fillId="0" borderId="26" xfId="0" applyBorder="1" applyAlignment="1">
      <alignment horizontal="center" vertical="center"/>
    </xf>
    <xf numFmtId="0" fontId="0" fillId="0" borderId="28" xfId="0" applyBorder="1" applyAlignment="1">
      <alignment horizontal="center" vertical="center"/>
    </xf>
    <xf numFmtId="2" fontId="0" fillId="0" borderId="29" xfId="0" applyNumberFormat="1" applyBorder="1" applyAlignment="1">
      <alignment horizontal="center"/>
    </xf>
    <xf numFmtId="2" fontId="0" fillId="0" borderId="0" xfId="0" applyNumberFormat="1" applyAlignment="1">
      <alignment horizontal="center" vertical="center"/>
    </xf>
    <xf numFmtId="0" fontId="0" fillId="0" borderId="0" xfId="0" applyAlignment="1">
      <alignment horizontal="right"/>
    </xf>
    <xf numFmtId="0" fontId="0" fillId="0" borderId="10" xfId="0" applyBorder="1"/>
    <xf numFmtId="0" fontId="0" fillId="0" borderId="10" xfId="0" applyBorder="1" applyAlignment="1">
      <alignment horizontal="center" vertical="center"/>
    </xf>
    <xf numFmtId="0" fontId="0" fillId="0" borderId="0" xfId="0" applyAlignment="1">
      <alignment horizontal="center" wrapText="1"/>
    </xf>
    <xf numFmtId="17" fontId="20" fillId="33" borderId="10" xfId="45" applyNumberFormat="1" applyFont="1" applyFill="1" applyBorder="1" applyAlignment="1">
      <alignment horizontal="left" vertical="center" wrapText="1"/>
    </xf>
    <xf numFmtId="0" fontId="20" fillId="33" borderId="10" xfId="45" applyFont="1" applyFill="1" applyBorder="1" applyAlignment="1">
      <alignment horizontal="center" vertical="center" wrapText="1"/>
    </xf>
    <xf numFmtId="0" fontId="20" fillId="0" borderId="10" xfId="45" applyFont="1" applyBorder="1" applyAlignment="1">
      <alignment horizontal="center" vertical="center" wrapText="1"/>
    </xf>
    <xf numFmtId="0" fontId="16" fillId="0" borderId="10" xfId="0" applyFont="1" applyBorder="1" applyAlignment="1">
      <alignment horizontal="center" vertical="center" wrapText="1"/>
    </xf>
    <xf numFmtId="0" fontId="0" fillId="0" borderId="33" xfId="0" applyBorder="1" applyAlignment="1">
      <alignment horizontal="center"/>
    </xf>
    <xf numFmtId="0" fontId="0" fillId="0" borderId="34" xfId="0" applyBorder="1"/>
    <xf numFmtId="0" fontId="0" fillId="0" borderId="35" xfId="0" applyBorder="1"/>
    <xf numFmtId="17" fontId="21" fillId="33" borderId="10" xfId="45" applyNumberFormat="1" applyFont="1" applyFill="1" applyBorder="1" applyAlignment="1">
      <alignment horizontal="left" wrapText="1"/>
    </xf>
    <xf numFmtId="1" fontId="21" fillId="33" borderId="10" xfId="45" applyNumberFormat="1" applyFont="1" applyFill="1" applyBorder="1" applyAlignment="1">
      <alignment horizontal="center" wrapText="1"/>
    </xf>
    <xf numFmtId="1" fontId="21" fillId="0" borderId="10" xfId="45" applyNumberFormat="1" applyFont="1" applyBorder="1" applyAlignment="1">
      <alignment horizontal="center" wrapText="1"/>
    </xf>
    <xf numFmtId="1" fontId="0" fillId="0" borderId="10" xfId="0" applyNumberFormat="1" applyBorder="1" applyAlignment="1">
      <alignment horizontal="center"/>
    </xf>
    <xf numFmtId="0" fontId="21" fillId="33" borderId="10" xfId="45" applyFont="1" applyFill="1" applyBorder="1" applyAlignment="1">
      <alignment horizontal="center" wrapText="1"/>
    </xf>
    <xf numFmtId="0" fontId="21" fillId="33" borderId="10" xfId="45" applyFont="1" applyFill="1" applyBorder="1" applyAlignment="1">
      <alignment horizontal="center"/>
    </xf>
    <xf numFmtId="17" fontId="19" fillId="33" borderId="10" xfId="45" applyNumberFormat="1" applyFill="1" applyBorder="1" applyAlignment="1">
      <alignment horizontal="left" wrapText="1"/>
    </xf>
    <xf numFmtId="0" fontId="19" fillId="33" borderId="10" xfId="45" applyFill="1" applyBorder="1" applyAlignment="1">
      <alignment horizontal="center" wrapText="1"/>
    </xf>
    <xf numFmtId="1" fontId="19" fillId="33" borderId="10" xfId="46" applyNumberFormat="1" applyFill="1" applyBorder="1" applyAlignment="1">
      <alignment horizontal="center"/>
    </xf>
    <xf numFmtId="166" fontId="19" fillId="33" borderId="10" xfId="45" applyNumberFormat="1" applyFill="1" applyBorder="1" applyAlignment="1">
      <alignment horizontal="center" wrapText="1"/>
    </xf>
    <xf numFmtId="0" fontId="21" fillId="33" borderId="10" xfId="0" applyFont="1" applyFill="1" applyBorder="1" applyAlignment="1">
      <alignment horizontal="center" wrapText="1"/>
    </xf>
    <xf numFmtId="0" fontId="21" fillId="33" borderId="10" xfId="0" applyFont="1" applyFill="1" applyBorder="1" applyAlignment="1">
      <alignment horizontal="center"/>
    </xf>
    <xf numFmtId="0" fontId="21" fillId="0" borderId="0" xfId="0" applyFont="1"/>
    <xf numFmtId="0" fontId="21" fillId="0" borderId="0" xfId="0" applyFont="1" applyAlignment="1">
      <alignment horizontal="center" vertical="center" wrapText="1"/>
    </xf>
    <xf numFmtId="0" fontId="21" fillId="33" borderId="36" xfId="0" applyFont="1" applyFill="1" applyBorder="1" applyAlignment="1">
      <alignment horizontal="center"/>
    </xf>
    <xf numFmtId="17" fontId="19" fillId="33" borderId="37" xfId="45" applyNumberFormat="1" applyFill="1" applyBorder="1" applyAlignment="1">
      <alignment horizontal="left" wrapText="1"/>
    </xf>
    <xf numFmtId="0" fontId="0" fillId="33" borderId="10" xfId="0" applyFill="1" applyBorder="1" applyAlignment="1">
      <alignment horizontal="center"/>
    </xf>
    <xf numFmtId="0" fontId="0" fillId="33" borderId="10" xfId="0" applyFill="1" applyBorder="1" applyAlignment="1">
      <alignment horizontal="center" wrapText="1"/>
    </xf>
    <xf numFmtId="1" fontId="0" fillId="33" borderId="10" xfId="0" applyNumberFormat="1" applyFill="1" applyBorder="1" applyAlignment="1">
      <alignment horizontal="center" wrapText="1"/>
    </xf>
    <xf numFmtId="166" fontId="0" fillId="33" borderId="10" xfId="0" applyNumberFormat="1" applyFill="1" applyBorder="1" applyAlignment="1">
      <alignment horizontal="center" wrapText="1"/>
    </xf>
    <xf numFmtId="166" fontId="0" fillId="33" borderId="10" xfId="0" applyNumberFormat="1" applyFill="1" applyBorder="1" applyAlignment="1">
      <alignment horizontal="center"/>
    </xf>
    <xf numFmtId="0" fontId="0" fillId="0" borderId="33" xfId="0" pivotButton="1" applyBorder="1"/>
    <xf numFmtId="0" fontId="0" fillId="0" borderId="0" xfId="0" quotePrefix="1" applyAlignment="1">
      <alignment horizontal="right"/>
    </xf>
    <xf numFmtId="0" fontId="0" fillId="0" borderId="0" xfId="0" applyAlignment="1">
      <alignment vertical="center"/>
    </xf>
    <xf numFmtId="0" fontId="23" fillId="0" borderId="0" xfId="0" applyFont="1"/>
    <xf numFmtId="0" fontId="0" fillId="0" borderId="0" xfId="0" quotePrefix="1" applyAlignment="1">
      <alignment horizontal="center" vertical="center"/>
    </xf>
    <xf numFmtId="0" fontId="24" fillId="0" borderId="0" xfId="0" applyFont="1"/>
    <xf numFmtId="0" fontId="25" fillId="0" borderId="0" xfId="0" applyFont="1" applyAlignment="1">
      <alignment horizontal="center" vertical="center"/>
    </xf>
    <xf numFmtId="0" fontId="16" fillId="0" borderId="0" xfId="0" applyFont="1" applyAlignment="1">
      <alignment horizontal="center" vertical="center"/>
    </xf>
    <xf numFmtId="9" fontId="0" fillId="0" borderId="0" xfId="0" applyNumberFormat="1" applyAlignment="1">
      <alignment horizontal="center" vertical="center"/>
    </xf>
    <xf numFmtId="44" fontId="0" fillId="0" borderId="10" xfId="2" applyFont="1" applyBorder="1" applyAlignment="1">
      <alignment horizontal="center" vertical="center"/>
    </xf>
    <xf numFmtId="167" fontId="0" fillId="0" borderId="10" xfId="44" applyNumberFormat="1" applyFont="1" applyBorder="1" applyAlignment="1">
      <alignment horizontal="center" vertical="center"/>
    </xf>
    <xf numFmtId="44" fontId="0" fillId="0" borderId="10" xfId="0" applyNumberFormat="1" applyBorder="1" applyAlignment="1">
      <alignment horizontal="center" vertical="center"/>
    </xf>
    <xf numFmtId="2" fontId="0" fillId="0" borderId="10" xfId="0" applyNumberFormat="1" applyBorder="1" applyAlignment="1">
      <alignment horizontal="center" vertical="center"/>
    </xf>
    <xf numFmtId="10" fontId="0" fillId="0" borderId="0" xfId="0" applyNumberFormat="1" applyAlignment="1">
      <alignment horizontal="center" vertical="center"/>
    </xf>
    <xf numFmtId="10" fontId="0" fillId="0" borderId="10" xfId="0" applyNumberFormat="1" applyBorder="1" applyAlignment="1">
      <alignment horizontal="center" vertical="center"/>
    </xf>
    <xf numFmtId="44" fontId="0" fillId="33" borderId="10" xfId="2" applyFont="1" applyFill="1" applyBorder="1" applyAlignment="1">
      <alignment horizontal="center" vertical="center"/>
    </xf>
    <xf numFmtId="0" fontId="0" fillId="35" borderId="10" xfId="0" applyFill="1" applyBorder="1" applyAlignment="1">
      <alignment horizontal="center" vertical="center"/>
    </xf>
    <xf numFmtId="2" fontId="0" fillId="35" borderId="10" xfId="0" applyNumberFormat="1" applyFill="1" applyBorder="1" applyAlignment="1">
      <alignment horizontal="center" vertical="center"/>
    </xf>
    <xf numFmtId="0" fontId="0" fillId="0" borderId="0" xfId="0" quotePrefix="1"/>
    <xf numFmtId="0" fontId="17" fillId="36" borderId="10" xfId="0" applyFont="1" applyFill="1" applyBorder="1" applyAlignment="1">
      <alignment horizontal="center" vertical="center" wrapText="1"/>
    </xf>
    <xf numFmtId="0" fontId="13" fillId="36" borderId="10" xfId="0" applyFont="1" applyFill="1" applyBorder="1" applyAlignment="1">
      <alignment horizontal="center" vertical="center"/>
    </xf>
    <xf numFmtId="0" fontId="17" fillId="40" borderId="10" xfId="0" applyFont="1" applyFill="1" applyBorder="1" applyAlignment="1">
      <alignment horizontal="center" vertical="center"/>
    </xf>
    <xf numFmtId="0" fontId="17" fillId="38" borderId="10" xfId="0" applyFont="1" applyFill="1" applyBorder="1" applyAlignment="1">
      <alignment horizontal="center" vertical="center"/>
    </xf>
    <xf numFmtId="0" fontId="16" fillId="39" borderId="10" xfId="0" applyFont="1" applyFill="1" applyBorder="1" applyAlignment="1">
      <alignment horizontal="center" vertical="center" wrapText="1"/>
    </xf>
    <xf numFmtId="0" fontId="16" fillId="41" borderId="10" xfId="0" applyFont="1" applyFill="1" applyBorder="1" applyAlignment="1">
      <alignment horizontal="center" vertical="center" wrapText="1"/>
    </xf>
    <xf numFmtId="0" fontId="13" fillId="40" borderId="10" xfId="0" applyFont="1" applyFill="1" applyBorder="1" applyAlignment="1">
      <alignment horizontal="center" vertical="center" wrapText="1"/>
    </xf>
    <xf numFmtId="168" fontId="0" fillId="34" borderId="10" xfId="0" applyNumberFormat="1" applyFill="1" applyBorder="1" applyAlignment="1">
      <alignment horizontal="center" vertical="center"/>
    </xf>
    <xf numFmtId="2" fontId="24" fillId="0" borderId="10" xfId="0" applyNumberFormat="1" applyFont="1" applyBorder="1" applyAlignment="1">
      <alignment horizontal="center" vertical="center"/>
    </xf>
    <xf numFmtId="2" fontId="14" fillId="0" borderId="10" xfId="0" applyNumberFormat="1" applyFont="1" applyBorder="1" applyAlignment="1">
      <alignment horizontal="center" vertical="center"/>
    </xf>
    <xf numFmtId="15" fontId="0" fillId="0" borderId="10" xfId="0" applyNumberFormat="1" applyBorder="1" applyAlignment="1">
      <alignment horizontal="center" vertical="center"/>
    </xf>
    <xf numFmtId="1" fontId="0" fillId="0" borderId="10" xfId="0" applyNumberFormat="1" applyBorder="1" applyAlignment="1">
      <alignment horizontal="center" vertical="center"/>
    </xf>
    <xf numFmtId="17" fontId="0" fillId="0" borderId="10" xfId="0" applyNumberFormat="1" applyBorder="1" applyAlignment="1">
      <alignment horizontal="center" vertical="center"/>
    </xf>
    <xf numFmtId="0" fontId="0" fillId="42" borderId="10" xfId="0" applyFill="1" applyBorder="1" applyAlignment="1">
      <alignment horizontal="center" vertical="center"/>
    </xf>
    <xf numFmtId="0" fontId="16" fillId="43" borderId="10" xfId="0" applyFont="1" applyFill="1" applyBorder="1" applyAlignment="1">
      <alignment horizontal="center" vertical="center" wrapText="1"/>
    </xf>
    <xf numFmtId="0" fontId="0" fillId="0" borderId="40" xfId="0" applyBorder="1"/>
    <xf numFmtId="0" fontId="0" fillId="0" borderId="41" xfId="0" applyBorder="1"/>
    <xf numFmtId="0" fontId="0" fillId="0" borderId="42" xfId="0" applyBorder="1"/>
    <xf numFmtId="0" fontId="0" fillId="0" borderId="11" xfId="0" applyBorder="1"/>
    <xf numFmtId="0" fontId="16" fillId="0" borderId="0" xfId="0" applyFont="1"/>
    <xf numFmtId="0" fontId="0" fillId="0" borderId="12" xfId="0" applyBorder="1"/>
    <xf numFmtId="0" fontId="26" fillId="0" borderId="0" xfId="47" applyBorder="1"/>
    <xf numFmtId="0" fontId="0" fillId="0" borderId="13" xfId="0" applyBorder="1"/>
    <xf numFmtId="0" fontId="0" fillId="0" borderId="14" xfId="0" applyBorder="1"/>
    <xf numFmtId="0" fontId="0" fillId="0" borderId="43" xfId="0" applyBorder="1"/>
    <xf numFmtId="0" fontId="28" fillId="0" borderId="0" xfId="0" applyFont="1"/>
    <xf numFmtId="0" fontId="30" fillId="0" borderId="0" xfId="0" applyFont="1"/>
    <xf numFmtId="2" fontId="14" fillId="0" borderId="0" xfId="0" applyNumberFormat="1" applyFont="1" applyAlignment="1">
      <alignment horizontal="center" vertical="center"/>
    </xf>
    <xf numFmtId="0" fontId="29" fillId="37" borderId="10" xfId="0" applyFont="1" applyFill="1" applyBorder="1" applyAlignment="1">
      <alignment horizontal="center" vertical="center"/>
    </xf>
    <xf numFmtId="3" fontId="0" fillId="0" borderId="0" xfId="0" applyNumberFormat="1"/>
    <xf numFmtId="0" fontId="18" fillId="0" borderId="0" xfId="0" applyFont="1"/>
    <xf numFmtId="0" fontId="18" fillId="0" borderId="44" xfId="0" applyFont="1" applyBorder="1" applyAlignment="1">
      <alignment horizontal="center" vertical="center"/>
    </xf>
    <xf numFmtId="0" fontId="31" fillId="0" borderId="44" xfId="0" applyFont="1" applyBorder="1" applyAlignment="1">
      <alignment horizontal="center" vertical="center" wrapText="1"/>
    </xf>
    <xf numFmtId="0" fontId="0" fillId="0" borderId="44" xfId="0" applyBorder="1" applyAlignment="1">
      <alignment horizontal="center" vertical="center"/>
    </xf>
    <xf numFmtId="0" fontId="31" fillId="44" borderId="44" xfId="0" applyFont="1" applyFill="1" applyBorder="1" applyAlignment="1">
      <alignment horizontal="center" vertical="center"/>
    </xf>
    <xf numFmtId="0" fontId="32" fillId="0" borderId="44" xfId="0" applyFont="1" applyBorder="1" applyAlignment="1">
      <alignment horizontal="center" vertical="center" wrapText="1"/>
    </xf>
    <xf numFmtId="0" fontId="0" fillId="37" borderId="0" xfId="0" applyFill="1" applyAlignment="1">
      <alignment horizontal="center" vertical="center"/>
    </xf>
    <xf numFmtId="0" fontId="0" fillId="37" borderId="0" xfId="0" applyFill="1" applyAlignment="1">
      <alignment horizontal="center" vertical="center" wrapText="1"/>
    </xf>
    <xf numFmtId="2" fontId="0" fillId="37" borderId="0" xfId="0" applyNumberFormat="1" applyFill="1" applyAlignment="1">
      <alignment horizontal="center"/>
    </xf>
    <xf numFmtId="0" fontId="0" fillId="37" borderId="30" xfId="0" applyFill="1" applyBorder="1" applyAlignment="1">
      <alignment horizontal="center" vertical="center"/>
    </xf>
    <xf numFmtId="2" fontId="0" fillId="37" borderId="23" xfId="0" applyNumberFormat="1" applyFill="1" applyBorder="1" applyAlignment="1">
      <alignment horizontal="center"/>
    </xf>
    <xf numFmtId="2" fontId="0" fillId="37" borderId="24" xfId="0" applyNumberFormat="1" applyFill="1" applyBorder="1" applyAlignment="1">
      <alignment horizontal="center"/>
    </xf>
    <xf numFmtId="2" fontId="0" fillId="37" borderId="25" xfId="0" applyNumberFormat="1" applyFill="1" applyBorder="1" applyAlignment="1">
      <alignment horizontal="center" vertical="center" wrapText="1"/>
    </xf>
    <xf numFmtId="2" fontId="0" fillId="37" borderId="17" xfId="0" applyNumberFormat="1" applyFill="1" applyBorder="1" applyAlignment="1">
      <alignment horizontal="center"/>
    </xf>
    <xf numFmtId="2" fontId="0" fillId="37" borderId="31" xfId="0" applyNumberFormat="1" applyFill="1" applyBorder="1" applyAlignment="1">
      <alignment horizontal="center"/>
    </xf>
    <xf numFmtId="0" fontId="0" fillId="0" borderId="0" xfId="0" applyAlignment="1">
      <alignment wrapText="1"/>
    </xf>
    <xf numFmtId="0" fontId="0" fillId="0" borderId="0" xfId="0" applyAlignment="1">
      <alignment horizontal="left"/>
    </xf>
    <xf numFmtId="0" fontId="0" fillId="33" borderId="10" xfId="0" applyFill="1" applyBorder="1" applyAlignment="1">
      <alignment horizontal="center" vertical="center"/>
    </xf>
    <xf numFmtId="2" fontId="0" fillId="33" borderId="10" xfId="0" applyNumberFormat="1" applyFill="1" applyBorder="1" applyAlignment="1">
      <alignment horizontal="center" vertical="center"/>
    </xf>
    <xf numFmtId="10" fontId="0" fillId="35" borderId="10" xfId="0" applyNumberFormat="1" applyFill="1" applyBorder="1" applyAlignment="1">
      <alignment horizontal="center" vertical="center"/>
    </xf>
    <xf numFmtId="10" fontId="0" fillId="0" borderId="10" xfId="44" applyNumberFormat="1" applyFont="1" applyBorder="1" applyAlignment="1">
      <alignment horizontal="center" vertical="center"/>
    </xf>
    <xf numFmtId="169" fontId="0" fillId="0" borderId="0" xfId="0" applyNumberFormat="1"/>
    <xf numFmtId="44" fontId="0" fillId="33" borderId="10" xfId="2" applyFont="1" applyFill="1" applyBorder="1" applyAlignment="1">
      <alignment horizontal="center"/>
    </xf>
    <xf numFmtId="2" fontId="0" fillId="33" borderId="10" xfId="0" applyNumberFormat="1" applyFill="1" applyBorder="1" applyAlignment="1">
      <alignment horizontal="center"/>
    </xf>
    <xf numFmtId="165" fontId="0" fillId="0" borderId="10" xfId="0" applyNumberFormat="1" applyBorder="1"/>
    <xf numFmtId="0" fontId="0" fillId="0" borderId="10" xfId="0" applyBorder="1" applyAlignment="1">
      <alignment horizontal="center"/>
    </xf>
    <xf numFmtId="44" fontId="0" fillId="0" borderId="10" xfId="2" applyFont="1" applyBorder="1" applyAlignment="1">
      <alignment horizontal="center"/>
    </xf>
    <xf numFmtId="2" fontId="0" fillId="34" borderId="10" xfId="0" applyNumberFormat="1" applyFill="1" applyBorder="1" applyAlignment="1">
      <alignment horizontal="center"/>
    </xf>
    <xf numFmtId="0" fontId="0" fillId="33" borderId="45" xfId="0" applyFill="1" applyBorder="1" applyAlignment="1">
      <alignment horizontal="center"/>
    </xf>
    <xf numFmtId="44" fontId="0" fillId="33" borderId="45" xfId="2" applyFont="1" applyFill="1" applyBorder="1" applyAlignment="1">
      <alignment horizontal="center"/>
    </xf>
    <xf numFmtId="44" fontId="0" fillId="33" borderId="45" xfId="2" applyFont="1" applyFill="1" applyBorder="1" applyAlignment="1">
      <alignment horizontal="center" vertical="center"/>
    </xf>
    <xf numFmtId="2" fontId="0" fillId="33" borderId="45" xfId="0" applyNumberFormat="1" applyFill="1" applyBorder="1" applyAlignment="1">
      <alignment horizontal="center"/>
    </xf>
    <xf numFmtId="165" fontId="0" fillId="0" borderId="45" xfId="0" applyNumberFormat="1" applyBorder="1"/>
    <xf numFmtId="0" fontId="0" fillId="0" borderId="24" xfId="0" applyBorder="1" applyAlignment="1">
      <alignment horizontal="center" vertical="center"/>
    </xf>
    <xf numFmtId="0" fontId="0" fillId="0" borderId="24" xfId="0" applyBorder="1" applyAlignment="1">
      <alignment horizontal="center" vertical="center" wrapText="1"/>
    </xf>
    <xf numFmtId="2" fontId="0" fillId="0" borderId="24" xfId="0" applyNumberFormat="1" applyBorder="1" applyAlignment="1">
      <alignment horizontal="center" vertical="center" wrapText="1"/>
    </xf>
    <xf numFmtId="0" fontId="0" fillId="33" borderId="10" xfId="0" applyFill="1" applyBorder="1" applyAlignment="1">
      <alignment horizontal="center" vertical="center" wrapText="1"/>
    </xf>
    <xf numFmtId="2" fontId="0" fillId="33" borderId="10" xfId="0" applyNumberFormat="1" applyFill="1" applyBorder="1" applyAlignment="1">
      <alignment horizontal="center" vertical="center" wrapText="1"/>
    </xf>
    <xf numFmtId="0" fontId="18" fillId="33" borderId="10" xfId="0" applyFont="1" applyFill="1" applyBorder="1" applyAlignment="1">
      <alignment horizontal="center" vertical="center"/>
    </xf>
    <xf numFmtId="3" fontId="0" fillId="33" borderId="10" xfId="2" applyNumberFormat="1" applyFont="1" applyFill="1" applyBorder="1" applyAlignment="1">
      <alignment horizontal="center" vertical="center"/>
    </xf>
    <xf numFmtId="164" fontId="0" fillId="33" borderId="10" xfId="0" applyNumberFormat="1" applyFill="1" applyBorder="1" applyAlignment="1">
      <alignment horizontal="center" vertical="center"/>
    </xf>
    <xf numFmtId="3" fontId="0" fillId="0" borderId="10" xfId="0" applyNumberFormat="1" applyBorder="1" applyAlignment="1">
      <alignment horizontal="center" vertical="center"/>
    </xf>
    <xf numFmtId="0" fontId="0" fillId="33" borderId="45" xfId="0" applyFill="1" applyBorder="1" applyAlignment="1">
      <alignment horizontal="center" vertical="center" wrapText="1"/>
    </xf>
    <xf numFmtId="2" fontId="0" fillId="33" borderId="45" xfId="0" applyNumberFormat="1" applyFill="1" applyBorder="1" applyAlignment="1">
      <alignment horizontal="center" vertical="center"/>
    </xf>
    <xf numFmtId="3" fontId="0" fillId="33" borderId="45" xfId="2" applyNumberFormat="1" applyFont="1" applyFill="1" applyBorder="1" applyAlignment="1">
      <alignment horizontal="center" vertical="center" wrapText="1"/>
    </xf>
    <xf numFmtId="2" fontId="0" fillId="33" borderId="45" xfId="0" applyNumberFormat="1" applyFill="1" applyBorder="1" applyAlignment="1">
      <alignment horizontal="center" vertical="center" wrapText="1"/>
    </xf>
    <xf numFmtId="0" fontId="0" fillId="0" borderId="45" xfId="0" applyBorder="1"/>
    <xf numFmtId="10" fontId="0" fillId="0" borderId="0" xfId="44" applyNumberFormat="1" applyFont="1"/>
    <xf numFmtId="170" fontId="0" fillId="0" borderId="0" xfId="0" applyNumberFormat="1"/>
    <xf numFmtId="0" fontId="0" fillId="0" borderId="10" xfId="0" pivotButton="1" applyBorder="1" applyAlignment="1">
      <alignment horizontal="center"/>
    </xf>
    <xf numFmtId="10" fontId="0" fillId="0" borderId="10" xfId="0" applyNumberFormat="1" applyBorder="1" applyAlignment="1">
      <alignment horizontal="center"/>
    </xf>
    <xf numFmtId="1" fontId="0" fillId="33" borderId="10" xfId="0" applyNumberFormat="1" applyFill="1" applyBorder="1" applyAlignment="1">
      <alignment horizontal="center" vertical="center" wrapText="1"/>
    </xf>
    <xf numFmtId="9" fontId="0" fillId="33" borderId="10" xfId="44" applyFont="1" applyFill="1" applyBorder="1" applyAlignment="1">
      <alignment horizontal="center" vertical="center" wrapText="1"/>
    </xf>
    <xf numFmtId="1" fontId="0" fillId="0" borderId="10" xfId="0" applyNumberFormat="1" applyBorder="1" applyAlignment="1">
      <alignment horizontal="center" vertical="center" wrapText="1"/>
    </xf>
    <xf numFmtId="9" fontId="0" fillId="0" borderId="10" xfId="44" applyFont="1" applyBorder="1" applyAlignment="1">
      <alignment horizontal="center" vertical="center" wrapText="1"/>
    </xf>
    <xf numFmtId="9" fontId="0" fillId="0" borderId="10" xfId="0" applyNumberFormat="1" applyBorder="1" applyAlignment="1">
      <alignment horizontal="center" vertical="center" wrapText="1"/>
    </xf>
    <xf numFmtId="1" fontId="0" fillId="33" borderId="45" xfId="0" applyNumberFormat="1" applyFill="1" applyBorder="1" applyAlignment="1">
      <alignment horizontal="center" vertical="center" wrapText="1"/>
    </xf>
    <xf numFmtId="9" fontId="0" fillId="33" borderId="45" xfId="44" applyFont="1" applyFill="1" applyBorder="1" applyAlignment="1">
      <alignment horizontal="center" vertical="center" wrapText="1"/>
    </xf>
    <xf numFmtId="0" fontId="0" fillId="33" borderId="24" xfId="0" applyFill="1" applyBorder="1" applyAlignment="1">
      <alignment horizontal="center" vertical="center" wrapText="1"/>
    </xf>
    <xf numFmtId="164" fontId="0" fillId="0" borderId="10" xfId="0" applyNumberFormat="1" applyBorder="1" applyAlignment="1">
      <alignment horizontal="center" vertical="center"/>
    </xf>
    <xf numFmtId="0" fontId="0" fillId="0" borderId="10" xfId="0" applyBorder="1" applyAlignment="1">
      <alignment vertical="center"/>
    </xf>
    <xf numFmtId="0" fontId="23" fillId="0" borderId="10" xfId="0" applyFont="1" applyBorder="1" applyAlignment="1">
      <alignment vertical="center"/>
    </xf>
    <xf numFmtId="0" fontId="0" fillId="0" borderId="45" xfId="0" applyBorder="1" applyAlignment="1">
      <alignment horizontal="center" vertical="center"/>
    </xf>
    <xf numFmtId="164" fontId="0" fillId="0" borderId="45" xfId="0" applyNumberFormat="1" applyBorder="1" applyAlignment="1">
      <alignment horizontal="center" vertical="center"/>
    </xf>
    <xf numFmtId="1" fontId="0" fillId="33" borderId="45" xfId="1" applyNumberFormat="1" applyFont="1" applyFill="1" applyBorder="1" applyAlignment="1">
      <alignment horizontal="center"/>
    </xf>
    <xf numFmtId="1" fontId="0" fillId="0" borderId="45" xfId="1" applyNumberFormat="1" applyFont="1" applyBorder="1" applyAlignment="1"/>
    <xf numFmtId="1" fontId="0" fillId="33" borderId="10" xfId="1" applyNumberFormat="1" applyFont="1" applyFill="1" applyBorder="1" applyAlignment="1">
      <alignment horizontal="center"/>
    </xf>
    <xf numFmtId="1" fontId="0" fillId="0" borderId="10" xfId="1" applyNumberFormat="1" applyFont="1" applyBorder="1" applyAlignment="1"/>
    <xf numFmtId="1" fontId="0" fillId="0" borderId="10" xfId="1" applyNumberFormat="1" applyFont="1" applyBorder="1" applyAlignment="1">
      <alignment horizontal="right"/>
    </xf>
    <xf numFmtId="1" fontId="0" fillId="34" borderId="10" xfId="1" applyNumberFormat="1" applyFont="1" applyFill="1" applyBorder="1" applyAlignment="1">
      <alignment horizontal="center"/>
    </xf>
    <xf numFmtId="44" fontId="0" fillId="0" borderId="0" xfId="0" applyNumberFormat="1"/>
    <xf numFmtId="0" fontId="0" fillId="33" borderId="45" xfId="0" applyFill="1" applyBorder="1" applyAlignment="1">
      <alignment horizontal="center" vertical="center"/>
    </xf>
    <xf numFmtId="1" fontId="0" fillId="0" borderId="45" xfId="0" applyNumberFormat="1" applyBorder="1" applyAlignment="1">
      <alignment horizontal="center" vertical="center"/>
    </xf>
    <xf numFmtId="1" fontId="0" fillId="0" borderId="10" xfId="44" applyNumberFormat="1" applyFont="1" applyFill="1" applyBorder="1" applyAlignment="1">
      <alignment horizontal="center" vertical="center" wrapText="1"/>
    </xf>
    <xf numFmtId="1" fontId="0" fillId="0" borderId="45" xfId="44" applyNumberFormat="1" applyFont="1" applyFill="1" applyBorder="1" applyAlignment="1">
      <alignment horizontal="center" vertical="center" wrapText="1"/>
    </xf>
    <xf numFmtId="1" fontId="0" fillId="0" borderId="0" xfId="0" applyNumberFormat="1"/>
    <xf numFmtId="9" fontId="0" fillId="0" borderId="10" xfId="0" applyNumberFormat="1" applyBorder="1"/>
    <xf numFmtId="1" fontId="0" fillId="0" borderId="10" xfId="0" applyNumberFormat="1" applyBorder="1"/>
    <xf numFmtId="2" fontId="0" fillId="0" borderId="10" xfId="0" applyNumberFormat="1" applyBorder="1"/>
    <xf numFmtId="0" fontId="33" fillId="0" borderId="0" xfId="0" applyFont="1" applyAlignment="1">
      <alignment horizontal="left" vertical="center"/>
    </xf>
    <xf numFmtId="0" fontId="0" fillId="0" borderId="0" xfId="0" applyAlignment="1">
      <alignment horizontal="left" vertical="center"/>
    </xf>
    <xf numFmtId="0" fontId="34" fillId="0" borderId="0" xfId="0" applyFont="1" applyAlignment="1">
      <alignment vertical="center"/>
    </xf>
    <xf numFmtId="0" fontId="0" fillId="0" borderId="0" xfId="0" applyAlignment="1">
      <alignment horizontal="right" vertical="center"/>
    </xf>
    <xf numFmtId="0" fontId="35" fillId="0" borderId="0" xfId="0" applyFont="1"/>
    <xf numFmtId="0" fontId="35" fillId="0" borderId="0" xfId="0" applyFont="1" applyAlignment="1">
      <alignment horizontal="center" vertical="center"/>
    </xf>
    <xf numFmtId="0" fontId="24" fillId="47" borderId="0" xfId="0" applyFont="1" applyFill="1" applyAlignment="1">
      <alignment horizontal="center" vertical="center"/>
    </xf>
    <xf numFmtId="0" fontId="24" fillId="0" borderId="10" xfId="0" applyFont="1" applyBorder="1" applyAlignment="1">
      <alignment horizontal="center" vertical="center"/>
    </xf>
    <xf numFmtId="1" fontId="24" fillId="0" borderId="10" xfId="0" applyNumberFormat="1" applyFont="1" applyBorder="1" applyAlignment="1">
      <alignment horizontal="center" vertical="center"/>
    </xf>
    <xf numFmtId="0" fontId="24" fillId="0" borderId="0" xfId="0" applyFont="1" applyAlignment="1">
      <alignment horizontal="center" vertical="center"/>
    </xf>
    <xf numFmtId="0" fontId="24" fillId="50" borderId="10" xfId="0" applyFont="1" applyFill="1" applyBorder="1" applyAlignment="1">
      <alignment horizontal="center" vertical="center"/>
    </xf>
    <xf numFmtId="171" fontId="0" fillId="0" borderId="10" xfId="0" applyNumberFormat="1" applyBorder="1" applyAlignment="1">
      <alignment horizontal="center" vertical="center" wrapText="1"/>
    </xf>
    <xf numFmtId="172" fontId="0" fillId="0" borderId="10" xfId="44" applyNumberFormat="1" applyFont="1" applyBorder="1" applyAlignment="1">
      <alignment horizontal="center" vertical="center"/>
    </xf>
    <xf numFmtId="1" fontId="0" fillId="0" borderId="10" xfId="44" applyNumberFormat="1" applyFont="1" applyBorder="1" applyAlignment="1">
      <alignment horizontal="center" vertical="center"/>
    </xf>
    <xf numFmtId="171" fontId="0" fillId="0" borderId="10" xfId="0" applyNumberFormat="1" applyBorder="1" applyAlignment="1">
      <alignment horizontal="center" vertical="center"/>
    </xf>
    <xf numFmtId="171" fontId="0" fillId="0" borderId="10" xfId="0" applyNumberFormat="1" applyBorder="1" applyAlignment="1">
      <alignment horizontal="center"/>
    </xf>
    <xf numFmtId="0" fontId="24" fillId="0" borderId="10" xfId="0" applyFont="1" applyBorder="1" applyAlignment="1">
      <alignment horizontal="center"/>
    </xf>
    <xf numFmtId="2" fontId="24" fillId="0" borderId="10" xfId="0" applyNumberFormat="1" applyFont="1" applyBorder="1" applyAlignment="1">
      <alignment horizontal="center"/>
    </xf>
    <xf numFmtId="10" fontId="24" fillId="0" borderId="10" xfId="44" applyNumberFormat="1" applyFont="1" applyFill="1" applyBorder="1" applyAlignment="1">
      <alignment horizontal="center"/>
    </xf>
    <xf numFmtId="44" fontId="24" fillId="0" borderId="10" xfId="2" applyFont="1" applyFill="1" applyBorder="1" applyAlignment="1">
      <alignment horizontal="center" vertical="center"/>
    </xf>
    <xf numFmtId="171" fontId="24" fillId="0" borderId="10" xfId="0" applyNumberFormat="1" applyFont="1" applyBorder="1" applyAlignment="1">
      <alignment horizontal="center" vertical="center" wrapText="1"/>
    </xf>
    <xf numFmtId="171" fontId="24" fillId="0" borderId="10" xfId="0" applyNumberFormat="1" applyFont="1" applyBorder="1" applyAlignment="1">
      <alignment horizontal="center" vertical="center"/>
    </xf>
    <xf numFmtId="172" fontId="24" fillId="0" borderId="10" xfId="44" applyNumberFormat="1" applyFont="1" applyFill="1" applyBorder="1" applyAlignment="1">
      <alignment horizontal="center" vertical="center"/>
    </xf>
    <xf numFmtId="1" fontId="24" fillId="0" borderId="10" xfId="44" applyNumberFormat="1" applyFont="1" applyFill="1" applyBorder="1" applyAlignment="1">
      <alignment horizontal="center" vertical="center"/>
    </xf>
    <xf numFmtId="164" fontId="24" fillId="0" borderId="10" xfId="0" applyNumberFormat="1" applyFont="1" applyBorder="1" applyAlignment="1">
      <alignment horizontal="center"/>
    </xf>
    <xf numFmtId="172" fontId="0" fillId="0" borderId="0" xfId="0" applyNumberFormat="1" applyAlignment="1">
      <alignment horizontal="center" vertical="center"/>
    </xf>
    <xf numFmtId="171" fontId="0" fillId="0" borderId="0" xfId="0" applyNumberFormat="1" applyAlignment="1">
      <alignment horizontal="center"/>
    </xf>
    <xf numFmtId="0" fontId="34" fillId="0" borderId="0" xfId="0" applyFont="1" applyAlignment="1">
      <alignment horizontal="center" vertical="center"/>
    </xf>
    <xf numFmtId="0" fontId="17" fillId="46" borderId="0" xfId="0" applyFont="1" applyFill="1" applyAlignment="1">
      <alignment horizontal="center"/>
    </xf>
    <xf numFmtId="0" fontId="0" fillId="34" borderId="0" xfId="0" applyFill="1" applyAlignment="1">
      <alignment horizontal="left"/>
    </xf>
    <xf numFmtId="0" fontId="0" fillId="49" borderId="0" xfId="0" applyFill="1" applyAlignment="1">
      <alignment horizontal="left"/>
    </xf>
    <xf numFmtId="0" fontId="0" fillId="41" borderId="0" xfId="0" applyFill="1" applyAlignment="1">
      <alignment horizontal="left"/>
    </xf>
    <xf numFmtId="0" fontId="15" fillId="0" borderId="0" xfId="18" applyAlignment="1">
      <alignment horizontal="left"/>
    </xf>
    <xf numFmtId="0" fontId="0" fillId="51" borderId="0" xfId="0" applyFill="1" applyAlignment="1">
      <alignment horizontal="left"/>
    </xf>
    <xf numFmtId="2" fontId="0" fillId="49" borderId="10" xfId="0" applyNumberFormat="1" applyFill="1" applyBorder="1" applyAlignment="1">
      <alignment horizontal="center"/>
    </xf>
    <xf numFmtId="1" fontId="0" fillId="49" borderId="45" xfId="0" applyNumberFormat="1" applyFill="1" applyBorder="1" applyAlignment="1">
      <alignment horizontal="center" vertical="center"/>
    </xf>
    <xf numFmtId="0" fontId="0" fillId="52" borderId="0" xfId="0" applyFill="1" applyAlignment="1">
      <alignment horizontal="left"/>
    </xf>
    <xf numFmtId="9" fontId="0" fillId="52" borderId="10" xfId="44" applyFont="1" applyFill="1" applyBorder="1" applyAlignment="1">
      <alignment horizontal="center" vertical="center" wrapText="1"/>
    </xf>
    <xf numFmtId="9" fontId="0" fillId="52" borderId="10" xfId="0" applyNumberFormat="1" applyFill="1" applyBorder="1" applyAlignment="1">
      <alignment horizontal="center" vertical="center" wrapText="1"/>
    </xf>
    <xf numFmtId="2" fontId="0" fillId="34" borderId="10" xfId="0" applyNumberFormat="1" applyFill="1" applyBorder="1" applyAlignment="1">
      <alignment horizontal="center" vertical="center" wrapText="1"/>
    </xf>
    <xf numFmtId="1" fontId="0" fillId="34" borderId="10" xfId="0" applyNumberFormat="1" applyFill="1" applyBorder="1" applyAlignment="1">
      <alignment horizontal="center" vertical="center" wrapText="1"/>
    </xf>
    <xf numFmtId="0" fontId="0" fillId="42" borderId="0" xfId="0" applyFill="1" applyAlignment="1">
      <alignment horizontal="left"/>
    </xf>
    <xf numFmtId="164" fontId="0" fillId="42" borderId="10" xfId="0" applyNumberFormat="1" applyFill="1" applyBorder="1" applyAlignment="1">
      <alignment horizontal="center" vertical="center"/>
    </xf>
    <xf numFmtId="0" fontId="0" fillId="53" borderId="45" xfId="0" applyFill="1" applyBorder="1" applyAlignment="1">
      <alignment horizontal="center" vertical="center"/>
    </xf>
    <xf numFmtId="164" fontId="0" fillId="53" borderId="45" xfId="0" applyNumberFormat="1" applyFill="1" applyBorder="1" applyAlignment="1">
      <alignment horizontal="center" vertical="center"/>
    </xf>
    <xf numFmtId="1" fontId="0" fillId="54" borderId="10" xfId="1" applyNumberFormat="1" applyFont="1" applyFill="1" applyBorder="1" applyAlignment="1">
      <alignment horizontal="center"/>
    </xf>
    <xf numFmtId="44" fontId="0" fillId="42" borderId="10" xfId="2" applyFont="1" applyFill="1" applyBorder="1" applyAlignment="1">
      <alignment horizontal="center"/>
    </xf>
    <xf numFmtId="2" fontId="0" fillId="54" borderId="10" xfId="1" applyNumberFormat="1" applyFont="1" applyFill="1" applyBorder="1" applyAlignment="1">
      <alignment horizontal="center"/>
    </xf>
    <xf numFmtId="2" fontId="0" fillId="54" borderId="10" xfId="0" applyNumberFormat="1" applyFill="1" applyBorder="1" applyAlignment="1">
      <alignment horizontal="center" vertical="center"/>
    </xf>
    <xf numFmtId="2" fontId="0" fillId="42" borderId="10" xfId="0" applyNumberFormat="1" applyFill="1" applyBorder="1" applyAlignment="1">
      <alignment horizontal="center" vertical="center"/>
    </xf>
    <xf numFmtId="0" fontId="0" fillId="45" borderId="10" xfId="0" applyFill="1" applyBorder="1" applyAlignment="1">
      <alignment horizontal="center" vertical="center" wrapText="1"/>
    </xf>
    <xf numFmtId="0" fontId="0" fillId="45" borderId="10" xfId="0" applyFill="1" applyBorder="1" applyAlignment="1">
      <alignment horizontal="center" vertical="center"/>
    </xf>
    <xf numFmtId="2" fontId="0" fillId="41" borderId="10" xfId="0" applyNumberFormat="1" applyFill="1" applyBorder="1" applyAlignment="1">
      <alignment horizontal="center"/>
    </xf>
    <xf numFmtId="171" fontId="0" fillId="49" borderId="10" xfId="0" applyNumberFormat="1" applyFill="1" applyBorder="1" applyAlignment="1">
      <alignment horizontal="center"/>
    </xf>
    <xf numFmtId="165" fontId="24" fillId="42" borderId="10" xfId="0" applyNumberFormat="1" applyFont="1" applyFill="1" applyBorder="1" applyAlignment="1">
      <alignment horizontal="center"/>
    </xf>
    <xf numFmtId="171" fontId="24" fillId="42" borderId="10" xfId="0" applyNumberFormat="1" applyFont="1" applyFill="1" applyBorder="1" applyAlignment="1">
      <alignment horizontal="center" vertical="center" wrapText="1"/>
    </xf>
    <xf numFmtId="2" fontId="0" fillId="51" borderId="10" xfId="0" applyNumberFormat="1" applyFill="1" applyBorder="1" applyAlignment="1">
      <alignment horizontal="center" vertical="center"/>
    </xf>
    <xf numFmtId="2" fontId="24" fillId="51" borderId="10" xfId="0" applyNumberFormat="1" applyFont="1" applyFill="1" applyBorder="1" applyAlignment="1">
      <alignment horizontal="center"/>
    </xf>
    <xf numFmtId="0" fontId="24" fillId="51" borderId="10" xfId="0" applyFont="1" applyFill="1" applyBorder="1" applyAlignment="1">
      <alignment horizontal="center"/>
    </xf>
    <xf numFmtId="10" fontId="24" fillId="51" borderId="10" xfId="44" applyNumberFormat="1" applyFont="1" applyFill="1" applyBorder="1" applyAlignment="1">
      <alignment horizontal="center"/>
    </xf>
    <xf numFmtId="165" fontId="0" fillId="51" borderId="10" xfId="0" applyNumberFormat="1" applyFill="1" applyBorder="1" applyAlignment="1">
      <alignment horizontal="center" vertical="center" wrapText="1"/>
    </xf>
    <xf numFmtId="166" fontId="24" fillId="51" borderId="10" xfId="0" applyNumberFormat="1" applyFont="1" applyFill="1" applyBorder="1" applyAlignment="1">
      <alignment horizontal="center"/>
    </xf>
    <xf numFmtId="165" fontId="18" fillId="51" borderId="10" xfId="0" applyNumberFormat="1" applyFont="1" applyFill="1" applyBorder="1" applyAlignment="1">
      <alignment horizontal="center" vertical="center"/>
    </xf>
    <xf numFmtId="165" fontId="0" fillId="51" borderId="10" xfId="0" applyNumberFormat="1" applyFill="1" applyBorder="1" applyAlignment="1">
      <alignment horizontal="center" vertical="top" wrapText="1"/>
    </xf>
    <xf numFmtId="165" fontId="31" fillId="51" borderId="10" xfId="0" applyNumberFormat="1" applyFont="1" applyFill="1" applyBorder="1" applyAlignment="1">
      <alignment horizontal="center" vertical="top" wrapText="1"/>
    </xf>
    <xf numFmtId="0" fontId="0" fillId="0" borderId="38" xfId="0" applyBorder="1"/>
    <xf numFmtId="0" fontId="0" fillId="0" borderId="39" xfId="0" applyBorder="1"/>
    <xf numFmtId="0" fontId="0" fillId="55" borderId="46" xfId="0" applyFill="1" applyBorder="1" applyAlignment="1">
      <alignment horizontal="center" vertical="center"/>
    </xf>
    <xf numFmtId="0" fontId="0" fillId="35" borderId="0" xfId="0" applyFill="1"/>
    <xf numFmtId="0" fontId="0" fillId="35" borderId="12" xfId="0" applyFill="1" applyBorder="1"/>
    <xf numFmtId="0" fontId="0" fillId="35" borderId="14" xfId="0" applyFill="1" applyBorder="1"/>
    <xf numFmtId="0" fontId="0" fillId="35" borderId="43" xfId="0" applyFill="1" applyBorder="1"/>
    <xf numFmtId="0" fontId="0" fillId="0" borderId="37" xfId="0" applyBorder="1"/>
    <xf numFmtId="2" fontId="0" fillId="55" borderId="10" xfId="0" applyNumberFormat="1" applyFill="1" applyBorder="1"/>
    <xf numFmtId="2" fontId="0" fillId="35" borderId="10" xfId="0" applyNumberFormat="1" applyFill="1" applyBorder="1"/>
    <xf numFmtId="2" fontId="0" fillId="35" borderId="10" xfId="0" applyNumberFormat="1" applyFill="1" applyBorder="1" applyAlignment="1">
      <alignment horizontal="center"/>
    </xf>
    <xf numFmtId="0" fontId="0" fillId="0" borderId="10" xfId="0" applyBorder="1" applyAlignment="1">
      <alignment horizontal="right"/>
    </xf>
    <xf numFmtId="0" fontId="0" fillId="37" borderId="38" xfId="0" applyFill="1" applyBorder="1"/>
    <xf numFmtId="0" fontId="0" fillId="37" borderId="39" xfId="0" applyFill="1" applyBorder="1"/>
    <xf numFmtId="0" fontId="0" fillId="52" borderId="10" xfId="0" applyFill="1" applyBorder="1" applyAlignment="1">
      <alignment horizontal="center" vertical="center"/>
    </xf>
    <xf numFmtId="44" fontId="0" fillId="55" borderId="10" xfId="2" applyFont="1" applyFill="1" applyBorder="1" applyAlignment="1">
      <alignment horizontal="center" vertical="center"/>
    </xf>
    <xf numFmtId="2" fontId="0" fillId="55" borderId="10" xfId="0" applyNumberFormat="1" applyFill="1" applyBorder="1" applyAlignment="1">
      <alignment horizontal="center" vertical="center"/>
    </xf>
    <xf numFmtId="0" fontId="0" fillId="55" borderId="10" xfId="1" applyNumberFormat="1" applyFont="1" applyFill="1" applyBorder="1" applyAlignment="1">
      <alignment horizontal="center" vertical="center"/>
    </xf>
    <xf numFmtId="44" fontId="0" fillId="42" borderId="10" xfId="2" applyFont="1" applyFill="1" applyBorder="1" applyAlignment="1">
      <alignment horizontal="center" vertical="center"/>
    </xf>
    <xf numFmtId="2" fontId="0" fillId="42" borderId="10" xfId="0" applyNumberFormat="1" applyFill="1" applyBorder="1"/>
    <xf numFmtId="0" fontId="19" fillId="0" borderId="0" xfId="48"/>
    <xf numFmtId="0" fontId="19" fillId="56" borderId="0" xfId="48" applyFill="1"/>
    <xf numFmtId="0" fontId="19" fillId="56" borderId="0" xfId="48" applyFill="1" applyProtection="1">
      <protection locked="0"/>
    </xf>
    <xf numFmtId="0" fontId="36" fillId="0" borderId="0" xfId="48" applyFont="1" applyAlignment="1" applyProtection="1">
      <alignment horizontal="right"/>
      <protection locked="0"/>
    </xf>
    <xf numFmtId="0" fontId="37" fillId="56" borderId="0" xfId="48" applyFont="1" applyFill="1" applyAlignment="1" applyProtection="1">
      <alignment horizontal="left"/>
      <protection locked="0"/>
    </xf>
    <xf numFmtId="0" fontId="36" fillId="0" borderId="0" xfId="48" applyFont="1" applyProtection="1">
      <protection locked="0"/>
    </xf>
    <xf numFmtId="3" fontId="0" fillId="42" borderId="10" xfId="2" applyNumberFormat="1" applyFont="1" applyFill="1" applyBorder="1" applyAlignment="1">
      <alignment horizontal="center" vertical="center"/>
    </xf>
    <xf numFmtId="0" fontId="17" fillId="45" borderId="10" xfId="0" applyFont="1" applyFill="1" applyBorder="1"/>
    <xf numFmtId="4" fontId="0" fillId="0" borderId="10" xfId="0" applyNumberFormat="1" applyBorder="1"/>
    <xf numFmtId="3" fontId="0" fillId="0" borderId="10" xfId="0" applyNumberFormat="1" applyBorder="1"/>
    <xf numFmtId="0" fontId="0" fillId="0" borderId="10" xfId="0" applyBorder="1" applyProtection="1">
      <protection locked="0"/>
    </xf>
    <xf numFmtId="0" fontId="0" fillId="0" borderId="37" xfId="0" applyBorder="1" applyAlignment="1">
      <alignment horizontal="center" vertical="center"/>
    </xf>
    <xf numFmtId="0" fontId="0" fillId="0" borderId="39" xfId="0" applyBorder="1" applyAlignment="1">
      <alignment horizontal="center" vertical="center"/>
    </xf>
    <xf numFmtId="0" fontId="24" fillId="47" borderId="10" xfId="0" applyFont="1" applyFill="1" applyBorder="1" applyAlignment="1">
      <alignment horizontal="center" vertical="center" wrapText="1"/>
    </xf>
    <xf numFmtId="0" fontId="24" fillId="0" borderId="0" xfId="0" applyFont="1" applyAlignment="1">
      <alignment horizontal="center" vertical="center" wrapText="1"/>
    </xf>
    <xf numFmtId="167" fontId="24" fillId="0" borderId="10" xfId="44" applyNumberFormat="1" applyFont="1" applyBorder="1" applyAlignment="1">
      <alignment horizontal="center" vertical="center"/>
    </xf>
    <xf numFmtId="9" fontId="0" fillId="0" borderId="10" xfId="44" applyFont="1" applyFill="1" applyBorder="1" applyAlignment="1">
      <alignment horizontal="center" vertical="center"/>
    </xf>
    <xf numFmtId="0" fontId="25" fillId="0" borderId="0" xfId="0" applyFont="1" applyAlignment="1">
      <alignment horizontal="left" vertical="center"/>
    </xf>
    <xf numFmtId="0" fontId="0" fillId="47" borderId="10" xfId="0" applyFill="1" applyBorder="1" applyAlignment="1">
      <alignment horizontal="center" vertical="center"/>
    </xf>
    <xf numFmtId="0" fontId="0" fillId="47" borderId="10" xfId="0" applyFill="1" applyBorder="1" applyAlignment="1">
      <alignment horizontal="center" vertical="center" wrapText="1"/>
    </xf>
    <xf numFmtId="0" fontId="24" fillId="47" borderId="10" xfId="0" applyFont="1" applyFill="1" applyBorder="1" applyAlignment="1">
      <alignment horizontal="center" vertical="center"/>
    </xf>
    <xf numFmtId="0" fontId="29" fillId="0" borderId="0" xfId="0" applyFont="1"/>
    <xf numFmtId="4" fontId="0" fillId="0" borderId="0" xfId="0" applyNumberFormat="1" applyAlignment="1">
      <alignment horizontal="center" vertical="center"/>
    </xf>
    <xf numFmtId="22" fontId="0" fillId="0" borderId="0" xfId="0" applyNumberFormat="1"/>
    <xf numFmtId="0" fontId="0" fillId="0" borderId="46" xfId="0" applyBorder="1"/>
    <xf numFmtId="0" fontId="0" fillId="0" borderId="10" xfId="0" applyBorder="1" applyAlignment="1">
      <alignment vertical="center" wrapText="1"/>
    </xf>
    <xf numFmtId="0" fontId="0" fillId="0" borderId="10" xfId="0" applyBorder="1" applyAlignment="1">
      <alignment horizontal="center" vertical="center"/>
    </xf>
    <xf numFmtId="0" fontId="0" fillId="0" borderId="27" xfId="0" applyBorder="1" applyAlignment="1">
      <alignment horizontal="center" vertical="center" wrapText="1"/>
    </xf>
    <xf numFmtId="0" fontId="0" fillId="0" borderId="29"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7" xfId="0" applyBorder="1" applyAlignment="1">
      <alignment horizontal="center" vertical="center"/>
    </xf>
    <xf numFmtId="0" fontId="15" fillId="0" borderId="11" xfId="18" applyBorder="1" applyAlignment="1">
      <alignment horizontal="center"/>
    </xf>
    <xf numFmtId="0" fontId="15" fillId="0" borderId="0" xfId="18" applyBorder="1" applyAlignment="1">
      <alignment horizontal="center"/>
    </xf>
    <xf numFmtId="0" fontId="17" fillId="47" borderId="37" xfId="0" applyFont="1" applyFill="1" applyBorder="1" applyAlignment="1">
      <alignment horizontal="center" vertical="center"/>
    </xf>
    <xf numFmtId="0" fontId="17" fillId="48" borderId="37" xfId="0" applyFont="1" applyFill="1" applyBorder="1" applyAlignment="1">
      <alignment horizontal="center" vertical="center"/>
    </xf>
    <xf numFmtId="0" fontId="17" fillId="46" borderId="11" xfId="0" applyFont="1" applyFill="1" applyBorder="1" applyAlignment="1">
      <alignment horizontal="center" vertical="center"/>
    </xf>
    <xf numFmtId="0" fontId="17" fillId="46" borderId="0" xfId="0" applyFont="1" applyFill="1" applyAlignment="1">
      <alignment horizontal="center" vertical="center"/>
    </xf>
    <xf numFmtId="0" fontId="0" fillId="52" borderId="11" xfId="0" applyFill="1" applyBorder="1" applyAlignment="1">
      <alignment horizontal="center"/>
    </xf>
    <xf numFmtId="0" fontId="0" fillId="52" borderId="0" xfId="0" applyFill="1" applyAlignment="1">
      <alignment horizontal="center"/>
    </xf>
    <xf numFmtId="0" fontId="0" fillId="42" borderId="11" xfId="0" applyFill="1" applyBorder="1" applyAlignment="1">
      <alignment horizontal="center"/>
    </xf>
    <xf numFmtId="0" fontId="0" fillId="42" borderId="0" xfId="0" applyFill="1" applyAlignment="1">
      <alignment horizontal="center"/>
    </xf>
    <xf numFmtId="0" fontId="0" fillId="51" borderId="11" xfId="0" applyFill="1" applyBorder="1" applyAlignment="1">
      <alignment horizontal="center"/>
    </xf>
    <xf numFmtId="0" fontId="0" fillId="51" borderId="0" xfId="0" applyFill="1" applyAlignment="1">
      <alignment horizontal="center"/>
    </xf>
    <xf numFmtId="0" fontId="0" fillId="34" borderId="11" xfId="0" applyFill="1" applyBorder="1" applyAlignment="1">
      <alignment horizontal="center"/>
    </xf>
    <xf numFmtId="0" fontId="0" fillId="34" borderId="0" xfId="0" applyFill="1" applyAlignment="1">
      <alignment horizontal="center"/>
    </xf>
    <xf numFmtId="0" fontId="0" fillId="49" borderId="11" xfId="0" applyFill="1" applyBorder="1" applyAlignment="1">
      <alignment horizontal="center"/>
    </xf>
    <xf numFmtId="0" fontId="0" fillId="49" borderId="0" xfId="0" applyFill="1" applyAlignment="1">
      <alignment horizontal="center"/>
    </xf>
    <xf numFmtId="0" fontId="0" fillId="41" borderId="11" xfId="0" applyFill="1" applyBorder="1" applyAlignment="1">
      <alignment horizontal="center"/>
    </xf>
    <xf numFmtId="0" fontId="0" fillId="41" borderId="0" xfId="0" applyFill="1" applyAlignment="1">
      <alignment horizontal="center"/>
    </xf>
    <xf numFmtId="0" fontId="17" fillId="48" borderId="0" xfId="0" applyFont="1" applyFill="1" applyAlignment="1">
      <alignment horizontal="center" vertical="center"/>
    </xf>
    <xf numFmtId="0" fontId="17" fillId="47" borderId="0" xfId="0" applyFont="1" applyFill="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10" xfId="0" applyBorder="1" applyAlignment="1">
      <alignment horizontal="center"/>
    </xf>
    <xf numFmtId="0" fontId="0" fillId="0" borderId="10" xfId="0" applyBorder="1" applyAlignment="1">
      <alignment horizontal="center" wrapText="1"/>
    </xf>
    <xf numFmtId="0" fontId="0" fillId="0" borderId="36" xfId="0" applyBorder="1" applyAlignment="1">
      <alignment horizontal="center"/>
    </xf>
    <xf numFmtId="0" fontId="0" fillId="0" borderId="45" xfId="0" applyBorder="1" applyAlignment="1">
      <alignment horizontal="center"/>
    </xf>
    <xf numFmtId="0" fontId="16" fillId="38" borderId="37" xfId="0" applyFont="1" applyFill="1" applyBorder="1" applyAlignment="1">
      <alignment horizontal="center" wrapText="1"/>
    </xf>
    <xf numFmtId="0" fontId="16" fillId="38" borderId="38" xfId="0" applyFont="1" applyFill="1" applyBorder="1" applyAlignment="1">
      <alignment horizontal="center" wrapText="1"/>
    </xf>
    <xf numFmtId="0" fontId="16" fillId="39" borderId="37" xfId="0" applyFont="1" applyFill="1" applyBorder="1" applyAlignment="1">
      <alignment horizontal="center" vertical="center" wrapText="1"/>
    </xf>
    <xf numFmtId="0" fontId="16" fillId="39" borderId="38" xfId="0" applyFont="1" applyFill="1" applyBorder="1" applyAlignment="1">
      <alignment horizontal="center" vertical="center" wrapText="1"/>
    </xf>
    <xf numFmtId="0" fontId="16" fillId="39" borderId="39" xfId="0" applyFont="1" applyFill="1" applyBorder="1" applyAlignment="1">
      <alignment horizontal="center" vertical="center" wrapText="1"/>
    </xf>
    <xf numFmtId="0" fontId="13" fillId="40" borderId="37" xfId="0" applyFont="1" applyFill="1" applyBorder="1" applyAlignment="1">
      <alignment horizontal="center" vertical="center" wrapText="1"/>
    </xf>
    <xf numFmtId="0" fontId="13" fillId="40" borderId="38" xfId="0" applyFont="1" applyFill="1" applyBorder="1" applyAlignment="1">
      <alignment horizontal="center" vertical="center" wrapText="1"/>
    </xf>
    <xf numFmtId="0" fontId="13" fillId="40" borderId="39" xfId="0" applyFont="1" applyFill="1" applyBorder="1" applyAlignment="1">
      <alignment horizontal="center" vertical="center" wrapText="1"/>
    </xf>
    <xf numFmtId="0" fontId="0" fillId="0" borderId="0" xfId="0" applyAlignment="1">
      <alignment horizontal="center" vertical="center"/>
    </xf>
    <xf numFmtId="6" fontId="0" fillId="0" borderId="10" xfId="0" applyNumberFormat="1"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0" fontId="19" fillId="57" borderId="0" xfId="48" applyFill="1"/>
    <xf numFmtId="0" fontId="19" fillId="0" borderId="0" xfId="48" applyFill="1"/>
  </cellXfs>
  <cellStyles count="49">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7" builtinId="8"/>
    <cellStyle name="Input" xfId="11" builtinId="20" customBuiltin="1"/>
    <cellStyle name="Linked Cell" xfId="14" builtinId="24" customBuiltin="1"/>
    <cellStyle name="Neutral" xfId="10" builtinId="28" customBuiltin="1"/>
    <cellStyle name="Normal" xfId="0" builtinId="0"/>
    <cellStyle name="Normal 2" xfId="48" xr:uid="{7A5906FB-9705-4CA7-B0B5-5FE40E0B6BB6}"/>
    <cellStyle name="Normal 3 2" xfId="46" xr:uid="{AA0F2E41-8D71-4E06-A54A-244900ED15B1}"/>
    <cellStyle name="Normal 4" xfId="45" xr:uid="{88CFE199-E602-4606-B46B-3A7EF2CAA85D}"/>
    <cellStyle name="Note" xfId="17" builtinId="10" customBuiltin="1"/>
    <cellStyle name="Output" xfId="12" builtinId="21" customBuiltin="1"/>
    <cellStyle name="Percent" xfId="44" builtinId="5"/>
    <cellStyle name="Title" xfId="3" builtinId="15" customBuiltin="1"/>
    <cellStyle name="Total" xfId="19" builtinId="25" customBuiltin="1"/>
    <cellStyle name="Warning Text" xfId="16" builtinId="11" customBuiltin="1"/>
  </cellStyles>
  <dxfs count="15">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14" formatCode="0.00%"/>
    </dxf>
    <dxf>
      <numFmt numFmtId="2" formatCode="0.00"/>
    </dxf>
    <dxf>
      <numFmt numFmtId="2" formatCode="0.00"/>
    </dxf>
    <dxf>
      <alignment horizontal="center"/>
    </dxf>
    <dxf>
      <alignment horizontal="center"/>
    </dxf>
  </dxfs>
  <tableStyles count="0" defaultTableStyle="TableStyleMedium2" defaultPivotStyle="PivotStyleLight16"/>
  <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venir Next LT Pro" panose="020B0504020202020204" pitchFamily="34" charset="0"/>
                <a:ea typeface="+mn-ea"/>
                <a:cs typeface="+mn-cs"/>
              </a:defRPr>
            </a:pPr>
            <a:r>
              <a:rPr lang="en-SG"/>
              <a:t>Annual Power Consumption (GWH) in Singapore</a:t>
            </a:r>
          </a:p>
        </c:rich>
      </c:tx>
      <c:overlay val="0"/>
      <c:spPr>
        <a:noFill/>
        <a:ln>
          <a:noFill/>
        </a:ln>
        <a:effectLst/>
      </c:spPr>
    </c:title>
    <c:autoTitleDeleted val="0"/>
    <c:plotArea>
      <c:layout/>
      <c:scatterChart>
        <c:scatterStyle val="lineMarker"/>
        <c:varyColors val="0"/>
        <c:ser>
          <c:idx val="0"/>
          <c:order val="5"/>
          <c:tx>
            <c:strRef>
              <c:f>'Base Model'!$F$7</c:f>
              <c:strCache>
                <c:ptCount val="1"/>
                <c:pt idx="0">
                  <c:v>Goods Producers</c:v>
                </c:pt>
              </c:strCache>
            </c:strRef>
          </c:tx>
          <c:spPr>
            <a:ln w="25400">
              <a:noFill/>
            </a:ln>
            <a:effectLst/>
          </c:spPr>
          <c:marker>
            <c:symbol val="circle"/>
            <c:size val="5"/>
            <c:spPr>
              <a:solidFill>
                <a:schemeClr val="accent6"/>
              </a:solidFill>
              <a:ln>
                <a:solidFill>
                  <a:schemeClr val="accent6"/>
                </a:solidFill>
              </a:ln>
            </c:spPr>
          </c:marker>
          <c:xVal>
            <c:numRef>
              <c:f>'Base Model'!$E$8:$E$23</c:f>
              <c:numCache>
                <c:formatCode>General</c:formatCode>
                <c:ptCount val="1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numCache>
            </c:numRef>
          </c:xVal>
          <c:yVal>
            <c:numRef>
              <c:f>'Base Model'!$F$8:$F$23</c:f>
              <c:numCache>
                <c:formatCode>0.00</c:formatCode>
                <c:ptCount val="16"/>
                <c:pt idx="0">
                  <c:v>14509.03867398</c:v>
                </c:pt>
                <c:pt idx="1">
                  <c:v>15115.376742599998</c:v>
                </c:pt>
                <c:pt idx="2">
                  <c:v>15818.96501776</c:v>
                </c:pt>
                <c:pt idx="3">
                  <c:v>16030.87601652</c:v>
                </c:pt>
                <c:pt idx="4">
                  <c:v>15570.259369439998</c:v>
                </c:pt>
                <c:pt idx="5">
                  <c:v>17662.576234049997</c:v>
                </c:pt>
                <c:pt idx="6">
                  <c:v>18077.506449780001</c:v>
                </c:pt>
                <c:pt idx="7">
                  <c:v>18572.531231070003</c:v>
                </c:pt>
                <c:pt idx="8">
                  <c:v>18842.820084520001</c:v>
                </c:pt>
                <c:pt idx="9">
                  <c:v>19753.195991640001</c:v>
                </c:pt>
                <c:pt idx="10">
                  <c:v>20088.001957660003</c:v>
                </c:pt>
                <c:pt idx="11">
                  <c:v>20418.4394293</c:v>
                </c:pt>
                <c:pt idx="12">
                  <c:v>21516.323319549996</c:v>
                </c:pt>
                <c:pt idx="13">
                  <c:v>21450.730733389999</c:v>
                </c:pt>
                <c:pt idx="14">
                  <c:v>21444.449255319996</c:v>
                </c:pt>
                <c:pt idx="15">
                  <c:v>20957.2</c:v>
                </c:pt>
              </c:numCache>
            </c:numRef>
          </c:yVal>
          <c:smooth val="0"/>
          <c:extLst>
            <c:ext xmlns:c16="http://schemas.microsoft.com/office/drawing/2014/chart" uri="{C3380CC4-5D6E-409C-BE32-E72D297353CC}">
              <c16:uniqueId val="{00000007-1EB7-459B-972C-FD638DD9F459}"/>
            </c:ext>
          </c:extLst>
        </c:ser>
        <c:ser>
          <c:idx val="2"/>
          <c:order val="7"/>
          <c:tx>
            <c:strRef>
              <c:f>'Base Model'!$H$7</c:f>
              <c:strCache>
                <c:ptCount val="1"/>
                <c:pt idx="0">
                  <c:v>Households</c:v>
                </c:pt>
              </c:strCache>
            </c:strRef>
          </c:tx>
          <c:spPr>
            <a:ln w="25400">
              <a:noFill/>
            </a:ln>
            <a:effectLst/>
          </c:spPr>
          <c:marker>
            <c:symbol val="circle"/>
            <c:size val="5"/>
            <c:spPr>
              <a:solidFill>
                <a:schemeClr val="accent1"/>
              </a:solidFill>
              <a:ln>
                <a:solidFill>
                  <a:schemeClr val="accent1"/>
                </a:solidFill>
              </a:ln>
            </c:spPr>
          </c:marker>
          <c:xVal>
            <c:numRef>
              <c:f>'Base Model'!$E$8:$E$23</c:f>
              <c:numCache>
                <c:formatCode>General</c:formatCode>
                <c:ptCount val="1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numCache>
            </c:numRef>
          </c:xVal>
          <c:yVal>
            <c:numRef>
              <c:f>'Base Model'!$H$8:$H$23</c:f>
              <c:numCache>
                <c:formatCode>0.00</c:formatCode>
                <c:ptCount val="16"/>
                <c:pt idx="0">
                  <c:v>6092.46</c:v>
                </c:pt>
                <c:pt idx="1">
                  <c:v>6109.13</c:v>
                </c:pt>
                <c:pt idx="2">
                  <c:v>6163.74</c:v>
                </c:pt>
                <c:pt idx="3">
                  <c:v>6094.03</c:v>
                </c:pt>
                <c:pt idx="4">
                  <c:v>6430.8</c:v>
                </c:pt>
                <c:pt idx="5">
                  <c:v>6635.97</c:v>
                </c:pt>
                <c:pt idx="6">
                  <c:v>6482.7</c:v>
                </c:pt>
                <c:pt idx="7">
                  <c:v>6629.53</c:v>
                </c:pt>
                <c:pt idx="8">
                  <c:v>6754.91</c:v>
                </c:pt>
                <c:pt idx="9">
                  <c:v>6924.39</c:v>
                </c:pt>
                <c:pt idx="10">
                  <c:v>7220.93</c:v>
                </c:pt>
                <c:pt idx="11">
                  <c:v>7589.44</c:v>
                </c:pt>
                <c:pt idx="12">
                  <c:v>7295.82</c:v>
                </c:pt>
                <c:pt idx="13">
                  <c:v>7221.43</c:v>
                </c:pt>
                <c:pt idx="14">
                  <c:v>7688.01</c:v>
                </c:pt>
                <c:pt idx="15">
                  <c:v>8244.5</c:v>
                </c:pt>
              </c:numCache>
            </c:numRef>
          </c:yVal>
          <c:smooth val="0"/>
          <c:extLst>
            <c:ext xmlns:c16="http://schemas.microsoft.com/office/drawing/2014/chart" uri="{C3380CC4-5D6E-409C-BE32-E72D297353CC}">
              <c16:uniqueId val="{0000000B-1EB7-459B-972C-FD638DD9F459}"/>
            </c:ext>
          </c:extLst>
        </c:ser>
        <c:ser>
          <c:idx val="3"/>
          <c:order val="8"/>
          <c:tx>
            <c:strRef>
              <c:f>'Base Model'!$I$7</c:f>
              <c:strCache>
                <c:ptCount val="1"/>
                <c:pt idx="0">
                  <c:v>Others</c:v>
                </c:pt>
              </c:strCache>
            </c:strRef>
          </c:tx>
          <c:spPr>
            <a:ln w="25400">
              <a:noFill/>
            </a:ln>
            <a:effectLst/>
          </c:spPr>
          <c:marker>
            <c:symbol val="circle"/>
            <c:size val="5"/>
            <c:spPr>
              <a:solidFill>
                <a:schemeClr val="accent4"/>
              </a:solidFill>
              <a:ln>
                <a:solidFill>
                  <a:schemeClr val="accent4"/>
                </a:solidFill>
              </a:ln>
            </c:spPr>
          </c:marker>
          <c:xVal>
            <c:numRef>
              <c:f>'Base Model'!$E$8:$E$23</c:f>
              <c:numCache>
                <c:formatCode>General</c:formatCode>
                <c:ptCount val="1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numCache>
            </c:numRef>
          </c:xVal>
          <c:yVal>
            <c:numRef>
              <c:f>'Base Model'!$I$8:$I$23</c:f>
              <c:numCache>
                <c:formatCode>0.00</c:formatCode>
                <c:ptCount val="16"/>
                <c:pt idx="0">
                  <c:v>612.13975960000005</c:v>
                </c:pt>
                <c:pt idx="1">
                  <c:v>546.18665639999995</c:v>
                </c:pt>
                <c:pt idx="2">
                  <c:v>501.46932709999999</c:v>
                </c:pt>
                <c:pt idx="3">
                  <c:v>457.58549640000001</c:v>
                </c:pt>
                <c:pt idx="4">
                  <c:v>413.94056389999997</c:v>
                </c:pt>
                <c:pt idx="5">
                  <c:v>384.80570519999998</c:v>
                </c:pt>
                <c:pt idx="6">
                  <c:v>346.50770440000002</c:v>
                </c:pt>
                <c:pt idx="7">
                  <c:v>303.96886869999997</c:v>
                </c:pt>
                <c:pt idx="8">
                  <c:v>263.38273240000001</c:v>
                </c:pt>
                <c:pt idx="9">
                  <c:v>237.70066349999999</c:v>
                </c:pt>
                <c:pt idx="10">
                  <c:v>279.13905770000002</c:v>
                </c:pt>
                <c:pt idx="11">
                  <c:v>280.06596469999999</c:v>
                </c:pt>
                <c:pt idx="12">
                  <c:v>276.48227459999998</c:v>
                </c:pt>
                <c:pt idx="13">
                  <c:v>270.70364819999998</c:v>
                </c:pt>
                <c:pt idx="14">
                  <c:v>251.67027659999999</c:v>
                </c:pt>
                <c:pt idx="15">
                  <c:v>129.8651031</c:v>
                </c:pt>
              </c:numCache>
            </c:numRef>
          </c:yVal>
          <c:smooth val="0"/>
          <c:extLst>
            <c:ext xmlns:c16="http://schemas.microsoft.com/office/drawing/2014/chart" uri="{C3380CC4-5D6E-409C-BE32-E72D297353CC}">
              <c16:uniqueId val="{0000000D-1EB7-459B-972C-FD638DD9F459}"/>
            </c:ext>
          </c:extLst>
        </c:ser>
        <c:ser>
          <c:idx val="1"/>
          <c:order val="6"/>
          <c:tx>
            <c:strRef>
              <c:f>'Base Model'!$G$7</c:f>
              <c:strCache>
                <c:ptCount val="1"/>
                <c:pt idx="0">
                  <c:v>Services and Transportation</c:v>
                </c:pt>
              </c:strCache>
            </c:strRef>
          </c:tx>
          <c:spPr>
            <a:ln w="25400">
              <a:noFill/>
            </a:ln>
            <a:effectLst/>
          </c:spPr>
          <c:marker>
            <c:symbol val="diamond"/>
            <c:size val="5"/>
            <c:spPr>
              <a:ln>
                <a:solidFill>
                  <a:schemeClr val="accent2"/>
                </a:solidFill>
              </a:ln>
            </c:spPr>
          </c:marker>
          <c:xVal>
            <c:numRef>
              <c:f>'Base Model'!$E$8:$E$23</c:f>
              <c:numCache>
                <c:formatCode>General</c:formatCode>
                <c:ptCount val="1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numCache>
            </c:numRef>
          </c:xVal>
          <c:yVal>
            <c:numRef>
              <c:f>'Base Model'!$G$8:$G$23</c:f>
              <c:numCache>
                <c:formatCode>0.00</c:formatCode>
                <c:ptCount val="16"/>
                <c:pt idx="0">
                  <c:v>14275.618249000001</c:v>
                </c:pt>
                <c:pt idx="1">
                  <c:v>15031.114292399998</c:v>
                </c:pt>
                <c:pt idx="2">
                  <c:v>15820.738804100001</c:v>
                </c:pt>
                <c:pt idx="3">
                  <c:v>16404.464580600001</c:v>
                </c:pt>
                <c:pt idx="4">
                  <c:v>16407.874312400003</c:v>
                </c:pt>
                <c:pt idx="5">
                  <c:v>17568.402622199999</c:v>
                </c:pt>
                <c:pt idx="6">
                  <c:v>18100.4223385</c:v>
                </c:pt>
                <c:pt idx="7">
                  <c:v>18694.678114300001</c:v>
                </c:pt>
                <c:pt idx="8">
                  <c:v>19087.70264</c:v>
                </c:pt>
                <c:pt idx="9">
                  <c:v>19487.659328599999</c:v>
                </c:pt>
                <c:pt idx="10">
                  <c:v>19925.871674299997</c:v>
                </c:pt>
                <c:pt idx="11">
                  <c:v>20338.691053099999</c:v>
                </c:pt>
                <c:pt idx="12">
                  <c:v>20555.026396699999</c:v>
                </c:pt>
                <c:pt idx="13">
                  <c:v>21506.032864999997</c:v>
                </c:pt>
                <c:pt idx="14">
                  <c:v>22335.898471799999</c:v>
                </c:pt>
                <c:pt idx="15">
                  <c:v>21324.9</c:v>
                </c:pt>
              </c:numCache>
            </c:numRef>
          </c:yVal>
          <c:smooth val="0"/>
          <c:extLst>
            <c:ext xmlns:c16="http://schemas.microsoft.com/office/drawing/2014/chart" uri="{C3380CC4-5D6E-409C-BE32-E72D297353CC}">
              <c16:uniqueId val="{00000009-1EB7-459B-972C-FD638DD9F459}"/>
            </c:ext>
          </c:extLst>
        </c:ser>
        <c:ser>
          <c:idx val="4"/>
          <c:order val="9"/>
          <c:tx>
            <c:strRef>
              <c:f>'Base Model'!$J$7</c:f>
              <c:strCache>
                <c:ptCount val="1"/>
                <c:pt idx="0">
                  <c:v>Total</c:v>
                </c:pt>
              </c:strCache>
            </c:strRef>
          </c:tx>
          <c:spPr>
            <a:ln w="19050">
              <a:noFill/>
            </a:ln>
            <a:effectLst/>
          </c:spPr>
          <c:marker>
            <c:symbol val="circle"/>
            <c:size val="5"/>
            <c:spPr>
              <a:solidFill>
                <a:schemeClr val="tx1"/>
              </a:solidFill>
              <a:ln>
                <a:solidFill>
                  <a:schemeClr val="tx1"/>
                </a:solidFill>
              </a:ln>
            </c:spPr>
          </c:marker>
          <c:xVal>
            <c:numRef>
              <c:f>'Base Model'!$E$8:$E$23</c:f>
              <c:numCache>
                <c:formatCode>General</c:formatCode>
                <c:ptCount val="1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numCache>
            </c:numRef>
          </c:xVal>
          <c:yVal>
            <c:numRef>
              <c:f>'Base Model'!$J$8:$J$23</c:f>
              <c:numCache>
                <c:formatCode>0.00</c:formatCode>
                <c:ptCount val="16"/>
                <c:pt idx="0">
                  <c:v>35489.256682580002</c:v>
                </c:pt>
                <c:pt idx="1">
                  <c:v>36801.807691399998</c:v>
                </c:pt>
                <c:pt idx="2">
                  <c:v>38304.913148959997</c:v>
                </c:pt>
                <c:pt idx="3">
                  <c:v>38986.956093520006</c:v>
                </c:pt>
                <c:pt idx="4">
                  <c:v>38822.874245740008</c:v>
                </c:pt>
                <c:pt idx="5">
                  <c:v>42251.754561449998</c:v>
                </c:pt>
                <c:pt idx="6">
                  <c:v>43007.136492679994</c:v>
                </c:pt>
                <c:pt idx="7">
                  <c:v>44200.708214070008</c:v>
                </c:pt>
                <c:pt idx="8">
                  <c:v>44948.815456919998</c:v>
                </c:pt>
                <c:pt idx="9">
                  <c:v>46402.945983739999</c:v>
                </c:pt>
                <c:pt idx="10">
                  <c:v>47513.942689659998</c:v>
                </c:pt>
                <c:pt idx="11">
                  <c:v>48626.636447099998</c:v>
                </c:pt>
                <c:pt idx="12">
                  <c:v>49643.651990849998</c:v>
                </c:pt>
                <c:pt idx="13">
                  <c:v>50448.897246589993</c:v>
                </c:pt>
                <c:pt idx="14">
                  <c:v>51720.028003719999</c:v>
                </c:pt>
                <c:pt idx="15">
                  <c:v>50656.465103100003</c:v>
                </c:pt>
              </c:numCache>
            </c:numRef>
          </c:yVal>
          <c:smooth val="0"/>
          <c:extLst>
            <c:ext xmlns:c16="http://schemas.microsoft.com/office/drawing/2014/chart" uri="{C3380CC4-5D6E-409C-BE32-E72D297353CC}">
              <c16:uniqueId val="{0000000F-1EB7-459B-972C-FD638DD9F459}"/>
            </c:ext>
          </c:extLst>
        </c:ser>
        <c:dLbls>
          <c:showLegendKey val="0"/>
          <c:showVal val="0"/>
          <c:showCatName val="0"/>
          <c:showSerName val="0"/>
          <c:showPercent val="0"/>
          <c:showBubbleSize val="0"/>
        </c:dLbls>
        <c:axId val="787507423"/>
        <c:axId val="787514079"/>
      </c:scatterChart>
      <c:scatterChart>
        <c:scatterStyle val="smoothMarker"/>
        <c:varyColors val="0"/>
        <c:ser>
          <c:idx val="5"/>
          <c:order val="0"/>
          <c:tx>
            <c:strRef>
              <c:f>'Base Model'!$F$7</c:f>
              <c:strCache>
                <c:ptCount val="1"/>
                <c:pt idx="0">
                  <c:v>Goods Producers</c:v>
                </c:pt>
              </c:strCache>
            </c:strRef>
          </c:tx>
          <c:marker>
            <c:symbol val="none"/>
          </c:marker>
          <c:trendline>
            <c:spPr>
              <a:ln>
                <a:solidFill>
                  <a:schemeClr val="accent6"/>
                </a:solidFill>
                <a:prstDash val="lgDash"/>
              </a:ln>
            </c:spPr>
            <c:trendlineType val="linear"/>
            <c:backward val="20"/>
            <c:dispRSqr val="0"/>
            <c:dispEq val="0"/>
          </c:trendline>
          <c:xVal>
            <c:numRef>
              <c:f>'Base Model'!$E$24:$E$53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'Base Model'!$F$24:$F$53</c:f>
              <c:numCache>
                <c:formatCode>0.00</c:formatCode>
                <c:ptCount val="30"/>
                <c:pt idx="0">
                  <c:v>22774.896272693099</c:v>
                </c:pt>
                <c:pt idx="1">
                  <c:v>23275.081613134476</c:v>
                </c:pt>
                <c:pt idx="2">
                  <c:v>23775.266953575752</c:v>
                </c:pt>
                <c:pt idx="3">
                  <c:v>24275.452294017123</c:v>
                </c:pt>
                <c:pt idx="4">
                  <c:v>24775.637634458493</c:v>
                </c:pt>
                <c:pt idx="5">
                  <c:v>25275.82297489974</c:v>
                </c:pt>
                <c:pt idx="6">
                  <c:v>25776.008315341118</c:v>
                </c:pt>
                <c:pt idx="7">
                  <c:v>26276.19365578251</c:v>
                </c:pt>
                <c:pt idx="8">
                  <c:v>26776.378996223881</c:v>
                </c:pt>
                <c:pt idx="9">
                  <c:v>27276.564336665127</c:v>
                </c:pt>
                <c:pt idx="10">
                  <c:v>27776.749677106498</c:v>
                </c:pt>
                <c:pt idx="11">
                  <c:v>28276.935017547876</c:v>
                </c:pt>
                <c:pt idx="12">
                  <c:v>28777.120357989123</c:v>
                </c:pt>
                <c:pt idx="13">
                  <c:v>29277.305698430522</c:v>
                </c:pt>
                <c:pt idx="14">
                  <c:v>29777.491038871885</c:v>
                </c:pt>
                <c:pt idx="15">
                  <c:v>30277.676379313263</c:v>
                </c:pt>
                <c:pt idx="16">
                  <c:v>30777.86171975451</c:v>
                </c:pt>
                <c:pt idx="17">
                  <c:v>31278.04706019588</c:v>
                </c:pt>
                <c:pt idx="18">
                  <c:v>31778.232400637251</c:v>
                </c:pt>
                <c:pt idx="19">
                  <c:v>32278.417741078527</c:v>
                </c:pt>
                <c:pt idx="20">
                  <c:v>32778.603081519905</c:v>
                </c:pt>
                <c:pt idx="21">
                  <c:v>33278.788421961275</c:v>
                </c:pt>
                <c:pt idx="22">
                  <c:v>33778.973762402522</c:v>
                </c:pt>
                <c:pt idx="23">
                  <c:v>34279.159102843892</c:v>
                </c:pt>
                <c:pt idx="24">
                  <c:v>34779.344443285256</c:v>
                </c:pt>
                <c:pt idx="25">
                  <c:v>35279.529783726663</c:v>
                </c:pt>
                <c:pt idx="26">
                  <c:v>35779.715124167909</c:v>
                </c:pt>
                <c:pt idx="27">
                  <c:v>36279.90046460928</c:v>
                </c:pt>
                <c:pt idx="28">
                  <c:v>36780.08580505065</c:v>
                </c:pt>
                <c:pt idx="29">
                  <c:v>37280.271145491897</c:v>
                </c:pt>
              </c:numCache>
            </c:numRef>
          </c:yVal>
          <c:smooth val="1"/>
          <c:extLst>
            <c:ext xmlns:c16="http://schemas.microsoft.com/office/drawing/2014/chart" uri="{C3380CC4-5D6E-409C-BE32-E72D297353CC}">
              <c16:uniqueId val="{00000010-1EB7-459B-972C-FD638DD9F459}"/>
            </c:ext>
          </c:extLst>
        </c:ser>
        <c:ser>
          <c:idx val="6"/>
          <c:order val="1"/>
          <c:tx>
            <c:strRef>
              <c:f>'Base Model'!$G$7</c:f>
              <c:strCache>
                <c:ptCount val="1"/>
                <c:pt idx="0">
                  <c:v>Services and Transportation</c:v>
                </c:pt>
              </c:strCache>
            </c:strRef>
          </c:tx>
          <c:spPr>
            <a:ln>
              <a:solidFill>
                <a:schemeClr val="accent2"/>
              </a:solidFill>
            </a:ln>
          </c:spPr>
          <c:marker>
            <c:symbol val="none"/>
          </c:marker>
          <c:trendline>
            <c:spPr>
              <a:ln>
                <a:solidFill>
                  <a:schemeClr val="accent2"/>
                </a:solidFill>
                <a:prstDash val="lgDash"/>
              </a:ln>
            </c:spPr>
            <c:trendlineType val="linear"/>
            <c:forward val="20"/>
            <c:backward val="20"/>
            <c:dispRSqr val="0"/>
            <c:dispEq val="0"/>
          </c:trendline>
          <c:xVal>
            <c:numRef>
              <c:f>'Base Model'!$E$24:$E$53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'Base Model'!$G$24:$G$53</c:f>
              <c:numCache>
                <c:formatCode>0.00</c:formatCode>
                <c:ptCount val="30"/>
                <c:pt idx="0">
                  <c:v>22707.777313151149</c:v>
                </c:pt>
                <c:pt idx="1">
                  <c:v>23201.158888934166</c:v>
                </c:pt>
                <c:pt idx="2">
                  <c:v>23694.540464717265</c:v>
                </c:pt>
                <c:pt idx="3">
                  <c:v>24187.922040500322</c:v>
                </c:pt>
                <c:pt idx="4">
                  <c:v>24681.303616283338</c:v>
                </c:pt>
                <c:pt idx="5">
                  <c:v>25174.685192066398</c:v>
                </c:pt>
                <c:pt idx="6">
                  <c:v>25668.066767849537</c:v>
                </c:pt>
                <c:pt idx="7">
                  <c:v>26161.448343632594</c:v>
                </c:pt>
                <c:pt idx="8">
                  <c:v>26654.82991941565</c:v>
                </c:pt>
                <c:pt idx="9">
                  <c:v>27148.211495198666</c:v>
                </c:pt>
                <c:pt idx="10">
                  <c:v>27641.593070981766</c:v>
                </c:pt>
                <c:pt idx="11">
                  <c:v>28134.974646764822</c:v>
                </c:pt>
                <c:pt idx="12">
                  <c:v>28628.356222547838</c:v>
                </c:pt>
                <c:pt idx="13">
                  <c:v>29121.737798330894</c:v>
                </c:pt>
                <c:pt idx="14">
                  <c:v>29615.119374113994</c:v>
                </c:pt>
                <c:pt idx="15">
                  <c:v>30108.50094989701</c:v>
                </c:pt>
                <c:pt idx="16">
                  <c:v>30601.882525680066</c:v>
                </c:pt>
                <c:pt idx="17">
                  <c:v>31095.264101463123</c:v>
                </c:pt>
                <c:pt idx="18">
                  <c:v>31588.645677246182</c:v>
                </c:pt>
                <c:pt idx="19">
                  <c:v>32082.027253029239</c:v>
                </c:pt>
                <c:pt idx="20">
                  <c:v>32575.408828812255</c:v>
                </c:pt>
                <c:pt idx="21">
                  <c:v>33068.790404595311</c:v>
                </c:pt>
                <c:pt idx="22">
                  <c:v>33562.171980378407</c:v>
                </c:pt>
                <c:pt idx="23">
                  <c:v>34055.553556161423</c:v>
                </c:pt>
                <c:pt idx="24">
                  <c:v>34548.935131944483</c:v>
                </c:pt>
                <c:pt idx="25">
                  <c:v>35042.316707727543</c:v>
                </c:pt>
                <c:pt idx="26">
                  <c:v>35535.698283510596</c:v>
                </c:pt>
                <c:pt idx="27">
                  <c:v>36029.079859293655</c:v>
                </c:pt>
                <c:pt idx="28">
                  <c:v>36522.461435076708</c:v>
                </c:pt>
                <c:pt idx="29">
                  <c:v>37015.843010859768</c:v>
                </c:pt>
              </c:numCache>
            </c:numRef>
          </c:yVal>
          <c:smooth val="1"/>
          <c:extLst>
            <c:ext xmlns:c16="http://schemas.microsoft.com/office/drawing/2014/chart" uri="{C3380CC4-5D6E-409C-BE32-E72D297353CC}">
              <c16:uniqueId val="{00000011-1EB7-459B-972C-FD638DD9F459}"/>
            </c:ext>
          </c:extLst>
        </c:ser>
        <c:ser>
          <c:idx val="7"/>
          <c:order val="2"/>
          <c:tx>
            <c:strRef>
              <c:f>'Base Model'!$H$7</c:f>
              <c:strCache>
                <c:ptCount val="1"/>
                <c:pt idx="0">
                  <c:v>Households</c:v>
                </c:pt>
              </c:strCache>
            </c:strRef>
          </c:tx>
          <c:spPr>
            <a:ln>
              <a:solidFill>
                <a:schemeClr val="accent1"/>
              </a:solidFill>
            </a:ln>
          </c:spPr>
          <c:marker>
            <c:symbol val="none"/>
          </c:marker>
          <c:trendline>
            <c:spPr>
              <a:ln>
                <a:solidFill>
                  <a:schemeClr val="accent1"/>
                </a:solidFill>
                <a:prstDash val="lgDash"/>
              </a:ln>
            </c:spPr>
            <c:trendlineType val="linear"/>
            <c:backward val="20"/>
            <c:dispRSqr val="0"/>
            <c:dispEq val="0"/>
          </c:trendline>
          <c:xVal>
            <c:numRef>
              <c:f>'Base Model'!$E$24:$E$53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'Base Model'!$H$24:$H$53</c:f>
              <c:numCache>
                <c:formatCode>0.00</c:formatCode>
                <c:ptCount val="30"/>
                <c:pt idx="0">
                  <c:v>7419.7225511039451</c:v>
                </c:pt>
                <c:pt idx="1">
                  <c:v>7466.785187540102</c:v>
                </c:pt>
                <c:pt idx="2">
                  <c:v>7513.1379577932248</c:v>
                </c:pt>
                <c:pt idx="3">
                  <c:v>7558.7575821221026</c:v>
                </c:pt>
                <c:pt idx="4">
                  <c:v>7603.6210051871803</c:v>
                </c:pt>
                <c:pt idx="5">
                  <c:v>7647.7054152713254</c:v>
                </c:pt>
                <c:pt idx="6">
                  <c:v>7690.988263428042</c:v>
                </c:pt>
                <c:pt idx="7">
                  <c:v>7733.4472825348639</c:v>
                </c:pt>
                <c:pt idx="8">
                  <c:v>7775.0605062296199</c:v>
                </c:pt>
                <c:pt idx="9">
                  <c:v>7815.8062877072425</c:v>
                </c:pt>
                <c:pt idx="10">
                  <c:v>7855.6633183547847</c:v>
                </c:pt>
                <c:pt idx="11">
                  <c:v>7894.6106462023808</c:v>
                </c:pt>
                <c:pt idx="12">
                  <c:v>7932.6276941679353</c:v>
                </c:pt>
                <c:pt idx="13">
                  <c:v>7969.6942780734489</c:v>
                </c:pt>
                <c:pt idx="14">
                  <c:v>8005.7906244110536</c:v>
                </c:pt>
                <c:pt idx="15">
                  <c:v>8040.8973878369688</c:v>
                </c:pt>
                <c:pt idx="16">
                  <c:v>8074.9956683718437</c:v>
                </c:pt>
                <c:pt idx="17">
                  <c:v>8108.0670282861738</c:v>
                </c:pt>
                <c:pt idx="18">
                  <c:v>8140.0935086497775</c:v>
                </c:pt>
                <c:pt idx="19">
                  <c:v>8171.0576455246228</c:v>
                </c:pt>
                <c:pt idx="20">
                  <c:v>8200.9424857806389</c:v>
                </c:pt>
                <c:pt idx="21">
                  <c:v>8229.7316025145519</c:v>
                </c:pt>
                <c:pt idx="22">
                  <c:v>8257.4091100521619</c:v>
                </c:pt>
                <c:pt idx="23">
                  <c:v>8283.9596785149697</c:v>
                </c:pt>
                <c:pt idx="24">
                  <c:v>8309.3685479324704</c:v>
                </c:pt>
                <c:pt idx="25">
                  <c:v>8333.6215418820175</c:v>
                </c:pt>
                <c:pt idx="26">
                  <c:v>8356.705080638656</c:v>
                </c:pt>
                <c:pt idx="27">
                  <c:v>8378.6061938178464</c:v>
                </c:pt>
                <c:pt idx="28">
                  <c:v>8399.3125324947105</c:v>
                </c:pt>
                <c:pt idx="29">
                  <c:v>8418.8123807839274</c:v>
                </c:pt>
              </c:numCache>
            </c:numRef>
          </c:yVal>
          <c:smooth val="1"/>
          <c:extLst>
            <c:ext xmlns:c16="http://schemas.microsoft.com/office/drawing/2014/chart" uri="{C3380CC4-5D6E-409C-BE32-E72D297353CC}">
              <c16:uniqueId val="{00000012-1EB7-459B-972C-FD638DD9F459}"/>
            </c:ext>
          </c:extLst>
        </c:ser>
        <c:ser>
          <c:idx val="8"/>
          <c:order val="3"/>
          <c:tx>
            <c:strRef>
              <c:f>'Base Model'!$I$7</c:f>
              <c:strCache>
                <c:ptCount val="1"/>
                <c:pt idx="0">
                  <c:v>Others</c:v>
                </c:pt>
              </c:strCache>
            </c:strRef>
          </c:tx>
          <c:spPr>
            <a:ln>
              <a:solidFill>
                <a:schemeClr val="accent4"/>
              </a:solidFill>
            </a:ln>
          </c:spPr>
          <c:marker>
            <c:symbol val="none"/>
          </c:marker>
          <c:trendline>
            <c:spPr>
              <a:ln>
                <a:solidFill>
                  <a:schemeClr val="accent4"/>
                </a:solidFill>
                <a:prstDash val="dashDot"/>
              </a:ln>
            </c:spPr>
            <c:trendlineType val="linear"/>
            <c:backward val="20"/>
            <c:dispRSqr val="0"/>
            <c:dispEq val="0"/>
          </c:trendline>
          <c:xVal>
            <c:numRef>
              <c:f>'Base Model'!$E$24:$E$53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'Base Model'!$I$24:$I$53</c:f>
              <c:numCache>
                <c:formatCode>0.00</c:formatCode>
                <c:ptCount val="30"/>
                <c:pt idx="0">
                  <c:v>256.49423294642838</c:v>
                </c:pt>
                <c:pt idx="1">
                  <c:v>253.9678778821426</c:v>
                </c:pt>
                <c:pt idx="2">
                  <c:v>251.44152281785682</c:v>
                </c:pt>
                <c:pt idx="3">
                  <c:v>248.91516775357104</c:v>
                </c:pt>
                <c:pt idx="4">
                  <c:v>246.38881268928526</c:v>
                </c:pt>
                <c:pt idx="5">
                  <c:v>243.86245762499948</c:v>
                </c:pt>
                <c:pt idx="6">
                  <c:v>241.3361025607137</c:v>
                </c:pt>
                <c:pt idx="7">
                  <c:v>238.80974749642883</c:v>
                </c:pt>
                <c:pt idx="8">
                  <c:v>236.28339243214305</c:v>
                </c:pt>
                <c:pt idx="9">
                  <c:v>233.75703736785727</c:v>
                </c:pt>
                <c:pt idx="10">
                  <c:v>231.23068230357148</c:v>
                </c:pt>
                <c:pt idx="11">
                  <c:v>228.7043272392857</c:v>
                </c:pt>
                <c:pt idx="12">
                  <c:v>226.17797217499992</c:v>
                </c:pt>
                <c:pt idx="13">
                  <c:v>223.65161711071414</c:v>
                </c:pt>
                <c:pt idx="14">
                  <c:v>221.12526204642836</c:v>
                </c:pt>
                <c:pt idx="15">
                  <c:v>218.59890698214258</c:v>
                </c:pt>
                <c:pt idx="16">
                  <c:v>216.0725519178568</c:v>
                </c:pt>
                <c:pt idx="17">
                  <c:v>213.54619685357102</c:v>
                </c:pt>
                <c:pt idx="18">
                  <c:v>211.01984178928524</c:v>
                </c:pt>
                <c:pt idx="19">
                  <c:v>208.49348672499946</c:v>
                </c:pt>
                <c:pt idx="20">
                  <c:v>205.96713166071368</c:v>
                </c:pt>
                <c:pt idx="21">
                  <c:v>203.4407765964288</c:v>
                </c:pt>
                <c:pt idx="22">
                  <c:v>200.91442153214302</c:v>
                </c:pt>
                <c:pt idx="23">
                  <c:v>198.38806646785724</c:v>
                </c:pt>
                <c:pt idx="24">
                  <c:v>195.86171140357146</c:v>
                </c:pt>
                <c:pt idx="25">
                  <c:v>193.33535633928568</c:v>
                </c:pt>
                <c:pt idx="26">
                  <c:v>190.8090012749999</c:v>
                </c:pt>
                <c:pt idx="27">
                  <c:v>188.28264621071412</c:v>
                </c:pt>
                <c:pt idx="28">
                  <c:v>185.75629114642834</c:v>
                </c:pt>
                <c:pt idx="29">
                  <c:v>183.22993608214256</c:v>
                </c:pt>
              </c:numCache>
            </c:numRef>
          </c:yVal>
          <c:smooth val="1"/>
          <c:extLst>
            <c:ext xmlns:c16="http://schemas.microsoft.com/office/drawing/2014/chart" uri="{C3380CC4-5D6E-409C-BE32-E72D297353CC}">
              <c16:uniqueId val="{00000013-1EB7-459B-972C-FD638DD9F459}"/>
            </c:ext>
          </c:extLst>
        </c:ser>
        <c:ser>
          <c:idx val="9"/>
          <c:order val="4"/>
          <c:tx>
            <c:strRef>
              <c:f>'Base Model'!$J$7</c:f>
              <c:strCache>
                <c:ptCount val="1"/>
                <c:pt idx="0">
                  <c:v>Total</c:v>
                </c:pt>
              </c:strCache>
            </c:strRef>
          </c:tx>
          <c:spPr>
            <a:ln>
              <a:solidFill>
                <a:schemeClr val="tx1"/>
              </a:solidFill>
            </a:ln>
          </c:spPr>
          <c:marker>
            <c:symbol val="none"/>
          </c:marker>
          <c:trendline>
            <c:spPr>
              <a:ln>
                <a:prstDash val="lgDash"/>
              </a:ln>
            </c:spPr>
            <c:trendlineType val="linear"/>
            <c:forward val="20"/>
            <c:backward val="20"/>
            <c:dispRSqr val="0"/>
            <c:dispEq val="0"/>
          </c:trendline>
          <c:xVal>
            <c:numRef>
              <c:f>'Base Model'!$E$24:$E$53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'Base Model'!$J$24:$J$53</c:f>
              <c:numCache>
                <c:formatCode>0.00</c:formatCode>
                <c:ptCount val="30"/>
                <c:pt idx="0">
                  <c:v>53158.890369894623</c:v>
                </c:pt>
                <c:pt idx="1">
                  <c:v>54196.993567490885</c:v>
                </c:pt>
                <c:pt idx="2">
                  <c:v>55234.386898904093</c:v>
                </c:pt>
                <c:pt idx="3">
                  <c:v>56271.047084393118</c:v>
                </c:pt>
                <c:pt idx="4">
                  <c:v>57306.951068618298</c:v>
                </c:pt>
                <c:pt idx="5">
                  <c:v>58342.076039862462</c:v>
                </c:pt>
                <c:pt idx="6">
                  <c:v>59376.399449179415</c:v>
                </c:pt>
                <c:pt idx="7">
                  <c:v>60409.899029446402</c:v>
                </c:pt>
                <c:pt idx="8">
                  <c:v>61442.552814301293</c:v>
                </c:pt>
                <c:pt idx="9">
                  <c:v>62474.339156938891</c:v>
                </c:pt>
                <c:pt idx="10">
                  <c:v>63505.236748746618</c:v>
                </c:pt>
                <c:pt idx="11">
                  <c:v>64535.224637754363</c:v>
                </c:pt>
                <c:pt idx="12">
                  <c:v>65564.282246879899</c:v>
                </c:pt>
                <c:pt idx="13">
                  <c:v>66592.389391945588</c:v>
                </c:pt>
                <c:pt idx="14">
                  <c:v>67619.526299443358</c:v>
                </c:pt>
                <c:pt idx="15">
                  <c:v>68645.673624029383</c:v>
                </c:pt>
                <c:pt idx="16">
                  <c:v>69670.812465724273</c:v>
                </c:pt>
                <c:pt idx="17">
                  <c:v>70694.924386798739</c:v>
                </c:pt>
                <c:pt idx="18">
                  <c:v>71717.991428322493</c:v>
                </c:pt>
                <c:pt idx="19">
                  <c:v>72739.996126357379</c:v>
                </c:pt>
                <c:pt idx="20">
                  <c:v>73760.92152777352</c:v>
                </c:pt>
                <c:pt idx="21">
                  <c:v>74780.751205667577</c:v>
                </c:pt>
                <c:pt idx="22">
                  <c:v>75799.469274365241</c:v>
                </c:pt>
                <c:pt idx="23">
                  <c:v>76817.060403988144</c:v>
                </c:pt>
                <c:pt idx="24">
                  <c:v>77833.50983456579</c:v>
                </c:pt>
                <c:pt idx="25">
                  <c:v>78848.803389675508</c:v>
                </c:pt>
                <c:pt idx="26">
                  <c:v>79862.92748959217</c:v>
                </c:pt>
                <c:pt idx="27">
                  <c:v>80875.869163931508</c:v>
                </c:pt>
                <c:pt idx="28">
                  <c:v>81887.616063768495</c:v>
                </c:pt>
                <c:pt idx="29">
                  <c:v>82898.156473217736</c:v>
                </c:pt>
              </c:numCache>
            </c:numRef>
          </c:yVal>
          <c:smooth val="1"/>
          <c:extLst>
            <c:ext xmlns:c16="http://schemas.microsoft.com/office/drawing/2014/chart" uri="{C3380CC4-5D6E-409C-BE32-E72D297353CC}">
              <c16:uniqueId val="{00000014-1EB7-459B-972C-FD638DD9F459}"/>
            </c:ext>
          </c:extLst>
        </c:ser>
        <c:dLbls>
          <c:showLegendKey val="0"/>
          <c:showVal val="0"/>
          <c:showCatName val="0"/>
          <c:showSerName val="0"/>
          <c:showPercent val="0"/>
          <c:showBubbleSize val="0"/>
        </c:dLbls>
        <c:axId val="787507423"/>
        <c:axId val="787514079"/>
      </c:scatterChart>
      <c:valAx>
        <c:axId val="787507423"/>
        <c:scaling>
          <c:orientation val="minMax"/>
          <c:max val="2050"/>
          <c:min val="2005"/>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crossAx val="787514079"/>
        <c:crosses val="autoZero"/>
        <c:crossBetween val="midCat"/>
      </c:valAx>
      <c:valAx>
        <c:axId val="787514079"/>
        <c:scaling>
          <c:orientation val="minMax"/>
          <c:max val="900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crossAx val="787507423"/>
        <c:crosses val="autoZero"/>
        <c:crossBetween val="midCat"/>
      </c:valAx>
      <c:spPr>
        <a:noFill/>
        <a:ln w="25400">
          <a:noFill/>
        </a:ln>
        <a:effectLst/>
      </c:spPr>
    </c:plotArea>
    <c:legend>
      <c:legendPos val="r"/>
      <c:layout>
        <c:manualLayout>
          <c:xMode val="edge"/>
          <c:yMode val="edge"/>
          <c:x val="0.69112602866267725"/>
          <c:y val="0.21608461903959425"/>
          <c:w val="0.29670057006846817"/>
          <c:h val="0.72276166384092155"/>
        </c:manualLayout>
      </c:layout>
      <c:overlay val="0"/>
    </c:legend>
    <c:plotVisOnly val="1"/>
    <c:dispBlanksAs val="gap"/>
    <c:showDLblsOverMax val="0"/>
    <c:extLst/>
  </c:chart>
  <c:txPr>
    <a:bodyPr/>
    <a:lstStyle/>
    <a:p>
      <a:pPr>
        <a:defRPr>
          <a:latin typeface="Avenir Next LT Pro" panose="020B05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venir Next LT Pro" panose="020B0504020202020204" pitchFamily="34" charset="0"/>
                <a:ea typeface="+mn-ea"/>
                <a:cs typeface="+mn-cs"/>
              </a:defRPr>
            </a:pPr>
            <a:r>
              <a:rPr lang="en-SG"/>
              <a:t>Power Supply and Availability in Singapore (Model)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venir Next LT Pro" panose="020B0504020202020204" pitchFamily="34" charset="0"/>
              <a:ea typeface="+mn-ea"/>
              <a:cs typeface="+mn-cs"/>
            </a:defRPr>
          </a:pPr>
          <a:endParaRPr lang="en-US"/>
        </a:p>
      </c:txPr>
    </c:title>
    <c:autoTitleDeleted val="0"/>
    <c:plotArea>
      <c:layout/>
      <c:barChart>
        <c:barDir val="col"/>
        <c:grouping val="stacked"/>
        <c:varyColors val="0"/>
        <c:ser>
          <c:idx val="1"/>
          <c:order val="0"/>
          <c:tx>
            <c:strRef>
              <c:f>'Base Model'!$R$7</c:f>
              <c:strCache>
                <c:ptCount val="1"/>
                <c:pt idx="0">
                  <c:v>Normalised Available Capacity 
(GwH)</c:v>
                </c:pt>
              </c:strCache>
            </c:strRef>
          </c:tx>
          <c:spPr>
            <a:solidFill>
              <a:schemeClr val="accent2"/>
            </a:solidFill>
            <a:ln>
              <a:noFill/>
            </a:ln>
            <a:effectLst/>
          </c:spPr>
          <c:invertIfNegative val="0"/>
          <c:cat>
            <c:numRef>
              <c:f>'Base Model'!$E$8:$E$53</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'Base Model'!$R$8:$R$53</c:f>
              <c:numCache>
                <c:formatCode>0</c:formatCode>
                <c:ptCount val="46"/>
                <c:pt idx="0">
                  <c:v>72115.055430648135</c:v>
                </c:pt>
                <c:pt idx="1">
                  <c:v>74066.354718331291</c:v>
                </c:pt>
                <c:pt idx="2">
                  <c:v>77194.629397327531</c:v>
                </c:pt>
                <c:pt idx="3">
                  <c:v>78432.262129845956</c:v>
                </c:pt>
                <c:pt idx="4">
                  <c:v>73810.264794921066</c:v>
                </c:pt>
                <c:pt idx="5">
                  <c:v>74364.334415145262</c:v>
                </c:pt>
                <c:pt idx="6">
                  <c:v>75116.2919170768</c:v>
                </c:pt>
                <c:pt idx="7">
                  <c:v>74487.169884078976</c:v>
                </c:pt>
                <c:pt idx="8">
                  <c:v>83593.924849231102</c:v>
                </c:pt>
                <c:pt idx="9">
                  <c:v>96136.021900080174</c:v>
                </c:pt>
                <c:pt idx="10">
                  <c:v>99546.982525697618</c:v>
                </c:pt>
                <c:pt idx="11">
                  <c:v>101063.82139525439</c:v>
                </c:pt>
                <c:pt idx="12">
                  <c:v>99914.337533555095</c:v>
                </c:pt>
                <c:pt idx="13">
                  <c:v>102378.14822395862</c:v>
                </c:pt>
                <c:pt idx="14">
                  <c:v>95738.493190518668</c:v>
                </c:pt>
                <c:pt idx="15">
                  <c:v>91244.729317754507</c:v>
                </c:pt>
                <c:pt idx="16">
                  <c:v>90433.036800000002</c:v>
                </c:pt>
                <c:pt idx="17">
                  <c:v>90764.742499238433</c:v>
                </c:pt>
                <c:pt idx="18">
                  <c:v>93967.585807635885</c:v>
                </c:pt>
                <c:pt idx="19">
                  <c:v>97170.429116033309</c:v>
                </c:pt>
                <c:pt idx="20">
                  <c:v>100382.04733760445</c:v>
                </c:pt>
                <c:pt idx="21">
                  <c:v>101111.0708524142</c:v>
                </c:pt>
                <c:pt idx="22">
                  <c:v>101840.09436722392</c:v>
                </c:pt>
                <c:pt idx="23">
                  <c:v>102569.11788203365</c:v>
                </c:pt>
                <c:pt idx="24">
                  <c:v>103300.1387215415</c:v>
                </c:pt>
                <c:pt idx="25">
                  <c:v>104029.16223635123</c:v>
                </c:pt>
                <c:pt idx="26">
                  <c:v>105487.2092659707</c:v>
                </c:pt>
                <c:pt idx="27">
                  <c:v>106945.2562955902</c:v>
                </c:pt>
                <c:pt idx="28">
                  <c:v>108407.29797460587</c:v>
                </c:pt>
                <c:pt idx="29">
                  <c:v>109865.34500422537</c:v>
                </c:pt>
                <c:pt idx="30">
                  <c:v>111323.39203384484</c:v>
                </c:pt>
                <c:pt idx="31">
                  <c:v>112781.43906346429</c:v>
                </c:pt>
                <c:pt idx="32">
                  <c:v>114243.48074247999</c:v>
                </c:pt>
                <c:pt idx="33">
                  <c:v>115701.52777209948</c:v>
                </c:pt>
                <c:pt idx="34">
                  <c:v>117159.57480171893</c:v>
                </c:pt>
                <c:pt idx="35">
                  <c:v>118617.62183133839</c:v>
                </c:pt>
                <c:pt idx="36">
                  <c:v>120079.66351035409</c:v>
                </c:pt>
                <c:pt idx="37">
                  <c:v>121537.71053997354</c:v>
                </c:pt>
                <c:pt idx="38">
                  <c:v>122995.75756959304</c:v>
                </c:pt>
                <c:pt idx="39">
                  <c:v>124453.8045992125</c:v>
                </c:pt>
                <c:pt idx="40">
                  <c:v>125915.84627822817</c:v>
                </c:pt>
                <c:pt idx="41">
                  <c:v>127373.89330784765</c:v>
                </c:pt>
                <c:pt idx="42">
                  <c:v>128831.94033746714</c:v>
                </c:pt>
                <c:pt idx="43">
                  <c:v>130289.98736708659</c:v>
                </c:pt>
                <c:pt idx="44">
                  <c:v>131752.02904610228</c:v>
                </c:pt>
                <c:pt idx="45">
                  <c:v>133210.07607572176</c:v>
                </c:pt>
              </c:numCache>
            </c:numRef>
          </c:val>
          <c:extLst>
            <c:ext xmlns:c16="http://schemas.microsoft.com/office/drawing/2014/chart" uri="{C3380CC4-5D6E-409C-BE32-E72D297353CC}">
              <c16:uniqueId val="{00000000-4527-40F4-8E12-1D6AB0CB0396}"/>
            </c:ext>
          </c:extLst>
        </c:ser>
        <c:ser>
          <c:idx val="0"/>
          <c:order val="1"/>
          <c:tx>
            <c:strRef>
              <c:f>'Base Model'!$S$7</c:f>
              <c:strCache>
                <c:ptCount val="1"/>
                <c:pt idx="0">
                  <c:v>Normalised Outage Capacity 
(GwH)</c:v>
                </c:pt>
              </c:strCache>
            </c:strRef>
          </c:tx>
          <c:spPr>
            <a:solidFill>
              <a:schemeClr val="accent1"/>
            </a:solidFill>
            <a:ln>
              <a:noFill/>
            </a:ln>
            <a:effectLst/>
          </c:spPr>
          <c:invertIfNegative val="0"/>
          <c:cat>
            <c:numRef>
              <c:f>'Base Model'!$E$8:$E$53</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'Base Model'!$S$8:$S$53</c:f>
              <c:numCache>
                <c:formatCode>0</c:formatCode>
                <c:ptCount val="46"/>
                <c:pt idx="0">
                  <c:v>16450.739295772466</c:v>
                </c:pt>
                <c:pt idx="1">
                  <c:v>15908.540833636318</c:v>
                </c:pt>
                <c:pt idx="2">
                  <c:v>16169.843657018937</c:v>
                </c:pt>
                <c:pt idx="3">
                  <c:v>13220.550654096456</c:v>
                </c:pt>
                <c:pt idx="4">
                  <c:v>15252.605304014782</c:v>
                </c:pt>
                <c:pt idx="5">
                  <c:v>12634.253612419838</c:v>
                </c:pt>
                <c:pt idx="6">
                  <c:v>13800.080289737161</c:v>
                </c:pt>
                <c:pt idx="7">
                  <c:v>15170.597501704193</c:v>
                </c:pt>
                <c:pt idx="8">
                  <c:v>12847.990853055075</c:v>
                </c:pt>
                <c:pt idx="9">
                  <c:v>13262.635460382502</c:v>
                </c:pt>
                <c:pt idx="10">
                  <c:v>13624.456703929347</c:v>
                </c:pt>
                <c:pt idx="11">
                  <c:v>15641.919134582655</c:v>
                </c:pt>
                <c:pt idx="12">
                  <c:v>17593.822319262777</c:v>
                </c:pt>
                <c:pt idx="13">
                  <c:v>15917.502947046421</c:v>
                </c:pt>
                <c:pt idx="14">
                  <c:v>18609.497175157565</c:v>
                </c:pt>
                <c:pt idx="15">
                  <c:v>15041.687815894533</c:v>
                </c:pt>
                <c:pt idx="16">
                  <c:v>15958.771200000003</c:v>
                </c:pt>
                <c:pt idx="17">
                  <c:v>16017.307499865608</c:v>
                </c:pt>
                <c:pt idx="18">
                  <c:v>16582.515142523975</c:v>
                </c:pt>
                <c:pt idx="19">
                  <c:v>17147.722785182355</c:v>
                </c:pt>
                <c:pt idx="20">
                  <c:v>17714.478941930196</c:v>
                </c:pt>
                <c:pt idx="21">
                  <c:v>17843.130150426034</c:v>
                </c:pt>
                <c:pt idx="22">
                  <c:v>17971.781358921871</c:v>
                </c:pt>
                <c:pt idx="23">
                  <c:v>18100.432567417709</c:v>
                </c:pt>
                <c:pt idx="24">
                  <c:v>18229.436244977915</c:v>
                </c:pt>
                <c:pt idx="25">
                  <c:v>18358.087453473752</c:v>
                </c:pt>
                <c:pt idx="26">
                  <c:v>18615.389870465428</c:v>
                </c:pt>
                <c:pt idx="27">
                  <c:v>18872.692287457088</c:v>
                </c:pt>
                <c:pt idx="28">
                  <c:v>19130.699642577514</c:v>
                </c:pt>
                <c:pt idx="29">
                  <c:v>19388.002059569189</c:v>
                </c:pt>
                <c:pt idx="30">
                  <c:v>19645.30447656085</c:v>
                </c:pt>
                <c:pt idx="31">
                  <c:v>19902.606893552525</c:v>
                </c:pt>
                <c:pt idx="32">
                  <c:v>20160.614248672937</c:v>
                </c:pt>
                <c:pt idx="33">
                  <c:v>20417.916665664612</c:v>
                </c:pt>
                <c:pt idx="34">
                  <c:v>20675.219082656287</c:v>
                </c:pt>
                <c:pt idx="35">
                  <c:v>20932.521499647963</c:v>
                </c:pt>
                <c:pt idx="36">
                  <c:v>21190.528854768374</c:v>
                </c:pt>
                <c:pt idx="37">
                  <c:v>21447.831271760049</c:v>
                </c:pt>
                <c:pt idx="38">
                  <c:v>21705.13368875171</c:v>
                </c:pt>
                <c:pt idx="39">
                  <c:v>21962.436105743385</c:v>
                </c:pt>
                <c:pt idx="40">
                  <c:v>22220.443460863797</c:v>
                </c:pt>
                <c:pt idx="41">
                  <c:v>22477.745877855472</c:v>
                </c:pt>
                <c:pt idx="42">
                  <c:v>22735.048294847147</c:v>
                </c:pt>
                <c:pt idx="43">
                  <c:v>22992.350711838822</c:v>
                </c:pt>
                <c:pt idx="44">
                  <c:v>23250.358066959219</c:v>
                </c:pt>
                <c:pt idx="45">
                  <c:v>23507.660483950895</c:v>
                </c:pt>
              </c:numCache>
            </c:numRef>
          </c:val>
          <c:extLst>
            <c:ext xmlns:c16="http://schemas.microsoft.com/office/drawing/2014/chart" uri="{C3380CC4-5D6E-409C-BE32-E72D297353CC}">
              <c16:uniqueId val="{00000001-4527-40F4-8E12-1D6AB0CB0396}"/>
            </c:ext>
          </c:extLst>
        </c:ser>
        <c:dLbls>
          <c:showLegendKey val="0"/>
          <c:showVal val="0"/>
          <c:showCatName val="0"/>
          <c:showSerName val="0"/>
          <c:showPercent val="0"/>
          <c:showBubbleSize val="0"/>
        </c:dLbls>
        <c:gapWidth val="150"/>
        <c:overlap val="100"/>
        <c:axId val="1270346655"/>
        <c:axId val="1270344159"/>
      </c:barChart>
      <c:lineChart>
        <c:grouping val="standard"/>
        <c:varyColors val="0"/>
        <c:ser>
          <c:idx val="2"/>
          <c:order val="2"/>
          <c:tx>
            <c:strRef>
              <c:f>'Base Model'!$P$7</c:f>
              <c:strCache>
                <c:ptCount val="1"/>
                <c:pt idx="0">
                  <c:v>Availability (%)</c:v>
                </c:pt>
              </c:strCache>
            </c:strRef>
          </c:tx>
          <c:spPr>
            <a:ln w="28575" cap="rnd">
              <a:solidFill>
                <a:schemeClr val="accent3"/>
              </a:solidFill>
              <a:round/>
            </a:ln>
            <a:effectLst/>
          </c:spPr>
          <c:marker>
            <c:symbol val="none"/>
          </c:marker>
          <c:cat>
            <c:numRef>
              <c:f>'Base Model'!$L$8:$L$53</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'Base Model'!$P$8:$P$53</c:f>
              <c:numCache>
                <c:formatCode>0%</c:formatCode>
                <c:ptCount val="46"/>
                <c:pt idx="0">
                  <c:v>0.81425403174454947</c:v>
                </c:pt>
                <c:pt idx="1">
                  <c:v>0.82318911585234489</c:v>
                </c:pt>
                <c:pt idx="2">
                  <c:v>0.8268094583728155</c:v>
                </c:pt>
                <c:pt idx="3">
                  <c:v>0.85575401067873502</c:v>
                </c:pt>
                <c:pt idx="4">
                  <c:v>0.82874338894455835</c:v>
                </c:pt>
                <c:pt idx="5">
                  <c:v>0.85477633719277457</c:v>
                </c:pt>
                <c:pt idx="6">
                  <c:v>0.84479708351529426</c:v>
                </c:pt>
                <c:pt idx="7">
                  <c:v>0.83079438687751928</c:v>
                </c:pt>
                <c:pt idx="8">
                  <c:v>0.86678001199482069</c:v>
                </c:pt>
                <c:pt idx="9">
                  <c:v>0.8787678406629541</c:v>
                </c:pt>
                <c:pt idx="10">
                  <c:v>0.87961223435282931</c:v>
                </c:pt>
                <c:pt idx="11">
                  <c:v>0.86597129615416268</c:v>
                </c:pt>
                <c:pt idx="12">
                  <c:v>0.85027573964821235</c:v>
                </c:pt>
                <c:pt idx="13">
                  <c:v>0.86544304216190915</c:v>
                </c:pt>
                <c:pt idx="14">
                  <c:v>0.83725558170593295</c:v>
                </c:pt>
                <c:pt idx="15">
                  <c:v>0.85847967951558213</c:v>
                </c:pt>
                <c:pt idx="16">
                  <c:v>0.85</c:v>
                </c:pt>
                <c:pt idx="17">
                  <c:v>0.85</c:v>
                </c:pt>
                <c:pt idx="18">
                  <c:v>0.85</c:v>
                </c:pt>
                <c:pt idx="19">
                  <c:v>0.85</c:v>
                </c:pt>
                <c:pt idx="20">
                  <c:v>0.85</c:v>
                </c:pt>
                <c:pt idx="21">
                  <c:v>0.85</c:v>
                </c:pt>
                <c:pt idx="22">
                  <c:v>0.85</c:v>
                </c:pt>
                <c:pt idx="23">
                  <c:v>0.85</c:v>
                </c:pt>
                <c:pt idx="24">
                  <c:v>0.85</c:v>
                </c:pt>
                <c:pt idx="25">
                  <c:v>0.85</c:v>
                </c:pt>
                <c:pt idx="26">
                  <c:v>0.85</c:v>
                </c:pt>
                <c:pt idx="27">
                  <c:v>0.85</c:v>
                </c:pt>
                <c:pt idx="28">
                  <c:v>0.85</c:v>
                </c:pt>
                <c:pt idx="29">
                  <c:v>0.85</c:v>
                </c:pt>
                <c:pt idx="30">
                  <c:v>0.85</c:v>
                </c:pt>
                <c:pt idx="31">
                  <c:v>0.85</c:v>
                </c:pt>
                <c:pt idx="32">
                  <c:v>0.85</c:v>
                </c:pt>
                <c:pt idx="33">
                  <c:v>0.85</c:v>
                </c:pt>
                <c:pt idx="34">
                  <c:v>0.85</c:v>
                </c:pt>
                <c:pt idx="35">
                  <c:v>0.85</c:v>
                </c:pt>
                <c:pt idx="36">
                  <c:v>0.85</c:v>
                </c:pt>
                <c:pt idx="37">
                  <c:v>0.85</c:v>
                </c:pt>
                <c:pt idx="38">
                  <c:v>0.85</c:v>
                </c:pt>
                <c:pt idx="39">
                  <c:v>0.85</c:v>
                </c:pt>
                <c:pt idx="40">
                  <c:v>0.85</c:v>
                </c:pt>
                <c:pt idx="41">
                  <c:v>0.85</c:v>
                </c:pt>
                <c:pt idx="42">
                  <c:v>0.85</c:v>
                </c:pt>
                <c:pt idx="43">
                  <c:v>0.85</c:v>
                </c:pt>
                <c:pt idx="44">
                  <c:v>0.85</c:v>
                </c:pt>
                <c:pt idx="45">
                  <c:v>0.85</c:v>
                </c:pt>
              </c:numCache>
            </c:numRef>
          </c:val>
          <c:smooth val="0"/>
          <c:extLst>
            <c:ext xmlns:c16="http://schemas.microsoft.com/office/drawing/2014/chart" uri="{C3380CC4-5D6E-409C-BE32-E72D297353CC}">
              <c16:uniqueId val="{00000002-4527-40F4-8E12-1D6AB0CB0396}"/>
            </c:ext>
          </c:extLst>
        </c:ser>
        <c:dLbls>
          <c:showLegendKey val="0"/>
          <c:showVal val="0"/>
          <c:showCatName val="0"/>
          <c:showSerName val="0"/>
          <c:showPercent val="0"/>
          <c:showBubbleSize val="0"/>
        </c:dLbls>
        <c:marker val="1"/>
        <c:smooth val="0"/>
        <c:axId val="2123347999"/>
        <c:axId val="2123349247"/>
      </c:lineChart>
      <c:dateAx>
        <c:axId val="127034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1800000" spcFirstLastPara="1" vertOverflow="ellipsis" wrap="square" anchor="ctr" anchorCtr="1"/>
          <a:lstStyle/>
          <a:p>
            <a:pPr>
              <a:defRPr sz="9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crossAx val="1270344159"/>
        <c:crosses val="autoZero"/>
        <c:auto val="0"/>
        <c:lblOffset val="100"/>
        <c:baseTimeUnit val="days"/>
        <c:majorUnit val="5"/>
        <c:majorTimeUnit val="days"/>
      </c:dateAx>
      <c:valAx>
        <c:axId val="1270344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venir Next LT Pro" panose="020B0504020202020204" pitchFamily="34" charset="0"/>
                    <a:ea typeface="+mn-ea"/>
                    <a:cs typeface="+mn-cs"/>
                  </a:defRPr>
                </a:pPr>
                <a:r>
                  <a:rPr lang="en-SG"/>
                  <a:t>Electricity Supply (GwH)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crossAx val="1270346655"/>
        <c:crosses val="autoZero"/>
        <c:crossBetween val="midCat"/>
      </c:valAx>
      <c:valAx>
        <c:axId val="212334924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venir Next LT Pro" panose="020B0504020202020204" pitchFamily="34" charset="0"/>
                    <a:ea typeface="+mn-ea"/>
                    <a:cs typeface="+mn-cs"/>
                  </a:defRPr>
                </a:pPr>
                <a:r>
                  <a:rPr lang="en-SG"/>
                  <a:t>Availability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crossAx val="2123347999"/>
        <c:crosses val="max"/>
        <c:crossBetween val="between"/>
      </c:valAx>
      <c:catAx>
        <c:axId val="2123347999"/>
        <c:scaling>
          <c:orientation val="minMax"/>
        </c:scaling>
        <c:delete val="1"/>
        <c:axPos val="b"/>
        <c:numFmt formatCode="General" sourceLinked="1"/>
        <c:majorTickMark val="out"/>
        <c:minorTickMark val="none"/>
        <c:tickLblPos val="nextTo"/>
        <c:crossAx val="212334924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venir Next LT Pro" panose="020B05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venir Next LT Pro" panose="020B0504020202020204" pitchFamily="34" charset="0"/>
                <a:ea typeface="+mn-ea"/>
                <a:cs typeface="+mn-cs"/>
              </a:defRPr>
            </a:pPr>
            <a:r>
              <a:rPr lang="en-SG"/>
              <a:t>Forecast of Power Demand and Capacity</a:t>
            </a:r>
            <a:r>
              <a:rPr lang="en-SG" baseline="0"/>
              <a:t> in Singapore</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venir Next LT Pro" panose="020B0504020202020204" pitchFamily="34" charset="0"/>
              <a:ea typeface="+mn-ea"/>
              <a:cs typeface="+mn-cs"/>
            </a:defRPr>
          </a:pPr>
          <a:endParaRPr lang="en-US"/>
        </a:p>
      </c:txPr>
    </c:title>
    <c:autoTitleDeleted val="0"/>
    <c:plotArea>
      <c:layout/>
      <c:scatterChart>
        <c:scatterStyle val="smoothMarker"/>
        <c:varyColors val="0"/>
        <c:ser>
          <c:idx val="0"/>
          <c:order val="0"/>
          <c:tx>
            <c:v>Total Power Demand (GwH)</c:v>
          </c:tx>
          <c:spPr>
            <a:ln w="19050" cap="rnd">
              <a:solidFill>
                <a:schemeClr val="accent1"/>
              </a:solidFill>
              <a:round/>
            </a:ln>
            <a:effectLst/>
          </c:spPr>
          <c:marker>
            <c:symbol val="none"/>
          </c:marker>
          <c:xVal>
            <c:numRef>
              <c:f>'Base Model'!$E$8:$E$53</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xVal>
          <c:yVal>
            <c:numRef>
              <c:f>'Base Model'!$J$8:$J$53</c:f>
              <c:numCache>
                <c:formatCode>0.00</c:formatCode>
                <c:ptCount val="46"/>
                <c:pt idx="0">
                  <c:v>35489.256682580002</c:v>
                </c:pt>
                <c:pt idx="1">
                  <c:v>36801.807691399998</c:v>
                </c:pt>
                <c:pt idx="2">
                  <c:v>38304.913148959997</c:v>
                </c:pt>
                <c:pt idx="3">
                  <c:v>38986.956093520006</c:v>
                </c:pt>
                <c:pt idx="4">
                  <c:v>38822.874245740008</c:v>
                </c:pt>
                <c:pt idx="5">
                  <c:v>42251.754561449998</c:v>
                </c:pt>
                <c:pt idx="6">
                  <c:v>43007.136492679994</c:v>
                </c:pt>
                <c:pt idx="7">
                  <c:v>44200.708214070008</c:v>
                </c:pt>
                <c:pt idx="8">
                  <c:v>44948.815456919998</c:v>
                </c:pt>
                <c:pt idx="9">
                  <c:v>46402.945983739999</c:v>
                </c:pt>
                <c:pt idx="10">
                  <c:v>47513.942689659998</c:v>
                </c:pt>
                <c:pt idx="11">
                  <c:v>48626.636447099998</c:v>
                </c:pt>
                <c:pt idx="12">
                  <c:v>49643.651990849998</c:v>
                </c:pt>
                <c:pt idx="13">
                  <c:v>50448.897246589993</c:v>
                </c:pt>
                <c:pt idx="14">
                  <c:v>51720.028003719999</c:v>
                </c:pt>
                <c:pt idx="15">
                  <c:v>50656.465103100003</c:v>
                </c:pt>
                <c:pt idx="16">
                  <c:v>53158.890369894623</c:v>
                </c:pt>
                <c:pt idx="17">
                  <c:v>54196.993567490885</c:v>
                </c:pt>
                <c:pt idx="18">
                  <c:v>55234.386898904093</c:v>
                </c:pt>
                <c:pt idx="19">
                  <c:v>56271.047084393118</c:v>
                </c:pt>
                <c:pt idx="20">
                  <c:v>57306.951068618298</c:v>
                </c:pt>
                <c:pt idx="21">
                  <c:v>58342.076039862462</c:v>
                </c:pt>
                <c:pt idx="22">
                  <c:v>59376.399449179415</c:v>
                </c:pt>
                <c:pt idx="23">
                  <c:v>60409.899029446402</c:v>
                </c:pt>
                <c:pt idx="24">
                  <c:v>61442.552814301293</c:v>
                </c:pt>
                <c:pt idx="25">
                  <c:v>62474.339156938891</c:v>
                </c:pt>
                <c:pt idx="26">
                  <c:v>63505.236748746618</c:v>
                </c:pt>
                <c:pt idx="27">
                  <c:v>64535.224637754363</c:v>
                </c:pt>
                <c:pt idx="28">
                  <c:v>65564.282246879899</c:v>
                </c:pt>
                <c:pt idx="29">
                  <c:v>66592.389391945588</c:v>
                </c:pt>
                <c:pt idx="30">
                  <c:v>67619.526299443358</c:v>
                </c:pt>
                <c:pt idx="31">
                  <c:v>68645.673624029383</c:v>
                </c:pt>
                <c:pt idx="32">
                  <c:v>69670.812465724273</c:v>
                </c:pt>
                <c:pt idx="33">
                  <c:v>70694.924386798739</c:v>
                </c:pt>
                <c:pt idx="34">
                  <c:v>71717.991428322493</c:v>
                </c:pt>
                <c:pt idx="35">
                  <c:v>72739.996126357379</c:v>
                </c:pt>
                <c:pt idx="36">
                  <c:v>73760.92152777352</c:v>
                </c:pt>
                <c:pt idx="37">
                  <c:v>74780.751205667577</c:v>
                </c:pt>
                <c:pt idx="38">
                  <c:v>75799.469274365241</c:v>
                </c:pt>
                <c:pt idx="39">
                  <c:v>76817.060403988144</c:v>
                </c:pt>
                <c:pt idx="40">
                  <c:v>77833.50983456579</c:v>
                </c:pt>
                <c:pt idx="41">
                  <c:v>78848.803389675508</c:v>
                </c:pt>
                <c:pt idx="42">
                  <c:v>79862.92748959217</c:v>
                </c:pt>
                <c:pt idx="43">
                  <c:v>80875.869163931508</c:v>
                </c:pt>
                <c:pt idx="44">
                  <c:v>81887.616063768495</c:v>
                </c:pt>
                <c:pt idx="45">
                  <c:v>82898.156473217736</c:v>
                </c:pt>
              </c:numCache>
            </c:numRef>
          </c:yVal>
          <c:smooth val="1"/>
          <c:extLst>
            <c:ext xmlns:c16="http://schemas.microsoft.com/office/drawing/2014/chart" uri="{C3380CC4-5D6E-409C-BE32-E72D297353CC}">
              <c16:uniqueId val="{00000000-65AB-4E20-8DF4-56DA102838D6}"/>
            </c:ext>
          </c:extLst>
        </c:ser>
        <c:ser>
          <c:idx val="1"/>
          <c:order val="1"/>
          <c:tx>
            <c:strRef>
              <c:f>'Base Model'!$Q$7:$R$7</c:f>
              <c:strCache>
                <c:ptCount val="1"/>
                <c:pt idx="0">
                  <c:v>Normalised Total Capacity (GwH) Normalised Available Capacity 
(GwH)</c:v>
                </c:pt>
              </c:strCache>
            </c:strRef>
          </c:tx>
          <c:spPr>
            <a:ln w="19050" cap="rnd">
              <a:solidFill>
                <a:schemeClr val="accent2"/>
              </a:solidFill>
              <a:round/>
            </a:ln>
            <a:effectLst/>
          </c:spPr>
          <c:marker>
            <c:symbol val="none"/>
          </c:marker>
          <c:xVal>
            <c:numRef>
              <c:f>'Base Model'!$E$8:$E$53</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xVal>
          <c:yVal>
            <c:numRef>
              <c:f>'Base Model'!$R$8:$R$53</c:f>
              <c:numCache>
                <c:formatCode>0</c:formatCode>
                <c:ptCount val="46"/>
                <c:pt idx="0">
                  <c:v>72115.055430648135</c:v>
                </c:pt>
                <c:pt idx="1">
                  <c:v>74066.354718331291</c:v>
                </c:pt>
                <c:pt idx="2">
                  <c:v>77194.629397327531</c:v>
                </c:pt>
                <c:pt idx="3">
                  <c:v>78432.262129845956</c:v>
                </c:pt>
                <c:pt idx="4">
                  <c:v>73810.264794921066</c:v>
                </c:pt>
                <c:pt idx="5">
                  <c:v>74364.334415145262</c:v>
                </c:pt>
                <c:pt idx="6">
                  <c:v>75116.2919170768</c:v>
                </c:pt>
                <c:pt idx="7">
                  <c:v>74487.169884078976</c:v>
                </c:pt>
                <c:pt idx="8">
                  <c:v>83593.924849231102</c:v>
                </c:pt>
                <c:pt idx="9">
                  <c:v>96136.021900080174</c:v>
                </c:pt>
                <c:pt idx="10">
                  <c:v>99546.982525697618</c:v>
                </c:pt>
                <c:pt idx="11">
                  <c:v>101063.82139525439</c:v>
                </c:pt>
                <c:pt idx="12">
                  <c:v>99914.337533555095</c:v>
                </c:pt>
                <c:pt idx="13">
                  <c:v>102378.14822395862</c:v>
                </c:pt>
                <c:pt idx="14">
                  <c:v>95738.493190518668</c:v>
                </c:pt>
                <c:pt idx="15">
                  <c:v>91244.729317754507</c:v>
                </c:pt>
                <c:pt idx="16">
                  <c:v>90433.036800000002</c:v>
                </c:pt>
                <c:pt idx="17">
                  <c:v>90764.742499238433</c:v>
                </c:pt>
                <c:pt idx="18">
                  <c:v>93967.585807635885</c:v>
                </c:pt>
                <c:pt idx="19">
                  <c:v>97170.429116033309</c:v>
                </c:pt>
                <c:pt idx="20">
                  <c:v>100382.04733760445</c:v>
                </c:pt>
                <c:pt idx="21">
                  <c:v>101111.0708524142</c:v>
                </c:pt>
                <c:pt idx="22">
                  <c:v>101840.09436722392</c:v>
                </c:pt>
                <c:pt idx="23">
                  <c:v>102569.11788203365</c:v>
                </c:pt>
                <c:pt idx="24">
                  <c:v>103300.1387215415</c:v>
                </c:pt>
                <c:pt idx="25">
                  <c:v>104029.16223635123</c:v>
                </c:pt>
                <c:pt idx="26">
                  <c:v>105487.2092659707</c:v>
                </c:pt>
                <c:pt idx="27">
                  <c:v>106945.2562955902</c:v>
                </c:pt>
                <c:pt idx="28">
                  <c:v>108407.29797460587</c:v>
                </c:pt>
                <c:pt idx="29">
                  <c:v>109865.34500422537</c:v>
                </c:pt>
                <c:pt idx="30">
                  <c:v>111323.39203384484</c:v>
                </c:pt>
                <c:pt idx="31">
                  <c:v>112781.43906346429</c:v>
                </c:pt>
                <c:pt idx="32">
                  <c:v>114243.48074247999</c:v>
                </c:pt>
                <c:pt idx="33">
                  <c:v>115701.52777209948</c:v>
                </c:pt>
                <c:pt idx="34">
                  <c:v>117159.57480171893</c:v>
                </c:pt>
                <c:pt idx="35">
                  <c:v>118617.62183133839</c:v>
                </c:pt>
                <c:pt idx="36">
                  <c:v>120079.66351035409</c:v>
                </c:pt>
                <c:pt idx="37">
                  <c:v>121537.71053997354</c:v>
                </c:pt>
                <c:pt idx="38">
                  <c:v>122995.75756959304</c:v>
                </c:pt>
                <c:pt idx="39">
                  <c:v>124453.8045992125</c:v>
                </c:pt>
                <c:pt idx="40">
                  <c:v>125915.84627822817</c:v>
                </c:pt>
                <c:pt idx="41">
                  <c:v>127373.89330784765</c:v>
                </c:pt>
                <c:pt idx="42">
                  <c:v>128831.94033746714</c:v>
                </c:pt>
                <c:pt idx="43">
                  <c:v>130289.98736708659</c:v>
                </c:pt>
                <c:pt idx="44">
                  <c:v>131752.02904610228</c:v>
                </c:pt>
                <c:pt idx="45">
                  <c:v>133210.07607572176</c:v>
                </c:pt>
              </c:numCache>
            </c:numRef>
          </c:yVal>
          <c:smooth val="1"/>
          <c:extLst>
            <c:ext xmlns:c16="http://schemas.microsoft.com/office/drawing/2014/chart" uri="{C3380CC4-5D6E-409C-BE32-E72D297353CC}">
              <c16:uniqueId val="{00000002-65AB-4E20-8DF4-56DA102838D6}"/>
            </c:ext>
          </c:extLst>
        </c:ser>
        <c:dLbls>
          <c:showLegendKey val="0"/>
          <c:showVal val="0"/>
          <c:showCatName val="0"/>
          <c:showSerName val="0"/>
          <c:showPercent val="0"/>
          <c:showBubbleSize val="0"/>
        </c:dLbls>
        <c:axId val="1200384751"/>
        <c:axId val="1200377263"/>
      </c:scatterChart>
      <c:valAx>
        <c:axId val="1200384751"/>
        <c:scaling>
          <c:orientation val="minMax"/>
          <c:max val="2050"/>
          <c:min val="2005"/>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crossAx val="1200377263"/>
        <c:crosses val="autoZero"/>
        <c:crossBetween val="midCat"/>
      </c:valAx>
      <c:valAx>
        <c:axId val="1200377263"/>
        <c:scaling>
          <c:orientation val="minMax"/>
          <c:max val="140000"/>
          <c:min val="3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venir Next LT Pro" panose="020B0504020202020204" pitchFamily="34" charset="0"/>
                    <a:ea typeface="+mn-ea"/>
                    <a:cs typeface="+mn-cs"/>
                  </a:defRPr>
                </a:pPr>
                <a:r>
                  <a:rPr lang="en-SG"/>
                  <a:t>Power</a:t>
                </a:r>
                <a:r>
                  <a:rPr lang="en-SG" baseline="0"/>
                  <a:t> (GwH)</a:t>
                </a:r>
                <a:endParaRPr lang="en-SG"/>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crossAx val="1200384751"/>
        <c:crosses val="autoZero"/>
        <c:crossBetween val="midCat"/>
        <c:majorUnit val="10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venir Next LT Pro" panose="020B05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Sensitivity Analysis</a:t>
            </a:r>
            <a:r>
              <a:rPr lang="en-SG" baseline="0"/>
              <a:t> on Varying Population </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'Sensitivity - Population'!$E$12</c:f>
              <c:strCache>
                <c:ptCount val="1"/>
                <c:pt idx="0">
                  <c:v>-5</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Population'!$E$13:$E$42</c:f>
              <c:numCache>
                <c:formatCode>0.00</c:formatCode>
                <c:ptCount val="30"/>
                <c:pt idx="0">
                  <c:v>7345.9005300969247</c:v>
                </c:pt>
                <c:pt idx="1">
                  <c:v>7390.9308856930511</c:v>
                </c:pt>
                <c:pt idx="2">
                  <c:v>7437.758208947027</c:v>
                </c:pt>
                <c:pt idx="3">
                  <c:v>7483.879215348883</c:v>
                </c:pt>
                <c:pt idx="4">
                  <c:v>7529.2707415561181</c:v>
                </c:pt>
                <c:pt idx="5">
                  <c:v>7573.9098475058699</c:v>
                </c:pt>
                <c:pt idx="6">
                  <c:v>7617.7738355395941</c:v>
                </c:pt>
                <c:pt idx="7">
                  <c:v>7660.8402694555271</c:v>
                </c:pt>
                <c:pt idx="8">
                  <c:v>7703.0869934668144</c:v>
                </c:pt>
                <c:pt idx="9">
                  <c:v>7744.4921510430968</c:v>
                </c:pt>
                <c:pt idx="10">
                  <c:v>7785.0342036133306</c:v>
                </c:pt>
                <c:pt idx="11">
                  <c:v>7824.6919491076369</c:v>
                </c:pt>
                <c:pt idx="12">
                  <c:v>7863.4445403159943</c:v>
                </c:pt>
                <c:pt idx="13">
                  <c:v>7901.2715030417212</c:v>
                </c:pt>
                <c:pt idx="14">
                  <c:v>7938.1527540277066</c:v>
                </c:pt>
                <c:pt idx="15">
                  <c:v>7974.0686186336234</c:v>
                </c:pt>
                <c:pt idx="16">
                  <c:v>8008.9998482424098</c:v>
                </c:pt>
                <c:pt idx="17">
                  <c:v>8042.9276373746097</c:v>
                </c:pt>
                <c:pt idx="18">
                  <c:v>8075.833640489368</c:v>
                </c:pt>
                <c:pt idx="19">
                  <c:v>8107.6999884511533</c:v>
                </c:pt>
                <c:pt idx="20">
                  <c:v>8138.509304641625</c:v>
                </c:pt>
                <c:pt idx="21">
                  <c:v>8168.2447206963616</c:v>
                </c:pt>
                <c:pt idx="22">
                  <c:v>8196.8898918466039</c:v>
                </c:pt>
                <c:pt idx="23">
                  <c:v>8224.4290118465287</c:v>
                </c:pt>
                <c:pt idx="24">
                  <c:v>8250.8468274670195</c:v>
                </c:pt>
                <c:pt idx="25">
                  <c:v>8276.1286525374326</c:v>
                </c:pt>
                <c:pt idx="26">
                  <c:v>8300.2603815172333</c:v>
                </c:pt>
                <c:pt idx="27">
                  <c:v>8323.2285025800884</c:v>
                </c:pt>
                <c:pt idx="28">
                  <c:v>8345.0201101933817</c:v>
                </c:pt>
                <c:pt idx="29">
                  <c:v>8365.6229171768628</c:v>
                </c:pt>
              </c:numCache>
            </c:numRef>
          </c:val>
          <c:smooth val="0"/>
          <c:extLst>
            <c:ext xmlns:c16="http://schemas.microsoft.com/office/drawing/2014/chart" uri="{C3380CC4-5D6E-409C-BE32-E72D297353CC}">
              <c16:uniqueId val="{00000000-DB14-4378-B945-1F0E653D0625}"/>
            </c:ext>
          </c:extLst>
        </c:ser>
        <c:ser>
          <c:idx val="1"/>
          <c:order val="1"/>
          <c:tx>
            <c:strRef>
              <c:f>'Sensitivity - Population'!$F$12</c:f>
              <c:strCache>
                <c:ptCount val="1"/>
                <c:pt idx="0">
                  <c:v>-4</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Population'!$F$13:$F$42</c:f>
              <c:numCache>
                <c:formatCode>0.00</c:formatCode>
                <c:ptCount val="30"/>
                <c:pt idx="0">
                  <c:v>7351.6136065403143</c:v>
                </c:pt>
                <c:pt idx="1">
                  <c:v>7396.6892187752301</c:v>
                </c:pt>
                <c:pt idx="2">
                  <c:v>7443.5636046656418</c:v>
                </c:pt>
                <c:pt idx="3">
                  <c:v>7489.7309638377519</c:v>
                </c:pt>
                <c:pt idx="4">
                  <c:v>7535.1681096693146</c:v>
                </c:pt>
                <c:pt idx="5">
                  <c:v>7579.8520790421317</c:v>
                </c:pt>
                <c:pt idx="6">
                  <c:v>7623.7601514859398</c:v>
                </c:pt>
                <c:pt idx="7">
                  <c:v>7666.8698682500299</c:v>
                </c:pt>
                <c:pt idx="8">
                  <c:v>7709.159051280425</c:v>
                </c:pt>
                <c:pt idx="9">
                  <c:v>7750.6058220804016</c:v>
                </c:pt>
                <c:pt idx="10">
                  <c:v>7791.1886204321136</c:v>
                </c:pt>
                <c:pt idx="11">
                  <c:v>7830.8862229570659</c:v>
                </c:pt>
                <c:pt idx="12">
                  <c:v>7869.6777614932716</c:v>
                </c:pt>
                <c:pt idx="13">
                  <c:v>7907.5427412669633</c:v>
                </c:pt>
                <c:pt idx="14">
                  <c:v>7944.461058836855</c:v>
                </c:pt>
                <c:pt idx="15">
                  <c:v>7980.41301978911</c:v>
                </c:pt>
                <c:pt idx="16">
                  <c:v>8015.3793561613211</c:v>
                </c:pt>
                <c:pt idx="17">
                  <c:v>8049.3412435740565</c:v>
                </c:pt>
                <c:pt idx="18">
                  <c:v>8082.280318048729</c:v>
                </c:pt>
                <c:pt idx="19">
                  <c:v>8114.1786924908783</c:v>
                </c:pt>
                <c:pt idx="20">
                  <c:v>8145.018972818224</c:v>
                </c:pt>
                <c:pt idx="21">
                  <c:v>8174.7842737132169</c:v>
                </c:pt>
                <c:pt idx="22">
                  <c:v>8203.4582339801927</c:v>
                </c:pt>
                <c:pt idx="23">
                  <c:v>8231.0250314876539</c:v>
                </c:pt>
                <c:pt idx="24">
                  <c:v>8257.4693976766102</c:v>
                </c:pt>
                <c:pt idx="25">
                  <c:v>8282.7766316164398</c:v>
                </c:pt>
                <c:pt idx="26">
                  <c:v>8306.9326135901902</c:v>
                </c:pt>
                <c:pt idx="27">
                  <c:v>8329.9238181918026</c:v>
                </c:pt>
                <c:pt idx="28">
                  <c:v>8351.7373269182754</c:v>
                </c:pt>
                <c:pt idx="29">
                  <c:v>8372.3608402404316</c:v>
                </c:pt>
              </c:numCache>
            </c:numRef>
          </c:val>
          <c:smooth val="0"/>
          <c:extLst>
            <c:ext xmlns:c16="http://schemas.microsoft.com/office/drawing/2014/chart" uri="{C3380CC4-5D6E-409C-BE32-E72D297353CC}">
              <c16:uniqueId val="{00000001-DB14-4378-B945-1F0E653D0625}"/>
            </c:ext>
          </c:extLst>
        </c:ser>
        <c:ser>
          <c:idx val="2"/>
          <c:order val="2"/>
          <c:tx>
            <c:strRef>
              <c:f>'Sensitivity - Population'!$G$12</c:f>
              <c:strCache>
                <c:ptCount val="1"/>
                <c:pt idx="0">
                  <c:v>-3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Population'!$G$13:$G$42</c:f>
              <c:numCache>
                <c:formatCode>0.00</c:formatCode>
                <c:ptCount val="30"/>
                <c:pt idx="0">
                  <c:v>7357.326682983703</c:v>
                </c:pt>
                <c:pt idx="1">
                  <c:v>7402.4475518574081</c:v>
                </c:pt>
                <c:pt idx="2">
                  <c:v>7449.3690003842567</c:v>
                </c:pt>
                <c:pt idx="3">
                  <c:v>7495.5827123266199</c:v>
                </c:pt>
                <c:pt idx="4">
                  <c:v>7541.0654777825112</c:v>
                </c:pt>
                <c:pt idx="5">
                  <c:v>7585.7943105783943</c:v>
                </c:pt>
                <c:pt idx="6">
                  <c:v>7629.7464674322864</c:v>
                </c:pt>
                <c:pt idx="7">
                  <c:v>7672.8994670445327</c:v>
                </c:pt>
                <c:pt idx="8">
                  <c:v>7715.2311090940348</c:v>
                </c:pt>
                <c:pt idx="9">
                  <c:v>7756.7194931177064</c:v>
                </c:pt>
                <c:pt idx="10">
                  <c:v>7797.3430372508956</c:v>
                </c:pt>
                <c:pt idx="11">
                  <c:v>7837.0804968064958</c:v>
                </c:pt>
                <c:pt idx="12">
                  <c:v>7875.9109826705489</c:v>
                </c:pt>
                <c:pt idx="13">
                  <c:v>7913.8139794922072</c:v>
                </c:pt>
                <c:pt idx="14">
                  <c:v>7950.7693636460035</c:v>
                </c:pt>
                <c:pt idx="15">
                  <c:v>7986.7574209445957</c:v>
                </c:pt>
                <c:pt idx="16">
                  <c:v>8021.7588640802333</c:v>
                </c:pt>
                <c:pt idx="17">
                  <c:v>8055.7548497735033</c:v>
                </c:pt>
                <c:pt idx="18">
                  <c:v>8088.72699560809</c:v>
                </c:pt>
                <c:pt idx="19">
                  <c:v>8120.6573965306034</c:v>
                </c:pt>
                <c:pt idx="20">
                  <c:v>8151.5286409948239</c:v>
                </c:pt>
                <c:pt idx="21">
                  <c:v>8181.3238267300721</c:v>
                </c:pt>
                <c:pt idx="22">
                  <c:v>8210.0265761137834</c:v>
                </c:pt>
                <c:pt idx="23">
                  <c:v>8237.6210511287827</c:v>
                </c:pt>
                <c:pt idx="24">
                  <c:v>8264.091967886201</c:v>
                </c:pt>
                <c:pt idx="25">
                  <c:v>8289.424610695447</c:v>
                </c:pt>
                <c:pt idx="26">
                  <c:v>8313.604845663147</c:v>
                </c:pt>
                <c:pt idx="27">
                  <c:v>8336.6191338035151</c:v>
                </c:pt>
                <c:pt idx="28">
                  <c:v>8358.454543643169</c:v>
                </c:pt>
                <c:pt idx="29">
                  <c:v>8379.0987633040022</c:v>
                </c:pt>
              </c:numCache>
            </c:numRef>
          </c:val>
          <c:smooth val="0"/>
          <c:extLst>
            <c:ext xmlns:c16="http://schemas.microsoft.com/office/drawing/2014/chart" uri="{C3380CC4-5D6E-409C-BE32-E72D297353CC}">
              <c16:uniqueId val="{00000002-DB14-4378-B945-1F0E653D0625}"/>
            </c:ext>
          </c:extLst>
        </c:ser>
        <c:ser>
          <c:idx val="3"/>
          <c:order val="3"/>
          <c:tx>
            <c:strRef>
              <c:f>'Sensitivity - Population'!$H$12</c:f>
              <c:strCache>
                <c:ptCount val="1"/>
                <c:pt idx="0">
                  <c:v>-2</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Population'!$H$13:$H$42</c:f>
              <c:numCache>
                <c:formatCode>0.00</c:formatCode>
                <c:ptCount val="30"/>
                <c:pt idx="0">
                  <c:v>7363.0397594270908</c:v>
                </c:pt>
                <c:pt idx="1">
                  <c:v>7408.2058849395871</c:v>
                </c:pt>
                <c:pt idx="2">
                  <c:v>7455.1743961028724</c:v>
                </c:pt>
                <c:pt idx="3">
                  <c:v>7501.4344608154879</c:v>
                </c:pt>
                <c:pt idx="4">
                  <c:v>7546.9628458957086</c:v>
                </c:pt>
                <c:pt idx="5">
                  <c:v>7591.736542114656</c:v>
                </c:pt>
                <c:pt idx="6">
                  <c:v>7635.732783378633</c:v>
                </c:pt>
                <c:pt idx="7">
                  <c:v>7678.9290658390364</c:v>
                </c:pt>
                <c:pt idx="8">
                  <c:v>7721.3031669076436</c:v>
                </c:pt>
                <c:pt idx="9">
                  <c:v>7762.8331641550103</c:v>
                </c:pt>
                <c:pt idx="10">
                  <c:v>7803.4974540696776</c:v>
                </c:pt>
                <c:pt idx="11">
                  <c:v>7843.2747706559248</c:v>
                </c:pt>
                <c:pt idx="12">
                  <c:v>7882.1442038478272</c:v>
                </c:pt>
                <c:pt idx="13">
                  <c:v>7920.0852177174493</c:v>
                </c:pt>
                <c:pt idx="14">
                  <c:v>7957.077668455152</c:v>
                </c:pt>
                <c:pt idx="15">
                  <c:v>7993.1018221000813</c:v>
                </c:pt>
                <c:pt idx="16">
                  <c:v>8028.1383719991454</c:v>
                </c:pt>
                <c:pt idx="17">
                  <c:v>8062.1684559729501</c:v>
                </c:pt>
                <c:pt idx="18">
                  <c:v>8095.1736731674519</c:v>
                </c:pt>
                <c:pt idx="19">
                  <c:v>8127.1361005703284</c:v>
                </c:pt>
                <c:pt idx="20">
                  <c:v>8158.038309171423</c:v>
                </c:pt>
                <c:pt idx="21">
                  <c:v>8187.8633797469283</c:v>
                </c:pt>
                <c:pt idx="22">
                  <c:v>8216.5949182473723</c:v>
                </c:pt>
                <c:pt idx="23">
                  <c:v>8244.2170707699079</c:v>
                </c:pt>
                <c:pt idx="24">
                  <c:v>8270.71453809579</c:v>
                </c:pt>
                <c:pt idx="25">
                  <c:v>8296.0725897744542</c:v>
                </c:pt>
                <c:pt idx="26">
                  <c:v>8320.2770777361038</c:v>
                </c:pt>
                <c:pt idx="27">
                  <c:v>8343.3144494152293</c:v>
                </c:pt>
                <c:pt idx="28">
                  <c:v>8365.1717603680609</c:v>
                </c:pt>
                <c:pt idx="29">
                  <c:v>8385.836686367571</c:v>
                </c:pt>
              </c:numCache>
            </c:numRef>
          </c:val>
          <c:smooth val="0"/>
          <c:extLst>
            <c:ext xmlns:c16="http://schemas.microsoft.com/office/drawing/2014/chart" uri="{C3380CC4-5D6E-409C-BE32-E72D297353CC}">
              <c16:uniqueId val="{00000003-DB14-4378-B945-1F0E653D0625}"/>
            </c:ext>
          </c:extLst>
        </c:ser>
        <c:ser>
          <c:idx val="4"/>
          <c:order val="4"/>
          <c:tx>
            <c:strRef>
              <c:f>'Sensitivity - Population'!$I$12</c:f>
              <c:strCache>
                <c:ptCount val="1"/>
                <c:pt idx="0">
                  <c:v>-1</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Population'!$I$13:$I$42</c:f>
              <c:numCache>
                <c:formatCode>0.00</c:formatCode>
                <c:ptCount val="30"/>
                <c:pt idx="0">
                  <c:v>7368.7528358704803</c:v>
                </c:pt>
                <c:pt idx="1">
                  <c:v>7413.9642180217661</c:v>
                </c:pt>
                <c:pt idx="2">
                  <c:v>7460.9797918214872</c:v>
                </c:pt>
                <c:pt idx="3">
                  <c:v>7507.2862093043568</c:v>
                </c:pt>
                <c:pt idx="4">
                  <c:v>7552.860214008906</c:v>
                </c:pt>
                <c:pt idx="5">
                  <c:v>7597.6787736509177</c:v>
                </c:pt>
                <c:pt idx="6">
                  <c:v>7641.7190993249787</c:v>
                </c:pt>
                <c:pt idx="7">
                  <c:v>7684.9586646335392</c:v>
                </c:pt>
                <c:pt idx="8">
                  <c:v>7727.3752247212533</c:v>
                </c:pt>
                <c:pt idx="9">
                  <c:v>7768.9468351923151</c:v>
                </c:pt>
                <c:pt idx="10">
                  <c:v>7809.6518708884596</c:v>
                </c:pt>
                <c:pt idx="11">
                  <c:v>7849.4690445053557</c:v>
                </c:pt>
                <c:pt idx="12">
                  <c:v>7888.3774250251045</c:v>
                </c:pt>
                <c:pt idx="13">
                  <c:v>7926.3564559426923</c:v>
                </c:pt>
                <c:pt idx="14">
                  <c:v>7963.3859732643004</c:v>
                </c:pt>
                <c:pt idx="15">
                  <c:v>7999.446223255567</c:v>
                </c:pt>
                <c:pt idx="16">
                  <c:v>8034.5178799180567</c:v>
                </c:pt>
                <c:pt idx="17">
                  <c:v>8068.5820621723969</c:v>
                </c:pt>
                <c:pt idx="18">
                  <c:v>8101.6203507268128</c:v>
                </c:pt>
                <c:pt idx="19">
                  <c:v>8133.6148046100525</c:v>
                </c:pt>
                <c:pt idx="20">
                  <c:v>8164.5479773480238</c:v>
                </c:pt>
                <c:pt idx="21">
                  <c:v>8194.4029327637836</c:v>
                </c:pt>
                <c:pt idx="22">
                  <c:v>8223.163260380963</c:v>
                </c:pt>
                <c:pt idx="23">
                  <c:v>8250.8130904110367</c:v>
                </c:pt>
                <c:pt idx="24">
                  <c:v>8277.3371083053789</c:v>
                </c:pt>
                <c:pt idx="25">
                  <c:v>8302.7205688534632</c:v>
                </c:pt>
                <c:pt idx="26">
                  <c:v>8326.9493098090607</c:v>
                </c:pt>
                <c:pt idx="27">
                  <c:v>8350.0097650269417</c:v>
                </c:pt>
                <c:pt idx="28">
                  <c:v>8371.8889770929527</c:v>
                </c:pt>
                <c:pt idx="29">
                  <c:v>8392.5746094311398</c:v>
                </c:pt>
              </c:numCache>
            </c:numRef>
          </c:val>
          <c:smooth val="0"/>
          <c:extLst>
            <c:ext xmlns:c16="http://schemas.microsoft.com/office/drawing/2014/chart" uri="{C3380CC4-5D6E-409C-BE32-E72D297353CC}">
              <c16:uniqueId val="{00000004-DB14-4378-B945-1F0E653D0625}"/>
            </c:ext>
          </c:extLst>
        </c:ser>
        <c:ser>
          <c:idx val="5"/>
          <c:order val="5"/>
          <c:tx>
            <c:strRef>
              <c:f>'Sensitivity - Population'!$J$12</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Population'!$J$13:$J$42</c:f>
              <c:numCache>
                <c:formatCode>0.00</c:formatCode>
                <c:ptCount val="30"/>
                <c:pt idx="0">
                  <c:v>7374.465912313869</c:v>
                </c:pt>
                <c:pt idx="1">
                  <c:v>7419.7225511039451</c:v>
                </c:pt>
                <c:pt idx="2">
                  <c:v>7466.785187540102</c:v>
                </c:pt>
                <c:pt idx="3">
                  <c:v>7513.1379577932248</c:v>
                </c:pt>
                <c:pt idx="4">
                  <c:v>7558.7575821221026</c:v>
                </c:pt>
                <c:pt idx="5">
                  <c:v>7603.6210051871803</c:v>
                </c:pt>
                <c:pt idx="6">
                  <c:v>7647.7054152713254</c:v>
                </c:pt>
                <c:pt idx="7">
                  <c:v>7690.988263428042</c:v>
                </c:pt>
                <c:pt idx="8">
                  <c:v>7733.4472825348639</c:v>
                </c:pt>
                <c:pt idx="9">
                  <c:v>7775.0605062296199</c:v>
                </c:pt>
                <c:pt idx="10">
                  <c:v>7815.8062877072425</c:v>
                </c:pt>
                <c:pt idx="11">
                  <c:v>7855.6633183547847</c:v>
                </c:pt>
                <c:pt idx="12">
                  <c:v>7894.6106462023808</c:v>
                </c:pt>
                <c:pt idx="13">
                  <c:v>7932.6276941679353</c:v>
                </c:pt>
                <c:pt idx="14">
                  <c:v>7969.6942780734489</c:v>
                </c:pt>
                <c:pt idx="15">
                  <c:v>8005.7906244110536</c:v>
                </c:pt>
                <c:pt idx="16">
                  <c:v>8040.8973878369688</c:v>
                </c:pt>
                <c:pt idx="17">
                  <c:v>8074.9956683718437</c:v>
                </c:pt>
                <c:pt idx="18">
                  <c:v>8108.0670282861738</c:v>
                </c:pt>
                <c:pt idx="19">
                  <c:v>8140.0935086497775</c:v>
                </c:pt>
                <c:pt idx="20">
                  <c:v>8171.0576455246228</c:v>
                </c:pt>
                <c:pt idx="21">
                  <c:v>8200.9424857806389</c:v>
                </c:pt>
                <c:pt idx="22">
                  <c:v>8229.7316025145519</c:v>
                </c:pt>
                <c:pt idx="23">
                  <c:v>8257.4091100521619</c:v>
                </c:pt>
                <c:pt idx="24">
                  <c:v>8283.9596785149697</c:v>
                </c:pt>
                <c:pt idx="25">
                  <c:v>8309.3685479324704</c:v>
                </c:pt>
                <c:pt idx="26">
                  <c:v>8333.6215418820175</c:v>
                </c:pt>
                <c:pt idx="27">
                  <c:v>8356.705080638656</c:v>
                </c:pt>
                <c:pt idx="28">
                  <c:v>8378.6061938178464</c:v>
                </c:pt>
                <c:pt idx="29">
                  <c:v>8399.3125324947105</c:v>
                </c:pt>
              </c:numCache>
            </c:numRef>
          </c:val>
          <c:smooth val="0"/>
          <c:extLst>
            <c:ext xmlns:c16="http://schemas.microsoft.com/office/drawing/2014/chart" uri="{C3380CC4-5D6E-409C-BE32-E72D297353CC}">
              <c16:uniqueId val="{00000005-DB14-4378-B945-1F0E653D0625}"/>
            </c:ext>
          </c:extLst>
        </c:ser>
        <c:ser>
          <c:idx val="6"/>
          <c:order val="6"/>
          <c:tx>
            <c:strRef>
              <c:f>'Sensitivity - Population'!$K$12</c:f>
              <c:strCache>
                <c:ptCount val="1"/>
                <c:pt idx="0">
                  <c:v>1</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Population'!$K$13:$K$42</c:f>
              <c:numCache>
                <c:formatCode>0.00</c:formatCode>
                <c:ptCount val="30"/>
                <c:pt idx="0">
                  <c:v>7380.1789887572577</c:v>
                </c:pt>
                <c:pt idx="1">
                  <c:v>7425.4808841861241</c:v>
                </c:pt>
                <c:pt idx="2">
                  <c:v>7472.5905832587177</c:v>
                </c:pt>
                <c:pt idx="3">
                  <c:v>7518.9897062820928</c:v>
                </c:pt>
                <c:pt idx="4">
                  <c:v>7564.6549502353</c:v>
                </c:pt>
                <c:pt idx="5">
                  <c:v>7609.563236723443</c:v>
                </c:pt>
                <c:pt idx="6">
                  <c:v>7653.6917312176711</c:v>
                </c:pt>
                <c:pt idx="7">
                  <c:v>7697.0178622225449</c:v>
                </c:pt>
                <c:pt idx="8">
                  <c:v>7739.5193403484736</c:v>
                </c:pt>
                <c:pt idx="9">
                  <c:v>7781.1741772669247</c:v>
                </c:pt>
                <c:pt idx="10">
                  <c:v>7821.9607045260245</c:v>
                </c:pt>
                <c:pt idx="11">
                  <c:v>7861.8575922042146</c:v>
                </c:pt>
                <c:pt idx="12">
                  <c:v>7900.8438673796581</c:v>
                </c:pt>
                <c:pt idx="13">
                  <c:v>7938.8989323931773</c:v>
                </c:pt>
                <c:pt idx="14">
                  <c:v>7976.0025828825965</c:v>
                </c:pt>
                <c:pt idx="15">
                  <c:v>8012.1350255665402</c:v>
                </c:pt>
                <c:pt idx="16">
                  <c:v>8047.276895755881</c:v>
                </c:pt>
                <c:pt idx="17">
                  <c:v>8081.4092745712896</c:v>
                </c:pt>
                <c:pt idx="18">
                  <c:v>8114.5137058455339</c:v>
                </c:pt>
                <c:pt idx="19">
                  <c:v>8146.5722126895016</c:v>
                </c:pt>
                <c:pt idx="20">
                  <c:v>8177.5673137012218</c:v>
                </c:pt>
                <c:pt idx="21">
                  <c:v>8207.4820387974942</c:v>
                </c:pt>
                <c:pt idx="22">
                  <c:v>8236.2999446481408</c:v>
                </c:pt>
                <c:pt idx="23">
                  <c:v>8264.0051296932907</c:v>
                </c:pt>
                <c:pt idx="24">
                  <c:v>8290.5822487245605</c:v>
                </c:pt>
                <c:pt idx="25">
                  <c:v>8316.0165270114776</c:v>
                </c:pt>
                <c:pt idx="26">
                  <c:v>8340.2937739549743</c:v>
                </c:pt>
                <c:pt idx="27">
                  <c:v>8363.4003962503702</c:v>
                </c:pt>
                <c:pt idx="28">
                  <c:v>8385.32341054274</c:v>
                </c:pt>
                <c:pt idx="29">
                  <c:v>8406.0504555582811</c:v>
                </c:pt>
              </c:numCache>
            </c:numRef>
          </c:val>
          <c:smooth val="0"/>
          <c:extLst>
            <c:ext xmlns:c16="http://schemas.microsoft.com/office/drawing/2014/chart" uri="{C3380CC4-5D6E-409C-BE32-E72D297353CC}">
              <c16:uniqueId val="{00000006-DB14-4378-B945-1F0E653D0625}"/>
            </c:ext>
          </c:extLst>
        </c:ser>
        <c:ser>
          <c:idx val="7"/>
          <c:order val="7"/>
          <c:tx>
            <c:strRef>
              <c:f>'Sensitivity - Population'!$L$12</c:f>
              <c:strCache>
                <c:ptCount val="1"/>
                <c:pt idx="0">
                  <c:v>2</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Population'!$L$13:$L$42</c:f>
              <c:numCache>
                <c:formatCode>0.00</c:formatCode>
                <c:ptCount val="30"/>
                <c:pt idx="0">
                  <c:v>7385.8920652006473</c:v>
                </c:pt>
                <c:pt idx="1">
                  <c:v>7431.239217268303</c:v>
                </c:pt>
                <c:pt idx="2">
                  <c:v>7478.3959789773326</c:v>
                </c:pt>
                <c:pt idx="3">
                  <c:v>7524.8414547709608</c:v>
                </c:pt>
                <c:pt idx="4">
                  <c:v>7570.5523183484975</c:v>
                </c:pt>
                <c:pt idx="5">
                  <c:v>7615.5054682597047</c:v>
                </c:pt>
                <c:pt idx="6">
                  <c:v>7659.6780471640177</c:v>
                </c:pt>
                <c:pt idx="7">
                  <c:v>7703.0474610170477</c:v>
                </c:pt>
                <c:pt idx="8">
                  <c:v>7745.5913981620834</c:v>
                </c:pt>
                <c:pt idx="9">
                  <c:v>7787.2878483042286</c:v>
                </c:pt>
                <c:pt idx="10">
                  <c:v>7828.1151213448065</c:v>
                </c:pt>
                <c:pt idx="11">
                  <c:v>7868.0518660536445</c:v>
                </c:pt>
                <c:pt idx="12">
                  <c:v>7907.0770885569355</c:v>
                </c:pt>
                <c:pt idx="13">
                  <c:v>7945.1701706184213</c:v>
                </c:pt>
                <c:pt idx="14">
                  <c:v>7982.3108876917449</c:v>
                </c:pt>
                <c:pt idx="15">
                  <c:v>8018.479426722025</c:v>
                </c:pt>
                <c:pt idx="16">
                  <c:v>8053.6564036747923</c:v>
                </c:pt>
                <c:pt idx="17">
                  <c:v>8087.8228807707374</c:v>
                </c:pt>
                <c:pt idx="18">
                  <c:v>8120.9603834048949</c:v>
                </c:pt>
                <c:pt idx="19">
                  <c:v>8153.0509167292266</c:v>
                </c:pt>
                <c:pt idx="20">
                  <c:v>8184.0769818778217</c:v>
                </c:pt>
                <c:pt idx="21">
                  <c:v>8214.0215918143513</c:v>
                </c:pt>
                <c:pt idx="22">
                  <c:v>8242.8682867817297</c:v>
                </c:pt>
                <c:pt idx="23">
                  <c:v>8270.6011493344176</c:v>
                </c:pt>
                <c:pt idx="24">
                  <c:v>8297.2048189341513</c:v>
                </c:pt>
                <c:pt idx="25">
                  <c:v>8322.6645060904848</c:v>
                </c:pt>
                <c:pt idx="26">
                  <c:v>8346.9660060279311</c:v>
                </c:pt>
                <c:pt idx="27">
                  <c:v>8370.0957118620827</c:v>
                </c:pt>
                <c:pt idx="28">
                  <c:v>8392.0406272676319</c:v>
                </c:pt>
                <c:pt idx="29">
                  <c:v>8412.7883786218499</c:v>
                </c:pt>
              </c:numCache>
            </c:numRef>
          </c:val>
          <c:smooth val="0"/>
          <c:extLst>
            <c:ext xmlns:c16="http://schemas.microsoft.com/office/drawing/2014/chart" uri="{C3380CC4-5D6E-409C-BE32-E72D297353CC}">
              <c16:uniqueId val="{00000007-DB14-4378-B945-1F0E653D0625}"/>
            </c:ext>
          </c:extLst>
        </c:ser>
        <c:ser>
          <c:idx val="8"/>
          <c:order val="8"/>
          <c:tx>
            <c:strRef>
              <c:f>'Sensitivity - Population'!$M$12</c:f>
              <c:strCache>
                <c:ptCount val="1"/>
                <c:pt idx="0">
                  <c:v>3</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Population'!$M$13:$M$42</c:f>
              <c:numCache>
                <c:formatCode>0.00</c:formatCode>
                <c:ptCount val="30"/>
                <c:pt idx="0">
                  <c:v>7391.605141644035</c:v>
                </c:pt>
                <c:pt idx="1">
                  <c:v>7436.997550350482</c:v>
                </c:pt>
                <c:pt idx="2">
                  <c:v>7484.2013746959474</c:v>
                </c:pt>
                <c:pt idx="3">
                  <c:v>7530.6932032598288</c:v>
                </c:pt>
                <c:pt idx="4">
                  <c:v>7576.449686461694</c:v>
                </c:pt>
                <c:pt idx="5">
                  <c:v>7621.4476997959664</c:v>
                </c:pt>
                <c:pt idx="6">
                  <c:v>7665.6643631103643</c:v>
                </c:pt>
                <c:pt idx="7">
                  <c:v>7709.0770598115514</c:v>
                </c:pt>
                <c:pt idx="8">
                  <c:v>7751.6634559756931</c:v>
                </c:pt>
                <c:pt idx="9">
                  <c:v>7793.4015193415335</c:v>
                </c:pt>
                <c:pt idx="10">
                  <c:v>7834.2695381635885</c:v>
                </c:pt>
                <c:pt idx="11">
                  <c:v>7874.2461399030744</c:v>
                </c:pt>
                <c:pt idx="12">
                  <c:v>7913.3103097342137</c:v>
                </c:pt>
                <c:pt idx="13">
                  <c:v>7951.4414088436633</c:v>
                </c:pt>
                <c:pt idx="14">
                  <c:v>7988.6191925008934</c:v>
                </c:pt>
                <c:pt idx="15">
                  <c:v>8024.8238278775116</c:v>
                </c:pt>
                <c:pt idx="16">
                  <c:v>8060.0359115937044</c:v>
                </c:pt>
                <c:pt idx="17">
                  <c:v>8094.2364869701833</c:v>
                </c:pt>
                <c:pt idx="18">
                  <c:v>8127.4070609642567</c:v>
                </c:pt>
                <c:pt idx="19">
                  <c:v>8159.5296207689507</c:v>
                </c:pt>
                <c:pt idx="20">
                  <c:v>8190.5866500544207</c:v>
                </c:pt>
                <c:pt idx="21">
                  <c:v>8220.5611448312047</c:v>
                </c:pt>
                <c:pt idx="22">
                  <c:v>8249.4366289153186</c:v>
                </c:pt>
                <c:pt idx="23">
                  <c:v>8277.1971689755446</c:v>
                </c:pt>
                <c:pt idx="24">
                  <c:v>8303.8273891437402</c:v>
                </c:pt>
                <c:pt idx="25">
                  <c:v>8329.312485169492</c:v>
                </c:pt>
                <c:pt idx="26">
                  <c:v>8353.638238100888</c:v>
                </c:pt>
                <c:pt idx="27">
                  <c:v>8376.7910274737969</c:v>
                </c:pt>
                <c:pt idx="28">
                  <c:v>8398.7578439925255</c:v>
                </c:pt>
                <c:pt idx="29">
                  <c:v>8419.5263016854187</c:v>
                </c:pt>
              </c:numCache>
            </c:numRef>
          </c:val>
          <c:smooth val="0"/>
          <c:extLst>
            <c:ext xmlns:c16="http://schemas.microsoft.com/office/drawing/2014/chart" uri="{C3380CC4-5D6E-409C-BE32-E72D297353CC}">
              <c16:uniqueId val="{00000008-DB14-4378-B945-1F0E653D0625}"/>
            </c:ext>
          </c:extLst>
        </c:ser>
        <c:ser>
          <c:idx val="9"/>
          <c:order val="9"/>
          <c:tx>
            <c:strRef>
              <c:f>'Sensitivity - Population'!$N$12</c:f>
              <c:strCache>
                <c:ptCount val="1"/>
                <c:pt idx="0">
                  <c:v>4</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Population'!$N$13:$N$42</c:f>
              <c:numCache>
                <c:formatCode>0.00</c:formatCode>
                <c:ptCount val="30"/>
                <c:pt idx="0">
                  <c:v>7397.3182180874237</c:v>
                </c:pt>
                <c:pt idx="1">
                  <c:v>7442.755883432661</c:v>
                </c:pt>
                <c:pt idx="2">
                  <c:v>7490.0067704145622</c:v>
                </c:pt>
                <c:pt idx="3">
                  <c:v>7536.5449517486968</c:v>
                </c:pt>
                <c:pt idx="4">
                  <c:v>7582.3470545748905</c:v>
                </c:pt>
                <c:pt idx="5">
                  <c:v>7627.389931332229</c:v>
                </c:pt>
                <c:pt idx="6">
                  <c:v>7671.6506790567109</c:v>
                </c:pt>
                <c:pt idx="7">
                  <c:v>7715.1066586060542</c:v>
                </c:pt>
                <c:pt idx="8">
                  <c:v>7757.7355137893028</c:v>
                </c:pt>
                <c:pt idx="9">
                  <c:v>7799.5151903788383</c:v>
                </c:pt>
                <c:pt idx="10">
                  <c:v>7840.4239549823706</c:v>
                </c:pt>
                <c:pt idx="11">
                  <c:v>7880.4404137525034</c:v>
                </c:pt>
                <c:pt idx="12">
                  <c:v>7919.543530911491</c:v>
                </c:pt>
                <c:pt idx="13">
                  <c:v>7957.7126470689063</c:v>
                </c:pt>
                <c:pt idx="14">
                  <c:v>7994.9274973100428</c:v>
                </c:pt>
                <c:pt idx="15">
                  <c:v>8031.1682290329973</c:v>
                </c:pt>
                <c:pt idx="16">
                  <c:v>8066.4154195126166</c:v>
                </c:pt>
                <c:pt idx="17">
                  <c:v>8100.650093169631</c:v>
                </c:pt>
                <c:pt idx="18">
                  <c:v>8133.8537385236177</c:v>
                </c:pt>
                <c:pt idx="19">
                  <c:v>8166.0083248086767</c:v>
                </c:pt>
                <c:pt idx="20">
                  <c:v>8197.0963182310206</c:v>
                </c:pt>
                <c:pt idx="21">
                  <c:v>8227.1006978480618</c:v>
                </c:pt>
                <c:pt idx="22">
                  <c:v>8256.0049710489111</c:v>
                </c:pt>
                <c:pt idx="23">
                  <c:v>8283.7931886166716</c:v>
                </c:pt>
                <c:pt idx="24">
                  <c:v>8310.4499593533292</c:v>
                </c:pt>
                <c:pt idx="25">
                  <c:v>8335.9604642484992</c:v>
                </c:pt>
                <c:pt idx="26">
                  <c:v>8360.3104701738466</c:v>
                </c:pt>
                <c:pt idx="27">
                  <c:v>8383.4863430855112</c:v>
                </c:pt>
                <c:pt idx="28">
                  <c:v>8405.4750607174174</c:v>
                </c:pt>
                <c:pt idx="29">
                  <c:v>8426.2642247489894</c:v>
                </c:pt>
              </c:numCache>
            </c:numRef>
          </c:val>
          <c:smooth val="0"/>
          <c:extLst>
            <c:ext xmlns:c16="http://schemas.microsoft.com/office/drawing/2014/chart" uri="{C3380CC4-5D6E-409C-BE32-E72D297353CC}">
              <c16:uniqueId val="{00000009-DB14-4378-B945-1F0E653D0625}"/>
            </c:ext>
          </c:extLst>
        </c:ser>
        <c:ser>
          <c:idx val="10"/>
          <c:order val="10"/>
          <c:tx>
            <c:strRef>
              <c:f>'Sensitivity - Population'!$O$12</c:f>
              <c:strCache>
                <c:ptCount val="1"/>
                <c:pt idx="0">
                  <c:v>5</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Population'!$O$13:$O$42</c:f>
              <c:numCache>
                <c:formatCode>0.00</c:formatCode>
                <c:ptCount val="30"/>
                <c:pt idx="0">
                  <c:v>7403.0312945308133</c:v>
                </c:pt>
                <c:pt idx="1">
                  <c:v>7448.5142165148391</c:v>
                </c:pt>
                <c:pt idx="2">
                  <c:v>7495.8121661331779</c:v>
                </c:pt>
                <c:pt idx="3">
                  <c:v>7542.3967002375657</c:v>
                </c:pt>
                <c:pt idx="4">
                  <c:v>7588.244422688088</c:v>
                </c:pt>
                <c:pt idx="5">
                  <c:v>7633.3321628684907</c:v>
                </c:pt>
                <c:pt idx="6">
                  <c:v>7677.6369950030567</c:v>
                </c:pt>
                <c:pt idx="7">
                  <c:v>7721.136257400557</c:v>
                </c:pt>
                <c:pt idx="8">
                  <c:v>7763.8075716029125</c:v>
                </c:pt>
                <c:pt idx="9">
                  <c:v>7805.6288614161431</c:v>
                </c:pt>
                <c:pt idx="10">
                  <c:v>7846.5783718011535</c:v>
                </c:pt>
                <c:pt idx="11">
                  <c:v>7886.6346876019334</c:v>
                </c:pt>
                <c:pt idx="12">
                  <c:v>7925.7767520887683</c:v>
                </c:pt>
                <c:pt idx="13">
                  <c:v>7963.9838852941493</c:v>
                </c:pt>
                <c:pt idx="14">
                  <c:v>8001.2358021191903</c:v>
                </c:pt>
                <c:pt idx="15">
                  <c:v>8037.5126301884839</c:v>
                </c:pt>
                <c:pt idx="16">
                  <c:v>8072.7949274315279</c:v>
                </c:pt>
                <c:pt idx="17">
                  <c:v>8107.0636993690769</c:v>
                </c:pt>
                <c:pt idx="18">
                  <c:v>8140.3004160829787</c:v>
                </c:pt>
                <c:pt idx="19">
                  <c:v>8172.4870288484008</c:v>
                </c:pt>
                <c:pt idx="20">
                  <c:v>8203.6059864076196</c:v>
                </c:pt>
                <c:pt idx="21">
                  <c:v>8233.6402508649153</c:v>
                </c:pt>
                <c:pt idx="22">
                  <c:v>8262.5733131825</c:v>
                </c:pt>
                <c:pt idx="23">
                  <c:v>8290.3892082577986</c:v>
                </c:pt>
                <c:pt idx="24">
                  <c:v>8317.07252956292</c:v>
                </c:pt>
                <c:pt idx="25">
                  <c:v>8342.6084433275064</c:v>
                </c:pt>
                <c:pt idx="26">
                  <c:v>8366.9827022468035</c:v>
                </c:pt>
                <c:pt idx="27">
                  <c:v>8390.1816586972236</c:v>
                </c:pt>
                <c:pt idx="28">
                  <c:v>8412.192277442311</c:v>
                </c:pt>
                <c:pt idx="29">
                  <c:v>8433.00214781256</c:v>
                </c:pt>
              </c:numCache>
            </c:numRef>
          </c:val>
          <c:smooth val="0"/>
          <c:extLst>
            <c:ext xmlns:c16="http://schemas.microsoft.com/office/drawing/2014/chart" uri="{C3380CC4-5D6E-409C-BE32-E72D297353CC}">
              <c16:uniqueId val="{0000000A-DB14-4378-B945-1F0E653D0625}"/>
            </c:ext>
          </c:extLst>
        </c:ser>
        <c:ser>
          <c:idx val="11"/>
          <c:order val="11"/>
          <c:tx>
            <c:strRef>
              <c:f>'Sensitivity - Population'!$P$12</c:f>
              <c:strCache>
                <c:ptCount val="1"/>
                <c:pt idx="0">
                  <c:v>6</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Population'!$P$13:$P$42</c:f>
              <c:numCache>
                <c:formatCode>0.00</c:formatCode>
                <c:ptCount val="30"/>
                <c:pt idx="0">
                  <c:v>7408.744370974202</c:v>
                </c:pt>
                <c:pt idx="1">
                  <c:v>7454.272549597019</c:v>
                </c:pt>
                <c:pt idx="2">
                  <c:v>7501.6175618517927</c:v>
                </c:pt>
                <c:pt idx="3">
                  <c:v>7548.2484487264337</c:v>
                </c:pt>
                <c:pt idx="4">
                  <c:v>7594.1417908012845</c:v>
                </c:pt>
                <c:pt idx="5">
                  <c:v>7639.2743944047534</c:v>
                </c:pt>
                <c:pt idx="6">
                  <c:v>7683.6233109494024</c:v>
                </c:pt>
                <c:pt idx="7">
                  <c:v>7727.1658561950599</c:v>
                </c:pt>
                <c:pt idx="8">
                  <c:v>7769.8796294165231</c:v>
                </c:pt>
                <c:pt idx="9">
                  <c:v>7811.7425324534479</c:v>
                </c:pt>
                <c:pt idx="10">
                  <c:v>7852.7327886199346</c:v>
                </c:pt>
                <c:pt idx="11">
                  <c:v>7892.8289614513633</c:v>
                </c:pt>
                <c:pt idx="12">
                  <c:v>7932.0099732660447</c:v>
                </c:pt>
                <c:pt idx="13">
                  <c:v>7970.2551235193923</c:v>
                </c:pt>
                <c:pt idx="14">
                  <c:v>8007.5441069283388</c:v>
                </c:pt>
                <c:pt idx="15">
                  <c:v>8043.8570313439695</c:v>
                </c:pt>
                <c:pt idx="16">
                  <c:v>8079.17443535044</c:v>
                </c:pt>
                <c:pt idx="17">
                  <c:v>8113.4773055685246</c:v>
                </c:pt>
                <c:pt idx="18">
                  <c:v>8146.7470936423397</c:v>
                </c:pt>
                <c:pt idx="19">
                  <c:v>8178.9657328881258</c:v>
                </c:pt>
                <c:pt idx="20">
                  <c:v>8210.1156545842205</c:v>
                </c:pt>
                <c:pt idx="21">
                  <c:v>8240.1798038817724</c:v>
                </c:pt>
                <c:pt idx="22">
                  <c:v>8269.1416553160889</c:v>
                </c:pt>
                <c:pt idx="23">
                  <c:v>8296.9852278989256</c:v>
                </c:pt>
                <c:pt idx="24">
                  <c:v>8323.6950997725107</c:v>
                </c:pt>
                <c:pt idx="25">
                  <c:v>8349.2564224065136</c:v>
                </c:pt>
                <c:pt idx="26">
                  <c:v>8373.6549343197603</c:v>
                </c:pt>
                <c:pt idx="27">
                  <c:v>8396.8769743089379</c:v>
                </c:pt>
                <c:pt idx="28">
                  <c:v>8418.9094941672047</c:v>
                </c:pt>
                <c:pt idx="29">
                  <c:v>8439.7400708761288</c:v>
                </c:pt>
              </c:numCache>
            </c:numRef>
          </c:val>
          <c:smooth val="0"/>
          <c:extLst>
            <c:ext xmlns:c16="http://schemas.microsoft.com/office/drawing/2014/chart" uri="{C3380CC4-5D6E-409C-BE32-E72D297353CC}">
              <c16:uniqueId val="{0000000B-DB14-4378-B945-1F0E653D0625}"/>
            </c:ext>
          </c:extLst>
        </c:ser>
        <c:ser>
          <c:idx val="12"/>
          <c:order val="12"/>
          <c:tx>
            <c:strRef>
              <c:f>'Sensitivity - Population'!$Q$12</c:f>
              <c:strCache>
                <c:ptCount val="1"/>
                <c:pt idx="0">
                  <c:v>7</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Population'!$Q$13:$Q$42</c:f>
              <c:numCache>
                <c:formatCode>0.00</c:formatCode>
                <c:ptCount val="30"/>
                <c:pt idx="0">
                  <c:v>7414.4574474175906</c:v>
                </c:pt>
                <c:pt idx="1">
                  <c:v>7460.030882679197</c:v>
                </c:pt>
                <c:pt idx="2">
                  <c:v>7507.4229575704076</c:v>
                </c:pt>
                <c:pt idx="3">
                  <c:v>7554.1001972153017</c:v>
                </c:pt>
                <c:pt idx="4">
                  <c:v>7600.039158914482</c:v>
                </c:pt>
                <c:pt idx="5">
                  <c:v>7645.2166259410142</c:v>
                </c:pt>
                <c:pt idx="6">
                  <c:v>7689.609626895749</c:v>
                </c:pt>
                <c:pt idx="7">
                  <c:v>7733.1954549895627</c:v>
                </c:pt>
                <c:pt idx="8">
                  <c:v>7775.9516872301319</c:v>
                </c:pt>
                <c:pt idx="9">
                  <c:v>7817.8562034907518</c:v>
                </c:pt>
                <c:pt idx="10">
                  <c:v>7858.8872054387175</c:v>
                </c:pt>
                <c:pt idx="11">
                  <c:v>7899.0232353007923</c:v>
                </c:pt>
                <c:pt idx="12">
                  <c:v>7938.243194443322</c:v>
                </c:pt>
                <c:pt idx="13">
                  <c:v>7976.5263617446353</c:v>
                </c:pt>
                <c:pt idx="14">
                  <c:v>8013.8524117374873</c:v>
                </c:pt>
                <c:pt idx="15">
                  <c:v>8050.2014324994552</c:v>
                </c:pt>
                <c:pt idx="16">
                  <c:v>8085.5539432693522</c:v>
                </c:pt>
                <c:pt idx="17">
                  <c:v>8119.8909117679705</c:v>
                </c:pt>
                <c:pt idx="18">
                  <c:v>8153.1937712017007</c:v>
                </c:pt>
                <c:pt idx="19">
                  <c:v>8185.4444369278499</c:v>
                </c:pt>
                <c:pt idx="20">
                  <c:v>8216.6253227608195</c:v>
                </c:pt>
                <c:pt idx="21">
                  <c:v>8246.7193568986295</c:v>
                </c:pt>
                <c:pt idx="22">
                  <c:v>8275.7099974496778</c:v>
                </c:pt>
                <c:pt idx="23">
                  <c:v>8303.5812475400526</c:v>
                </c:pt>
                <c:pt idx="24">
                  <c:v>8330.3176699820997</c:v>
                </c:pt>
                <c:pt idx="25">
                  <c:v>8355.9044014855208</c:v>
                </c:pt>
                <c:pt idx="26">
                  <c:v>8380.3271663927171</c:v>
                </c:pt>
                <c:pt idx="27">
                  <c:v>8403.5722899206521</c:v>
                </c:pt>
                <c:pt idx="28">
                  <c:v>8425.6267108920965</c:v>
                </c:pt>
                <c:pt idx="29">
                  <c:v>8446.4779939396976</c:v>
                </c:pt>
              </c:numCache>
            </c:numRef>
          </c:val>
          <c:smooth val="0"/>
          <c:extLst>
            <c:ext xmlns:c16="http://schemas.microsoft.com/office/drawing/2014/chart" uri="{C3380CC4-5D6E-409C-BE32-E72D297353CC}">
              <c16:uniqueId val="{0000000C-DB14-4378-B945-1F0E653D0625}"/>
            </c:ext>
          </c:extLst>
        </c:ser>
        <c:ser>
          <c:idx val="13"/>
          <c:order val="13"/>
          <c:tx>
            <c:strRef>
              <c:f>'Sensitivity - Population'!$R$12</c:f>
              <c:strCache>
                <c:ptCount val="1"/>
                <c:pt idx="0">
                  <c:v>8</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Population'!$R$13:$R$42</c:f>
              <c:numCache>
                <c:formatCode>0.00</c:formatCode>
                <c:ptCount val="30"/>
                <c:pt idx="0">
                  <c:v>7420.1705238609793</c:v>
                </c:pt>
                <c:pt idx="1">
                  <c:v>7465.789215761376</c:v>
                </c:pt>
                <c:pt idx="2">
                  <c:v>7513.2283532890224</c:v>
                </c:pt>
                <c:pt idx="3">
                  <c:v>7559.9519457041697</c:v>
                </c:pt>
                <c:pt idx="4">
                  <c:v>7605.9365270276794</c:v>
                </c:pt>
                <c:pt idx="5">
                  <c:v>7651.1588574772768</c:v>
                </c:pt>
                <c:pt idx="6">
                  <c:v>7695.5959428420947</c:v>
                </c:pt>
                <c:pt idx="7">
                  <c:v>7739.2250537840655</c:v>
                </c:pt>
                <c:pt idx="8">
                  <c:v>7782.0237450437417</c:v>
                </c:pt>
                <c:pt idx="9">
                  <c:v>7823.9698745280566</c:v>
                </c:pt>
                <c:pt idx="10">
                  <c:v>7865.0416222574995</c:v>
                </c:pt>
                <c:pt idx="11">
                  <c:v>7905.2175091502222</c:v>
                </c:pt>
                <c:pt idx="12">
                  <c:v>7944.4764156206002</c:v>
                </c:pt>
                <c:pt idx="13">
                  <c:v>7982.7975999698783</c:v>
                </c:pt>
                <c:pt idx="14">
                  <c:v>8020.1607165466357</c:v>
                </c:pt>
                <c:pt idx="15">
                  <c:v>8056.5458336549418</c:v>
                </c:pt>
                <c:pt idx="16">
                  <c:v>8091.9334511882635</c:v>
                </c:pt>
                <c:pt idx="17">
                  <c:v>8126.3045179674182</c:v>
                </c:pt>
                <c:pt idx="18">
                  <c:v>8159.6404487610616</c:v>
                </c:pt>
                <c:pt idx="19">
                  <c:v>8191.9231409675749</c:v>
                </c:pt>
                <c:pt idx="20">
                  <c:v>8223.1349909374185</c:v>
                </c:pt>
                <c:pt idx="21">
                  <c:v>8253.2589099154829</c:v>
                </c:pt>
                <c:pt idx="22">
                  <c:v>8282.2783395832666</c:v>
                </c:pt>
                <c:pt idx="23">
                  <c:v>8310.1772671811814</c:v>
                </c:pt>
                <c:pt idx="24">
                  <c:v>8336.9402401916886</c:v>
                </c:pt>
                <c:pt idx="25">
                  <c:v>8362.552380564528</c:v>
                </c:pt>
                <c:pt idx="26">
                  <c:v>8386.9993984656739</c:v>
                </c:pt>
                <c:pt idx="27">
                  <c:v>8410.2676055323645</c:v>
                </c:pt>
                <c:pt idx="28">
                  <c:v>8432.3439276169884</c:v>
                </c:pt>
                <c:pt idx="29">
                  <c:v>8453.2159170032683</c:v>
                </c:pt>
              </c:numCache>
            </c:numRef>
          </c:val>
          <c:smooth val="0"/>
          <c:extLst>
            <c:ext xmlns:c16="http://schemas.microsoft.com/office/drawing/2014/chart" uri="{C3380CC4-5D6E-409C-BE32-E72D297353CC}">
              <c16:uniqueId val="{0000000D-DB14-4378-B945-1F0E653D0625}"/>
            </c:ext>
          </c:extLst>
        </c:ser>
        <c:ser>
          <c:idx val="14"/>
          <c:order val="14"/>
          <c:tx>
            <c:strRef>
              <c:f>'Sensitivity - Population'!$S$12</c:f>
              <c:strCache>
                <c:ptCount val="1"/>
                <c:pt idx="0">
                  <c:v>9</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numRef>
              <c:f>'Sensitivity - Population'!$C$13:$C$42</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Population'!$S$13:$S$42</c:f>
              <c:numCache>
                <c:formatCode>0.00</c:formatCode>
                <c:ptCount val="30"/>
                <c:pt idx="0">
                  <c:v>7425.883600304368</c:v>
                </c:pt>
                <c:pt idx="1">
                  <c:v>7471.547548843555</c:v>
                </c:pt>
                <c:pt idx="2">
                  <c:v>7519.0337490076372</c:v>
                </c:pt>
                <c:pt idx="3">
                  <c:v>7565.8036941930377</c:v>
                </c:pt>
                <c:pt idx="4">
                  <c:v>7611.8338951408768</c:v>
                </c:pt>
                <c:pt idx="5">
                  <c:v>7657.1010890135394</c:v>
                </c:pt>
                <c:pt idx="6">
                  <c:v>7701.5822587884413</c:v>
                </c:pt>
                <c:pt idx="7">
                  <c:v>7745.2546525785692</c:v>
                </c:pt>
                <c:pt idx="8">
                  <c:v>7788.0958028573523</c:v>
                </c:pt>
                <c:pt idx="9">
                  <c:v>7830.0835455653605</c:v>
                </c:pt>
                <c:pt idx="10">
                  <c:v>7871.1960390762815</c:v>
                </c:pt>
                <c:pt idx="11">
                  <c:v>7911.4117829996521</c:v>
                </c:pt>
                <c:pt idx="12">
                  <c:v>7950.7096367978775</c:v>
                </c:pt>
                <c:pt idx="13">
                  <c:v>7989.0688381951204</c:v>
                </c:pt>
                <c:pt idx="14">
                  <c:v>8026.4690213557833</c:v>
                </c:pt>
                <c:pt idx="15">
                  <c:v>8062.8902348104275</c:v>
                </c:pt>
                <c:pt idx="16">
                  <c:v>8098.3129591071765</c:v>
                </c:pt>
                <c:pt idx="17">
                  <c:v>8132.718124166865</c:v>
                </c:pt>
                <c:pt idx="18">
                  <c:v>8166.0871263204226</c:v>
                </c:pt>
                <c:pt idx="19">
                  <c:v>8198.4018450072981</c:v>
                </c:pt>
                <c:pt idx="20">
                  <c:v>8229.6446591140193</c:v>
                </c:pt>
                <c:pt idx="21">
                  <c:v>8259.79846293234</c:v>
                </c:pt>
                <c:pt idx="22">
                  <c:v>8288.8466817168573</c:v>
                </c:pt>
                <c:pt idx="23">
                  <c:v>8316.7732868223065</c:v>
                </c:pt>
                <c:pt idx="24">
                  <c:v>8343.5628104012794</c:v>
                </c:pt>
                <c:pt idx="25">
                  <c:v>8369.2003596435352</c:v>
                </c:pt>
                <c:pt idx="26">
                  <c:v>8393.6716305386308</c:v>
                </c:pt>
                <c:pt idx="27">
                  <c:v>8416.9629211440788</c:v>
                </c:pt>
                <c:pt idx="28">
                  <c:v>8439.061144341882</c:v>
                </c:pt>
                <c:pt idx="29">
                  <c:v>8459.9538400668371</c:v>
                </c:pt>
              </c:numCache>
            </c:numRef>
          </c:val>
          <c:smooth val="0"/>
          <c:extLst>
            <c:ext xmlns:c16="http://schemas.microsoft.com/office/drawing/2014/chart" uri="{C3380CC4-5D6E-409C-BE32-E72D297353CC}">
              <c16:uniqueId val="{0000000E-DB14-4378-B945-1F0E653D0625}"/>
            </c:ext>
          </c:extLst>
        </c:ser>
        <c:dLbls>
          <c:showLegendKey val="0"/>
          <c:showVal val="0"/>
          <c:showCatName val="0"/>
          <c:showSerName val="0"/>
          <c:showPercent val="0"/>
          <c:showBubbleSize val="0"/>
        </c:dLbls>
        <c:marker val="1"/>
        <c:smooth val="0"/>
        <c:axId val="718345360"/>
        <c:axId val="718337456"/>
      </c:lineChart>
      <c:catAx>
        <c:axId val="718345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337456"/>
        <c:crosses val="autoZero"/>
        <c:auto val="1"/>
        <c:lblAlgn val="ctr"/>
        <c:lblOffset val="100"/>
        <c:noMultiLvlLbl val="0"/>
      </c:catAx>
      <c:valAx>
        <c:axId val="718337456"/>
        <c:scaling>
          <c:orientation val="minMax"/>
          <c:max val="8600"/>
          <c:min val="73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345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0" i="0" baseline="0">
                <a:effectLst/>
              </a:rPr>
              <a:t>Impact of change in GDP over the years - Goods Model</a:t>
            </a: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'Sensitivity - GDP'!$D$75</c:f>
              <c:strCache>
                <c:ptCount val="1"/>
                <c:pt idx="0">
                  <c:v>-3.50%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'Sensitivity - GDP'!$B$76:$B$105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GDP'!$D$76:$D$105</c:f>
              <c:numCache>
                <c:formatCode>General</c:formatCode>
                <c:ptCount val="30"/>
                <c:pt idx="0">
                  <c:v>20968.421640578094</c:v>
                </c:pt>
                <c:pt idx="1">
                  <c:v>22196.724511717675</c:v>
                </c:pt>
                <c:pt idx="2">
                  <c:v>22679.403365243605</c:v>
                </c:pt>
                <c:pt idx="3">
                  <c:v>23162.082218769436</c:v>
                </c:pt>
                <c:pt idx="4">
                  <c:v>23644.761072295354</c:v>
                </c:pt>
                <c:pt idx="5">
                  <c:v>24127.43992582128</c:v>
                </c:pt>
                <c:pt idx="6">
                  <c:v>24610.118779347082</c:v>
                </c:pt>
                <c:pt idx="7">
                  <c:v>25092.797632873007</c:v>
                </c:pt>
                <c:pt idx="8">
                  <c:v>25575.476486398962</c:v>
                </c:pt>
                <c:pt idx="9">
                  <c:v>26058.155339924881</c:v>
                </c:pt>
                <c:pt idx="10">
                  <c:v>26540.834193450683</c:v>
                </c:pt>
                <c:pt idx="11">
                  <c:v>27023.513046976601</c:v>
                </c:pt>
                <c:pt idx="12">
                  <c:v>27506.191900502534</c:v>
                </c:pt>
                <c:pt idx="13">
                  <c:v>27988.870754028336</c:v>
                </c:pt>
                <c:pt idx="14">
                  <c:v>28471.549607554291</c:v>
                </c:pt>
                <c:pt idx="15">
                  <c:v>28954.228461080209</c:v>
                </c:pt>
                <c:pt idx="16">
                  <c:v>29436.907314606135</c:v>
                </c:pt>
                <c:pt idx="17">
                  <c:v>29919.586168131937</c:v>
                </c:pt>
                <c:pt idx="18">
                  <c:v>30402.265021657855</c:v>
                </c:pt>
                <c:pt idx="19">
                  <c:v>30884.943875183781</c:v>
                </c:pt>
                <c:pt idx="20">
                  <c:v>31367.622728709612</c:v>
                </c:pt>
                <c:pt idx="21">
                  <c:v>31850.301582235545</c:v>
                </c:pt>
                <c:pt idx="22">
                  <c:v>32332.980435761463</c:v>
                </c:pt>
                <c:pt idx="23">
                  <c:v>32815.659289287265</c:v>
                </c:pt>
                <c:pt idx="24">
                  <c:v>33298.338142813183</c:v>
                </c:pt>
                <c:pt idx="25">
                  <c:v>33781.016996339109</c:v>
                </c:pt>
                <c:pt idx="26">
                  <c:v>34263.695849865064</c:v>
                </c:pt>
                <c:pt idx="27">
                  <c:v>34746.374703390866</c:v>
                </c:pt>
                <c:pt idx="28">
                  <c:v>35229.053556916791</c:v>
                </c:pt>
                <c:pt idx="29">
                  <c:v>35711.73241044271</c:v>
                </c:pt>
              </c:numCache>
            </c:numRef>
          </c:val>
          <c:smooth val="0"/>
          <c:extLst>
            <c:ext xmlns:c16="http://schemas.microsoft.com/office/drawing/2014/chart" uri="{C3380CC4-5D6E-409C-BE32-E72D297353CC}">
              <c16:uniqueId val="{00000000-DCA1-4703-B7CE-A6F1644AD5F8}"/>
            </c:ext>
          </c:extLst>
        </c:ser>
        <c:ser>
          <c:idx val="1"/>
          <c:order val="1"/>
          <c:tx>
            <c:strRef>
              <c:f>'Sensitivity - GDP'!$E$75</c:f>
              <c:strCache>
                <c:ptCount val="1"/>
                <c:pt idx="0">
                  <c:v>-2.50%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'Sensitivity - GDP'!$B$76:$B$105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GDP'!$E$76:$E$105</c:f>
              <c:numCache>
                <c:formatCode>General</c:formatCode>
                <c:ptCount val="30"/>
                <c:pt idx="0">
                  <c:v>21120.88504512329</c:v>
                </c:pt>
                <c:pt idx="1">
                  <c:v>22361.91644342494</c:v>
                </c:pt>
                <c:pt idx="2">
                  <c:v>22849.597150355279</c:v>
                </c:pt>
                <c:pt idx="3">
                  <c:v>23337.277857285524</c:v>
                </c:pt>
                <c:pt idx="4">
                  <c:v>23824.958564215856</c:v>
                </c:pt>
                <c:pt idx="5">
                  <c:v>24312.639271146196</c:v>
                </c:pt>
                <c:pt idx="6">
                  <c:v>24800.319978076412</c:v>
                </c:pt>
                <c:pt idx="7">
                  <c:v>25288.000685006751</c:v>
                </c:pt>
                <c:pt idx="8">
                  <c:v>25775.68139193712</c:v>
                </c:pt>
                <c:pt idx="9">
                  <c:v>26263.362098867452</c:v>
                </c:pt>
                <c:pt idx="10">
                  <c:v>26751.042805797668</c:v>
                </c:pt>
                <c:pt idx="11">
                  <c:v>27238.723512728</c:v>
                </c:pt>
                <c:pt idx="12">
                  <c:v>27726.404219658347</c:v>
                </c:pt>
                <c:pt idx="13">
                  <c:v>28214.084926588563</c:v>
                </c:pt>
                <c:pt idx="14">
                  <c:v>28701.765633518924</c:v>
                </c:pt>
                <c:pt idx="15">
                  <c:v>29189.446340449256</c:v>
                </c:pt>
                <c:pt idx="16">
                  <c:v>29677.127047379603</c:v>
                </c:pt>
                <c:pt idx="17">
                  <c:v>30164.807754309819</c:v>
                </c:pt>
                <c:pt idx="18">
                  <c:v>30652.488461240151</c:v>
                </c:pt>
                <c:pt idx="19">
                  <c:v>31140.169168170483</c:v>
                </c:pt>
                <c:pt idx="20">
                  <c:v>31627.849875100728</c:v>
                </c:pt>
                <c:pt idx="21">
                  <c:v>32115.530582031068</c:v>
                </c:pt>
                <c:pt idx="22">
                  <c:v>32603.211288961407</c:v>
                </c:pt>
                <c:pt idx="23">
                  <c:v>33090.891995891623</c:v>
                </c:pt>
                <c:pt idx="24">
                  <c:v>33578.572702821955</c:v>
                </c:pt>
                <c:pt idx="25">
                  <c:v>34066.253409752288</c:v>
                </c:pt>
                <c:pt idx="26">
                  <c:v>34553.934116682663</c:v>
                </c:pt>
                <c:pt idx="27">
                  <c:v>35041.614823612879</c:v>
                </c:pt>
                <c:pt idx="28">
                  <c:v>35529.295530543211</c:v>
                </c:pt>
                <c:pt idx="29">
                  <c:v>36016.976237473551</c:v>
                </c:pt>
              </c:numCache>
            </c:numRef>
          </c:val>
          <c:smooth val="0"/>
          <c:extLst>
            <c:ext xmlns:c16="http://schemas.microsoft.com/office/drawing/2014/chart" uri="{C3380CC4-5D6E-409C-BE32-E72D297353CC}">
              <c16:uniqueId val="{00000001-DCA1-4703-B7CE-A6F1644AD5F8}"/>
            </c:ext>
          </c:extLst>
        </c:ser>
        <c:ser>
          <c:idx val="2"/>
          <c:order val="2"/>
          <c:tx>
            <c:strRef>
              <c:f>'Sensitivity - GDP'!$F$75</c:f>
              <c:strCache>
                <c:ptCount val="1"/>
                <c:pt idx="0">
                  <c:v>-1.50%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'Sensitivity - GDP'!$B$76:$B$105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GDP'!$F$76:$F$105</c:f>
              <c:numCache>
                <c:formatCode>General</c:formatCode>
                <c:ptCount val="30"/>
                <c:pt idx="0">
                  <c:v>21273.348449668487</c:v>
                </c:pt>
                <c:pt idx="1">
                  <c:v>22527.108375132204</c:v>
                </c:pt>
                <c:pt idx="2">
                  <c:v>23019.790935466961</c:v>
                </c:pt>
                <c:pt idx="3">
                  <c:v>23512.47349580162</c:v>
                </c:pt>
                <c:pt idx="4">
                  <c:v>24005.156056136366</c:v>
                </c:pt>
                <c:pt idx="5">
                  <c:v>24497.838616471112</c:v>
                </c:pt>
                <c:pt idx="6">
                  <c:v>24990.521176805742</c:v>
                </c:pt>
                <c:pt idx="7">
                  <c:v>25483.203737140495</c:v>
                </c:pt>
                <c:pt idx="8">
                  <c:v>25975.886297475277</c:v>
                </c:pt>
                <c:pt idx="9">
                  <c:v>26468.568857810023</c:v>
                </c:pt>
                <c:pt idx="10">
                  <c:v>26961.251418144653</c:v>
                </c:pt>
                <c:pt idx="11">
                  <c:v>27453.933978479399</c:v>
                </c:pt>
                <c:pt idx="12">
                  <c:v>27946.616538814153</c:v>
                </c:pt>
                <c:pt idx="13">
                  <c:v>28439.29909914879</c:v>
                </c:pt>
                <c:pt idx="14">
                  <c:v>28931.981659483565</c:v>
                </c:pt>
                <c:pt idx="15">
                  <c:v>29424.664219818311</c:v>
                </c:pt>
                <c:pt idx="16">
                  <c:v>29917.346780153064</c:v>
                </c:pt>
                <c:pt idx="17">
                  <c:v>30410.029340487694</c:v>
                </c:pt>
                <c:pt idx="18">
                  <c:v>30902.71190082244</c:v>
                </c:pt>
                <c:pt idx="19">
                  <c:v>31395.394461157193</c:v>
                </c:pt>
                <c:pt idx="20">
                  <c:v>31888.077021491852</c:v>
                </c:pt>
                <c:pt idx="21">
                  <c:v>32380.759581826605</c:v>
                </c:pt>
                <c:pt idx="22">
                  <c:v>32873.442142161352</c:v>
                </c:pt>
                <c:pt idx="23">
                  <c:v>33366.124702495981</c:v>
                </c:pt>
                <c:pt idx="24">
                  <c:v>33858.807262830735</c:v>
                </c:pt>
                <c:pt idx="25">
                  <c:v>34351.489823165481</c:v>
                </c:pt>
                <c:pt idx="26">
                  <c:v>34844.172383500263</c:v>
                </c:pt>
                <c:pt idx="27">
                  <c:v>35336.854943834893</c:v>
                </c:pt>
                <c:pt idx="28">
                  <c:v>35829.537504169639</c:v>
                </c:pt>
                <c:pt idx="29">
                  <c:v>36322.220064504385</c:v>
                </c:pt>
              </c:numCache>
            </c:numRef>
          </c:val>
          <c:smooth val="0"/>
          <c:extLst>
            <c:ext xmlns:c16="http://schemas.microsoft.com/office/drawing/2014/chart" uri="{C3380CC4-5D6E-409C-BE32-E72D297353CC}">
              <c16:uniqueId val="{00000002-DCA1-4703-B7CE-A6F1644AD5F8}"/>
            </c:ext>
          </c:extLst>
        </c:ser>
        <c:ser>
          <c:idx val="3"/>
          <c:order val="3"/>
          <c:tx>
            <c:strRef>
              <c:f>'Sensitivity - GDP'!$G$75</c:f>
              <c:strCache>
                <c:ptCount val="1"/>
                <c:pt idx="0">
                  <c:v>-0.50%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'Sensitivity - GDP'!$B$76:$B$105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GDP'!$G$76:$G$105</c:f>
              <c:numCache>
                <c:formatCode>General</c:formatCode>
                <c:ptCount val="30"/>
                <c:pt idx="0">
                  <c:v>21425.81185421368</c:v>
                </c:pt>
                <c:pt idx="1">
                  <c:v>22692.300306839468</c:v>
                </c:pt>
                <c:pt idx="2">
                  <c:v>23189.984720578635</c:v>
                </c:pt>
                <c:pt idx="3">
                  <c:v>23687.669134317708</c:v>
                </c:pt>
                <c:pt idx="4">
                  <c:v>24185.353548056868</c:v>
                </c:pt>
                <c:pt idx="5">
                  <c:v>24683.037961796028</c:v>
                </c:pt>
                <c:pt idx="6">
                  <c:v>25180.722375535071</c:v>
                </c:pt>
                <c:pt idx="7">
                  <c:v>25678.406789274246</c:v>
                </c:pt>
                <c:pt idx="8">
                  <c:v>26176.091203013435</c:v>
                </c:pt>
                <c:pt idx="9">
                  <c:v>26673.775616752595</c:v>
                </c:pt>
                <c:pt idx="10">
                  <c:v>27171.460030491638</c:v>
                </c:pt>
                <c:pt idx="11">
                  <c:v>27669.144444230798</c:v>
                </c:pt>
                <c:pt idx="12">
                  <c:v>28166.828857969966</c:v>
                </c:pt>
                <c:pt idx="13">
                  <c:v>28664.513271709009</c:v>
                </c:pt>
                <c:pt idx="14">
                  <c:v>29162.197685448198</c:v>
                </c:pt>
                <c:pt idx="15">
                  <c:v>29659.882099187365</c:v>
                </c:pt>
                <c:pt idx="16">
                  <c:v>30157.566512926533</c:v>
                </c:pt>
                <c:pt idx="17">
                  <c:v>30655.250926665576</c:v>
                </c:pt>
                <c:pt idx="18">
                  <c:v>31152.935340404736</c:v>
                </c:pt>
                <c:pt idx="19">
                  <c:v>31650.619754143896</c:v>
                </c:pt>
                <c:pt idx="20">
                  <c:v>32148.304167882969</c:v>
                </c:pt>
                <c:pt idx="21">
                  <c:v>32645.988581622136</c:v>
                </c:pt>
                <c:pt idx="22">
                  <c:v>33143.672995361296</c:v>
                </c:pt>
                <c:pt idx="23">
                  <c:v>33641.357409100339</c:v>
                </c:pt>
                <c:pt idx="24">
                  <c:v>34139.041822839506</c:v>
                </c:pt>
                <c:pt idx="25">
                  <c:v>34636.726236578666</c:v>
                </c:pt>
                <c:pt idx="26">
                  <c:v>35134.410650317863</c:v>
                </c:pt>
                <c:pt idx="27">
                  <c:v>35632.095064056906</c:v>
                </c:pt>
                <c:pt idx="28">
                  <c:v>36129.779477796066</c:v>
                </c:pt>
                <c:pt idx="29">
                  <c:v>36627.463891535226</c:v>
                </c:pt>
              </c:numCache>
            </c:numRef>
          </c:val>
          <c:smooth val="0"/>
          <c:extLst>
            <c:ext xmlns:c16="http://schemas.microsoft.com/office/drawing/2014/chart" uri="{C3380CC4-5D6E-409C-BE32-E72D297353CC}">
              <c16:uniqueId val="{00000003-DCA1-4703-B7CE-A6F1644AD5F8}"/>
            </c:ext>
          </c:extLst>
        </c:ser>
        <c:ser>
          <c:idx val="4"/>
          <c:order val="4"/>
          <c:tx>
            <c:strRef>
              <c:f>'Sensitivity - GDP'!$H$75</c:f>
              <c:strCache>
                <c:ptCount val="1"/>
                <c:pt idx="0">
                  <c:v>0.50%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'Sensitivity - GDP'!$B$76:$B$105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GDP'!$H$76:$H$105</c:f>
              <c:numCache>
                <c:formatCode>0.00</c:formatCode>
                <c:ptCount val="30"/>
                <c:pt idx="0">
                  <c:v>21578.275258758877</c:v>
                </c:pt>
                <c:pt idx="1">
                  <c:v>22857.492238546729</c:v>
                </c:pt>
                <c:pt idx="2">
                  <c:v>23360.17850569031</c:v>
                </c:pt>
                <c:pt idx="3">
                  <c:v>23862.864772833796</c:v>
                </c:pt>
                <c:pt idx="4">
                  <c:v>24365.551039977378</c:v>
                </c:pt>
                <c:pt idx="5">
                  <c:v>24868.237307120944</c:v>
                </c:pt>
                <c:pt idx="6">
                  <c:v>25370.923574264401</c:v>
                </c:pt>
                <c:pt idx="7">
                  <c:v>25873.609841407982</c:v>
                </c:pt>
                <c:pt idx="8">
                  <c:v>26376.296108551593</c:v>
                </c:pt>
                <c:pt idx="9">
                  <c:v>26878.982375695166</c:v>
                </c:pt>
                <c:pt idx="10">
                  <c:v>27381.668642838617</c:v>
                </c:pt>
                <c:pt idx="11">
                  <c:v>27884.354909982198</c:v>
                </c:pt>
                <c:pt idx="12">
                  <c:v>28387.041177125779</c:v>
                </c:pt>
                <c:pt idx="13">
                  <c:v>28889.727444269229</c:v>
                </c:pt>
                <c:pt idx="14">
                  <c:v>29392.413711412839</c:v>
                </c:pt>
                <c:pt idx="15">
                  <c:v>29895.099978556413</c:v>
                </c:pt>
                <c:pt idx="16">
                  <c:v>30397.786245699994</c:v>
                </c:pt>
                <c:pt idx="17">
                  <c:v>30900.472512843451</c:v>
                </c:pt>
                <c:pt idx="18">
                  <c:v>31403.158779987025</c:v>
                </c:pt>
                <c:pt idx="19">
                  <c:v>31905.845047130599</c:v>
                </c:pt>
                <c:pt idx="20">
                  <c:v>32408.531314274085</c:v>
                </c:pt>
                <c:pt idx="21">
                  <c:v>32911.217581417666</c:v>
                </c:pt>
                <c:pt idx="22">
                  <c:v>33413.90384856124</c:v>
                </c:pt>
                <c:pt idx="23">
                  <c:v>33916.590115704697</c:v>
                </c:pt>
                <c:pt idx="24">
                  <c:v>34419.276382848271</c:v>
                </c:pt>
                <c:pt idx="25">
                  <c:v>34921.962649991845</c:v>
                </c:pt>
                <c:pt idx="26">
                  <c:v>35424.648917135462</c:v>
                </c:pt>
                <c:pt idx="27">
                  <c:v>35927.335184278912</c:v>
                </c:pt>
                <c:pt idx="28">
                  <c:v>36430.021451422486</c:v>
                </c:pt>
                <c:pt idx="29">
                  <c:v>36932.707718566067</c:v>
                </c:pt>
              </c:numCache>
            </c:numRef>
          </c:val>
          <c:smooth val="0"/>
          <c:extLst>
            <c:ext xmlns:c16="http://schemas.microsoft.com/office/drawing/2014/chart" uri="{C3380CC4-5D6E-409C-BE32-E72D297353CC}">
              <c16:uniqueId val="{00000004-DCA1-4703-B7CE-A6F1644AD5F8}"/>
            </c:ext>
          </c:extLst>
        </c:ser>
        <c:ser>
          <c:idx val="5"/>
          <c:order val="5"/>
          <c:tx>
            <c:strRef>
              <c:f>'Sensitivity - GDP'!$I$75</c:f>
              <c:strCache>
                <c:ptCount val="1"/>
                <c:pt idx="0">
                  <c:v>1.50%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'Sensitivity - GDP'!$B$76:$B$105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GDP'!$I$76:$I$105</c:f>
              <c:numCache>
                <c:formatCode>General</c:formatCode>
                <c:ptCount val="30"/>
                <c:pt idx="0">
                  <c:v>21730.738663304073</c:v>
                </c:pt>
                <c:pt idx="1">
                  <c:v>23022.684170253997</c:v>
                </c:pt>
                <c:pt idx="2">
                  <c:v>23530.372290801992</c:v>
                </c:pt>
                <c:pt idx="3">
                  <c:v>24038.060411349885</c:v>
                </c:pt>
                <c:pt idx="4">
                  <c:v>24545.74853189788</c:v>
                </c:pt>
                <c:pt idx="5">
                  <c:v>25053.436652445867</c:v>
                </c:pt>
                <c:pt idx="6">
                  <c:v>25561.124772993731</c:v>
                </c:pt>
                <c:pt idx="7">
                  <c:v>26068.812893541726</c:v>
                </c:pt>
                <c:pt idx="8">
                  <c:v>26576.50101408975</c:v>
                </c:pt>
                <c:pt idx="9">
                  <c:v>27084.189134637738</c:v>
                </c:pt>
                <c:pt idx="10">
                  <c:v>27591.877255185602</c:v>
                </c:pt>
                <c:pt idx="11">
                  <c:v>28099.565375733589</c:v>
                </c:pt>
                <c:pt idx="12">
                  <c:v>28607.253496281592</c:v>
                </c:pt>
                <c:pt idx="13">
                  <c:v>29114.941616829456</c:v>
                </c:pt>
                <c:pt idx="14">
                  <c:v>29622.629737377472</c:v>
                </c:pt>
                <c:pt idx="15">
                  <c:v>30130.317857925467</c:v>
                </c:pt>
                <c:pt idx="16">
                  <c:v>30638.005978473462</c:v>
                </c:pt>
                <c:pt idx="17">
                  <c:v>31145.694099021326</c:v>
                </c:pt>
                <c:pt idx="18">
                  <c:v>31653.382219569314</c:v>
                </c:pt>
                <c:pt idx="19">
                  <c:v>32161.070340117309</c:v>
                </c:pt>
                <c:pt idx="20">
                  <c:v>32668.758460665202</c:v>
                </c:pt>
                <c:pt idx="21">
                  <c:v>33176.446581213197</c:v>
                </c:pt>
                <c:pt idx="22">
                  <c:v>33684.134701761184</c:v>
                </c:pt>
                <c:pt idx="23">
                  <c:v>34191.822822309055</c:v>
                </c:pt>
                <c:pt idx="24">
                  <c:v>34699.510942857043</c:v>
                </c:pt>
                <c:pt idx="25">
                  <c:v>35207.199063405031</c:v>
                </c:pt>
                <c:pt idx="26">
                  <c:v>35714.887183953055</c:v>
                </c:pt>
                <c:pt idx="27">
                  <c:v>36222.575304500926</c:v>
                </c:pt>
                <c:pt idx="28">
                  <c:v>36730.263425048914</c:v>
                </c:pt>
                <c:pt idx="29">
                  <c:v>37237.951545596901</c:v>
                </c:pt>
              </c:numCache>
            </c:numRef>
          </c:val>
          <c:smooth val="0"/>
          <c:extLst>
            <c:ext xmlns:c16="http://schemas.microsoft.com/office/drawing/2014/chart" uri="{C3380CC4-5D6E-409C-BE32-E72D297353CC}">
              <c16:uniqueId val="{00000005-DCA1-4703-B7CE-A6F1644AD5F8}"/>
            </c:ext>
          </c:extLst>
        </c:ser>
        <c:ser>
          <c:idx val="6"/>
          <c:order val="6"/>
          <c:tx>
            <c:strRef>
              <c:f>'Sensitivity - GDP'!$J$75</c:f>
              <c:strCache>
                <c:ptCount val="1"/>
                <c:pt idx="0">
                  <c:v>2.50%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'Sensitivity - GDP'!$B$76:$B$105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GDP'!$J$76:$J$105</c:f>
              <c:numCache>
                <c:formatCode>General</c:formatCode>
                <c:ptCount val="30"/>
                <c:pt idx="0">
                  <c:v>21883.20206784927</c:v>
                </c:pt>
                <c:pt idx="1">
                  <c:v>23187.876101961258</c:v>
                </c:pt>
                <c:pt idx="2">
                  <c:v>23700.566075913674</c:v>
                </c:pt>
                <c:pt idx="3">
                  <c:v>24213.25604986598</c:v>
                </c:pt>
                <c:pt idx="4">
                  <c:v>24725.946023818382</c:v>
                </c:pt>
                <c:pt idx="5">
                  <c:v>25238.635997770783</c:v>
                </c:pt>
                <c:pt idx="6">
                  <c:v>25751.325971723061</c:v>
                </c:pt>
                <c:pt idx="7">
                  <c:v>26264.015945675477</c:v>
                </c:pt>
                <c:pt idx="8">
                  <c:v>26776.705919627908</c:v>
                </c:pt>
                <c:pt idx="9">
                  <c:v>27289.395893580309</c:v>
                </c:pt>
                <c:pt idx="10">
                  <c:v>27802.085867532587</c:v>
                </c:pt>
                <c:pt idx="11">
                  <c:v>28314.775841484989</c:v>
                </c:pt>
                <c:pt idx="12">
                  <c:v>28827.465815437397</c:v>
                </c:pt>
                <c:pt idx="13">
                  <c:v>29340.155789389682</c:v>
                </c:pt>
                <c:pt idx="14">
                  <c:v>29852.845763342113</c:v>
                </c:pt>
                <c:pt idx="15">
                  <c:v>30365.535737294515</c:v>
                </c:pt>
                <c:pt idx="16">
                  <c:v>30878.225711246923</c:v>
                </c:pt>
                <c:pt idx="17">
                  <c:v>31390.915685199208</c:v>
                </c:pt>
                <c:pt idx="18">
                  <c:v>31903.60565915161</c:v>
                </c:pt>
                <c:pt idx="19">
                  <c:v>32416.295633104011</c:v>
                </c:pt>
                <c:pt idx="20">
                  <c:v>32928.985607056326</c:v>
                </c:pt>
                <c:pt idx="21">
                  <c:v>33441.675581008734</c:v>
                </c:pt>
                <c:pt idx="22">
                  <c:v>33954.365554961136</c:v>
                </c:pt>
                <c:pt idx="23">
                  <c:v>34467.055528913414</c:v>
                </c:pt>
                <c:pt idx="24">
                  <c:v>34979.745502865815</c:v>
                </c:pt>
                <c:pt idx="25">
                  <c:v>35492.435476818217</c:v>
                </c:pt>
                <c:pt idx="26">
                  <c:v>36005.125450770662</c:v>
                </c:pt>
                <c:pt idx="27">
                  <c:v>36517.815424722939</c:v>
                </c:pt>
                <c:pt idx="28">
                  <c:v>37030.505398675341</c:v>
                </c:pt>
                <c:pt idx="29">
                  <c:v>37543.195372627742</c:v>
                </c:pt>
              </c:numCache>
            </c:numRef>
          </c:val>
          <c:smooth val="0"/>
          <c:extLst>
            <c:ext xmlns:c16="http://schemas.microsoft.com/office/drawing/2014/chart" uri="{C3380CC4-5D6E-409C-BE32-E72D297353CC}">
              <c16:uniqueId val="{00000006-DCA1-4703-B7CE-A6F1644AD5F8}"/>
            </c:ext>
          </c:extLst>
        </c:ser>
        <c:ser>
          <c:idx val="7"/>
          <c:order val="7"/>
          <c:tx>
            <c:strRef>
              <c:f>'Sensitivity - GDP'!$K$75</c:f>
              <c:strCache>
                <c:ptCount val="1"/>
                <c:pt idx="0">
                  <c:v>3.50%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'Sensitivity - GDP'!$B$76:$B$105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GDP'!$K$76:$K$105</c:f>
              <c:numCache>
                <c:formatCode>General</c:formatCode>
                <c:ptCount val="30"/>
                <c:pt idx="0">
                  <c:v>22035.665472394467</c:v>
                </c:pt>
                <c:pt idx="1">
                  <c:v>23353.068033668518</c:v>
                </c:pt>
                <c:pt idx="2">
                  <c:v>23870.759861025348</c:v>
                </c:pt>
                <c:pt idx="3">
                  <c:v>24388.451688382069</c:v>
                </c:pt>
                <c:pt idx="4">
                  <c:v>24906.143515738884</c:v>
                </c:pt>
                <c:pt idx="5">
                  <c:v>25423.835343095707</c:v>
                </c:pt>
                <c:pt idx="6">
                  <c:v>25941.527170452391</c:v>
                </c:pt>
                <c:pt idx="7">
                  <c:v>26459.218997809221</c:v>
                </c:pt>
                <c:pt idx="8">
                  <c:v>26976.910825166065</c:v>
                </c:pt>
                <c:pt idx="9">
                  <c:v>27494.602652522881</c:v>
                </c:pt>
                <c:pt idx="10">
                  <c:v>28012.294479879572</c:v>
                </c:pt>
                <c:pt idx="11">
                  <c:v>28529.986307236388</c:v>
                </c:pt>
                <c:pt idx="12">
                  <c:v>29047.678134593218</c:v>
                </c:pt>
                <c:pt idx="13">
                  <c:v>29565.369961949909</c:v>
                </c:pt>
                <c:pt idx="14">
                  <c:v>30083.061789306754</c:v>
                </c:pt>
                <c:pt idx="15">
                  <c:v>30600.753616663569</c:v>
                </c:pt>
                <c:pt idx="16">
                  <c:v>31118.445444020392</c:v>
                </c:pt>
                <c:pt idx="17">
                  <c:v>31636.137271377083</c:v>
                </c:pt>
                <c:pt idx="18">
                  <c:v>32153.829098733899</c:v>
                </c:pt>
                <c:pt idx="19">
                  <c:v>32671.520926090714</c:v>
                </c:pt>
                <c:pt idx="20">
                  <c:v>33189.212753447442</c:v>
                </c:pt>
                <c:pt idx="21">
                  <c:v>33706.904580804265</c:v>
                </c:pt>
                <c:pt idx="22">
                  <c:v>34224.59640816108</c:v>
                </c:pt>
                <c:pt idx="23">
                  <c:v>34742.288235517772</c:v>
                </c:pt>
                <c:pt idx="24">
                  <c:v>35259.980062874587</c:v>
                </c:pt>
                <c:pt idx="25">
                  <c:v>35777.67189023141</c:v>
                </c:pt>
                <c:pt idx="26">
                  <c:v>36295.363717588261</c:v>
                </c:pt>
                <c:pt idx="27">
                  <c:v>36813.055544944953</c:v>
                </c:pt>
                <c:pt idx="28">
                  <c:v>37330.747372301768</c:v>
                </c:pt>
                <c:pt idx="29">
                  <c:v>37848.439199658584</c:v>
                </c:pt>
              </c:numCache>
            </c:numRef>
          </c:val>
          <c:smooth val="0"/>
          <c:extLst>
            <c:ext xmlns:c16="http://schemas.microsoft.com/office/drawing/2014/chart" uri="{C3380CC4-5D6E-409C-BE32-E72D297353CC}">
              <c16:uniqueId val="{00000007-DCA1-4703-B7CE-A6F1644AD5F8}"/>
            </c:ext>
          </c:extLst>
        </c:ser>
        <c:ser>
          <c:idx val="8"/>
          <c:order val="8"/>
          <c:tx>
            <c:strRef>
              <c:f>'Sensitivity - GDP'!$L$75</c:f>
              <c:strCache>
                <c:ptCount val="1"/>
                <c:pt idx="0">
                  <c:v>4.50%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'Sensitivity - GDP'!$B$76:$B$105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GDP'!$L$76:$L$105</c:f>
              <c:numCache>
                <c:formatCode>General</c:formatCode>
                <c:ptCount val="30"/>
                <c:pt idx="0">
                  <c:v>22188.12887693966</c:v>
                </c:pt>
                <c:pt idx="1">
                  <c:v>23518.259965375786</c:v>
                </c:pt>
                <c:pt idx="2">
                  <c:v>24040.953646137023</c:v>
                </c:pt>
                <c:pt idx="3">
                  <c:v>24563.647326898157</c:v>
                </c:pt>
                <c:pt idx="4">
                  <c:v>25086.341007659386</c:v>
                </c:pt>
                <c:pt idx="5">
                  <c:v>25609.034688420623</c:v>
                </c:pt>
                <c:pt idx="6">
                  <c:v>26131.728369181721</c:v>
                </c:pt>
                <c:pt idx="7">
                  <c:v>26654.422049942965</c:v>
                </c:pt>
                <c:pt idx="8">
                  <c:v>27177.115730704223</c:v>
                </c:pt>
                <c:pt idx="9">
                  <c:v>27699.809411465452</c:v>
                </c:pt>
                <c:pt idx="10">
                  <c:v>28222.503092226558</c:v>
                </c:pt>
                <c:pt idx="11">
                  <c:v>28745.196772987787</c:v>
                </c:pt>
                <c:pt idx="12">
                  <c:v>29267.890453749023</c:v>
                </c:pt>
                <c:pt idx="13">
                  <c:v>29790.584134510129</c:v>
                </c:pt>
                <c:pt idx="14">
                  <c:v>30313.277815271395</c:v>
                </c:pt>
                <c:pt idx="15">
                  <c:v>30835.971496032624</c:v>
                </c:pt>
                <c:pt idx="16">
                  <c:v>31358.66517679386</c:v>
                </c:pt>
                <c:pt idx="17">
                  <c:v>31881.358857554966</c:v>
                </c:pt>
                <c:pt idx="18">
                  <c:v>32404.052538316195</c:v>
                </c:pt>
                <c:pt idx="19">
                  <c:v>32926.746219077424</c:v>
                </c:pt>
                <c:pt idx="20">
                  <c:v>33449.439899838559</c:v>
                </c:pt>
                <c:pt idx="21">
                  <c:v>33972.133580599795</c:v>
                </c:pt>
                <c:pt idx="22">
                  <c:v>34494.827261361032</c:v>
                </c:pt>
                <c:pt idx="23">
                  <c:v>35017.52094212213</c:v>
                </c:pt>
                <c:pt idx="24">
                  <c:v>35540.214622883359</c:v>
                </c:pt>
                <c:pt idx="25">
                  <c:v>36062.908303644588</c:v>
                </c:pt>
                <c:pt idx="26">
                  <c:v>36585.601984405861</c:v>
                </c:pt>
                <c:pt idx="27">
                  <c:v>37108.295665166967</c:v>
                </c:pt>
                <c:pt idx="28">
                  <c:v>37630.989345928196</c:v>
                </c:pt>
                <c:pt idx="29">
                  <c:v>38153.683026689425</c:v>
                </c:pt>
              </c:numCache>
            </c:numRef>
          </c:val>
          <c:smooth val="0"/>
          <c:extLst>
            <c:ext xmlns:c16="http://schemas.microsoft.com/office/drawing/2014/chart" uri="{C3380CC4-5D6E-409C-BE32-E72D297353CC}">
              <c16:uniqueId val="{00000008-DCA1-4703-B7CE-A6F1644AD5F8}"/>
            </c:ext>
          </c:extLst>
        </c:ser>
        <c:ser>
          <c:idx val="9"/>
          <c:order val="9"/>
          <c:tx>
            <c:strRef>
              <c:f>'Sensitivity - GDP'!$M$75</c:f>
              <c:strCache>
                <c:ptCount val="1"/>
                <c:pt idx="0">
                  <c:v>5.50%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'Sensitivity - GDP'!$B$76:$B$105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GDP'!$M$76:$M$105</c:f>
              <c:numCache>
                <c:formatCode>General</c:formatCode>
                <c:ptCount val="30"/>
                <c:pt idx="0">
                  <c:v>22340.59228148486</c:v>
                </c:pt>
                <c:pt idx="1">
                  <c:v>23683.451897083054</c:v>
                </c:pt>
                <c:pt idx="2">
                  <c:v>24211.147431248704</c:v>
                </c:pt>
                <c:pt idx="3">
                  <c:v>24738.842965414253</c:v>
                </c:pt>
                <c:pt idx="4">
                  <c:v>25266.538499579896</c:v>
                </c:pt>
                <c:pt idx="5">
                  <c:v>25794.234033745539</c:v>
                </c:pt>
                <c:pt idx="6">
                  <c:v>26321.929567911058</c:v>
                </c:pt>
                <c:pt idx="7">
                  <c:v>26849.625102076709</c:v>
                </c:pt>
                <c:pt idx="8">
                  <c:v>27377.320636242381</c:v>
                </c:pt>
                <c:pt idx="9">
                  <c:v>27905.016170408024</c:v>
                </c:pt>
                <c:pt idx="10">
                  <c:v>28432.711704573543</c:v>
                </c:pt>
                <c:pt idx="11">
                  <c:v>28960.407238739186</c:v>
                </c:pt>
                <c:pt idx="12">
                  <c:v>29488.102772904836</c:v>
                </c:pt>
                <c:pt idx="13">
                  <c:v>30015.798307070356</c:v>
                </c:pt>
                <c:pt idx="14">
                  <c:v>30543.493841236028</c:v>
                </c:pt>
                <c:pt idx="15">
                  <c:v>31071.189375401671</c:v>
                </c:pt>
                <c:pt idx="16">
                  <c:v>31598.884909567329</c:v>
                </c:pt>
                <c:pt idx="17">
                  <c:v>32126.580443732841</c:v>
                </c:pt>
                <c:pt idx="18">
                  <c:v>32654.275977898484</c:v>
                </c:pt>
                <c:pt idx="19">
                  <c:v>33181.971512064127</c:v>
                </c:pt>
                <c:pt idx="20">
                  <c:v>33709.667046229675</c:v>
                </c:pt>
                <c:pt idx="21">
                  <c:v>34237.362580395325</c:v>
                </c:pt>
                <c:pt idx="22">
                  <c:v>34765.058114560976</c:v>
                </c:pt>
                <c:pt idx="23">
                  <c:v>35292.753648726488</c:v>
                </c:pt>
                <c:pt idx="24">
                  <c:v>35820.449182892138</c:v>
                </c:pt>
                <c:pt idx="25">
                  <c:v>36348.144717057774</c:v>
                </c:pt>
                <c:pt idx="26">
                  <c:v>36875.840251223461</c:v>
                </c:pt>
                <c:pt idx="27">
                  <c:v>37403.535785388973</c:v>
                </c:pt>
                <c:pt idx="28">
                  <c:v>37931.231319554623</c:v>
                </c:pt>
                <c:pt idx="29">
                  <c:v>38458.926853720266</c:v>
                </c:pt>
              </c:numCache>
            </c:numRef>
          </c:val>
          <c:smooth val="0"/>
          <c:extLst>
            <c:ext xmlns:c16="http://schemas.microsoft.com/office/drawing/2014/chart" uri="{C3380CC4-5D6E-409C-BE32-E72D297353CC}">
              <c16:uniqueId val="{00000009-DCA1-4703-B7CE-A6F1644AD5F8}"/>
            </c:ext>
          </c:extLst>
        </c:ser>
        <c:ser>
          <c:idx val="10"/>
          <c:order val="10"/>
          <c:tx>
            <c:strRef>
              <c:f>'Sensitivity - GDP'!$N$75</c:f>
              <c:strCache>
                <c:ptCount val="1"/>
                <c:pt idx="0">
                  <c:v>6.50%</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numRef>
              <c:f>'Sensitivity - GDP'!$B$76:$B$105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GDP'!$N$76:$N$105</c:f>
              <c:numCache>
                <c:formatCode>General</c:formatCode>
                <c:ptCount val="30"/>
                <c:pt idx="0">
                  <c:v>22493.055686030053</c:v>
                </c:pt>
                <c:pt idx="1">
                  <c:v>23848.643828790315</c:v>
                </c:pt>
                <c:pt idx="2">
                  <c:v>24381.341216360379</c:v>
                </c:pt>
                <c:pt idx="3">
                  <c:v>24914.038603930341</c:v>
                </c:pt>
                <c:pt idx="4">
                  <c:v>25446.735991500398</c:v>
                </c:pt>
                <c:pt idx="5">
                  <c:v>25979.433379070455</c:v>
                </c:pt>
                <c:pt idx="6">
                  <c:v>26512.130766640388</c:v>
                </c:pt>
                <c:pt idx="7">
                  <c:v>27044.828154210452</c:v>
                </c:pt>
                <c:pt idx="8">
                  <c:v>27577.525541780546</c:v>
                </c:pt>
                <c:pt idx="9">
                  <c:v>28110.222929350595</c:v>
                </c:pt>
                <c:pt idx="10">
                  <c:v>28642.920316920528</c:v>
                </c:pt>
                <c:pt idx="11">
                  <c:v>29175.617704490585</c:v>
                </c:pt>
                <c:pt idx="12">
                  <c:v>29708.315092060649</c:v>
                </c:pt>
                <c:pt idx="13">
                  <c:v>30241.012479630583</c:v>
                </c:pt>
                <c:pt idx="14">
                  <c:v>30773.709867200669</c:v>
                </c:pt>
                <c:pt idx="15">
                  <c:v>31306.407254770726</c:v>
                </c:pt>
                <c:pt idx="16">
                  <c:v>31839.10464234079</c:v>
                </c:pt>
                <c:pt idx="17">
                  <c:v>32371.802029910716</c:v>
                </c:pt>
                <c:pt idx="18">
                  <c:v>32904.49941748078</c:v>
                </c:pt>
                <c:pt idx="19">
                  <c:v>33437.196805050837</c:v>
                </c:pt>
                <c:pt idx="20">
                  <c:v>33969.894192620799</c:v>
                </c:pt>
                <c:pt idx="21">
                  <c:v>34502.591580190863</c:v>
                </c:pt>
                <c:pt idx="22">
                  <c:v>35035.28896776092</c:v>
                </c:pt>
                <c:pt idx="23">
                  <c:v>35567.986355330853</c:v>
                </c:pt>
                <c:pt idx="24">
                  <c:v>36100.683742900903</c:v>
                </c:pt>
                <c:pt idx="25">
                  <c:v>36633.38113047096</c:v>
                </c:pt>
                <c:pt idx="26">
                  <c:v>37166.07851804106</c:v>
                </c:pt>
                <c:pt idx="27">
                  <c:v>37698.775905610986</c:v>
                </c:pt>
                <c:pt idx="28">
                  <c:v>38231.473293181043</c:v>
                </c:pt>
                <c:pt idx="29">
                  <c:v>38764.170680751107</c:v>
                </c:pt>
              </c:numCache>
            </c:numRef>
          </c:val>
          <c:smooth val="0"/>
          <c:extLst>
            <c:ext xmlns:c16="http://schemas.microsoft.com/office/drawing/2014/chart" uri="{C3380CC4-5D6E-409C-BE32-E72D297353CC}">
              <c16:uniqueId val="{0000000A-DCA1-4703-B7CE-A6F1644AD5F8}"/>
            </c:ext>
          </c:extLst>
        </c:ser>
        <c:ser>
          <c:idx val="11"/>
          <c:order val="11"/>
          <c:tx>
            <c:strRef>
              <c:f>'Sensitivity - GDP'!$O$75</c:f>
              <c:strCache>
                <c:ptCount val="1"/>
                <c:pt idx="0">
                  <c:v>7.50%</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numRef>
              <c:f>'Sensitivity - GDP'!$B$76:$B$105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GDP'!$O$76:$O$105</c:f>
              <c:numCache>
                <c:formatCode>General</c:formatCode>
                <c:ptCount val="30"/>
                <c:pt idx="0">
                  <c:v>22645.519090575246</c:v>
                </c:pt>
                <c:pt idx="1">
                  <c:v>24013.835760497583</c:v>
                </c:pt>
                <c:pt idx="2">
                  <c:v>24551.535001472061</c:v>
                </c:pt>
                <c:pt idx="3">
                  <c:v>25089.23424244643</c:v>
                </c:pt>
                <c:pt idx="4">
                  <c:v>25626.933483420908</c:v>
                </c:pt>
                <c:pt idx="5">
                  <c:v>26164.632724395378</c:v>
                </c:pt>
                <c:pt idx="6">
                  <c:v>26702.331965369718</c:v>
                </c:pt>
                <c:pt idx="7">
                  <c:v>27240.031206344196</c:v>
                </c:pt>
                <c:pt idx="8">
                  <c:v>27777.730447318703</c:v>
                </c:pt>
                <c:pt idx="9">
                  <c:v>28315.429688293174</c:v>
                </c:pt>
                <c:pt idx="10">
                  <c:v>28853.128929267514</c:v>
                </c:pt>
                <c:pt idx="11">
                  <c:v>29390.828170241984</c:v>
                </c:pt>
                <c:pt idx="12">
                  <c:v>29928.527411216462</c:v>
                </c:pt>
                <c:pt idx="13">
                  <c:v>30466.226652190802</c:v>
                </c:pt>
                <c:pt idx="14">
                  <c:v>31003.925893165309</c:v>
                </c:pt>
                <c:pt idx="15">
                  <c:v>31541.62513413978</c:v>
                </c:pt>
                <c:pt idx="16">
                  <c:v>32079.324375114258</c:v>
                </c:pt>
                <c:pt idx="17">
                  <c:v>32617.023616088598</c:v>
                </c:pt>
                <c:pt idx="18">
                  <c:v>33154.722857063069</c:v>
                </c:pt>
                <c:pt idx="19">
                  <c:v>33692.422098037539</c:v>
                </c:pt>
                <c:pt idx="20">
                  <c:v>34230.121339011916</c:v>
                </c:pt>
                <c:pt idx="21">
                  <c:v>34767.820579986394</c:v>
                </c:pt>
                <c:pt idx="22">
                  <c:v>35305.519820960864</c:v>
                </c:pt>
                <c:pt idx="23">
                  <c:v>35843.219061935204</c:v>
                </c:pt>
                <c:pt idx="24">
                  <c:v>36380.918302909675</c:v>
                </c:pt>
                <c:pt idx="25">
                  <c:v>36918.617543884153</c:v>
                </c:pt>
                <c:pt idx="26">
                  <c:v>37456.31678485866</c:v>
                </c:pt>
                <c:pt idx="27">
                  <c:v>37994.016025833</c:v>
                </c:pt>
                <c:pt idx="28">
                  <c:v>38531.71526680747</c:v>
                </c:pt>
                <c:pt idx="29">
                  <c:v>39069.414507781941</c:v>
                </c:pt>
              </c:numCache>
            </c:numRef>
          </c:val>
          <c:smooth val="0"/>
          <c:extLst>
            <c:ext xmlns:c16="http://schemas.microsoft.com/office/drawing/2014/chart" uri="{C3380CC4-5D6E-409C-BE32-E72D297353CC}">
              <c16:uniqueId val="{0000000B-DCA1-4703-B7CE-A6F1644AD5F8}"/>
            </c:ext>
          </c:extLst>
        </c:ser>
        <c:ser>
          <c:idx val="12"/>
          <c:order val="12"/>
          <c:tx>
            <c:strRef>
              <c:f>'Sensitivity - GDP'!$P$75</c:f>
              <c:strCache>
                <c:ptCount val="1"/>
                <c:pt idx="0">
                  <c:v>8.50%</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numRef>
              <c:f>'Sensitivity - GDP'!$B$76:$B$105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cat>
          <c:val>
            <c:numRef>
              <c:f>'Sensitivity - GDP'!$P$76:$P$105</c:f>
              <c:numCache>
                <c:formatCode>General</c:formatCode>
                <c:ptCount val="30"/>
                <c:pt idx="0">
                  <c:v>22797.982495120443</c:v>
                </c:pt>
                <c:pt idx="1">
                  <c:v>24179.027692204843</c:v>
                </c:pt>
                <c:pt idx="2">
                  <c:v>24721.728786583742</c:v>
                </c:pt>
                <c:pt idx="3">
                  <c:v>25264.429880962525</c:v>
                </c:pt>
                <c:pt idx="4">
                  <c:v>25807.13097534141</c:v>
                </c:pt>
                <c:pt idx="5">
                  <c:v>26349.832069720294</c:v>
                </c:pt>
                <c:pt idx="6">
                  <c:v>26892.533164099048</c:v>
                </c:pt>
                <c:pt idx="7">
                  <c:v>27435.23425847794</c:v>
                </c:pt>
                <c:pt idx="8">
                  <c:v>27977.935352856854</c:v>
                </c:pt>
                <c:pt idx="9">
                  <c:v>28520.636447235745</c:v>
                </c:pt>
                <c:pt idx="10">
                  <c:v>29063.337541614499</c:v>
                </c:pt>
                <c:pt idx="11">
                  <c:v>29606.038635993384</c:v>
                </c:pt>
                <c:pt idx="12">
                  <c:v>30148.739730372276</c:v>
                </c:pt>
                <c:pt idx="13">
                  <c:v>30691.440824751029</c:v>
                </c:pt>
                <c:pt idx="14">
                  <c:v>31234.141919129943</c:v>
                </c:pt>
                <c:pt idx="15">
                  <c:v>31776.843013508835</c:v>
                </c:pt>
                <c:pt idx="16">
                  <c:v>32319.544107887719</c:v>
                </c:pt>
                <c:pt idx="17">
                  <c:v>32862.24520226648</c:v>
                </c:pt>
                <c:pt idx="18">
                  <c:v>33404.946296645358</c:v>
                </c:pt>
                <c:pt idx="19">
                  <c:v>33947.647391024249</c:v>
                </c:pt>
                <c:pt idx="20">
                  <c:v>34490.348485403032</c:v>
                </c:pt>
                <c:pt idx="21">
                  <c:v>35033.049579781924</c:v>
                </c:pt>
                <c:pt idx="22">
                  <c:v>35575.750674160809</c:v>
                </c:pt>
                <c:pt idx="23">
                  <c:v>36118.451768539569</c:v>
                </c:pt>
                <c:pt idx="24">
                  <c:v>36661.152862918447</c:v>
                </c:pt>
                <c:pt idx="25">
                  <c:v>37203.853957297339</c:v>
                </c:pt>
                <c:pt idx="26">
                  <c:v>37746.55505167626</c:v>
                </c:pt>
                <c:pt idx="27">
                  <c:v>38289.256146055013</c:v>
                </c:pt>
                <c:pt idx="28">
                  <c:v>38831.957240433898</c:v>
                </c:pt>
                <c:pt idx="29">
                  <c:v>39374.658334812782</c:v>
                </c:pt>
              </c:numCache>
            </c:numRef>
          </c:val>
          <c:smooth val="0"/>
          <c:extLst>
            <c:ext xmlns:c16="http://schemas.microsoft.com/office/drawing/2014/chart" uri="{C3380CC4-5D6E-409C-BE32-E72D297353CC}">
              <c16:uniqueId val="{0000000C-DCA1-4703-B7CE-A6F1644AD5F8}"/>
            </c:ext>
          </c:extLst>
        </c:ser>
        <c:dLbls>
          <c:showLegendKey val="0"/>
          <c:showVal val="0"/>
          <c:showCatName val="0"/>
          <c:showSerName val="0"/>
          <c:showPercent val="0"/>
          <c:showBubbleSize val="0"/>
        </c:dLbls>
        <c:marker val="1"/>
        <c:smooth val="0"/>
        <c:axId val="808771472"/>
        <c:axId val="808778544"/>
      </c:lineChart>
      <c:catAx>
        <c:axId val="808771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778544"/>
        <c:crosses val="autoZero"/>
        <c:auto val="1"/>
        <c:lblAlgn val="ctr"/>
        <c:lblOffset val="100"/>
        <c:noMultiLvlLbl val="0"/>
      </c:catAx>
      <c:valAx>
        <c:axId val="808778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771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Impact</a:t>
            </a:r>
            <a:r>
              <a:rPr lang="en-IN" baseline="0"/>
              <a:t> of change in GDP over the years - Services Model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'Sensitivity - GDP'!$D$13</c:f>
              <c:strCache>
                <c:ptCount val="1"/>
                <c:pt idx="0">
                  <c:v>-3.50%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'Sensitivity - GDP'!$B$14:$B$43</c:f>
              <c:numCache>
                <c:formatCode>General</c:formatCode>
                <c:ptCount val="3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numCache>
            </c:numRef>
          </c:cat>
          <c:val>
            <c:numRef>
              <c:f>'Sensitivity - GDP'!$D$14:$D$43</c:f>
              <c:numCache>
                <c:formatCode>General</c:formatCode>
                <c:ptCount val="30"/>
                <c:pt idx="0">
                  <c:v>20281.742793105557</c:v>
                </c:pt>
                <c:pt idx="1">
                  <c:v>22181.896117283304</c:v>
                </c:pt>
                <c:pt idx="2">
                  <c:v>22658.009337913914</c:v>
                </c:pt>
                <c:pt idx="3">
                  <c:v>23134.122558544605</c:v>
                </c:pt>
                <c:pt idx="4">
                  <c:v>23610.235779175255</c:v>
                </c:pt>
                <c:pt idx="5">
                  <c:v>24086.348999805861</c:v>
                </c:pt>
                <c:pt idx="6">
                  <c:v>24562.462220436511</c:v>
                </c:pt>
                <c:pt idx="7">
                  <c:v>25038.575441067245</c:v>
                </c:pt>
                <c:pt idx="8">
                  <c:v>25514.688661697895</c:v>
                </c:pt>
                <c:pt idx="9">
                  <c:v>25990.801882328546</c:v>
                </c:pt>
                <c:pt idx="10">
                  <c:v>26466.915102959156</c:v>
                </c:pt>
                <c:pt idx="11">
                  <c:v>26943.028323589846</c:v>
                </c:pt>
                <c:pt idx="12">
                  <c:v>27419.141544220496</c:v>
                </c:pt>
                <c:pt idx="13">
                  <c:v>27895.254764851106</c:v>
                </c:pt>
                <c:pt idx="14">
                  <c:v>28371.367985481756</c:v>
                </c:pt>
                <c:pt idx="15">
                  <c:v>28847.481206112447</c:v>
                </c:pt>
                <c:pt idx="16">
                  <c:v>29323.594426743057</c:v>
                </c:pt>
                <c:pt idx="17">
                  <c:v>29799.707647373707</c:v>
                </c:pt>
                <c:pt idx="18">
                  <c:v>30275.820868004357</c:v>
                </c:pt>
                <c:pt idx="19">
                  <c:v>30751.934088635007</c:v>
                </c:pt>
                <c:pt idx="20">
                  <c:v>31228.047309265658</c:v>
                </c:pt>
                <c:pt idx="21">
                  <c:v>31704.160529896264</c:v>
                </c:pt>
                <c:pt idx="22">
                  <c:v>32180.273750526918</c:v>
                </c:pt>
                <c:pt idx="23">
                  <c:v>32656.386971157608</c:v>
                </c:pt>
                <c:pt idx="24">
                  <c:v>33132.500191788218</c:v>
                </c:pt>
                <c:pt idx="25">
                  <c:v>33608.613412418868</c:v>
                </c:pt>
                <c:pt idx="26">
                  <c:v>34084.726633049519</c:v>
                </c:pt>
                <c:pt idx="27">
                  <c:v>34560.839853680169</c:v>
                </c:pt>
                <c:pt idx="28">
                  <c:v>35036.953074310819</c:v>
                </c:pt>
                <c:pt idx="29">
                  <c:v>35513.066294941469</c:v>
                </c:pt>
              </c:numCache>
            </c:numRef>
          </c:val>
          <c:smooth val="0"/>
          <c:extLst>
            <c:ext xmlns:c16="http://schemas.microsoft.com/office/drawing/2014/chart" uri="{C3380CC4-5D6E-409C-BE32-E72D297353CC}">
              <c16:uniqueId val="{00000000-ECBF-4928-B353-2226FB4C06F6}"/>
            </c:ext>
          </c:extLst>
        </c:ser>
        <c:ser>
          <c:idx val="1"/>
          <c:order val="1"/>
          <c:tx>
            <c:strRef>
              <c:f>'Sensitivity - GDP'!$E$13</c:f>
              <c:strCache>
                <c:ptCount val="1"/>
                <c:pt idx="0">
                  <c:v>-2.50%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'Sensitivity - GDP'!$B$14:$B$43</c:f>
              <c:numCache>
                <c:formatCode>General</c:formatCode>
                <c:ptCount val="3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numCache>
            </c:numRef>
          </c:cat>
          <c:val>
            <c:numRef>
              <c:f>'Sensitivity - GDP'!$E$14:$E$43</c:f>
              <c:numCache>
                <c:formatCode>General</c:formatCode>
                <c:ptCount val="30"/>
                <c:pt idx="0">
                  <c:v>20412.303855330945</c:v>
                </c:pt>
                <c:pt idx="1">
                  <c:v>22332.14788753126</c:v>
                </c:pt>
                <c:pt idx="2">
                  <c:v>22813.194923919698</c:v>
                </c:pt>
                <c:pt idx="3">
                  <c:v>23294.24196030822</c:v>
                </c:pt>
                <c:pt idx="4">
                  <c:v>23775.288996696705</c:v>
                </c:pt>
                <c:pt idx="5">
                  <c:v>24256.336033085143</c:v>
                </c:pt>
                <c:pt idx="6">
                  <c:v>24737.383069473621</c:v>
                </c:pt>
                <c:pt idx="7">
                  <c:v>25218.430105862186</c:v>
                </c:pt>
                <c:pt idx="8">
                  <c:v>25699.477142250667</c:v>
                </c:pt>
                <c:pt idx="9">
                  <c:v>26180.524178639145</c:v>
                </c:pt>
                <c:pt idx="10">
                  <c:v>26661.571215027587</c:v>
                </c:pt>
                <c:pt idx="11">
                  <c:v>27142.618251416108</c:v>
                </c:pt>
                <c:pt idx="12">
                  <c:v>27623.66528780459</c:v>
                </c:pt>
                <c:pt idx="13">
                  <c:v>28104.712324193028</c:v>
                </c:pt>
                <c:pt idx="14">
                  <c:v>28585.759360581509</c:v>
                </c:pt>
                <c:pt idx="15">
                  <c:v>29066.806396970031</c:v>
                </c:pt>
                <c:pt idx="16">
                  <c:v>29547.853433358472</c:v>
                </c:pt>
                <c:pt idx="17">
                  <c:v>30028.900469746954</c:v>
                </c:pt>
                <c:pt idx="18">
                  <c:v>30509.947506135431</c:v>
                </c:pt>
                <c:pt idx="19">
                  <c:v>30990.994542523913</c:v>
                </c:pt>
                <c:pt idx="20">
                  <c:v>31472.041578912394</c:v>
                </c:pt>
                <c:pt idx="21">
                  <c:v>31953.088615300836</c:v>
                </c:pt>
                <c:pt idx="22">
                  <c:v>32434.135651689314</c:v>
                </c:pt>
                <c:pt idx="23">
                  <c:v>32915.182688077839</c:v>
                </c:pt>
                <c:pt idx="24">
                  <c:v>33396.229724466277</c:v>
                </c:pt>
                <c:pt idx="25">
                  <c:v>33877.276760854758</c:v>
                </c:pt>
                <c:pt idx="26">
                  <c:v>34358.32379724324</c:v>
                </c:pt>
                <c:pt idx="27">
                  <c:v>34839.370833631721</c:v>
                </c:pt>
                <c:pt idx="28">
                  <c:v>35320.417870020203</c:v>
                </c:pt>
                <c:pt idx="29">
                  <c:v>35801.464906408684</c:v>
                </c:pt>
              </c:numCache>
            </c:numRef>
          </c:val>
          <c:smooth val="0"/>
          <c:extLst>
            <c:ext xmlns:c16="http://schemas.microsoft.com/office/drawing/2014/chart" uri="{C3380CC4-5D6E-409C-BE32-E72D297353CC}">
              <c16:uniqueId val="{00000001-ECBF-4928-B353-2226FB4C06F6}"/>
            </c:ext>
          </c:extLst>
        </c:ser>
        <c:ser>
          <c:idx val="2"/>
          <c:order val="2"/>
          <c:tx>
            <c:strRef>
              <c:f>'Sensitivity - GDP'!$F$13</c:f>
              <c:strCache>
                <c:ptCount val="1"/>
                <c:pt idx="0">
                  <c:v>-1.50%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'Sensitivity - GDP'!$B$14:$B$43</c:f>
              <c:numCache>
                <c:formatCode>General</c:formatCode>
                <c:ptCount val="3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numCache>
            </c:numRef>
          </c:cat>
          <c:val>
            <c:numRef>
              <c:f>'Sensitivity - GDP'!$F$14:$F$43</c:f>
              <c:numCache>
                <c:formatCode>General</c:formatCode>
                <c:ptCount val="30"/>
                <c:pt idx="0">
                  <c:v>20542.864917556337</c:v>
                </c:pt>
                <c:pt idx="1">
                  <c:v>22482.399657779217</c:v>
                </c:pt>
                <c:pt idx="2">
                  <c:v>22968.380509925486</c:v>
                </c:pt>
                <c:pt idx="3">
                  <c:v>23454.361362071839</c:v>
                </c:pt>
                <c:pt idx="4">
                  <c:v>23940.342214218152</c:v>
                </c:pt>
                <c:pt idx="5">
                  <c:v>24426.323066364421</c:v>
                </c:pt>
                <c:pt idx="6">
                  <c:v>24912.303918510734</c:v>
                </c:pt>
                <c:pt idx="7">
                  <c:v>25398.284770657127</c:v>
                </c:pt>
                <c:pt idx="8">
                  <c:v>25884.265622803439</c:v>
                </c:pt>
                <c:pt idx="9">
                  <c:v>26370.246474949749</c:v>
                </c:pt>
                <c:pt idx="10">
                  <c:v>26856.227327096018</c:v>
                </c:pt>
                <c:pt idx="11">
                  <c:v>27342.208179242371</c:v>
                </c:pt>
                <c:pt idx="12">
                  <c:v>27828.189031388683</c:v>
                </c:pt>
                <c:pt idx="13">
                  <c:v>28314.169883534953</c:v>
                </c:pt>
                <c:pt idx="14">
                  <c:v>28800.150735681265</c:v>
                </c:pt>
                <c:pt idx="15">
                  <c:v>29286.131587827618</c:v>
                </c:pt>
                <c:pt idx="16">
                  <c:v>29772.112439973887</c:v>
                </c:pt>
                <c:pt idx="17">
                  <c:v>30258.093292120197</c:v>
                </c:pt>
                <c:pt idx="18">
                  <c:v>30744.074144266509</c:v>
                </c:pt>
                <c:pt idx="19">
                  <c:v>31230.054996412819</c:v>
                </c:pt>
                <c:pt idx="20">
                  <c:v>31716.035848559131</c:v>
                </c:pt>
                <c:pt idx="21">
                  <c:v>32202.016700705401</c:v>
                </c:pt>
                <c:pt idx="22">
                  <c:v>32687.997552851713</c:v>
                </c:pt>
                <c:pt idx="23">
                  <c:v>33173.978404998066</c:v>
                </c:pt>
                <c:pt idx="24">
                  <c:v>33659.959257144335</c:v>
                </c:pt>
                <c:pt idx="25">
                  <c:v>34145.940109290648</c:v>
                </c:pt>
                <c:pt idx="26">
                  <c:v>34631.920961436961</c:v>
                </c:pt>
                <c:pt idx="27">
                  <c:v>35117.901813583267</c:v>
                </c:pt>
                <c:pt idx="28">
                  <c:v>35603.882665729587</c:v>
                </c:pt>
                <c:pt idx="29">
                  <c:v>36089.8635178759</c:v>
                </c:pt>
              </c:numCache>
            </c:numRef>
          </c:val>
          <c:smooth val="0"/>
          <c:extLst>
            <c:ext xmlns:c16="http://schemas.microsoft.com/office/drawing/2014/chart" uri="{C3380CC4-5D6E-409C-BE32-E72D297353CC}">
              <c16:uniqueId val="{00000002-ECBF-4928-B353-2226FB4C06F6}"/>
            </c:ext>
          </c:extLst>
        </c:ser>
        <c:ser>
          <c:idx val="3"/>
          <c:order val="3"/>
          <c:tx>
            <c:strRef>
              <c:f>'Sensitivity - GDP'!$G$13</c:f>
              <c:strCache>
                <c:ptCount val="1"/>
                <c:pt idx="0">
                  <c:v>-0.50%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'Sensitivity - GDP'!$B$14:$B$43</c:f>
              <c:numCache>
                <c:formatCode>General</c:formatCode>
                <c:ptCount val="3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numCache>
            </c:numRef>
          </c:cat>
          <c:val>
            <c:numRef>
              <c:f>'Sensitivity - GDP'!$G$14:$G$43</c:f>
              <c:numCache>
                <c:formatCode>General</c:formatCode>
                <c:ptCount val="30"/>
                <c:pt idx="0">
                  <c:v>20673.425979781729</c:v>
                </c:pt>
                <c:pt idx="1">
                  <c:v>22632.651428027173</c:v>
                </c:pt>
                <c:pt idx="2">
                  <c:v>23123.566095931274</c:v>
                </c:pt>
                <c:pt idx="3">
                  <c:v>23614.480763835458</c:v>
                </c:pt>
                <c:pt idx="4">
                  <c:v>24105.395431739598</c:v>
                </c:pt>
                <c:pt idx="5">
                  <c:v>24596.310099643699</c:v>
                </c:pt>
                <c:pt idx="6">
                  <c:v>25087.224767547843</c:v>
                </c:pt>
                <c:pt idx="7">
                  <c:v>25578.139435452067</c:v>
                </c:pt>
                <c:pt idx="8">
                  <c:v>26069.054103356208</c:v>
                </c:pt>
                <c:pt idx="9">
                  <c:v>26559.968771260352</c:v>
                </c:pt>
                <c:pt idx="10">
                  <c:v>27050.883439164452</c:v>
                </c:pt>
                <c:pt idx="11">
                  <c:v>27541.798107068633</c:v>
                </c:pt>
                <c:pt idx="12">
                  <c:v>28032.712774972777</c:v>
                </c:pt>
                <c:pt idx="13">
                  <c:v>28523.627442876877</c:v>
                </c:pt>
                <c:pt idx="14">
                  <c:v>29014.542110781018</c:v>
                </c:pt>
                <c:pt idx="15">
                  <c:v>29505.456778685202</c:v>
                </c:pt>
                <c:pt idx="16">
                  <c:v>29996.371446589303</c:v>
                </c:pt>
                <c:pt idx="17">
                  <c:v>30487.286114493443</c:v>
                </c:pt>
                <c:pt idx="18">
                  <c:v>30978.200782397584</c:v>
                </c:pt>
                <c:pt idx="19">
                  <c:v>31469.115450301731</c:v>
                </c:pt>
                <c:pt idx="20">
                  <c:v>31960.030118205868</c:v>
                </c:pt>
                <c:pt idx="21">
                  <c:v>32450.944786109969</c:v>
                </c:pt>
                <c:pt idx="22">
                  <c:v>32941.859454014113</c:v>
                </c:pt>
                <c:pt idx="23">
                  <c:v>33432.774121918294</c:v>
                </c:pt>
                <c:pt idx="24">
                  <c:v>33923.688789822394</c:v>
                </c:pt>
                <c:pt idx="25">
                  <c:v>34414.603457726538</c:v>
                </c:pt>
                <c:pt idx="26">
                  <c:v>34905.518125630682</c:v>
                </c:pt>
                <c:pt idx="27">
                  <c:v>35396.432793534819</c:v>
                </c:pt>
                <c:pt idx="28">
                  <c:v>35887.347461438963</c:v>
                </c:pt>
                <c:pt idx="29">
                  <c:v>36378.2621293431</c:v>
                </c:pt>
              </c:numCache>
            </c:numRef>
          </c:val>
          <c:smooth val="0"/>
          <c:extLst>
            <c:ext xmlns:c16="http://schemas.microsoft.com/office/drawing/2014/chart" uri="{C3380CC4-5D6E-409C-BE32-E72D297353CC}">
              <c16:uniqueId val="{00000003-ECBF-4928-B353-2226FB4C06F6}"/>
            </c:ext>
          </c:extLst>
        </c:ser>
        <c:ser>
          <c:idx val="4"/>
          <c:order val="4"/>
          <c:tx>
            <c:strRef>
              <c:f>'Sensitivity - GDP'!$H$13</c:f>
              <c:strCache>
                <c:ptCount val="1"/>
                <c:pt idx="0">
                  <c:v>0.00%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'Sensitivity - GDP'!$B$14:$B$43</c:f>
              <c:numCache>
                <c:formatCode>General</c:formatCode>
                <c:ptCount val="3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numCache>
            </c:numRef>
          </c:cat>
          <c:val>
            <c:numRef>
              <c:f>'Sensitivity - GDP'!$H$14:$H$43</c:f>
              <c:numCache>
                <c:formatCode>0.00</c:formatCode>
                <c:ptCount val="30"/>
                <c:pt idx="0">
                  <c:v>20738.706510894423</c:v>
                </c:pt>
                <c:pt idx="1">
                  <c:v>22707.777313151149</c:v>
                </c:pt>
                <c:pt idx="2">
                  <c:v>23201.158888934166</c:v>
                </c:pt>
                <c:pt idx="3">
                  <c:v>23694.540464717265</c:v>
                </c:pt>
                <c:pt idx="4">
                  <c:v>24187.922040500322</c:v>
                </c:pt>
                <c:pt idx="5">
                  <c:v>24681.303616283338</c:v>
                </c:pt>
                <c:pt idx="6">
                  <c:v>25174.685192066398</c:v>
                </c:pt>
                <c:pt idx="7">
                  <c:v>25668.066767849537</c:v>
                </c:pt>
                <c:pt idx="8">
                  <c:v>26161.448343632594</c:v>
                </c:pt>
                <c:pt idx="9">
                  <c:v>26654.82991941565</c:v>
                </c:pt>
                <c:pt idx="10">
                  <c:v>27148.211495198666</c:v>
                </c:pt>
                <c:pt idx="11">
                  <c:v>27641.593070981766</c:v>
                </c:pt>
                <c:pt idx="12">
                  <c:v>28134.974646764822</c:v>
                </c:pt>
                <c:pt idx="13">
                  <c:v>28628.356222547838</c:v>
                </c:pt>
                <c:pt idx="14">
                  <c:v>29121.737798330894</c:v>
                </c:pt>
                <c:pt idx="15">
                  <c:v>29615.119374113994</c:v>
                </c:pt>
                <c:pt idx="16">
                  <c:v>30108.50094989701</c:v>
                </c:pt>
                <c:pt idx="17">
                  <c:v>30601.882525680066</c:v>
                </c:pt>
                <c:pt idx="18">
                  <c:v>31095.264101463123</c:v>
                </c:pt>
                <c:pt idx="19">
                  <c:v>31588.645677246182</c:v>
                </c:pt>
                <c:pt idx="20">
                  <c:v>32082.027253029239</c:v>
                </c:pt>
                <c:pt idx="21">
                  <c:v>32575.408828812255</c:v>
                </c:pt>
                <c:pt idx="22">
                  <c:v>33068.790404595311</c:v>
                </c:pt>
                <c:pt idx="23">
                  <c:v>33562.171980378407</c:v>
                </c:pt>
                <c:pt idx="24">
                  <c:v>34055.553556161423</c:v>
                </c:pt>
                <c:pt idx="25">
                  <c:v>34548.935131944483</c:v>
                </c:pt>
                <c:pt idx="26">
                  <c:v>35042.316707727543</c:v>
                </c:pt>
                <c:pt idx="27">
                  <c:v>35535.698283510596</c:v>
                </c:pt>
                <c:pt idx="28">
                  <c:v>36029.079859293655</c:v>
                </c:pt>
                <c:pt idx="29">
                  <c:v>36522.461435076708</c:v>
                </c:pt>
              </c:numCache>
            </c:numRef>
          </c:val>
          <c:smooth val="0"/>
          <c:extLst>
            <c:ext xmlns:c16="http://schemas.microsoft.com/office/drawing/2014/chart" uri="{C3380CC4-5D6E-409C-BE32-E72D297353CC}">
              <c16:uniqueId val="{00000004-ECBF-4928-B353-2226FB4C06F6}"/>
            </c:ext>
          </c:extLst>
        </c:ser>
        <c:ser>
          <c:idx val="5"/>
          <c:order val="5"/>
          <c:tx>
            <c:strRef>
              <c:f>'Sensitivity - GDP'!$I$13</c:f>
              <c:strCache>
                <c:ptCount val="1"/>
                <c:pt idx="0">
                  <c:v>0.05%</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'Sensitivity - GDP'!$B$14:$B$43</c:f>
              <c:numCache>
                <c:formatCode>General</c:formatCode>
                <c:ptCount val="3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numCache>
            </c:numRef>
          </c:cat>
          <c:val>
            <c:numRef>
              <c:f>'Sensitivity - GDP'!$I$14:$I$43</c:f>
              <c:numCache>
                <c:formatCode>General</c:formatCode>
                <c:ptCount val="30"/>
                <c:pt idx="0">
                  <c:v>20745.234564005688</c:v>
                </c:pt>
                <c:pt idx="1">
                  <c:v>22715.289901663549</c:v>
                </c:pt>
                <c:pt idx="2">
                  <c:v>23208.918168234457</c:v>
                </c:pt>
                <c:pt idx="3">
                  <c:v>23702.546434805445</c:v>
                </c:pt>
                <c:pt idx="4">
                  <c:v>24196.174701376396</c:v>
                </c:pt>
                <c:pt idx="5">
                  <c:v>24689.8029679473</c:v>
                </c:pt>
                <c:pt idx="6">
                  <c:v>25183.431234518248</c:v>
                </c:pt>
                <c:pt idx="7">
                  <c:v>25677.059501089283</c:v>
                </c:pt>
                <c:pt idx="8">
                  <c:v>26170.687767660231</c:v>
                </c:pt>
                <c:pt idx="9">
                  <c:v>26664.316034231182</c:v>
                </c:pt>
                <c:pt idx="10">
                  <c:v>27157.944300802086</c:v>
                </c:pt>
                <c:pt idx="11">
                  <c:v>27651.572567373078</c:v>
                </c:pt>
                <c:pt idx="12">
                  <c:v>28145.200833944025</c:v>
                </c:pt>
                <c:pt idx="13">
                  <c:v>28638.829100514933</c:v>
                </c:pt>
                <c:pt idx="14">
                  <c:v>29132.457367085881</c:v>
                </c:pt>
                <c:pt idx="15">
                  <c:v>29626.085633656872</c:v>
                </c:pt>
                <c:pt idx="16">
                  <c:v>30119.71390022778</c:v>
                </c:pt>
                <c:pt idx="17">
                  <c:v>30613.342166798728</c:v>
                </c:pt>
                <c:pt idx="18">
                  <c:v>31106.970433369675</c:v>
                </c:pt>
                <c:pt idx="19">
                  <c:v>31600.598699940627</c:v>
                </c:pt>
                <c:pt idx="20">
                  <c:v>32094.226966511575</c:v>
                </c:pt>
                <c:pt idx="21">
                  <c:v>32587.855233082479</c:v>
                </c:pt>
                <c:pt idx="22">
                  <c:v>33081.483499653434</c:v>
                </c:pt>
                <c:pt idx="23">
                  <c:v>33575.111766224421</c:v>
                </c:pt>
                <c:pt idx="24">
                  <c:v>34068.740032795322</c:v>
                </c:pt>
                <c:pt idx="25">
                  <c:v>34562.368299366273</c:v>
                </c:pt>
                <c:pt idx="26">
                  <c:v>35055.996565937225</c:v>
                </c:pt>
                <c:pt idx="27">
                  <c:v>35549.624832508169</c:v>
                </c:pt>
                <c:pt idx="28">
                  <c:v>36043.253099079127</c:v>
                </c:pt>
                <c:pt idx="29">
                  <c:v>36536.881365650072</c:v>
                </c:pt>
              </c:numCache>
            </c:numRef>
          </c:val>
          <c:smooth val="0"/>
          <c:extLst>
            <c:ext xmlns:c16="http://schemas.microsoft.com/office/drawing/2014/chart" uri="{C3380CC4-5D6E-409C-BE32-E72D297353CC}">
              <c16:uniqueId val="{00000005-ECBF-4928-B353-2226FB4C06F6}"/>
            </c:ext>
          </c:extLst>
        </c:ser>
        <c:ser>
          <c:idx val="6"/>
          <c:order val="6"/>
          <c:tx>
            <c:strRef>
              <c:f>'Sensitivity - GDP'!$J$13</c:f>
              <c:strCache>
                <c:ptCount val="1"/>
                <c:pt idx="0">
                  <c:v>2.50%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'Sensitivity - GDP'!$B$14:$B$43</c:f>
              <c:numCache>
                <c:formatCode>General</c:formatCode>
                <c:ptCount val="3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numCache>
            </c:numRef>
          </c:cat>
          <c:val>
            <c:numRef>
              <c:f>'Sensitivity - GDP'!$J$14:$J$43</c:f>
              <c:numCache>
                <c:formatCode>General</c:formatCode>
                <c:ptCount val="30"/>
                <c:pt idx="0">
                  <c:v>21065.109166457893</c:v>
                </c:pt>
                <c:pt idx="1">
                  <c:v>23083.406738771042</c:v>
                </c:pt>
                <c:pt idx="2">
                  <c:v>23589.122853948633</c:v>
                </c:pt>
                <c:pt idx="3">
                  <c:v>24094.838969126307</c:v>
                </c:pt>
                <c:pt idx="4">
                  <c:v>24600.555084303942</c:v>
                </c:pt>
                <c:pt idx="5">
                  <c:v>25106.271199481533</c:v>
                </c:pt>
                <c:pt idx="6">
                  <c:v>25611.987314659167</c:v>
                </c:pt>
                <c:pt idx="7">
                  <c:v>26117.703429836885</c:v>
                </c:pt>
                <c:pt idx="8">
                  <c:v>26623.41954501452</c:v>
                </c:pt>
                <c:pt idx="9">
                  <c:v>27129.135660192154</c:v>
                </c:pt>
                <c:pt idx="10">
                  <c:v>27634.851775369745</c:v>
                </c:pt>
                <c:pt idx="11">
                  <c:v>28140.567890547423</c:v>
                </c:pt>
                <c:pt idx="12">
                  <c:v>28646.284005725054</c:v>
                </c:pt>
                <c:pt idx="13">
                  <c:v>29152.000120902645</c:v>
                </c:pt>
                <c:pt idx="14">
                  <c:v>29657.716236080279</c:v>
                </c:pt>
                <c:pt idx="15">
                  <c:v>30163.432351257954</c:v>
                </c:pt>
                <c:pt idx="16">
                  <c:v>30669.148466435545</c:v>
                </c:pt>
                <c:pt idx="17">
                  <c:v>31174.864581613179</c:v>
                </c:pt>
                <c:pt idx="18">
                  <c:v>31680.58069679081</c:v>
                </c:pt>
                <c:pt idx="19">
                  <c:v>32186.296811968448</c:v>
                </c:pt>
                <c:pt idx="20">
                  <c:v>32692.012927146083</c:v>
                </c:pt>
                <c:pt idx="21">
                  <c:v>33197.72904232367</c:v>
                </c:pt>
                <c:pt idx="22">
                  <c:v>33703.445157501308</c:v>
                </c:pt>
                <c:pt idx="23">
                  <c:v>34209.161272678975</c:v>
                </c:pt>
                <c:pt idx="24">
                  <c:v>34714.87738785657</c:v>
                </c:pt>
                <c:pt idx="25">
                  <c:v>35220.593503034208</c:v>
                </c:pt>
                <c:pt idx="26">
                  <c:v>35726.309618211839</c:v>
                </c:pt>
                <c:pt idx="27">
                  <c:v>36232.02573338947</c:v>
                </c:pt>
                <c:pt idx="28">
                  <c:v>36737.741848567108</c:v>
                </c:pt>
                <c:pt idx="29">
                  <c:v>37243.457963744739</c:v>
                </c:pt>
              </c:numCache>
            </c:numRef>
          </c:val>
          <c:smooth val="0"/>
          <c:extLst>
            <c:ext xmlns:c16="http://schemas.microsoft.com/office/drawing/2014/chart" uri="{C3380CC4-5D6E-409C-BE32-E72D297353CC}">
              <c16:uniqueId val="{00000006-ECBF-4928-B353-2226FB4C06F6}"/>
            </c:ext>
          </c:extLst>
        </c:ser>
        <c:ser>
          <c:idx val="7"/>
          <c:order val="7"/>
          <c:tx>
            <c:strRef>
              <c:f>'Sensitivity - GDP'!$K$13</c:f>
              <c:strCache>
                <c:ptCount val="1"/>
                <c:pt idx="0">
                  <c:v>3.50%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'Sensitivity - GDP'!$B$14:$B$43</c:f>
              <c:numCache>
                <c:formatCode>General</c:formatCode>
                <c:ptCount val="3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numCache>
            </c:numRef>
          </c:cat>
          <c:val>
            <c:numRef>
              <c:f>'Sensitivity - GDP'!$K$14:$K$43</c:f>
              <c:numCache>
                <c:formatCode>General</c:formatCode>
                <c:ptCount val="30"/>
                <c:pt idx="0">
                  <c:v>21195.670228683281</c:v>
                </c:pt>
                <c:pt idx="1">
                  <c:v>23233.658509018998</c:v>
                </c:pt>
                <c:pt idx="2">
                  <c:v>23744.308439954417</c:v>
                </c:pt>
                <c:pt idx="3">
                  <c:v>24254.958370889926</c:v>
                </c:pt>
                <c:pt idx="4">
                  <c:v>24765.608301825392</c:v>
                </c:pt>
                <c:pt idx="5">
                  <c:v>25276.258232760811</c:v>
                </c:pt>
                <c:pt idx="6">
                  <c:v>25786.908163696276</c:v>
                </c:pt>
                <c:pt idx="7">
                  <c:v>26297.558094631826</c:v>
                </c:pt>
                <c:pt idx="8">
                  <c:v>26808.208025567292</c:v>
                </c:pt>
                <c:pt idx="9">
                  <c:v>27318.857956502754</c:v>
                </c:pt>
                <c:pt idx="10">
                  <c:v>27829.507887438176</c:v>
                </c:pt>
                <c:pt idx="11">
                  <c:v>28340.157818373686</c:v>
                </c:pt>
                <c:pt idx="12">
                  <c:v>28850.807749309148</c:v>
                </c:pt>
                <c:pt idx="13">
                  <c:v>29361.45768024457</c:v>
                </c:pt>
                <c:pt idx="14">
                  <c:v>29872.107611180032</c:v>
                </c:pt>
                <c:pt idx="15">
                  <c:v>30382.757542115542</c:v>
                </c:pt>
                <c:pt idx="16">
                  <c:v>30893.40747305096</c:v>
                </c:pt>
                <c:pt idx="17">
                  <c:v>31404.057403986422</c:v>
                </c:pt>
                <c:pt idx="18">
                  <c:v>31914.707334921888</c:v>
                </c:pt>
                <c:pt idx="19">
                  <c:v>32425.35726585735</c:v>
                </c:pt>
                <c:pt idx="20">
                  <c:v>32936.007196792823</c:v>
                </c:pt>
                <c:pt idx="21">
                  <c:v>33446.657127728235</c:v>
                </c:pt>
                <c:pt idx="22">
                  <c:v>33957.307058663704</c:v>
                </c:pt>
                <c:pt idx="23">
                  <c:v>34467.95698959921</c:v>
                </c:pt>
                <c:pt idx="24">
                  <c:v>34978.606920534628</c:v>
                </c:pt>
                <c:pt idx="25">
                  <c:v>35489.256851470098</c:v>
                </c:pt>
                <c:pt idx="26">
                  <c:v>35999.906782405553</c:v>
                </c:pt>
                <c:pt idx="27">
                  <c:v>36510.556713341022</c:v>
                </c:pt>
                <c:pt idx="28">
                  <c:v>37021.206644276484</c:v>
                </c:pt>
                <c:pt idx="29">
                  <c:v>37531.856575211954</c:v>
                </c:pt>
              </c:numCache>
            </c:numRef>
          </c:val>
          <c:smooth val="0"/>
          <c:extLst>
            <c:ext xmlns:c16="http://schemas.microsoft.com/office/drawing/2014/chart" uri="{C3380CC4-5D6E-409C-BE32-E72D297353CC}">
              <c16:uniqueId val="{00000007-ECBF-4928-B353-2226FB4C06F6}"/>
            </c:ext>
          </c:extLst>
        </c:ser>
        <c:ser>
          <c:idx val="8"/>
          <c:order val="8"/>
          <c:tx>
            <c:strRef>
              <c:f>'Sensitivity - GDP'!$L$13</c:f>
              <c:strCache>
                <c:ptCount val="1"/>
                <c:pt idx="0">
                  <c:v>4.50%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'Sensitivity - GDP'!$B$14:$B$43</c:f>
              <c:numCache>
                <c:formatCode>General</c:formatCode>
                <c:ptCount val="3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numCache>
            </c:numRef>
          </c:cat>
          <c:val>
            <c:numRef>
              <c:f>'Sensitivity - GDP'!$L$14:$L$43</c:f>
              <c:numCache>
                <c:formatCode>General</c:formatCode>
                <c:ptCount val="30"/>
                <c:pt idx="0">
                  <c:v>21326.231290908672</c:v>
                </c:pt>
                <c:pt idx="1">
                  <c:v>23383.910279266955</c:v>
                </c:pt>
                <c:pt idx="2">
                  <c:v>23899.494025960208</c:v>
                </c:pt>
                <c:pt idx="3">
                  <c:v>24415.077772653545</c:v>
                </c:pt>
                <c:pt idx="4">
                  <c:v>24930.661519346839</c:v>
                </c:pt>
                <c:pt idx="5">
                  <c:v>25446.245266040092</c:v>
                </c:pt>
                <c:pt idx="6">
                  <c:v>25961.829012733386</c:v>
                </c:pt>
                <c:pt idx="7">
                  <c:v>26477.412759426767</c:v>
                </c:pt>
                <c:pt idx="8">
                  <c:v>26992.996506120064</c:v>
                </c:pt>
                <c:pt idx="9">
                  <c:v>27508.580252813357</c:v>
                </c:pt>
                <c:pt idx="10">
                  <c:v>28024.163999506607</c:v>
                </c:pt>
                <c:pt idx="11">
                  <c:v>28539.747746199948</c:v>
                </c:pt>
                <c:pt idx="12">
                  <c:v>29055.331492893241</c:v>
                </c:pt>
                <c:pt idx="13">
                  <c:v>29570.915239586495</c:v>
                </c:pt>
                <c:pt idx="14">
                  <c:v>30086.498986279788</c:v>
                </c:pt>
                <c:pt idx="15">
                  <c:v>30602.082732973126</c:v>
                </c:pt>
                <c:pt idx="16">
                  <c:v>31117.666479666375</c:v>
                </c:pt>
                <c:pt idx="17">
                  <c:v>31633.250226359673</c:v>
                </c:pt>
                <c:pt idx="18">
                  <c:v>32148.83397305297</c:v>
                </c:pt>
                <c:pt idx="19">
                  <c:v>32664.41771974626</c:v>
                </c:pt>
                <c:pt idx="20">
                  <c:v>33180.001466439557</c:v>
                </c:pt>
                <c:pt idx="21">
                  <c:v>33695.585213132799</c:v>
                </c:pt>
                <c:pt idx="22">
                  <c:v>34211.1689598261</c:v>
                </c:pt>
                <c:pt idx="23">
                  <c:v>34726.752706519437</c:v>
                </c:pt>
                <c:pt idx="24">
                  <c:v>35242.336453212687</c:v>
                </c:pt>
                <c:pt idx="25">
                  <c:v>35757.920199905988</c:v>
                </c:pt>
                <c:pt idx="26">
                  <c:v>36273.503946599274</c:v>
                </c:pt>
                <c:pt idx="27">
                  <c:v>36789.087693292575</c:v>
                </c:pt>
                <c:pt idx="28">
                  <c:v>37304.671439985876</c:v>
                </c:pt>
                <c:pt idx="29">
                  <c:v>37820.255186679162</c:v>
                </c:pt>
              </c:numCache>
            </c:numRef>
          </c:val>
          <c:smooth val="0"/>
          <c:extLst>
            <c:ext xmlns:c16="http://schemas.microsoft.com/office/drawing/2014/chart" uri="{C3380CC4-5D6E-409C-BE32-E72D297353CC}">
              <c16:uniqueId val="{00000008-ECBF-4928-B353-2226FB4C06F6}"/>
            </c:ext>
          </c:extLst>
        </c:ser>
        <c:ser>
          <c:idx val="9"/>
          <c:order val="9"/>
          <c:tx>
            <c:strRef>
              <c:f>'Sensitivity - GDP'!$M$13</c:f>
              <c:strCache>
                <c:ptCount val="1"/>
                <c:pt idx="0">
                  <c:v>5.50%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'Sensitivity - GDP'!$B$14:$B$43</c:f>
              <c:numCache>
                <c:formatCode>General</c:formatCode>
                <c:ptCount val="3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numCache>
            </c:numRef>
          </c:cat>
          <c:val>
            <c:numRef>
              <c:f>'Sensitivity - GDP'!$M$14:$M$43</c:f>
              <c:numCache>
                <c:formatCode>General</c:formatCode>
                <c:ptCount val="30"/>
                <c:pt idx="0">
                  <c:v>21456.792353134064</c:v>
                </c:pt>
                <c:pt idx="1">
                  <c:v>23534.162049514911</c:v>
                </c:pt>
                <c:pt idx="2">
                  <c:v>24054.679611965992</c:v>
                </c:pt>
                <c:pt idx="3">
                  <c:v>24575.197174417164</c:v>
                </c:pt>
                <c:pt idx="4">
                  <c:v>25095.714736868289</c:v>
                </c:pt>
                <c:pt idx="5">
                  <c:v>25616.232299319367</c:v>
                </c:pt>
                <c:pt idx="6">
                  <c:v>26136.749861770495</c:v>
                </c:pt>
                <c:pt idx="7">
                  <c:v>26657.267424221707</c:v>
                </c:pt>
                <c:pt idx="8">
                  <c:v>27177.784986672832</c:v>
                </c:pt>
                <c:pt idx="9">
                  <c:v>27698.302549123957</c:v>
                </c:pt>
                <c:pt idx="10">
                  <c:v>28218.820111575042</c:v>
                </c:pt>
                <c:pt idx="11">
                  <c:v>28739.33767402621</c:v>
                </c:pt>
                <c:pt idx="12">
                  <c:v>29259.855236477335</c:v>
                </c:pt>
                <c:pt idx="13">
                  <c:v>29780.372798928416</c:v>
                </c:pt>
                <c:pt idx="14">
                  <c:v>30300.890361379541</c:v>
                </c:pt>
                <c:pt idx="15">
                  <c:v>30821.407923830713</c:v>
                </c:pt>
                <c:pt idx="16">
                  <c:v>31341.925486281791</c:v>
                </c:pt>
                <c:pt idx="17">
                  <c:v>31862.443048732915</c:v>
                </c:pt>
                <c:pt idx="18">
                  <c:v>32382.960611184044</c:v>
                </c:pt>
                <c:pt idx="19">
                  <c:v>32903.478173635172</c:v>
                </c:pt>
                <c:pt idx="20">
                  <c:v>33423.99573608629</c:v>
                </c:pt>
                <c:pt idx="21">
                  <c:v>33944.513298537378</c:v>
                </c:pt>
                <c:pt idx="22">
                  <c:v>34465.030860988496</c:v>
                </c:pt>
                <c:pt idx="23">
                  <c:v>34985.548423439672</c:v>
                </c:pt>
                <c:pt idx="24">
                  <c:v>35506.065985890746</c:v>
                </c:pt>
                <c:pt idx="25">
                  <c:v>36026.583548341878</c:v>
                </c:pt>
                <c:pt idx="26">
                  <c:v>36547.101110793003</c:v>
                </c:pt>
                <c:pt idx="27">
                  <c:v>37067.618673244127</c:v>
                </c:pt>
                <c:pt idx="28">
                  <c:v>37588.136235695252</c:v>
                </c:pt>
                <c:pt idx="29">
                  <c:v>38108.653798146377</c:v>
                </c:pt>
              </c:numCache>
            </c:numRef>
          </c:val>
          <c:smooth val="0"/>
          <c:extLst>
            <c:ext xmlns:c16="http://schemas.microsoft.com/office/drawing/2014/chart" uri="{C3380CC4-5D6E-409C-BE32-E72D297353CC}">
              <c16:uniqueId val="{00000009-ECBF-4928-B353-2226FB4C06F6}"/>
            </c:ext>
          </c:extLst>
        </c:ser>
        <c:ser>
          <c:idx val="10"/>
          <c:order val="10"/>
          <c:tx>
            <c:strRef>
              <c:f>'Sensitivity - GDP'!$N$13</c:f>
              <c:strCache>
                <c:ptCount val="1"/>
                <c:pt idx="0">
                  <c:v>6.50%</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numRef>
              <c:f>'Sensitivity - GDP'!$B$14:$B$43</c:f>
              <c:numCache>
                <c:formatCode>General</c:formatCode>
                <c:ptCount val="3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numCache>
            </c:numRef>
          </c:cat>
          <c:val>
            <c:numRef>
              <c:f>'Sensitivity - GDP'!$N$14:$N$43</c:f>
              <c:numCache>
                <c:formatCode>General</c:formatCode>
                <c:ptCount val="30"/>
                <c:pt idx="0">
                  <c:v>21587.353415359452</c:v>
                </c:pt>
                <c:pt idx="1">
                  <c:v>23684.413819762871</c:v>
                </c:pt>
                <c:pt idx="2">
                  <c:v>24209.86519797178</c:v>
                </c:pt>
                <c:pt idx="3">
                  <c:v>24735.31657618078</c:v>
                </c:pt>
                <c:pt idx="4">
                  <c:v>25260.767954389736</c:v>
                </c:pt>
                <c:pt idx="5">
                  <c:v>25786.219332598648</c:v>
                </c:pt>
                <c:pt idx="6">
                  <c:v>26311.670710807604</c:v>
                </c:pt>
                <c:pt idx="7">
                  <c:v>26837.122089016648</c:v>
                </c:pt>
                <c:pt idx="8">
                  <c:v>27362.573467225604</c:v>
                </c:pt>
                <c:pt idx="9">
                  <c:v>27888.02484543456</c:v>
                </c:pt>
                <c:pt idx="10">
                  <c:v>28413.476223643473</c:v>
                </c:pt>
                <c:pt idx="11">
                  <c:v>28938.927601852472</c:v>
                </c:pt>
                <c:pt idx="12">
                  <c:v>29464.378980061429</c:v>
                </c:pt>
                <c:pt idx="13">
                  <c:v>29989.830358270341</c:v>
                </c:pt>
                <c:pt idx="14">
                  <c:v>30515.281736479297</c:v>
                </c:pt>
                <c:pt idx="15">
                  <c:v>31040.733114688293</c:v>
                </c:pt>
                <c:pt idx="16">
                  <c:v>31566.184492897206</c:v>
                </c:pt>
                <c:pt idx="17">
                  <c:v>32091.635871106162</c:v>
                </c:pt>
                <c:pt idx="18">
                  <c:v>32617.087249315122</c:v>
                </c:pt>
                <c:pt idx="19">
                  <c:v>33142.538627524074</c:v>
                </c:pt>
                <c:pt idx="20">
                  <c:v>33667.990005733031</c:v>
                </c:pt>
                <c:pt idx="21">
                  <c:v>34193.441383941943</c:v>
                </c:pt>
                <c:pt idx="22">
                  <c:v>34718.892762150892</c:v>
                </c:pt>
                <c:pt idx="23">
                  <c:v>35244.344140359899</c:v>
                </c:pt>
                <c:pt idx="24">
                  <c:v>35769.795518568804</c:v>
                </c:pt>
                <c:pt idx="25">
                  <c:v>36295.246896777768</c:v>
                </c:pt>
                <c:pt idx="26">
                  <c:v>36820.698274986724</c:v>
                </c:pt>
                <c:pt idx="27">
                  <c:v>37346.14965319568</c:v>
                </c:pt>
                <c:pt idx="28">
                  <c:v>37871.601031404629</c:v>
                </c:pt>
                <c:pt idx="29">
                  <c:v>38397.052409613592</c:v>
                </c:pt>
              </c:numCache>
            </c:numRef>
          </c:val>
          <c:smooth val="0"/>
          <c:extLst>
            <c:ext xmlns:c16="http://schemas.microsoft.com/office/drawing/2014/chart" uri="{C3380CC4-5D6E-409C-BE32-E72D297353CC}">
              <c16:uniqueId val="{0000000A-ECBF-4928-B353-2226FB4C06F6}"/>
            </c:ext>
          </c:extLst>
        </c:ser>
        <c:ser>
          <c:idx val="11"/>
          <c:order val="11"/>
          <c:tx>
            <c:strRef>
              <c:f>'Sensitivity - GDP'!$O$13</c:f>
              <c:strCache>
                <c:ptCount val="1"/>
                <c:pt idx="0">
                  <c:v>7.50%</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numRef>
              <c:f>'Sensitivity - GDP'!$B$14:$B$43</c:f>
              <c:numCache>
                <c:formatCode>General</c:formatCode>
                <c:ptCount val="3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numCache>
            </c:numRef>
          </c:cat>
          <c:val>
            <c:numRef>
              <c:f>'Sensitivity - GDP'!$O$14:$O$43</c:f>
              <c:numCache>
                <c:formatCode>General</c:formatCode>
                <c:ptCount val="30"/>
                <c:pt idx="0">
                  <c:v>21717.91447758484</c:v>
                </c:pt>
                <c:pt idx="1">
                  <c:v>23834.665590010824</c:v>
                </c:pt>
                <c:pt idx="2">
                  <c:v>24365.050783977567</c:v>
                </c:pt>
                <c:pt idx="3">
                  <c:v>24895.435977944398</c:v>
                </c:pt>
                <c:pt idx="4">
                  <c:v>25425.821171911186</c:v>
                </c:pt>
                <c:pt idx="5">
                  <c:v>25956.206365877926</c:v>
                </c:pt>
                <c:pt idx="6">
                  <c:v>26486.591559844714</c:v>
                </c:pt>
                <c:pt idx="7">
                  <c:v>27016.976753811588</c:v>
                </c:pt>
                <c:pt idx="8">
                  <c:v>27547.361947778376</c:v>
                </c:pt>
                <c:pt idx="9">
                  <c:v>28077.747141745163</c:v>
                </c:pt>
                <c:pt idx="10">
                  <c:v>28608.132335711904</c:v>
                </c:pt>
                <c:pt idx="11">
                  <c:v>29138.517529678735</c:v>
                </c:pt>
                <c:pt idx="12">
                  <c:v>29668.902723645522</c:v>
                </c:pt>
                <c:pt idx="13">
                  <c:v>30199.287917612262</c:v>
                </c:pt>
                <c:pt idx="14">
                  <c:v>30729.67311157905</c:v>
                </c:pt>
                <c:pt idx="15">
                  <c:v>31260.058305545881</c:v>
                </c:pt>
                <c:pt idx="16">
                  <c:v>31790.443499512621</c:v>
                </c:pt>
                <c:pt idx="17">
                  <c:v>32320.828693479412</c:v>
                </c:pt>
                <c:pt idx="18">
                  <c:v>32851.213887446196</c:v>
                </c:pt>
                <c:pt idx="19">
                  <c:v>33381.599081412984</c:v>
                </c:pt>
                <c:pt idx="20">
                  <c:v>33911.984275379771</c:v>
                </c:pt>
                <c:pt idx="21">
                  <c:v>34442.369469346508</c:v>
                </c:pt>
                <c:pt idx="22">
                  <c:v>34972.754663313295</c:v>
                </c:pt>
                <c:pt idx="23">
                  <c:v>35503.139857280126</c:v>
                </c:pt>
                <c:pt idx="24">
                  <c:v>36033.52505124687</c:v>
                </c:pt>
                <c:pt idx="25">
                  <c:v>36563.910245213658</c:v>
                </c:pt>
                <c:pt idx="26">
                  <c:v>37094.295439180438</c:v>
                </c:pt>
                <c:pt idx="27">
                  <c:v>37624.680633147233</c:v>
                </c:pt>
                <c:pt idx="28">
                  <c:v>38155.065827114013</c:v>
                </c:pt>
                <c:pt idx="29">
                  <c:v>38685.4510210808</c:v>
                </c:pt>
              </c:numCache>
            </c:numRef>
          </c:val>
          <c:smooth val="0"/>
          <c:extLst>
            <c:ext xmlns:c16="http://schemas.microsoft.com/office/drawing/2014/chart" uri="{C3380CC4-5D6E-409C-BE32-E72D297353CC}">
              <c16:uniqueId val="{0000000B-ECBF-4928-B353-2226FB4C06F6}"/>
            </c:ext>
          </c:extLst>
        </c:ser>
        <c:ser>
          <c:idx val="12"/>
          <c:order val="12"/>
          <c:tx>
            <c:strRef>
              <c:f>'Sensitivity - GDP'!$P$13</c:f>
              <c:strCache>
                <c:ptCount val="1"/>
                <c:pt idx="0">
                  <c:v>8.50%</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numRef>
              <c:f>'Sensitivity - GDP'!$B$14:$B$43</c:f>
              <c:numCache>
                <c:formatCode>General</c:formatCode>
                <c:ptCount val="30"/>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numCache>
            </c:numRef>
          </c:cat>
          <c:val>
            <c:numRef>
              <c:f>'Sensitivity - GDP'!$P$14:$P$43</c:f>
              <c:numCache>
                <c:formatCode>General</c:formatCode>
                <c:ptCount val="30"/>
                <c:pt idx="0">
                  <c:v>21848.475539810228</c:v>
                </c:pt>
                <c:pt idx="1">
                  <c:v>23984.917360258783</c:v>
                </c:pt>
                <c:pt idx="2">
                  <c:v>24520.236369983355</c:v>
                </c:pt>
                <c:pt idx="3">
                  <c:v>25055.555379708017</c:v>
                </c:pt>
                <c:pt idx="4">
                  <c:v>25590.874389432633</c:v>
                </c:pt>
                <c:pt idx="5">
                  <c:v>26126.193399157204</c:v>
                </c:pt>
                <c:pt idx="6">
                  <c:v>26661.512408881823</c:v>
                </c:pt>
                <c:pt idx="7">
                  <c:v>27196.831418606533</c:v>
                </c:pt>
                <c:pt idx="8">
                  <c:v>27732.150428331148</c:v>
                </c:pt>
                <c:pt idx="9">
                  <c:v>28267.469438055763</c:v>
                </c:pt>
                <c:pt idx="10">
                  <c:v>28802.788447780335</c:v>
                </c:pt>
                <c:pt idx="11">
                  <c:v>29338.107457505001</c:v>
                </c:pt>
                <c:pt idx="12">
                  <c:v>29873.426467229616</c:v>
                </c:pt>
                <c:pt idx="13">
                  <c:v>30408.745476954187</c:v>
                </c:pt>
                <c:pt idx="14">
                  <c:v>30944.064486678806</c:v>
                </c:pt>
                <c:pt idx="15">
                  <c:v>31479.383496403469</c:v>
                </c:pt>
                <c:pt idx="16">
                  <c:v>32014.702506128036</c:v>
                </c:pt>
                <c:pt idx="17">
                  <c:v>32550.021515852655</c:v>
                </c:pt>
                <c:pt idx="18">
                  <c:v>33085.340525577274</c:v>
                </c:pt>
                <c:pt idx="19">
                  <c:v>33620.659535301893</c:v>
                </c:pt>
                <c:pt idx="20">
                  <c:v>34155.978545026504</c:v>
                </c:pt>
                <c:pt idx="21">
                  <c:v>34691.29755475108</c:v>
                </c:pt>
                <c:pt idx="22">
                  <c:v>35226.616564475698</c:v>
                </c:pt>
                <c:pt idx="23">
                  <c:v>35761.935574200354</c:v>
                </c:pt>
                <c:pt idx="24">
                  <c:v>36297.254583924929</c:v>
                </c:pt>
                <c:pt idx="25">
                  <c:v>36832.573593649548</c:v>
                </c:pt>
                <c:pt idx="26">
                  <c:v>37367.892603374159</c:v>
                </c:pt>
                <c:pt idx="27">
                  <c:v>37903.211613098785</c:v>
                </c:pt>
                <c:pt idx="28">
                  <c:v>38438.530622823397</c:v>
                </c:pt>
                <c:pt idx="29">
                  <c:v>38973.849632548016</c:v>
                </c:pt>
              </c:numCache>
            </c:numRef>
          </c:val>
          <c:smooth val="0"/>
          <c:extLst>
            <c:ext xmlns:c16="http://schemas.microsoft.com/office/drawing/2014/chart" uri="{C3380CC4-5D6E-409C-BE32-E72D297353CC}">
              <c16:uniqueId val="{0000000C-ECBF-4928-B353-2226FB4C06F6}"/>
            </c:ext>
          </c:extLst>
        </c:ser>
        <c:dLbls>
          <c:showLegendKey val="0"/>
          <c:showVal val="0"/>
          <c:showCatName val="0"/>
          <c:showSerName val="0"/>
          <c:showPercent val="0"/>
          <c:showBubbleSize val="0"/>
        </c:dLbls>
        <c:marker val="1"/>
        <c:smooth val="0"/>
        <c:axId val="651834352"/>
        <c:axId val="651829360"/>
      </c:lineChart>
      <c:catAx>
        <c:axId val="65183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29360"/>
        <c:crosses val="autoZero"/>
        <c:auto val="1"/>
        <c:lblAlgn val="ctr"/>
        <c:lblOffset val="100"/>
        <c:noMultiLvlLbl val="0"/>
      </c:catAx>
      <c:valAx>
        <c:axId val="65182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34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800" b="0" i="0" baseline="0">
                <a:effectLst/>
              </a:rPr>
              <a:t>Total Electricity Consumption V/s Covid Duration</a:t>
            </a:r>
            <a:endParaRPr lang="en-IN">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layout>
        <c:manualLayout>
          <c:xMode val="edge"/>
          <c:yMode val="edge"/>
          <c:x val="0.14761098250253771"/>
          <c:y val="3.935338652999488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tx>
            <c:strRef>
              <c:f>'Sensitivity - COVID'!$C$53</c:f>
              <c:strCache>
                <c:ptCount val="1"/>
                <c:pt idx="0">
                  <c:v>1</c:v>
                </c:pt>
              </c:strCache>
            </c:strRef>
          </c:tx>
          <c:spPr>
            <a:ln w="25400" cap="rnd">
              <a:noFill/>
              <a:round/>
            </a:ln>
            <a:effectLst/>
          </c:spPr>
          <c:marker>
            <c:symbol val="circle"/>
            <c:size val="5"/>
            <c:spPr>
              <a:solidFill>
                <a:schemeClr val="accent1"/>
              </a:solidFill>
              <a:ln w="9525">
                <a:solidFill>
                  <a:schemeClr val="accent1"/>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COVID'!$C$54:$C$83</c:f>
              <c:numCache>
                <c:formatCode>General</c:formatCode>
                <c:ptCount val="30"/>
                <c:pt idx="0">
                  <c:v>53863.592922463664</c:v>
                </c:pt>
                <c:pt idx="1">
                  <c:v>54196.993567490885</c:v>
                </c:pt>
                <c:pt idx="2">
                  <c:v>55234.386898904093</c:v>
                </c:pt>
                <c:pt idx="3">
                  <c:v>56271.047084393118</c:v>
                </c:pt>
                <c:pt idx="4">
                  <c:v>57306.951068618298</c:v>
                </c:pt>
                <c:pt idx="5">
                  <c:v>58342.076039862462</c:v>
                </c:pt>
                <c:pt idx="6">
                  <c:v>59376.399449179415</c:v>
                </c:pt>
                <c:pt idx="7">
                  <c:v>60409.899029446402</c:v>
                </c:pt>
                <c:pt idx="8">
                  <c:v>61442.552814301293</c:v>
                </c:pt>
                <c:pt idx="9">
                  <c:v>62474.339156938891</c:v>
                </c:pt>
                <c:pt idx="10">
                  <c:v>63505.236748746618</c:v>
                </c:pt>
                <c:pt idx="11">
                  <c:v>64535.224637754363</c:v>
                </c:pt>
                <c:pt idx="12">
                  <c:v>65564.282246879899</c:v>
                </c:pt>
                <c:pt idx="13">
                  <c:v>66592.389391945588</c:v>
                </c:pt>
                <c:pt idx="14">
                  <c:v>67619.526299443358</c:v>
                </c:pt>
                <c:pt idx="15">
                  <c:v>68645.673624029383</c:v>
                </c:pt>
                <c:pt idx="16">
                  <c:v>69670.812465724273</c:v>
                </c:pt>
                <c:pt idx="17">
                  <c:v>70694.924386798739</c:v>
                </c:pt>
                <c:pt idx="18">
                  <c:v>71717.991428322493</c:v>
                </c:pt>
                <c:pt idx="19">
                  <c:v>72739.996126357379</c:v>
                </c:pt>
                <c:pt idx="20">
                  <c:v>73760.92152777352</c:v>
                </c:pt>
                <c:pt idx="21">
                  <c:v>74780.751205667577</c:v>
                </c:pt>
                <c:pt idx="22">
                  <c:v>75799.469274365241</c:v>
                </c:pt>
                <c:pt idx="23">
                  <c:v>76817.060403988144</c:v>
                </c:pt>
                <c:pt idx="24">
                  <c:v>77833.50983456579</c:v>
                </c:pt>
                <c:pt idx="25">
                  <c:v>78848.803389675508</c:v>
                </c:pt>
                <c:pt idx="26">
                  <c:v>79862.92748959217</c:v>
                </c:pt>
                <c:pt idx="27">
                  <c:v>80875.869163931508</c:v>
                </c:pt>
                <c:pt idx="28">
                  <c:v>81887.616063768495</c:v>
                </c:pt>
                <c:pt idx="29">
                  <c:v>82898.156473217736</c:v>
                </c:pt>
              </c:numCache>
            </c:numRef>
          </c:yVal>
          <c:smooth val="0"/>
          <c:extLst>
            <c:ext xmlns:c16="http://schemas.microsoft.com/office/drawing/2014/chart" uri="{C3380CC4-5D6E-409C-BE32-E72D297353CC}">
              <c16:uniqueId val="{00000000-A6AE-45E7-9419-1573F3FB9408}"/>
            </c:ext>
          </c:extLst>
        </c:ser>
        <c:ser>
          <c:idx val="1"/>
          <c:order val="1"/>
          <c:tx>
            <c:strRef>
              <c:f>'Sensitivity - COVID'!$D$53</c:f>
              <c:strCache>
                <c:ptCount val="1"/>
                <c:pt idx="0">
                  <c:v>2</c:v>
                </c:pt>
              </c:strCache>
            </c:strRef>
          </c:tx>
          <c:spPr>
            <a:ln w="25400" cap="rnd">
              <a:noFill/>
              <a:round/>
            </a:ln>
            <a:effectLst/>
          </c:spPr>
          <c:marker>
            <c:symbol val="circle"/>
            <c:size val="5"/>
            <c:spPr>
              <a:solidFill>
                <a:schemeClr val="accent2"/>
              </a:solidFill>
              <a:ln w="9525">
                <a:solidFill>
                  <a:schemeClr val="accent2"/>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COVID'!$D$54:$D$83</c:f>
              <c:numCache>
                <c:formatCode>General</c:formatCode>
                <c:ptCount val="30"/>
                <c:pt idx="0">
                  <c:v>53863.592922463664</c:v>
                </c:pt>
                <c:pt idx="1">
                  <c:v>54915.666787010079</c:v>
                </c:pt>
                <c:pt idx="2">
                  <c:v>55234.386898904093</c:v>
                </c:pt>
                <c:pt idx="3">
                  <c:v>56271.047084393118</c:v>
                </c:pt>
                <c:pt idx="4">
                  <c:v>57306.951068618298</c:v>
                </c:pt>
                <c:pt idx="5">
                  <c:v>58342.076039862462</c:v>
                </c:pt>
                <c:pt idx="6">
                  <c:v>59376.399449179415</c:v>
                </c:pt>
                <c:pt idx="7">
                  <c:v>60409.899029446402</c:v>
                </c:pt>
                <c:pt idx="8">
                  <c:v>61442.552814301293</c:v>
                </c:pt>
                <c:pt idx="9">
                  <c:v>62474.339156938891</c:v>
                </c:pt>
                <c:pt idx="10">
                  <c:v>63505.236748746618</c:v>
                </c:pt>
                <c:pt idx="11">
                  <c:v>64535.224637754363</c:v>
                </c:pt>
                <c:pt idx="12">
                  <c:v>65564.282246879899</c:v>
                </c:pt>
                <c:pt idx="13">
                  <c:v>66592.389391945588</c:v>
                </c:pt>
                <c:pt idx="14">
                  <c:v>67619.526299443358</c:v>
                </c:pt>
                <c:pt idx="15">
                  <c:v>68645.673624029383</c:v>
                </c:pt>
                <c:pt idx="16">
                  <c:v>69670.812465724273</c:v>
                </c:pt>
                <c:pt idx="17">
                  <c:v>70694.924386798739</c:v>
                </c:pt>
                <c:pt idx="18">
                  <c:v>71717.991428322493</c:v>
                </c:pt>
                <c:pt idx="19">
                  <c:v>72739.996126357379</c:v>
                </c:pt>
                <c:pt idx="20">
                  <c:v>73760.92152777352</c:v>
                </c:pt>
                <c:pt idx="21">
                  <c:v>74780.751205667577</c:v>
                </c:pt>
                <c:pt idx="22">
                  <c:v>75799.469274365241</c:v>
                </c:pt>
                <c:pt idx="23">
                  <c:v>76817.060403988144</c:v>
                </c:pt>
                <c:pt idx="24">
                  <c:v>77833.50983456579</c:v>
                </c:pt>
                <c:pt idx="25">
                  <c:v>78848.803389675508</c:v>
                </c:pt>
                <c:pt idx="26">
                  <c:v>79862.92748959217</c:v>
                </c:pt>
                <c:pt idx="27">
                  <c:v>80875.869163931508</c:v>
                </c:pt>
                <c:pt idx="28">
                  <c:v>81887.616063768495</c:v>
                </c:pt>
                <c:pt idx="29">
                  <c:v>82898.156473217736</c:v>
                </c:pt>
              </c:numCache>
            </c:numRef>
          </c:yVal>
          <c:smooth val="0"/>
          <c:extLst>
            <c:ext xmlns:c16="http://schemas.microsoft.com/office/drawing/2014/chart" uri="{C3380CC4-5D6E-409C-BE32-E72D297353CC}">
              <c16:uniqueId val="{00000001-A6AE-45E7-9419-1573F3FB9408}"/>
            </c:ext>
          </c:extLst>
        </c:ser>
        <c:ser>
          <c:idx val="2"/>
          <c:order val="2"/>
          <c:spPr>
            <a:ln w="25400" cap="rnd">
              <a:noFill/>
              <a:round/>
            </a:ln>
            <a:effectLst/>
          </c:spPr>
          <c:marker>
            <c:symbol val="circle"/>
            <c:size val="5"/>
            <c:spPr>
              <a:solidFill>
                <a:schemeClr val="accent3"/>
              </a:solidFill>
              <a:ln w="9525">
                <a:solidFill>
                  <a:schemeClr val="accent3"/>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COVID'!$E$53:$E$83</c:f>
              <c:numCache>
                <c:formatCode>General</c:formatCode>
                <c:ptCount val="31"/>
                <c:pt idx="0">
                  <c:v>3</c:v>
                </c:pt>
                <c:pt idx="1">
                  <c:v>53863.592922463664</c:v>
                </c:pt>
                <c:pt idx="2">
                  <c:v>54915.666787010079</c:v>
                </c:pt>
                <c:pt idx="3">
                  <c:v>55966.922681135213</c:v>
                </c:pt>
                <c:pt idx="4">
                  <c:v>56271.047084393118</c:v>
                </c:pt>
                <c:pt idx="5">
                  <c:v>57306.951068618298</c:v>
                </c:pt>
                <c:pt idx="6">
                  <c:v>58342.076039862462</c:v>
                </c:pt>
                <c:pt idx="7">
                  <c:v>59376.399449179415</c:v>
                </c:pt>
                <c:pt idx="8">
                  <c:v>60409.899029446402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yVal>
          <c:smooth val="0"/>
          <c:extLst>
            <c:ext xmlns:c16="http://schemas.microsoft.com/office/drawing/2014/chart" uri="{C3380CC4-5D6E-409C-BE32-E72D297353CC}">
              <c16:uniqueId val="{00000002-A6AE-45E7-9419-1573F3FB9408}"/>
            </c:ext>
          </c:extLst>
        </c:ser>
        <c:ser>
          <c:idx val="3"/>
          <c:order val="3"/>
          <c:spPr>
            <a:ln w="25400" cap="rnd">
              <a:noFill/>
              <a:round/>
            </a:ln>
            <a:effectLst/>
          </c:spPr>
          <c:marker>
            <c:symbol val="circle"/>
            <c:size val="5"/>
            <c:spPr>
              <a:solidFill>
                <a:schemeClr val="accent4"/>
              </a:solidFill>
              <a:ln w="9525">
                <a:solidFill>
                  <a:schemeClr val="accent4"/>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COVID'!$F$53:$F$83</c:f>
              <c:numCache>
                <c:formatCode>General</c:formatCode>
                <c:ptCount val="31"/>
                <c:pt idx="0">
                  <c:v>4</c:v>
                </c:pt>
                <c:pt idx="1">
                  <c:v>53863.592922463664</c:v>
                </c:pt>
                <c:pt idx="2">
                  <c:v>54915.666787010079</c:v>
                </c:pt>
                <c:pt idx="3">
                  <c:v>55966.922681135213</c:v>
                </c:pt>
                <c:pt idx="4">
                  <c:v>57017.33377986819</c:v>
                </c:pt>
                <c:pt idx="5">
                  <c:v>57306.951068618298</c:v>
                </c:pt>
                <c:pt idx="6">
                  <c:v>58342.076039862462</c:v>
                </c:pt>
                <c:pt idx="7">
                  <c:v>59376.399449179415</c:v>
                </c:pt>
                <c:pt idx="8">
                  <c:v>60409.899029446402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yVal>
          <c:smooth val="0"/>
          <c:extLst>
            <c:ext xmlns:c16="http://schemas.microsoft.com/office/drawing/2014/chart" uri="{C3380CC4-5D6E-409C-BE32-E72D297353CC}">
              <c16:uniqueId val="{00000003-A6AE-45E7-9419-1573F3FB9408}"/>
            </c:ext>
          </c:extLst>
        </c:ser>
        <c:ser>
          <c:idx val="4"/>
          <c:order val="4"/>
          <c:spPr>
            <a:ln w="25400" cap="rnd">
              <a:noFill/>
              <a:round/>
            </a:ln>
            <a:effectLst/>
          </c:spPr>
          <c:marker>
            <c:symbol val="circle"/>
            <c:size val="5"/>
            <c:spPr>
              <a:solidFill>
                <a:schemeClr val="accent5"/>
              </a:solidFill>
              <a:ln w="9525">
                <a:solidFill>
                  <a:schemeClr val="accent5"/>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COVID'!$G$53:$G$83</c:f>
              <c:numCache>
                <c:formatCode>General</c:formatCode>
                <c:ptCount val="31"/>
                <c:pt idx="0">
                  <c:v>5</c:v>
                </c:pt>
                <c:pt idx="1">
                  <c:v>53863.592922463664</c:v>
                </c:pt>
                <c:pt idx="2">
                  <c:v>54915.666787010079</c:v>
                </c:pt>
                <c:pt idx="3">
                  <c:v>55966.922681135213</c:v>
                </c:pt>
                <c:pt idx="4">
                  <c:v>57017.33377986819</c:v>
                </c:pt>
                <c:pt idx="5">
                  <c:v>58066.873516813357</c:v>
                </c:pt>
                <c:pt idx="6">
                  <c:v>58342.076039862462</c:v>
                </c:pt>
                <c:pt idx="7">
                  <c:v>59376.399449179415</c:v>
                </c:pt>
                <c:pt idx="8">
                  <c:v>60409.899029446402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yVal>
          <c:smooth val="0"/>
          <c:extLst>
            <c:ext xmlns:c16="http://schemas.microsoft.com/office/drawing/2014/chart" uri="{C3380CC4-5D6E-409C-BE32-E72D297353CC}">
              <c16:uniqueId val="{00000004-A6AE-45E7-9419-1573F3FB9408}"/>
            </c:ext>
          </c:extLst>
        </c:ser>
        <c:ser>
          <c:idx val="5"/>
          <c:order val="5"/>
          <c:spPr>
            <a:ln w="25400" cap="rnd">
              <a:noFill/>
              <a:round/>
            </a:ln>
            <a:effectLst/>
          </c:spPr>
          <c:marker>
            <c:symbol val="circle"/>
            <c:size val="5"/>
            <c:spPr>
              <a:solidFill>
                <a:schemeClr val="accent6"/>
              </a:solidFill>
              <a:ln w="9525">
                <a:solidFill>
                  <a:schemeClr val="accent6"/>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COVID'!$H$53:$H$83</c:f>
              <c:numCache>
                <c:formatCode>General</c:formatCode>
                <c:ptCount val="31"/>
                <c:pt idx="0">
                  <c:v>6</c:v>
                </c:pt>
                <c:pt idx="1">
                  <c:v>53863.592922463664</c:v>
                </c:pt>
                <c:pt idx="2">
                  <c:v>54915.666787010079</c:v>
                </c:pt>
                <c:pt idx="3">
                  <c:v>55966.922681135213</c:v>
                </c:pt>
                <c:pt idx="4">
                  <c:v>57017.33377986819</c:v>
                </c:pt>
                <c:pt idx="5">
                  <c:v>58066.873516813357</c:v>
                </c:pt>
                <c:pt idx="6">
                  <c:v>59115.515606298381</c:v>
                </c:pt>
                <c:pt idx="7">
                  <c:v>59376.399449179415</c:v>
                </c:pt>
                <c:pt idx="8">
                  <c:v>60409.899029446402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yVal>
          <c:smooth val="0"/>
          <c:extLst>
            <c:ext xmlns:c16="http://schemas.microsoft.com/office/drawing/2014/chart" uri="{C3380CC4-5D6E-409C-BE32-E72D297353CC}">
              <c16:uniqueId val="{00000005-A6AE-45E7-9419-1573F3FB9408}"/>
            </c:ext>
          </c:extLst>
        </c:ser>
        <c:ser>
          <c:idx val="6"/>
          <c:order val="6"/>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COVID'!$I$53:$I$83</c:f>
              <c:numCache>
                <c:formatCode>General</c:formatCode>
                <c:ptCount val="31"/>
                <c:pt idx="0">
                  <c:v>7</c:v>
                </c:pt>
                <c:pt idx="1">
                  <c:v>53863.592922463664</c:v>
                </c:pt>
                <c:pt idx="2">
                  <c:v>54915.666787010079</c:v>
                </c:pt>
                <c:pt idx="3">
                  <c:v>55966.922681135213</c:v>
                </c:pt>
                <c:pt idx="4">
                  <c:v>57017.33377986819</c:v>
                </c:pt>
                <c:pt idx="5">
                  <c:v>58066.873516813357</c:v>
                </c:pt>
                <c:pt idx="6">
                  <c:v>59115.515606298381</c:v>
                </c:pt>
                <c:pt idx="7">
                  <c:v>60163.234065438715</c:v>
                </c:pt>
                <c:pt idx="8">
                  <c:v>60409.899029446402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yVal>
          <c:smooth val="0"/>
          <c:extLst>
            <c:ext xmlns:c16="http://schemas.microsoft.com/office/drawing/2014/chart" uri="{C3380CC4-5D6E-409C-BE32-E72D297353CC}">
              <c16:uniqueId val="{00000006-A6AE-45E7-9419-1573F3FB9408}"/>
            </c:ext>
          </c:extLst>
        </c:ser>
        <c:ser>
          <c:idx val="7"/>
          <c:order val="7"/>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COVID'!$J$53:$J$83</c:f>
              <c:numCache>
                <c:formatCode>General</c:formatCode>
                <c:ptCount val="31"/>
                <c:pt idx="0">
                  <c:v>8</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yVal>
          <c:smooth val="0"/>
          <c:extLst>
            <c:ext xmlns:c16="http://schemas.microsoft.com/office/drawing/2014/chart" uri="{C3380CC4-5D6E-409C-BE32-E72D297353CC}">
              <c16:uniqueId val="{00000007-A6AE-45E7-9419-1573F3FB9408}"/>
            </c:ext>
          </c:extLst>
        </c:ser>
        <c:ser>
          <c:idx val="8"/>
          <c:order val="8"/>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COVID'!$K$53:$K$83</c:f>
              <c:numCache>
                <c:formatCode>General</c:formatCode>
                <c:ptCount val="31"/>
                <c:pt idx="0">
                  <c:v>9</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62255.797806677889</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yVal>
          <c:smooth val="0"/>
          <c:extLst>
            <c:ext xmlns:c16="http://schemas.microsoft.com/office/drawing/2014/chart" uri="{C3380CC4-5D6E-409C-BE32-E72D297353CC}">
              <c16:uniqueId val="{00000008-A6AE-45E7-9419-1573F3FB9408}"/>
            </c:ext>
          </c:extLst>
        </c:ser>
        <c:ser>
          <c:idx val="9"/>
          <c:order val="9"/>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COVID'!$L$53:$L$83</c:f>
              <c:numCache>
                <c:formatCode>General</c:formatCode>
                <c:ptCount val="31"/>
                <c:pt idx="0">
                  <c:v>10</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62255.797806677889</c:v>
                </c:pt>
                <c:pt idx="10">
                  <c:v>63300.592833838964</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yVal>
          <c:smooth val="0"/>
          <c:extLst>
            <c:ext xmlns:c16="http://schemas.microsoft.com/office/drawing/2014/chart" uri="{C3380CC4-5D6E-409C-BE32-E72D297353CC}">
              <c16:uniqueId val="{00000009-A6AE-45E7-9419-1573F3FB9408}"/>
            </c:ext>
          </c:extLst>
        </c:ser>
        <c:ser>
          <c:idx val="10"/>
          <c:order val="10"/>
          <c:spPr>
            <a:ln w="25400" cap="rnd">
              <a:noFill/>
              <a:round/>
            </a:ln>
            <a:effectLst/>
          </c:spPr>
          <c:marker>
            <c:symbol val="circle"/>
            <c:size val="5"/>
            <c:spPr>
              <a:solidFill>
                <a:schemeClr val="accent5">
                  <a:lumMod val="60000"/>
                </a:schemeClr>
              </a:solidFill>
              <a:ln w="9525">
                <a:solidFill>
                  <a:schemeClr val="accent5">
                    <a:lumMod val="60000"/>
                  </a:schemeClr>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COVID'!$M$53:$M$83</c:f>
              <c:numCache>
                <c:formatCode>General</c:formatCode>
                <c:ptCount val="31"/>
                <c:pt idx="0">
                  <c:v>11</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62255.797806677889</c:v>
                </c:pt>
                <c:pt idx="10">
                  <c:v>63300.592833838964</c:v>
                </c:pt>
                <c:pt idx="11">
                  <c:v>64344.363763912268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yVal>
          <c:smooth val="0"/>
          <c:extLst>
            <c:ext xmlns:c16="http://schemas.microsoft.com/office/drawing/2014/chart" uri="{C3380CC4-5D6E-409C-BE32-E72D297353CC}">
              <c16:uniqueId val="{0000000A-A6AE-45E7-9419-1573F3FB9408}"/>
            </c:ext>
          </c:extLst>
        </c:ser>
        <c:ser>
          <c:idx val="11"/>
          <c:order val="11"/>
          <c:spPr>
            <a:ln w="25400" cap="rnd">
              <a:noFill/>
              <a:round/>
            </a:ln>
            <a:effectLst/>
          </c:spPr>
          <c:marker>
            <c:symbol val="circle"/>
            <c:size val="5"/>
            <c:spPr>
              <a:solidFill>
                <a:schemeClr val="accent6">
                  <a:lumMod val="60000"/>
                </a:schemeClr>
              </a:solidFill>
              <a:ln w="9525">
                <a:solidFill>
                  <a:schemeClr val="accent6">
                    <a:lumMod val="60000"/>
                  </a:schemeClr>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COVID'!$N$53:$N$83</c:f>
              <c:numCache>
                <c:formatCode>General</c:formatCode>
                <c:ptCount val="31"/>
                <c:pt idx="0">
                  <c:v>12</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62255.797806677889</c:v>
                </c:pt>
                <c:pt idx="10">
                  <c:v>63300.592833838964</c:v>
                </c:pt>
                <c:pt idx="11">
                  <c:v>64344.363763912268</c:v>
                </c:pt>
                <c:pt idx="12">
                  <c:v>65387.086454190081</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yVal>
          <c:smooth val="0"/>
          <c:extLst>
            <c:ext xmlns:c16="http://schemas.microsoft.com/office/drawing/2014/chart" uri="{C3380CC4-5D6E-409C-BE32-E72D297353CC}">
              <c16:uniqueId val="{0000000B-A6AE-45E7-9419-1573F3FB9408}"/>
            </c:ext>
          </c:extLst>
        </c:ser>
        <c:ser>
          <c:idx val="12"/>
          <c:order val="12"/>
          <c:spPr>
            <a:ln w="25400" cap="rnd">
              <a:no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COVID'!$O$53:$O$83</c:f>
              <c:numCache>
                <c:formatCode>General</c:formatCode>
                <c:ptCount val="31"/>
                <c:pt idx="0">
                  <c:v>13</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62255.797806677889</c:v>
                </c:pt>
                <c:pt idx="10">
                  <c:v>63300.592833838964</c:v>
                </c:pt>
                <c:pt idx="11">
                  <c:v>64344.363763912268</c:v>
                </c:pt>
                <c:pt idx="12">
                  <c:v>65387.086454190081</c:v>
                </c:pt>
                <c:pt idx="13">
                  <c:v>66428.737193943525</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yVal>
          <c:smooth val="0"/>
          <c:extLst>
            <c:ext xmlns:c16="http://schemas.microsoft.com/office/drawing/2014/chart" uri="{C3380CC4-5D6E-409C-BE32-E72D297353CC}">
              <c16:uniqueId val="{0000000C-A6AE-45E7-9419-1573F3FB9408}"/>
            </c:ext>
          </c:extLst>
        </c:ser>
        <c:ser>
          <c:idx val="13"/>
          <c:order val="13"/>
          <c:spPr>
            <a:ln w="25400" cap="rnd">
              <a:no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COVID'!$P$53:$P$83</c:f>
              <c:numCache>
                <c:formatCode>General</c:formatCode>
                <c:ptCount val="31"/>
                <c:pt idx="0">
                  <c:v>14</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62255.797806677889</c:v>
                </c:pt>
                <c:pt idx="10">
                  <c:v>63300.592833838964</c:v>
                </c:pt>
                <c:pt idx="11">
                  <c:v>64344.363763912268</c:v>
                </c:pt>
                <c:pt idx="12">
                  <c:v>65387.086454190081</c:v>
                </c:pt>
                <c:pt idx="13">
                  <c:v>66428.737193943525</c:v>
                </c:pt>
                <c:pt idx="14">
                  <c:v>67469.292725182953</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yVal>
          <c:smooth val="0"/>
          <c:extLst>
            <c:ext xmlns:c16="http://schemas.microsoft.com/office/drawing/2014/chart" uri="{C3380CC4-5D6E-409C-BE32-E72D297353CC}">
              <c16:uniqueId val="{0000000D-A6AE-45E7-9419-1573F3FB9408}"/>
            </c:ext>
          </c:extLst>
        </c:ser>
        <c:ser>
          <c:idx val="14"/>
          <c:order val="14"/>
          <c:tx>
            <c:strRef>
              <c:f>'Sensitivity - COVID'!$Q$53</c:f>
              <c:strCache>
                <c:ptCount val="1"/>
                <c:pt idx="0">
                  <c:v>15</c:v>
                </c:pt>
              </c:strCache>
            </c:strRef>
          </c:tx>
          <c:spPr>
            <a:ln w="25400" cap="rnd">
              <a:no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COVID'!$Q$54:$Q$83</c:f>
              <c:numCache>
                <c:formatCode>General</c:formatCode>
                <c:ptCount val="30"/>
                <c:pt idx="0">
                  <c:v>53863.592922463664</c:v>
                </c:pt>
                <c:pt idx="1">
                  <c:v>54915.666787010079</c:v>
                </c:pt>
                <c:pt idx="2">
                  <c:v>55966.922681135213</c:v>
                </c:pt>
                <c:pt idx="3">
                  <c:v>57017.33377986819</c:v>
                </c:pt>
                <c:pt idx="4">
                  <c:v>58066.873516813357</c:v>
                </c:pt>
                <c:pt idx="5">
                  <c:v>59115.515606298381</c:v>
                </c:pt>
                <c:pt idx="6">
                  <c:v>60163.234065438715</c:v>
                </c:pt>
                <c:pt idx="7">
                  <c:v>61210.003236091812</c:v>
                </c:pt>
                <c:pt idx="8">
                  <c:v>62255.797806677889</c:v>
                </c:pt>
                <c:pt idx="9">
                  <c:v>63300.592833838964</c:v>
                </c:pt>
                <c:pt idx="10">
                  <c:v>64344.363763912268</c:v>
                </c:pt>
                <c:pt idx="11">
                  <c:v>65387.086454190081</c:v>
                </c:pt>
                <c:pt idx="12">
                  <c:v>66428.737193943525</c:v>
                </c:pt>
                <c:pt idx="13">
                  <c:v>67469.292725182953</c:v>
                </c:pt>
                <c:pt idx="14">
                  <c:v>68508.730263128527</c:v>
                </c:pt>
                <c:pt idx="15">
                  <c:v>68645.673624029383</c:v>
                </c:pt>
                <c:pt idx="16">
                  <c:v>69670.812465724273</c:v>
                </c:pt>
                <c:pt idx="17">
                  <c:v>70694.924386798739</c:v>
                </c:pt>
                <c:pt idx="18">
                  <c:v>71717.991428322493</c:v>
                </c:pt>
                <c:pt idx="19">
                  <c:v>72739.996126357379</c:v>
                </c:pt>
                <c:pt idx="20">
                  <c:v>73760.92152777352</c:v>
                </c:pt>
                <c:pt idx="21">
                  <c:v>74780.751205667577</c:v>
                </c:pt>
                <c:pt idx="22">
                  <c:v>75799.469274365241</c:v>
                </c:pt>
                <c:pt idx="23">
                  <c:v>76817.060403988144</c:v>
                </c:pt>
                <c:pt idx="24">
                  <c:v>77833.50983456579</c:v>
                </c:pt>
                <c:pt idx="25">
                  <c:v>78848.803389675508</c:v>
                </c:pt>
                <c:pt idx="26">
                  <c:v>79862.92748959217</c:v>
                </c:pt>
                <c:pt idx="27">
                  <c:v>80875.869163931508</c:v>
                </c:pt>
                <c:pt idx="28">
                  <c:v>81887.616063768495</c:v>
                </c:pt>
                <c:pt idx="29">
                  <c:v>82898.156473217736</c:v>
                </c:pt>
              </c:numCache>
            </c:numRef>
          </c:yVal>
          <c:smooth val="0"/>
          <c:extLst>
            <c:ext xmlns:c16="http://schemas.microsoft.com/office/drawing/2014/chart" uri="{C3380CC4-5D6E-409C-BE32-E72D297353CC}">
              <c16:uniqueId val="{0000000E-A6AE-45E7-9419-1573F3FB9408}"/>
            </c:ext>
          </c:extLst>
        </c:ser>
        <c:ser>
          <c:idx val="15"/>
          <c:order val="15"/>
          <c:spPr>
            <a:ln w="25400" cap="rnd">
              <a:no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'Sensitivity - COVID'!$B$54:$B$83</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yVal>
          <c:smooth val="0"/>
          <c:extLst>
            <c:ext xmlns:c16="http://schemas.microsoft.com/office/drawing/2014/chart" uri="{C3380CC4-5D6E-409C-BE32-E72D297353CC}">
              <c16:uniqueId val="{0000000F-A6AE-45E7-9419-1573F3FB9408}"/>
            </c:ext>
          </c:extLst>
        </c:ser>
        <c:dLbls>
          <c:showLegendKey val="0"/>
          <c:showVal val="0"/>
          <c:showCatName val="0"/>
          <c:showSerName val="0"/>
          <c:showPercent val="0"/>
          <c:showBubbleSize val="0"/>
        </c:dLbls>
        <c:axId val="721907472"/>
        <c:axId val="721900816"/>
      </c:scatterChart>
      <c:valAx>
        <c:axId val="72190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900816"/>
        <c:crosses val="autoZero"/>
        <c:crossBetween val="midCat"/>
      </c:valAx>
      <c:valAx>
        <c:axId val="721900816"/>
        <c:scaling>
          <c:orientation val="minMax"/>
          <c:min val="5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9074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sz="1800" b="0" i="0" baseline="0">
                <a:effectLst/>
              </a:rPr>
              <a:t>Total Electricity Consumption V/s Covid Duration</a:t>
            </a:r>
            <a:endParaRPr lang="en-IN">
              <a:effectLst/>
            </a:endParaRP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stack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val>
            <c:numRef>
              <c:f>'Sensitivity - COVID'!$B$53:$B$83</c:f>
              <c:numCache>
                <c:formatCode>General</c:formatCode>
                <c:ptCount val="31"/>
                <c:pt idx="0">
                  <c:v>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val>
          <c:extLst>
            <c:ext xmlns:c16="http://schemas.microsoft.com/office/drawing/2014/chart" uri="{C3380CC4-5D6E-409C-BE32-E72D297353CC}">
              <c16:uniqueId val="{00000000-6024-40B1-B1CE-873358D4FA57}"/>
            </c:ext>
          </c:extLst>
        </c:ser>
        <c:ser>
          <c:idx val="1"/>
          <c:order val="1"/>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val>
            <c:numRef>
              <c:f>'Sensitivity - COVID'!$C$53:$C$83</c:f>
              <c:numCache>
                <c:formatCode>General</c:formatCode>
                <c:ptCount val="31"/>
                <c:pt idx="0">
                  <c:v>1</c:v>
                </c:pt>
                <c:pt idx="1">
                  <c:v>53863.592922463664</c:v>
                </c:pt>
                <c:pt idx="2">
                  <c:v>54196.993567490885</c:v>
                </c:pt>
                <c:pt idx="3">
                  <c:v>55234.386898904093</c:v>
                </c:pt>
                <c:pt idx="4">
                  <c:v>56271.047084393118</c:v>
                </c:pt>
                <c:pt idx="5">
                  <c:v>57306.951068618298</c:v>
                </c:pt>
                <c:pt idx="6">
                  <c:v>58342.076039862462</c:v>
                </c:pt>
                <c:pt idx="7">
                  <c:v>59376.399449179415</c:v>
                </c:pt>
                <c:pt idx="8">
                  <c:v>60409.899029446402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1-6024-40B1-B1CE-873358D4FA57}"/>
            </c:ext>
          </c:extLst>
        </c:ser>
        <c:ser>
          <c:idx val="2"/>
          <c:order val="2"/>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val>
            <c:numRef>
              <c:f>'Sensitivity - COVID'!$D$53:$D$83</c:f>
              <c:numCache>
                <c:formatCode>General</c:formatCode>
                <c:ptCount val="31"/>
                <c:pt idx="0">
                  <c:v>2</c:v>
                </c:pt>
                <c:pt idx="1">
                  <c:v>53863.592922463664</c:v>
                </c:pt>
                <c:pt idx="2">
                  <c:v>54915.666787010079</c:v>
                </c:pt>
                <c:pt idx="3">
                  <c:v>55234.386898904093</c:v>
                </c:pt>
                <c:pt idx="4">
                  <c:v>56271.047084393118</c:v>
                </c:pt>
                <c:pt idx="5">
                  <c:v>57306.951068618298</c:v>
                </c:pt>
                <c:pt idx="6">
                  <c:v>58342.076039862462</c:v>
                </c:pt>
                <c:pt idx="7">
                  <c:v>59376.399449179415</c:v>
                </c:pt>
                <c:pt idx="8">
                  <c:v>60409.899029446402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2-6024-40B1-B1CE-873358D4FA57}"/>
            </c:ext>
          </c:extLst>
        </c:ser>
        <c:ser>
          <c:idx val="3"/>
          <c:order val="3"/>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val>
            <c:numRef>
              <c:f>'Sensitivity - COVID'!$E$53:$E$83</c:f>
              <c:numCache>
                <c:formatCode>General</c:formatCode>
                <c:ptCount val="31"/>
                <c:pt idx="0">
                  <c:v>3</c:v>
                </c:pt>
                <c:pt idx="1">
                  <c:v>53863.592922463664</c:v>
                </c:pt>
                <c:pt idx="2">
                  <c:v>54915.666787010079</c:v>
                </c:pt>
                <c:pt idx="3">
                  <c:v>55966.922681135213</c:v>
                </c:pt>
                <c:pt idx="4">
                  <c:v>56271.047084393118</c:v>
                </c:pt>
                <c:pt idx="5">
                  <c:v>57306.951068618298</c:v>
                </c:pt>
                <c:pt idx="6">
                  <c:v>58342.076039862462</c:v>
                </c:pt>
                <c:pt idx="7">
                  <c:v>59376.399449179415</c:v>
                </c:pt>
                <c:pt idx="8">
                  <c:v>60409.899029446402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3-6024-40B1-B1CE-873358D4FA57}"/>
            </c:ext>
          </c:extLst>
        </c:ser>
        <c:ser>
          <c:idx val="4"/>
          <c:order val="4"/>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val>
            <c:numRef>
              <c:f>'Sensitivity - COVID'!$F$53:$F$83</c:f>
              <c:numCache>
                <c:formatCode>General</c:formatCode>
                <c:ptCount val="31"/>
                <c:pt idx="0">
                  <c:v>4</c:v>
                </c:pt>
                <c:pt idx="1">
                  <c:v>53863.592922463664</c:v>
                </c:pt>
                <c:pt idx="2">
                  <c:v>54915.666787010079</c:v>
                </c:pt>
                <c:pt idx="3">
                  <c:v>55966.922681135213</c:v>
                </c:pt>
                <c:pt idx="4">
                  <c:v>57017.33377986819</c:v>
                </c:pt>
                <c:pt idx="5">
                  <c:v>57306.951068618298</c:v>
                </c:pt>
                <c:pt idx="6">
                  <c:v>58342.076039862462</c:v>
                </c:pt>
                <c:pt idx="7">
                  <c:v>59376.399449179415</c:v>
                </c:pt>
                <c:pt idx="8">
                  <c:v>60409.899029446402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4-6024-40B1-B1CE-873358D4FA57}"/>
            </c:ext>
          </c:extLst>
        </c:ser>
        <c:ser>
          <c:idx val="5"/>
          <c:order val="5"/>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val>
            <c:numRef>
              <c:f>'Sensitivity - COVID'!$G$53:$G$83</c:f>
              <c:numCache>
                <c:formatCode>General</c:formatCode>
                <c:ptCount val="31"/>
                <c:pt idx="0">
                  <c:v>5</c:v>
                </c:pt>
                <c:pt idx="1">
                  <c:v>53863.592922463664</c:v>
                </c:pt>
                <c:pt idx="2">
                  <c:v>54915.666787010079</c:v>
                </c:pt>
                <c:pt idx="3">
                  <c:v>55966.922681135213</c:v>
                </c:pt>
                <c:pt idx="4">
                  <c:v>57017.33377986819</c:v>
                </c:pt>
                <c:pt idx="5">
                  <c:v>58066.873516813357</c:v>
                </c:pt>
                <c:pt idx="6">
                  <c:v>58342.076039862462</c:v>
                </c:pt>
                <c:pt idx="7">
                  <c:v>59376.399449179415</c:v>
                </c:pt>
                <c:pt idx="8">
                  <c:v>60409.899029446402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5-6024-40B1-B1CE-873358D4FA57}"/>
            </c:ext>
          </c:extLst>
        </c:ser>
        <c:ser>
          <c:idx val="6"/>
          <c:order val="6"/>
          <c:spPr>
            <a:pattFill prst="narHorz">
              <a:fgClr>
                <a:schemeClr val="accent1">
                  <a:lumMod val="60000"/>
                </a:schemeClr>
              </a:fgClr>
              <a:bgClr>
                <a:schemeClr val="accent1">
                  <a:lumMod val="60000"/>
                  <a:lumMod val="20000"/>
                  <a:lumOff val="80000"/>
                </a:schemeClr>
              </a:bgClr>
            </a:pattFill>
            <a:ln>
              <a:noFill/>
            </a:ln>
            <a:effectLst>
              <a:innerShdw blurRad="114300">
                <a:schemeClr val="accent1">
                  <a:lumMod val="60000"/>
                </a:schemeClr>
              </a:innerShdw>
            </a:effectLst>
          </c:spPr>
          <c:invertIfNegative val="0"/>
          <c:val>
            <c:numRef>
              <c:f>'Sensitivity - COVID'!$H$53:$H$83</c:f>
              <c:numCache>
                <c:formatCode>General</c:formatCode>
                <c:ptCount val="31"/>
                <c:pt idx="0">
                  <c:v>6</c:v>
                </c:pt>
                <c:pt idx="1">
                  <c:v>53863.592922463664</c:v>
                </c:pt>
                <c:pt idx="2">
                  <c:v>54915.666787010079</c:v>
                </c:pt>
                <c:pt idx="3">
                  <c:v>55966.922681135213</c:v>
                </c:pt>
                <c:pt idx="4">
                  <c:v>57017.33377986819</c:v>
                </c:pt>
                <c:pt idx="5">
                  <c:v>58066.873516813357</c:v>
                </c:pt>
                <c:pt idx="6">
                  <c:v>59115.515606298381</c:v>
                </c:pt>
                <c:pt idx="7">
                  <c:v>59376.399449179415</c:v>
                </c:pt>
                <c:pt idx="8">
                  <c:v>60409.899029446402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6-6024-40B1-B1CE-873358D4FA57}"/>
            </c:ext>
          </c:extLst>
        </c:ser>
        <c:ser>
          <c:idx val="7"/>
          <c:order val="7"/>
          <c:spPr>
            <a:pattFill prst="narHorz">
              <a:fgClr>
                <a:schemeClr val="accent2">
                  <a:lumMod val="60000"/>
                </a:schemeClr>
              </a:fgClr>
              <a:bgClr>
                <a:schemeClr val="accent2">
                  <a:lumMod val="60000"/>
                  <a:lumMod val="20000"/>
                  <a:lumOff val="80000"/>
                </a:schemeClr>
              </a:bgClr>
            </a:pattFill>
            <a:ln>
              <a:noFill/>
            </a:ln>
            <a:effectLst>
              <a:innerShdw blurRad="114300">
                <a:schemeClr val="accent2">
                  <a:lumMod val="60000"/>
                </a:schemeClr>
              </a:innerShdw>
            </a:effectLst>
          </c:spPr>
          <c:invertIfNegative val="0"/>
          <c:val>
            <c:numRef>
              <c:f>'Sensitivity - COVID'!$I$53:$I$83</c:f>
              <c:numCache>
                <c:formatCode>General</c:formatCode>
                <c:ptCount val="31"/>
                <c:pt idx="0">
                  <c:v>7</c:v>
                </c:pt>
                <c:pt idx="1">
                  <c:v>53863.592922463664</c:v>
                </c:pt>
                <c:pt idx="2">
                  <c:v>54915.666787010079</c:v>
                </c:pt>
                <c:pt idx="3">
                  <c:v>55966.922681135213</c:v>
                </c:pt>
                <c:pt idx="4">
                  <c:v>57017.33377986819</c:v>
                </c:pt>
                <c:pt idx="5">
                  <c:v>58066.873516813357</c:v>
                </c:pt>
                <c:pt idx="6">
                  <c:v>59115.515606298381</c:v>
                </c:pt>
                <c:pt idx="7">
                  <c:v>60163.234065438715</c:v>
                </c:pt>
                <c:pt idx="8">
                  <c:v>60409.899029446402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7-6024-40B1-B1CE-873358D4FA57}"/>
            </c:ext>
          </c:extLst>
        </c:ser>
        <c:ser>
          <c:idx val="8"/>
          <c:order val="8"/>
          <c:spPr>
            <a:pattFill prst="narHorz">
              <a:fgClr>
                <a:schemeClr val="accent3">
                  <a:lumMod val="60000"/>
                </a:schemeClr>
              </a:fgClr>
              <a:bgClr>
                <a:schemeClr val="accent3">
                  <a:lumMod val="60000"/>
                  <a:lumMod val="20000"/>
                  <a:lumOff val="80000"/>
                </a:schemeClr>
              </a:bgClr>
            </a:pattFill>
            <a:ln>
              <a:noFill/>
            </a:ln>
            <a:effectLst>
              <a:innerShdw blurRad="114300">
                <a:schemeClr val="accent3">
                  <a:lumMod val="60000"/>
                </a:schemeClr>
              </a:innerShdw>
            </a:effectLst>
          </c:spPr>
          <c:invertIfNegative val="0"/>
          <c:val>
            <c:numRef>
              <c:f>'Sensitivity - COVID'!$J$53:$J$83</c:f>
              <c:numCache>
                <c:formatCode>General</c:formatCode>
                <c:ptCount val="31"/>
                <c:pt idx="0">
                  <c:v>8</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8-6024-40B1-B1CE-873358D4FA57}"/>
            </c:ext>
          </c:extLst>
        </c:ser>
        <c:ser>
          <c:idx val="9"/>
          <c:order val="9"/>
          <c:spPr>
            <a:pattFill prst="narHorz">
              <a:fgClr>
                <a:schemeClr val="accent4">
                  <a:lumMod val="60000"/>
                </a:schemeClr>
              </a:fgClr>
              <a:bgClr>
                <a:schemeClr val="accent4">
                  <a:lumMod val="60000"/>
                  <a:lumMod val="20000"/>
                  <a:lumOff val="80000"/>
                </a:schemeClr>
              </a:bgClr>
            </a:pattFill>
            <a:ln>
              <a:noFill/>
            </a:ln>
            <a:effectLst>
              <a:innerShdw blurRad="114300">
                <a:schemeClr val="accent4">
                  <a:lumMod val="60000"/>
                </a:schemeClr>
              </a:innerShdw>
            </a:effectLst>
          </c:spPr>
          <c:invertIfNegative val="0"/>
          <c:val>
            <c:numRef>
              <c:f>'Sensitivity - COVID'!$K$53:$K$83</c:f>
              <c:numCache>
                <c:formatCode>General</c:formatCode>
                <c:ptCount val="31"/>
                <c:pt idx="0">
                  <c:v>9</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62255.797806677889</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9-6024-40B1-B1CE-873358D4FA57}"/>
            </c:ext>
          </c:extLst>
        </c:ser>
        <c:ser>
          <c:idx val="10"/>
          <c:order val="10"/>
          <c:spPr>
            <a:pattFill prst="narHorz">
              <a:fgClr>
                <a:schemeClr val="accent5">
                  <a:lumMod val="60000"/>
                </a:schemeClr>
              </a:fgClr>
              <a:bgClr>
                <a:schemeClr val="accent5">
                  <a:lumMod val="60000"/>
                  <a:lumMod val="20000"/>
                  <a:lumOff val="80000"/>
                </a:schemeClr>
              </a:bgClr>
            </a:pattFill>
            <a:ln>
              <a:noFill/>
            </a:ln>
            <a:effectLst>
              <a:innerShdw blurRad="114300">
                <a:schemeClr val="accent5">
                  <a:lumMod val="60000"/>
                </a:schemeClr>
              </a:innerShdw>
            </a:effectLst>
          </c:spPr>
          <c:invertIfNegative val="0"/>
          <c:val>
            <c:numRef>
              <c:f>'Sensitivity - COVID'!$L$53:$L$83</c:f>
              <c:numCache>
                <c:formatCode>General</c:formatCode>
                <c:ptCount val="31"/>
                <c:pt idx="0">
                  <c:v>10</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62255.797806677889</c:v>
                </c:pt>
                <c:pt idx="10">
                  <c:v>63300.592833838964</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A-6024-40B1-B1CE-873358D4FA57}"/>
            </c:ext>
          </c:extLst>
        </c:ser>
        <c:ser>
          <c:idx val="11"/>
          <c:order val="11"/>
          <c:spPr>
            <a:pattFill prst="narHorz">
              <a:fgClr>
                <a:schemeClr val="accent6">
                  <a:lumMod val="60000"/>
                </a:schemeClr>
              </a:fgClr>
              <a:bgClr>
                <a:schemeClr val="accent6">
                  <a:lumMod val="60000"/>
                  <a:lumMod val="20000"/>
                  <a:lumOff val="80000"/>
                </a:schemeClr>
              </a:bgClr>
            </a:pattFill>
            <a:ln>
              <a:noFill/>
            </a:ln>
            <a:effectLst>
              <a:innerShdw blurRad="114300">
                <a:schemeClr val="accent6">
                  <a:lumMod val="60000"/>
                </a:schemeClr>
              </a:innerShdw>
            </a:effectLst>
          </c:spPr>
          <c:invertIfNegative val="0"/>
          <c:val>
            <c:numRef>
              <c:f>'Sensitivity - COVID'!$M$53:$M$83</c:f>
              <c:numCache>
                <c:formatCode>General</c:formatCode>
                <c:ptCount val="31"/>
                <c:pt idx="0">
                  <c:v>11</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62255.797806677889</c:v>
                </c:pt>
                <c:pt idx="10">
                  <c:v>63300.592833838964</c:v>
                </c:pt>
                <c:pt idx="11">
                  <c:v>64344.363763912268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B-6024-40B1-B1CE-873358D4FA57}"/>
            </c:ext>
          </c:extLst>
        </c:ser>
        <c:ser>
          <c:idx val="12"/>
          <c:order val="12"/>
          <c:spPr>
            <a:pattFill prst="narHorz">
              <a:fgClr>
                <a:schemeClr val="accent1">
                  <a:lumMod val="80000"/>
                  <a:lumOff val="20000"/>
                </a:schemeClr>
              </a:fgClr>
              <a:bgClr>
                <a:schemeClr val="accent1">
                  <a:lumMod val="80000"/>
                  <a:lumOff val="20000"/>
                  <a:lumMod val="20000"/>
                  <a:lumOff val="80000"/>
                </a:schemeClr>
              </a:bgClr>
            </a:pattFill>
            <a:ln>
              <a:noFill/>
            </a:ln>
            <a:effectLst>
              <a:innerShdw blurRad="114300">
                <a:schemeClr val="accent1">
                  <a:lumMod val="80000"/>
                  <a:lumOff val="20000"/>
                </a:schemeClr>
              </a:innerShdw>
            </a:effectLst>
          </c:spPr>
          <c:invertIfNegative val="0"/>
          <c:val>
            <c:numRef>
              <c:f>'Sensitivity - COVID'!$N$53:$N$83</c:f>
              <c:numCache>
                <c:formatCode>General</c:formatCode>
                <c:ptCount val="31"/>
                <c:pt idx="0">
                  <c:v>12</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62255.797806677889</c:v>
                </c:pt>
                <c:pt idx="10">
                  <c:v>63300.592833838964</c:v>
                </c:pt>
                <c:pt idx="11">
                  <c:v>64344.363763912268</c:v>
                </c:pt>
                <c:pt idx="12">
                  <c:v>65387.086454190081</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C-6024-40B1-B1CE-873358D4FA57}"/>
            </c:ext>
          </c:extLst>
        </c:ser>
        <c:ser>
          <c:idx val="13"/>
          <c:order val="13"/>
          <c:spPr>
            <a:pattFill prst="narHorz">
              <a:fgClr>
                <a:schemeClr val="accent2">
                  <a:lumMod val="80000"/>
                  <a:lumOff val="20000"/>
                </a:schemeClr>
              </a:fgClr>
              <a:bgClr>
                <a:schemeClr val="accent2">
                  <a:lumMod val="80000"/>
                  <a:lumOff val="20000"/>
                  <a:lumMod val="20000"/>
                  <a:lumOff val="80000"/>
                </a:schemeClr>
              </a:bgClr>
            </a:pattFill>
            <a:ln>
              <a:noFill/>
            </a:ln>
            <a:effectLst>
              <a:innerShdw blurRad="114300">
                <a:schemeClr val="accent2">
                  <a:lumMod val="80000"/>
                  <a:lumOff val="20000"/>
                </a:schemeClr>
              </a:innerShdw>
            </a:effectLst>
          </c:spPr>
          <c:invertIfNegative val="0"/>
          <c:val>
            <c:numRef>
              <c:f>'Sensitivity - COVID'!$O$53:$O$83</c:f>
              <c:numCache>
                <c:formatCode>General</c:formatCode>
                <c:ptCount val="31"/>
                <c:pt idx="0">
                  <c:v>13</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62255.797806677889</c:v>
                </c:pt>
                <c:pt idx="10">
                  <c:v>63300.592833838964</c:v>
                </c:pt>
                <c:pt idx="11">
                  <c:v>64344.363763912268</c:v>
                </c:pt>
                <c:pt idx="12">
                  <c:v>65387.086454190081</c:v>
                </c:pt>
                <c:pt idx="13">
                  <c:v>66428.737193943525</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D-6024-40B1-B1CE-873358D4FA57}"/>
            </c:ext>
          </c:extLst>
        </c:ser>
        <c:ser>
          <c:idx val="14"/>
          <c:order val="14"/>
          <c:spPr>
            <a:pattFill prst="narHorz">
              <a:fgClr>
                <a:schemeClr val="accent3">
                  <a:lumMod val="80000"/>
                  <a:lumOff val="20000"/>
                </a:schemeClr>
              </a:fgClr>
              <a:bgClr>
                <a:schemeClr val="accent3">
                  <a:lumMod val="80000"/>
                  <a:lumOff val="20000"/>
                  <a:lumMod val="20000"/>
                  <a:lumOff val="80000"/>
                </a:schemeClr>
              </a:bgClr>
            </a:pattFill>
            <a:ln>
              <a:noFill/>
            </a:ln>
            <a:effectLst>
              <a:innerShdw blurRad="114300">
                <a:schemeClr val="accent3">
                  <a:lumMod val="80000"/>
                  <a:lumOff val="20000"/>
                </a:schemeClr>
              </a:innerShdw>
            </a:effectLst>
          </c:spPr>
          <c:invertIfNegative val="0"/>
          <c:val>
            <c:numRef>
              <c:f>'Sensitivity - COVID'!$P$53:$P$83</c:f>
              <c:numCache>
                <c:formatCode>General</c:formatCode>
                <c:ptCount val="31"/>
                <c:pt idx="0">
                  <c:v>14</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62255.797806677889</c:v>
                </c:pt>
                <c:pt idx="10">
                  <c:v>63300.592833838964</c:v>
                </c:pt>
                <c:pt idx="11">
                  <c:v>64344.363763912268</c:v>
                </c:pt>
                <c:pt idx="12">
                  <c:v>65387.086454190081</c:v>
                </c:pt>
                <c:pt idx="13">
                  <c:v>66428.737193943525</c:v>
                </c:pt>
                <c:pt idx="14">
                  <c:v>67469.292725182953</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E-6024-40B1-B1CE-873358D4FA57}"/>
            </c:ext>
          </c:extLst>
        </c:ser>
        <c:ser>
          <c:idx val="15"/>
          <c:order val="15"/>
          <c:spPr>
            <a:pattFill prst="narHorz">
              <a:fgClr>
                <a:schemeClr val="accent4">
                  <a:lumMod val="80000"/>
                  <a:lumOff val="20000"/>
                </a:schemeClr>
              </a:fgClr>
              <a:bgClr>
                <a:schemeClr val="accent4">
                  <a:lumMod val="80000"/>
                  <a:lumOff val="20000"/>
                  <a:lumMod val="20000"/>
                  <a:lumOff val="80000"/>
                </a:schemeClr>
              </a:bgClr>
            </a:pattFill>
            <a:ln>
              <a:noFill/>
            </a:ln>
            <a:effectLst>
              <a:innerShdw blurRad="114300">
                <a:schemeClr val="accent4">
                  <a:lumMod val="80000"/>
                  <a:lumOff val="20000"/>
                </a:schemeClr>
              </a:innerShdw>
            </a:effectLst>
          </c:spPr>
          <c:invertIfNegative val="0"/>
          <c:val>
            <c:numRef>
              <c:f>'Sensitivity - COVID'!$Q$53:$Q$83</c:f>
              <c:numCache>
                <c:formatCode>General</c:formatCode>
                <c:ptCount val="31"/>
                <c:pt idx="0">
                  <c:v>15</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62255.797806677889</c:v>
                </c:pt>
                <c:pt idx="10">
                  <c:v>63300.592833838964</c:v>
                </c:pt>
                <c:pt idx="11">
                  <c:v>64344.363763912268</c:v>
                </c:pt>
                <c:pt idx="12">
                  <c:v>65387.086454190081</c:v>
                </c:pt>
                <c:pt idx="13">
                  <c:v>66428.737193943525</c:v>
                </c:pt>
                <c:pt idx="14">
                  <c:v>67469.292725182953</c:v>
                </c:pt>
                <c:pt idx="15">
                  <c:v>68508.730263128527</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F-6024-40B1-B1CE-873358D4FA57}"/>
            </c:ext>
          </c:extLst>
        </c:ser>
        <c:dLbls>
          <c:showLegendKey val="0"/>
          <c:showVal val="0"/>
          <c:showCatName val="0"/>
          <c:showSerName val="0"/>
          <c:showPercent val="0"/>
          <c:showBubbleSize val="0"/>
        </c:dLbls>
        <c:gapWidth val="150"/>
        <c:overlap val="100"/>
        <c:axId val="661126159"/>
        <c:axId val="661119919"/>
      </c:barChart>
      <c:catAx>
        <c:axId val="661126159"/>
        <c:scaling>
          <c:orientation val="minMax"/>
        </c:scaling>
        <c:delete val="0"/>
        <c:axPos val="l"/>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119919"/>
        <c:crosses val="autoZero"/>
        <c:auto val="1"/>
        <c:lblAlgn val="ctr"/>
        <c:lblOffset val="100"/>
        <c:noMultiLvlLbl val="0"/>
      </c:catAx>
      <c:valAx>
        <c:axId val="661119919"/>
        <c:scaling>
          <c:orientation val="minMax"/>
        </c:scaling>
        <c:delete val="0"/>
        <c:axPos val="b"/>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12615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Electricity Consumption -</a:t>
            </a:r>
            <a:r>
              <a:rPr lang="en-IN" baseline="0"/>
              <a:t> COVID continues for one year only</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'Sensitivity - COVID'!$B$53:$B$83</c:f>
              <c:strCache>
                <c:ptCount val="31"/>
                <c:pt idx="0">
                  <c:v>Number of years covid continues</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strCache>
            </c:strRef>
          </c:cat>
          <c:val>
            <c:numRef>
              <c:f>'Sensitivity - COVID'!$C$53:$C$83</c:f>
              <c:numCache>
                <c:formatCode>General</c:formatCode>
                <c:ptCount val="31"/>
                <c:pt idx="0">
                  <c:v>1</c:v>
                </c:pt>
                <c:pt idx="1">
                  <c:v>53863.592922463664</c:v>
                </c:pt>
                <c:pt idx="2">
                  <c:v>54196.993567490885</c:v>
                </c:pt>
                <c:pt idx="3">
                  <c:v>55234.386898904093</c:v>
                </c:pt>
                <c:pt idx="4">
                  <c:v>56271.047084393118</c:v>
                </c:pt>
                <c:pt idx="5">
                  <c:v>57306.951068618298</c:v>
                </c:pt>
                <c:pt idx="6">
                  <c:v>58342.076039862462</c:v>
                </c:pt>
                <c:pt idx="7">
                  <c:v>59376.399449179415</c:v>
                </c:pt>
                <c:pt idx="8">
                  <c:v>60409.899029446402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0-BAF7-4478-A3C5-396676F628C8}"/>
            </c:ext>
          </c:extLst>
        </c:ser>
        <c:dLbls>
          <c:showLegendKey val="0"/>
          <c:showVal val="0"/>
          <c:showCatName val="0"/>
          <c:showSerName val="0"/>
          <c:showPercent val="0"/>
          <c:showBubbleSize val="0"/>
        </c:dLbls>
        <c:gapWidth val="100"/>
        <c:overlap val="-24"/>
        <c:axId val="464448592"/>
        <c:axId val="464463152"/>
      </c:barChart>
      <c:catAx>
        <c:axId val="4644485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4463152"/>
        <c:crosses val="autoZero"/>
        <c:auto val="1"/>
        <c:lblAlgn val="ctr"/>
        <c:lblOffset val="100"/>
        <c:noMultiLvlLbl val="0"/>
      </c:catAx>
      <c:valAx>
        <c:axId val="46446315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4448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sz="1800" b="1" i="0" baseline="0">
                <a:effectLst/>
              </a:rPr>
              <a:t>Electricity Consumption - COVID continues for five years</a:t>
            </a:r>
            <a:endParaRPr lang="en-IN">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'Sensitivity - COVID'!$B$53:$B$83</c:f>
              <c:strCache>
                <c:ptCount val="31"/>
                <c:pt idx="0">
                  <c:v>Number of years covid continues</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strCache>
            </c:strRef>
          </c:cat>
          <c:val>
            <c:numRef>
              <c:f>'Sensitivity - COVID'!$G$53:$G$83</c:f>
              <c:numCache>
                <c:formatCode>General</c:formatCode>
                <c:ptCount val="31"/>
                <c:pt idx="0">
                  <c:v>5</c:v>
                </c:pt>
                <c:pt idx="1">
                  <c:v>53863.592922463664</c:v>
                </c:pt>
                <c:pt idx="2">
                  <c:v>54915.666787010079</c:v>
                </c:pt>
                <c:pt idx="3">
                  <c:v>55966.922681135213</c:v>
                </c:pt>
                <c:pt idx="4">
                  <c:v>57017.33377986819</c:v>
                </c:pt>
                <c:pt idx="5">
                  <c:v>58066.873516813357</c:v>
                </c:pt>
                <c:pt idx="6">
                  <c:v>58342.076039862462</c:v>
                </c:pt>
                <c:pt idx="7">
                  <c:v>59376.399449179415</c:v>
                </c:pt>
                <c:pt idx="8">
                  <c:v>60409.899029446402</c:v>
                </c:pt>
                <c:pt idx="9">
                  <c:v>61442.552814301293</c:v>
                </c:pt>
                <c:pt idx="10">
                  <c:v>62474.339156938891</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0-E863-4EED-8A8F-CD603F5774BD}"/>
            </c:ext>
          </c:extLst>
        </c:ser>
        <c:dLbls>
          <c:showLegendKey val="0"/>
          <c:showVal val="0"/>
          <c:showCatName val="0"/>
          <c:showSerName val="0"/>
          <c:showPercent val="0"/>
          <c:showBubbleSize val="0"/>
        </c:dLbls>
        <c:gapWidth val="100"/>
        <c:overlap val="-24"/>
        <c:axId val="803118847"/>
        <c:axId val="803105535"/>
      </c:barChart>
      <c:catAx>
        <c:axId val="8031188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03105535"/>
        <c:crosses val="autoZero"/>
        <c:auto val="1"/>
        <c:lblAlgn val="ctr"/>
        <c:lblOffset val="100"/>
        <c:noMultiLvlLbl val="0"/>
      </c:catAx>
      <c:valAx>
        <c:axId val="80310553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031188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sz="1800" b="1" i="0" baseline="0">
                <a:effectLst/>
              </a:rPr>
              <a:t>Electricity Consumption - COVID continues for ten years</a:t>
            </a:r>
            <a:endParaRPr lang="en-IN">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'Sensitivity - COVID'!$B$53:$B$83</c:f>
              <c:strCache>
                <c:ptCount val="31"/>
                <c:pt idx="0">
                  <c:v>Number of years covid continues</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strCache>
            </c:strRef>
          </c:cat>
          <c:val>
            <c:numRef>
              <c:f>'Sensitivity - COVID'!$L$53:$L$83</c:f>
              <c:numCache>
                <c:formatCode>General</c:formatCode>
                <c:ptCount val="31"/>
                <c:pt idx="0">
                  <c:v>10</c:v>
                </c:pt>
                <c:pt idx="1">
                  <c:v>53863.592922463664</c:v>
                </c:pt>
                <c:pt idx="2">
                  <c:v>54915.666787010079</c:v>
                </c:pt>
                <c:pt idx="3">
                  <c:v>55966.922681135213</c:v>
                </c:pt>
                <c:pt idx="4">
                  <c:v>57017.33377986819</c:v>
                </c:pt>
                <c:pt idx="5">
                  <c:v>58066.873516813357</c:v>
                </c:pt>
                <c:pt idx="6">
                  <c:v>59115.515606298381</c:v>
                </c:pt>
                <c:pt idx="7">
                  <c:v>60163.234065438715</c:v>
                </c:pt>
                <c:pt idx="8">
                  <c:v>61210.003236091812</c:v>
                </c:pt>
                <c:pt idx="9">
                  <c:v>62255.797806677889</c:v>
                </c:pt>
                <c:pt idx="10">
                  <c:v>63300.592833838964</c:v>
                </c:pt>
                <c:pt idx="11">
                  <c:v>63505.236748746618</c:v>
                </c:pt>
                <c:pt idx="12">
                  <c:v>64535.224637754363</c:v>
                </c:pt>
                <c:pt idx="13">
                  <c:v>65564.282246879899</c:v>
                </c:pt>
                <c:pt idx="14">
                  <c:v>66592.389391945588</c:v>
                </c:pt>
                <c:pt idx="15">
                  <c:v>67619.526299443358</c:v>
                </c:pt>
                <c:pt idx="16">
                  <c:v>68645.673624029383</c:v>
                </c:pt>
                <c:pt idx="17">
                  <c:v>69670.812465724273</c:v>
                </c:pt>
                <c:pt idx="18">
                  <c:v>70694.924386798739</c:v>
                </c:pt>
                <c:pt idx="19">
                  <c:v>71717.991428322493</c:v>
                </c:pt>
                <c:pt idx="20">
                  <c:v>72739.996126357379</c:v>
                </c:pt>
                <c:pt idx="21">
                  <c:v>73760.92152777352</c:v>
                </c:pt>
                <c:pt idx="22">
                  <c:v>74780.751205667577</c:v>
                </c:pt>
                <c:pt idx="23">
                  <c:v>75799.469274365241</c:v>
                </c:pt>
                <c:pt idx="24">
                  <c:v>76817.060403988144</c:v>
                </c:pt>
                <c:pt idx="25">
                  <c:v>77833.50983456579</c:v>
                </c:pt>
                <c:pt idx="26">
                  <c:v>78848.803389675508</c:v>
                </c:pt>
                <c:pt idx="27">
                  <c:v>79862.92748959217</c:v>
                </c:pt>
                <c:pt idx="28">
                  <c:v>80875.869163931508</c:v>
                </c:pt>
                <c:pt idx="29">
                  <c:v>81887.616063768495</c:v>
                </c:pt>
                <c:pt idx="30">
                  <c:v>82898.156473217736</c:v>
                </c:pt>
              </c:numCache>
            </c:numRef>
          </c:val>
          <c:extLst>
            <c:ext xmlns:c16="http://schemas.microsoft.com/office/drawing/2014/chart" uri="{C3380CC4-5D6E-409C-BE32-E72D297353CC}">
              <c16:uniqueId val="{00000000-513E-4E1A-9A1D-23D1D3CB0BE5}"/>
            </c:ext>
          </c:extLst>
        </c:ser>
        <c:dLbls>
          <c:showLegendKey val="0"/>
          <c:showVal val="0"/>
          <c:showCatName val="0"/>
          <c:showSerName val="0"/>
          <c:showPercent val="0"/>
          <c:showBubbleSize val="0"/>
        </c:dLbls>
        <c:gapWidth val="100"/>
        <c:overlap val="-24"/>
        <c:axId val="455355536"/>
        <c:axId val="455348880"/>
      </c:barChart>
      <c:catAx>
        <c:axId val="455355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5348880"/>
        <c:crosses val="autoZero"/>
        <c:auto val="1"/>
        <c:lblAlgn val="ctr"/>
        <c:lblOffset val="100"/>
        <c:noMultiLvlLbl val="0"/>
      </c:catAx>
      <c:valAx>
        <c:axId val="45534888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5355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Sensitivity Analysis on Change in Consumption Behavior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10%,-4%</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'Sensitivity - COVID B'!$C$13:$C$22</c:f>
              <c:numCache>
                <c:formatCode>0</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'Sensitivity - COVID B'!$D$13:$D$22</c:f>
              <c:numCache>
                <c:formatCode>0.00</c:formatCode>
                <c:ptCount val="10"/>
                <c:pt idx="0">
                  <c:v>52216.454637345196</c:v>
                </c:pt>
                <c:pt idx="1">
                  <c:v>52611.18452095698</c:v>
                </c:pt>
                <c:pt idx="2">
                  <c:v>53054.898845621574</c:v>
                </c:pt>
                <c:pt idx="3">
                  <c:v>53557.779753987219</c:v>
                </c:pt>
                <c:pt idx="4">
                  <c:v>54130.643738040606</c:v>
                </c:pt>
                <c:pt idx="5">
                  <c:v>54785.029431365932</c:v>
                </c:pt>
                <c:pt idx="6">
                  <c:v>55533.292689341011</c:v>
                </c:pt>
                <c:pt idx="7">
                  <c:v>56388.709712543867</c:v>
                </c:pt>
                <c:pt idx="8">
                  <c:v>57365.589035359815</c:v>
                </c:pt>
                <c:pt idx="9">
                  <c:v>58479.393274583519</c:v>
                </c:pt>
              </c:numCache>
            </c:numRef>
          </c:val>
          <c:smooth val="0"/>
          <c:extLst>
            <c:ext xmlns:c16="http://schemas.microsoft.com/office/drawing/2014/chart" uri="{C3380CC4-5D6E-409C-BE32-E72D297353CC}">
              <c16:uniqueId val="{00000000-8682-40BF-907F-6C3268F7C1B6}"/>
            </c:ext>
          </c:extLst>
        </c:ser>
        <c:ser>
          <c:idx val="1"/>
          <c:order val="1"/>
          <c:tx>
            <c:v>10%,-3%</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'Sensitivity - COVID B'!$C$13:$C$22</c:f>
              <c:numCache>
                <c:formatCode>0</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'Sensitivity - COVID B'!$E$13:$E$22</c:f>
              <c:numCache>
                <c:formatCode>0.00</c:formatCode>
                <c:ptCount val="10"/>
                <c:pt idx="0">
                  <c:v>52531.898339300416</c:v>
                </c:pt>
                <c:pt idx="1">
                  <c:v>53239.166707213684</c:v>
                </c:pt>
                <c:pt idx="2">
                  <c:v>53991.668473651</c:v>
                </c:pt>
                <c:pt idx="3">
                  <c:v>54798.826585415001</c:v>
                </c:pt>
                <c:pt idx="4">
                  <c:v>55670.779047971344</c:v>
                </c:pt>
                <c:pt idx="5">
                  <c:v>56618.461140651692</c:v>
                </c:pt>
                <c:pt idx="6">
                  <c:v>57653.695244350027</c:v>
                </c:pt>
                <c:pt idx="7">
                  <c:v>58789.289019794152</c:v>
                </c:pt>
                <c:pt idx="8">
                  <c:v>60039.142742049829</c:v>
                </c:pt>
                <c:pt idx="9">
                  <c:v>61418.366670535543</c:v>
                </c:pt>
              </c:numCache>
            </c:numRef>
          </c:val>
          <c:smooth val="0"/>
          <c:extLst>
            <c:ext xmlns:c16="http://schemas.microsoft.com/office/drawing/2014/chart" uri="{C3380CC4-5D6E-409C-BE32-E72D297353CC}">
              <c16:uniqueId val="{00000001-8682-40BF-907F-6C3268F7C1B6}"/>
            </c:ext>
          </c:extLst>
        </c:ser>
        <c:ser>
          <c:idx val="2"/>
          <c:order val="2"/>
          <c:tx>
            <c:v>10%,-2%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'Sensitivity - COVID B'!$C$13:$C$22</c:f>
              <c:numCache>
                <c:formatCode>0</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'Sensitivity - COVID B'!$F$13:$F$22</c:f>
              <c:numCache>
                <c:formatCode>0.00</c:formatCode>
                <c:ptCount val="10"/>
                <c:pt idx="0">
                  <c:v>52847.342041255637</c:v>
                </c:pt>
                <c:pt idx="1">
                  <c:v>53873.656480892729</c:v>
                </c:pt>
                <c:pt idx="2">
                  <c:v>54947.953437024698</c:v>
                </c:pt>
                <c:pt idx="3">
                  <c:v>56078.855674445869</c:v>
                </c:pt>
                <c:pt idx="4">
                  <c:v>57275.751606753918</c:v>
                </c:pt>
                <c:pt idx="5">
                  <c:v>58548.875133408561</c:v>
                </c:pt>
                <c:pt idx="6">
                  <c:v>59909.393186935755</c:v>
                </c:pt>
                <c:pt idx="7">
                  <c:v>61369.501724645794</c:v>
                </c:pt>
                <c:pt idx="8">
                  <c:v>62942.530966943857</c:v>
                </c:pt>
                <c:pt idx="9">
                  <c:v>64643.06075806186</c:v>
                </c:pt>
              </c:numCache>
            </c:numRef>
          </c:val>
          <c:smooth val="0"/>
          <c:extLst>
            <c:ext xmlns:c16="http://schemas.microsoft.com/office/drawing/2014/chart" uri="{C3380CC4-5D6E-409C-BE32-E72D297353CC}">
              <c16:uniqueId val="{00000002-8682-40BF-907F-6C3268F7C1B6}"/>
            </c:ext>
          </c:extLst>
        </c:ser>
        <c:ser>
          <c:idx val="3"/>
          <c:order val="3"/>
          <c:tx>
            <c:v>9%,-4%</c:v>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'Sensitivity - COVID B'!$C$13:$C$22</c:f>
              <c:numCache>
                <c:formatCode>0</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'Sensitivity - COVID B'!$G$13:$G$22</c:f>
              <c:numCache>
                <c:formatCode>0.00</c:formatCode>
                <c:ptCount val="10"/>
                <c:pt idx="0">
                  <c:v>52158.871306523411</c:v>
                </c:pt>
                <c:pt idx="1">
                  <c:v>52484.046354719307</c:v>
                </c:pt>
                <c:pt idx="2">
                  <c:v>52844.405600728496</c:v>
                </c:pt>
                <c:pt idx="3">
                  <c:v>53248.059475444774</c:v>
                </c:pt>
                <c:pt idx="4">
                  <c:v>53703.480213830226</c:v>
                </c:pt>
                <c:pt idx="5">
                  <c:v>54219.556704287366</c:v>
                </c:pt>
                <c:pt idx="6">
                  <c:v>54805.652891534264</c:v>
                </c:pt>
                <c:pt idx="7">
                  <c:v>55471.670087198749</c:v>
                </c:pt>
                <c:pt idx="8">
                  <c:v>56228.113568056819</c:v>
                </c:pt>
                <c:pt idx="9">
                  <c:v>57086.163869638323</c:v>
                </c:pt>
              </c:numCache>
            </c:numRef>
          </c:val>
          <c:smooth val="0"/>
          <c:extLst>
            <c:ext xmlns:c16="http://schemas.microsoft.com/office/drawing/2014/chart" uri="{C3380CC4-5D6E-409C-BE32-E72D297353CC}">
              <c16:uniqueId val="{00000003-8682-40BF-907F-6C3268F7C1B6}"/>
            </c:ext>
          </c:extLst>
        </c:ser>
        <c:ser>
          <c:idx val="4"/>
          <c:order val="4"/>
          <c:tx>
            <c:v>9%,-3%</c:v>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'Sensitivity - COVID B'!$C$13:$C$22</c:f>
              <c:numCache>
                <c:formatCode>0</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'Sensitivity - COVID B'!$H$13:$H$22</c:f>
              <c:numCache>
                <c:formatCode>0.00</c:formatCode>
                <c:ptCount val="10"/>
                <c:pt idx="0">
                  <c:v>52474.315008478625</c:v>
                </c:pt>
                <c:pt idx="1">
                  <c:v>53112.028540976018</c:v>
                </c:pt>
                <c:pt idx="2">
                  <c:v>53781.175228757922</c:v>
                </c:pt>
                <c:pt idx="3">
                  <c:v>54489.106306872556</c:v>
                </c:pt>
                <c:pt idx="4">
                  <c:v>55243.615523760964</c:v>
                </c:pt>
                <c:pt idx="5">
                  <c:v>56052.988413573119</c:v>
                </c:pt>
                <c:pt idx="6">
                  <c:v>56926.055446543287</c:v>
                </c:pt>
                <c:pt idx="7">
                  <c:v>57872.249394449034</c:v>
                </c:pt>
                <c:pt idx="8">
                  <c:v>58901.667274746833</c:v>
                </c:pt>
                <c:pt idx="9">
                  <c:v>60025.137265590347</c:v>
                </c:pt>
              </c:numCache>
            </c:numRef>
          </c:val>
          <c:smooth val="0"/>
          <c:extLst>
            <c:ext xmlns:c16="http://schemas.microsoft.com/office/drawing/2014/chart" uri="{C3380CC4-5D6E-409C-BE32-E72D297353CC}">
              <c16:uniqueId val="{00000004-8682-40BF-907F-6C3268F7C1B6}"/>
            </c:ext>
          </c:extLst>
        </c:ser>
        <c:ser>
          <c:idx val="5"/>
          <c:order val="5"/>
          <c:tx>
            <c:v>9%,-2%</c:v>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'Sensitivity - COVID B'!$C$13:$C$22</c:f>
              <c:numCache>
                <c:formatCode>0</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'Sensitivity - COVID B'!$I$13:$I$22</c:f>
              <c:numCache>
                <c:formatCode>0.00</c:formatCode>
                <c:ptCount val="10"/>
                <c:pt idx="0">
                  <c:v>52789.758710433853</c:v>
                </c:pt>
                <c:pt idx="1">
                  <c:v>53746.518314655063</c:v>
                </c:pt>
                <c:pt idx="2">
                  <c:v>54737.460192131621</c:v>
                </c:pt>
                <c:pt idx="3">
                  <c:v>55769.135395903417</c:v>
                </c:pt>
                <c:pt idx="4">
                  <c:v>56848.588082543538</c:v>
                </c:pt>
                <c:pt idx="5">
                  <c:v>57983.402406329995</c:v>
                </c:pt>
                <c:pt idx="6">
                  <c:v>59181.753389129015</c:v>
                </c:pt>
                <c:pt idx="7">
                  <c:v>60452.462099300676</c:v>
                </c:pt>
                <c:pt idx="8">
                  <c:v>61805.055499640861</c:v>
                </c:pt>
                <c:pt idx="9">
                  <c:v>63249.831353116664</c:v>
                </c:pt>
              </c:numCache>
            </c:numRef>
          </c:val>
          <c:smooth val="0"/>
          <c:extLst>
            <c:ext xmlns:c16="http://schemas.microsoft.com/office/drawing/2014/chart" uri="{C3380CC4-5D6E-409C-BE32-E72D297353CC}">
              <c16:uniqueId val="{00000005-8682-40BF-907F-6C3268F7C1B6}"/>
            </c:ext>
          </c:extLst>
        </c:ser>
        <c:ser>
          <c:idx val="6"/>
          <c:order val="6"/>
          <c:tx>
            <c:v>8%,-4%</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'Sensitivity - COVID B'!$C$13:$C$22</c:f>
              <c:numCache>
                <c:formatCode>0</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'Sensitivity - COVID B'!$J$13:$J$22</c:f>
              <c:numCache>
                <c:formatCode>0.00</c:formatCode>
                <c:ptCount val="10"/>
                <c:pt idx="0">
                  <c:v>52101.28797570162</c:v>
                </c:pt>
                <c:pt idx="1">
                  <c:v>52358.06926762536</c:v>
                </c:pt>
                <c:pt idx="2">
                  <c:v>52637.739399347134</c:v>
                </c:pt>
                <c:pt idx="3">
                  <c:v>52946.747310516039</c:v>
                </c:pt>
                <c:pt idx="4">
                  <c:v>53291.708061651429</c:v>
                </c:pt>
                <c:pt idx="5">
                  <c:v>53679.436631427896</c:v>
                </c:pt>
                <c:pt idx="6">
                  <c:v>54116.983157376606</c:v>
                </c:pt>
                <c:pt idx="7">
                  <c:v>54611.669775405368</c:v>
                </c:pt>
                <c:pt idx="8">
                  <c:v>55171.129221580122</c:v>
                </c:pt>
                <c:pt idx="9">
                  <c:v>55803.345368259521</c:v>
                </c:pt>
              </c:numCache>
            </c:numRef>
          </c:val>
          <c:smooth val="0"/>
          <c:extLst>
            <c:ext xmlns:c16="http://schemas.microsoft.com/office/drawing/2014/chart" uri="{C3380CC4-5D6E-409C-BE32-E72D297353CC}">
              <c16:uniqueId val="{00000006-8682-40BF-907F-6C3268F7C1B6}"/>
            </c:ext>
          </c:extLst>
        </c:ser>
        <c:ser>
          <c:idx val="7"/>
          <c:order val="7"/>
          <c:tx>
            <c:v>8%,-3%</c:v>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'Sensitivity - COVID B'!$C$13:$C$22</c:f>
              <c:numCache>
                <c:formatCode>0</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'Sensitivity - COVID B'!$K$13:$K$22</c:f>
              <c:numCache>
                <c:formatCode>0.00</c:formatCode>
                <c:ptCount val="10"/>
                <c:pt idx="0">
                  <c:v>52416.73167765684</c:v>
                </c:pt>
                <c:pt idx="1">
                  <c:v>52986.051453882072</c:v>
                </c:pt>
                <c:pt idx="2">
                  <c:v>53574.50902737656</c:v>
                </c:pt>
                <c:pt idx="3">
                  <c:v>54187.794141943821</c:v>
                </c:pt>
                <c:pt idx="4">
                  <c:v>54831.843371582167</c:v>
                </c:pt>
                <c:pt idx="5">
                  <c:v>55512.868340713656</c:v>
                </c:pt>
                <c:pt idx="6">
                  <c:v>56237.385712385629</c:v>
                </c:pt>
                <c:pt idx="7">
                  <c:v>57012.249082655653</c:v>
                </c:pt>
                <c:pt idx="8">
                  <c:v>57844.682928270136</c:v>
                </c:pt>
                <c:pt idx="9">
                  <c:v>58742.318764211544</c:v>
                </c:pt>
              </c:numCache>
            </c:numRef>
          </c:val>
          <c:smooth val="0"/>
          <c:extLst>
            <c:ext xmlns:c16="http://schemas.microsoft.com/office/drawing/2014/chart" uri="{C3380CC4-5D6E-409C-BE32-E72D297353CC}">
              <c16:uniqueId val="{00000007-8682-40BF-907F-6C3268F7C1B6}"/>
            </c:ext>
          </c:extLst>
        </c:ser>
        <c:ser>
          <c:idx val="8"/>
          <c:order val="8"/>
          <c:tx>
            <c:v>8%,-2%</c:v>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'Sensitivity - COVID B'!$C$13:$C$22</c:f>
              <c:numCache>
                <c:formatCode>0</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'Sensitivity - COVID B'!$L$13:$L$22</c:f>
              <c:numCache>
                <c:formatCode>0.00</c:formatCode>
                <c:ptCount val="10"/>
                <c:pt idx="0">
                  <c:v>52732.175379612061</c:v>
                </c:pt>
                <c:pt idx="1">
                  <c:v>53620.541227561116</c:v>
                </c:pt>
                <c:pt idx="2">
                  <c:v>54530.793990750259</c:v>
                </c:pt>
                <c:pt idx="3">
                  <c:v>55467.823230974682</c:v>
                </c:pt>
                <c:pt idx="4">
                  <c:v>56436.815930364741</c:v>
                </c:pt>
                <c:pt idx="5">
                  <c:v>57443.282333470524</c:v>
                </c:pt>
                <c:pt idx="6">
                  <c:v>58493.083654971357</c:v>
                </c:pt>
                <c:pt idx="7">
                  <c:v>59592.461787507295</c:v>
                </c:pt>
                <c:pt idx="8">
                  <c:v>60748.071153164165</c:v>
                </c:pt>
                <c:pt idx="9">
                  <c:v>61967.012851737862</c:v>
                </c:pt>
              </c:numCache>
            </c:numRef>
          </c:val>
          <c:smooth val="0"/>
          <c:extLst>
            <c:ext xmlns:c16="http://schemas.microsoft.com/office/drawing/2014/chart" uri="{C3380CC4-5D6E-409C-BE32-E72D297353CC}">
              <c16:uniqueId val="{00000008-8682-40BF-907F-6C3268F7C1B6}"/>
            </c:ext>
          </c:extLst>
        </c:ser>
        <c:dLbls>
          <c:showLegendKey val="0"/>
          <c:showVal val="0"/>
          <c:showCatName val="0"/>
          <c:showSerName val="0"/>
          <c:showPercent val="0"/>
          <c:showBubbleSize val="0"/>
        </c:dLbls>
        <c:marker val="1"/>
        <c:smooth val="0"/>
        <c:axId val="324290848"/>
        <c:axId val="324289184"/>
      </c:lineChart>
      <c:catAx>
        <c:axId val="324290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289184"/>
        <c:crosses val="autoZero"/>
        <c:auto val="1"/>
        <c:lblAlgn val="ctr"/>
        <c:lblOffset val="100"/>
        <c:noMultiLvlLbl val="0"/>
      </c:catAx>
      <c:valAx>
        <c:axId val="324289184"/>
        <c:scaling>
          <c:orientation val="minMax"/>
          <c:max val="66000"/>
          <c:min val="51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Total Consumption (GWH)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290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SG"/>
              <a:t>Power Generation Capacity - 2021 to 2050 Prediction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2"/>
          <c:order val="2"/>
          <c:tx>
            <c:v>Power Demand Prediction</c:v>
          </c:tx>
          <c:spPr>
            <a:ln w="12700" cap="rnd">
              <a:solidFill>
                <a:schemeClr val="accent3"/>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P'!$CY$14:$CY$43</c:f>
              <c:numCache>
                <c:formatCode>0.00</c:formatCode>
                <c:ptCount val="30"/>
                <c:pt idx="0">
                  <c:v>6068.3664805815779</c:v>
                </c:pt>
                <c:pt idx="1">
                  <c:v>6186.8714118140279</c:v>
                </c:pt>
                <c:pt idx="2">
                  <c:v>6305.2953080940742</c:v>
                </c:pt>
                <c:pt idx="3">
                  <c:v>6423.635511917023</c:v>
                </c:pt>
                <c:pt idx="4">
                  <c:v>6541.8893913947832</c:v>
                </c:pt>
                <c:pt idx="5">
                  <c:v>6660.0543424500529</c:v>
                </c:pt>
                <c:pt idx="6">
                  <c:v>6778.1277910022154</c:v>
                </c:pt>
                <c:pt idx="7">
                  <c:v>6896.1071951422828</c:v>
                </c:pt>
                <c:pt idx="8">
                  <c:v>7013.9900472946683</c:v>
                </c:pt>
                <c:pt idx="9">
                  <c:v>7131.7738763628868</c:v>
                </c:pt>
                <c:pt idx="10">
                  <c:v>7249.4562498569203</c:v>
                </c:pt>
                <c:pt idx="11">
                  <c:v>7367.0347759993565</c:v>
                </c:pt>
                <c:pt idx="12">
                  <c:v>7484.5071058082076</c:v>
                </c:pt>
                <c:pt idx="13">
                  <c:v>7601.8709351536054</c:v>
                </c:pt>
                <c:pt idx="14">
                  <c:v>7719.1240067857725</c:v>
                </c:pt>
                <c:pt idx="15">
                  <c:v>7836.2641123321218</c:v>
                </c:pt>
                <c:pt idx="16">
                  <c:v>7953.2890942607619</c:v>
                </c:pt>
                <c:pt idx="17">
                  <c:v>8070.1968478080753</c:v>
                </c:pt>
                <c:pt idx="18">
                  <c:v>8186.9853228678649</c:v>
                </c:pt>
                <c:pt idx="19">
                  <c:v>8303.6525258398833</c:v>
                </c:pt>
                <c:pt idx="20">
                  <c:v>8420.1965214353331</c:v>
                </c:pt>
                <c:pt idx="21">
                  <c:v>8536.615434436937</c:v>
                </c:pt>
                <c:pt idx="22">
                  <c:v>8652.9074514115582</c:v>
                </c:pt>
                <c:pt idx="23">
                  <c:v>8769.0708223730744</c:v>
                </c:pt>
                <c:pt idx="24">
                  <c:v>8885.1038623933546</c:v>
                </c:pt>
                <c:pt idx="25">
                  <c:v>9001.0049531593049</c:v>
                </c:pt>
                <c:pt idx="26">
                  <c:v>9116.7725444739917</c:v>
                </c:pt>
                <c:pt idx="27">
                  <c:v>9232.4051556999439</c:v>
                </c:pt>
                <c:pt idx="28">
                  <c:v>9347.9013771425216</c:v>
                </c:pt>
                <c:pt idx="29">
                  <c:v>9463.2598713718889</c:v>
                </c:pt>
              </c:numCache>
            </c:numRef>
          </c:yVal>
          <c:smooth val="1"/>
          <c:extLst>
            <c:ext xmlns:c16="http://schemas.microsoft.com/office/drawing/2014/chart" uri="{C3380CC4-5D6E-409C-BE32-E72D297353CC}">
              <c16:uniqueId val="{00000000-873A-49E4-B75F-C0D3931FF99A}"/>
            </c:ext>
          </c:extLst>
        </c:ser>
        <c:ser>
          <c:idx val="3"/>
          <c:order val="3"/>
          <c:tx>
            <c:v>Power Generation Capacity with Availability - Inc new Solar</c:v>
          </c:tx>
          <c:spPr>
            <a:ln w="9525" cap="rnd">
              <a:solidFill>
                <a:schemeClr val="accent4"/>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P'!$CX$14:$CX$43</c:f>
              <c:numCache>
                <c:formatCode>0.00</c:formatCode>
                <c:ptCount val="30"/>
                <c:pt idx="0">
                  <c:v>10295.199999999999</c:v>
                </c:pt>
                <c:pt idx="1">
                  <c:v>10710.963876568836</c:v>
                </c:pt>
                <c:pt idx="2">
                  <c:v>11126.727753137671</c:v>
                </c:pt>
                <c:pt idx="3">
                  <c:v>11542.491629706505</c:v>
                </c:pt>
                <c:pt idx="4">
                  <c:v>11637.12680646724</c:v>
                </c:pt>
                <c:pt idx="5">
                  <c:v>10641.091571060491</c:v>
                </c:pt>
                <c:pt idx="6">
                  <c:v>9349.794584160245</c:v>
                </c:pt>
                <c:pt idx="7">
                  <c:v>9444.4297609209825</c:v>
                </c:pt>
                <c:pt idx="8">
                  <c:v>8848.2281473283419</c:v>
                </c:pt>
                <c:pt idx="9">
                  <c:v>7632.1661259528801</c:v>
                </c:pt>
                <c:pt idx="10">
                  <c:v>7821.4364794743506</c:v>
                </c:pt>
                <c:pt idx="11">
                  <c:v>7537.5309491921425</c:v>
                </c:pt>
                <c:pt idx="12">
                  <c:v>7726.8013027136158</c:v>
                </c:pt>
                <c:pt idx="13">
                  <c:v>7916.0716562350881</c:v>
                </c:pt>
                <c:pt idx="14">
                  <c:v>7405.041701727112</c:v>
                </c:pt>
                <c:pt idx="15">
                  <c:v>7537.5309491921425</c:v>
                </c:pt>
                <c:pt idx="16">
                  <c:v>6911.0460790360703</c:v>
                </c:pt>
                <c:pt idx="17">
                  <c:v>6001.6020303653968</c:v>
                </c:pt>
                <c:pt idx="18">
                  <c:v>4636.7735111220591</c:v>
                </c:pt>
                <c:pt idx="19">
                  <c:v>4761.8812147997523</c:v>
                </c:pt>
                <c:pt idx="20">
                  <c:v>4576.6801738789918</c:v>
                </c:pt>
                <c:pt idx="21">
                  <c:v>4648.6502258055316</c:v>
                </c:pt>
                <c:pt idx="22">
                  <c:v>4793.4420462494581</c:v>
                </c:pt>
                <c:pt idx="23">
                  <c:v>4982.7123997709305</c:v>
                </c:pt>
                <c:pt idx="24">
                  <c:v>5171.9827532924028</c:v>
                </c:pt>
                <c:pt idx="25">
                  <c:v>5310.1501113630775</c:v>
                </c:pt>
                <c:pt idx="26">
                  <c:v>5083.6565883157145</c:v>
                </c:pt>
                <c:pt idx="27">
                  <c:v>4857.1630652683525</c:v>
                </c:pt>
                <c:pt idx="28">
                  <c:v>4630.6695422209914</c:v>
                </c:pt>
                <c:pt idx="29">
                  <c:v>4536.0343654602548</c:v>
                </c:pt>
              </c:numCache>
            </c:numRef>
          </c:yVal>
          <c:smooth val="1"/>
          <c:extLst>
            <c:ext xmlns:c16="http://schemas.microsoft.com/office/drawing/2014/chart" uri="{C3380CC4-5D6E-409C-BE32-E72D297353CC}">
              <c16:uniqueId val="{00000001-873A-49E4-B75F-C0D3931FF99A}"/>
            </c:ext>
          </c:extLst>
        </c:ser>
        <c:ser>
          <c:idx val="4"/>
          <c:order val="4"/>
          <c:tx>
            <c:v>Power Generation Capacity with Availability - NOT inc new Solar</c:v>
          </c:tx>
          <c:spPr>
            <a:ln w="12700" cap="rnd">
              <a:solidFill>
                <a:schemeClr val="accent5"/>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P'!$CT$14:$CT$43</c:f>
              <c:numCache>
                <c:formatCode>0.00</c:formatCode>
                <c:ptCount val="30"/>
                <c:pt idx="0">
                  <c:v>10295.199999999999</c:v>
                </c:pt>
                <c:pt idx="1">
                  <c:v>10295.199999999999</c:v>
                </c:pt>
                <c:pt idx="2">
                  <c:v>10295.199999999999</c:v>
                </c:pt>
                <c:pt idx="3">
                  <c:v>10295.199999999999</c:v>
                </c:pt>
                <c:pt idx="4">
                  <c:v>10295.199999999999</c:v>
                </c:pt>
                <c:pt idx="5">
                  <c:v>9204.5295878325142</c:v>
                </c:pt>
                <c:pt idx="6">
                  <c:v>7818.5974241715294</c:v>
                </c:pt>
                <c:pt idx="7">
                  <c:v>7818.5974241715294</c:v>
                </c:pt>
                <c:pt idx="8">
                  <c:v>7127.7606338181549</c:v>
                </c:pt>
                <c:pt idx="9">
                  <c:v>5722.4282589212244</c:v>
                </c:pt>
                <c:pt idx="10">
                  <c:v>5722.4282589212244</c:v>
                </c:pt>
                <c:pt idx="11">
                  <c:v>5249.2523751175422</c:v>
                </c:pt>
                <c:pt idx="12">
                  <c:v>5249.2523751175422</c:v>
                </c:pt>
                <c:pt idx="13">
                  <c:v>5249.2523751175422</c:v>
                </c:pt>
                <c:pt idx="14">
                  <c:v>4548.9520670880947</c:v>
                </c:pt>
                <c:pt idx="15">
                  <c:v>4492.170961031653</c:v>
                </c:pt>
                <c:pt idx="16">
                  <c:v>3676.4157373541079</c:v>
                </c:pt>
                <c:pt idx="17">
                  <c:v>2577.7013351619607</c:v>
                </c:pt>
                <c:pt idx="18">
                  <c:v>1023.6024623971508</c:v>
                </c:pt>
                <c:pt idx="19">
                  <c:v>959.43981255337167</c:v>
                </c:pt>
                <c:pt idx="20">
                  <c:v>584.96841811113859</c:v>
                </c:pt>
                <c:pt idx="21">
                  <c:v>467.66811651620606</c:v>
                </c:pt>
                <c:pt idx="22">
                  <c:v>423.18958343866007</c:v>
                </c:pt>
                <c:pt idx="23">
                  <c:v>423.18958343866007</c:v>
                </c:pt>
                <c:pt idx="24">
                  <c:v>423.18958343866007</c:v>
                </c:pt>
                <c:pt idx="25">
                  <c:v>372.08658798786252</c:v>
                </c:pt>
                <c:pt idx="26">
                  <c:v>372.08658798786252</c:v>
                </c:pt>
                <c:pt idx="27">
                  <c:v>372.08658798786252</c:v>
                </c:pt>
                <c:pt idx="28">
                  <c:v>372.08658798786252</c:v>
                </c:pt>
                <c:pt idx="29">
                  <c:v>372.08658798786252</c:v>
                </c:pt>
              </c:numCache>
            </c:numRef>
          </c:yVal>
          <c:smooth val="1"/>
          <c:extLst>
            <c:ext xmlns:c16="http://schemas.microsoft.com/office/drawing/2014/chart" uri="{C3380CC4-5D6E-409C-BE32-E72D297353CC}">
              <c16:uniqueId val="{00000002-873A-49E4-B75F-C0D3931FF99A}"/>
            </c:ext>
          </c:extLst>
        </c:ser>
        <c:dLbls>
          <c:showLegendKey val="0"/>
          <c:showVal val="0"/>
          <c:showCatName val="0"/>
          <c:showSerName val="0"/>
          <c:showPercent val="0"/>
          <c:showBubbleSize val="0"/>
        </c:dLbls>
        <c:axId val="924342792"/>
        <c:axId val="924342464"/>
        <c:extLst>
          <c:ext xmlns:c15="http://schemas.microsoft.com/office/drawing/2012/chart" uri="{02D57815-91ED-43cb-92C2-25804820EDAC}">
            <c15:filteredScatterSeries>
              <c15:ser>
                <c:idx val="1"/>
                <c:order val="0"/>
                <c:tx>
                  <c:v>Power Generation Capacity - Inc new Solar</c:v>
                </c:tx>
                <c:spPr>
                  <a:ln w="12700" cap="rnd">
                    <a:solidFill>
                      <a:schemeClr val="accent2"/>
                    </a:solidFill>
                    <a:round/>
                  </a:ln>
                  <a:effectLst>
                    <a:outerShdw blurRad="57150" dist="19050" dir="5400000" algn="ctr" rotWithShape="0">
                      <a:srgbClr val="000000">
                        <a:alpha val="63000"/>
                      </a:srgbClr>
                    </a:outerShdw>
                  </a:effectLst>
                </c:spPr>
                <c:marker>
                  <c:symbol val="none"/>
                </c:marker>
                <c:xVal>
                  <c:numRef>
                    <c:extLst>
                      <c:ext uri="{02D57815-91ED-43cb-92C2-25804820EDAC}">
                        <c15:formulaRef>
                          <c15:sqref>'Sensitivity - Aging Power P'!$O$14:$O$43</c15:sqref>
                        </c15:formulaRef>
                      </c:ext>
                    </c:extLst>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extLst>
                      <c:ext uri="{02D57815-91ED-43cb-92C2-25804820EDAC}">
                        <c15:formulaRef>
                          <c15:sqref>'Sensitivity - Aging Power P'!$CW$14:$CW$43</c15:sqref>
                        </c15:formulaRef>
                      </c:ext>
                    </c:extLst>
                    <c:numCache>
                      <c:formatCode>0.00</c:formatCode>
                      <c:ptCount val="30"/>
                      <c:pt idx="0">
                        <c:v>12112</c:v>
                      </c:pt>
                      <c:pt idx="1">
                        <c:v>12601.133972433925</c:v>
                      </c:pt>
                      <c:pt idx="2">
                        <c:v>13090.267944867848</c:v>
                      </c:pt>
                      <c:pt idx="3">
                        <c:v>13579.401917301771</c:v>
                      </c:pt>
                      <c:pt idx="4">
                        <c:v>13690.737419373225</c:v>
                      </c:pt>
                      <c:pt idx="5">
                        <c:v>12518.931260071167</c:v>
                      </c:pt>
                      <c:pt idx="6">
                        <c:v>10999.758334306171</c:v>
                      </c:pt>
                      <c:pt idx="7">
                        <c:v>11111.093836377626</c:v>
                      </c:pt>
                      <c:pt idx="8">
                        <c:v>10409.680173327461</c:v>
                      </c:pt>
                      <c:pt idx="9">
                        <c:v>8979.0189717092708</c:v>
                      </c:pt>
                      <c:pt idx="10">
                        <c:v>9201.6899758521777</c:v>
                      </c:pt>
                      <c:pt idx="11">
                        <c:v>8867.6834696378155</c:v>
                      </c:pt>
                      <c:pt idx="12">
                        <c:v>9090.3544737807242</c:v>
                      </c:pt>
                      <c:pt idx="13">
                        <c:v>9313.0254779236329</c:v>
                      </c:pt>
                      <c:pt idx="14">
                        <c:v>8711.8137667377796</c:v>
                      </c:pt>
                      <c:pt idx="15">
                        <c:v>8867.6834696378155</c:v>
                      </c:pt>
                      <c:pt idx="16">
                        <c:v>8130.6424459247892</c:v>
                      </c:pt>
                      <c:pt idx="17">
                        <c:v>7060.7082710181139</c:v>
                      </c:pt>
                      <c:pt idx="18">
                        <c:v>5455.027660143599</c:v>
                      </c:pt>
                      <c:pt idx="19">
                        <c:v>5602.2131938820621</c:v>
                      </c:pt>
                      <c:pt idx="20">
                        <c:v>5384.3296163282257</c:v>
                      </c:pt>
                      <c:pt idx="21">
                        <c:v>5469.0002656535662</c:v>
                      </c:pt>
                      <c:pt idx="22">
                        <c:v>5639.3435838228916</c:v>
                      </c:pt>
                      <c:pt idx="23">
                        <c:v>5862.0145879658003</c:v>
                      </c:pt>
                      <c:pt idx="24">
                        <c:v>6084.685592108709</c:v>
                      </c:pt>
                      <c:pt idx="25">
                        <c:v>6247.2354251330325</c:v>
                      </c:pt>
                      <c:pt idx="26">
                        <c:v>5980.7724568420172</c:v>
                      </c:pt>
                      <c:pt idx="27">
                        <c:v>5714.3094885510036</c:v>
                      </c:pt>
                      <c:pt idx="28">
                        <c:v>5447.84652025999</c:v>
                      </c:pt>
                      <c:pt idx="29">
                        <c:v>5336.5110181885357</c:v>
                      </c:pt>
                    </c:numCache>
                  </c:numRef>
                </c:yVal>
                <c:smooth val="1"/>
                <c:extLst>
                  <c:ext xmlns:c16="http://schemas.microsoft.com/office/drawing/2014/chart" uri="{C3380CC4-5D6E-409C-BE32-E72D297353CC}">
                    <c16:uniqueId val="{00000003-873A-49E4-B75F-C0D3931FF99A}"/>
                  </c:ext>
                </c:extLst>
              </c15:ser>
            </c15:filteredScatterSeries>
            <c15:filteredScatterSeries>
              <c15:ser>
                <c:idx val="0"/>
                <c:order val="1"/>
                <c:tx>
                  <c:v>Power Generation Capacity - NOT Inc new Solar</c:v>
                </c:tx>
                <c:spPr>
                  <a:ln w="12700" cap="rnd">
                    <a:solidFill>
                      <a:schemeClr val="accent1"/>
                    </a:solidFill>
                    <a:round/>
                  </a:ln>
                  <a:effectLst>
                    <a:outerShdw blurRad="57150" dist="19050" dir="5400000" algn="ctr" rotWithShape="0">
                      <a:srgbClr val="000000">
                        <a:alpha val="63000"/>
                      </a:srgbClr>
                    </a:outerShdw>
                  </a:effectLst>
                </c:spPr>
                <c:marker>
                  <c:symbol val="none"/>
                </c:marker>
                <c:xVal>
                  <c:numRef>
                    <c:extLst xmlns:c15="http://schemas.microsoft.com/office/drawing/2012/chart">
                      <c:ext xmlns:c15="http://schemas.microsoft.com/office/drawing/2012/chart" uri="{02D57815-91ED-43cb-92C2-25804820EDAC}">
                        <c15:formulaRef>
                          <c15:sqref>'Sensitivity - Aging Power P'!$O$14:$O$43</c15:sqref>
                        </c15:formulaRef>
                      </c:ext>
                    </c:extLst>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extLst xmlns:c15="http://schemas.microsoft.com/office/drawing/2012/chart">
                      <c:ext xmlns:c15="http://schemas.microsoft.com/office/drawing/2012/chart" uri="{02D57815-91ED-43cb-92C2-25804820EDAC}">
                        <c15:formulaRef>
                          <c15:sqref>'Sensitivity - Aging Power P'!$CS$14:$CS$43</c15:sqref>
                        </c15:formulaRef>
                      </c:ext>
                    </c:extLst>
                    <c:numCache>
                      <c:formatCode>0.00</c:formatCode>
                      <c:ptCount val="30"/>
                      <c:pt idx="0">
                        <c:v>12112</c:v>
                      </c:pt>
                      <c:pt idx="1">
                        <c:v>12112</c:v>
                      </c:pt>
                      <c:pt idx="2">
                        <c:v>12112</c:v>
                      </c:pt>
                      <c:pt idx="3">
                        <c:v>12112</c:v>
                      </c:pt>
                      <c:pt idx="4">
                        <c:v>12112</c:v>
                      </c:pt>
                      <c:pt idx="5">
                        <c:v>10828.858338626487</c:v>
                      </c:pt>
                      <c:pt idx="6">
                        <c:v>9198.3499107900352</c:v>
                      </c:pt>
                      <c:pt idx="7">
                        <c:v>9198.3499107900352</c:v>
                      </c:pt>
                      <c:pt idx="8">
                        <c:v>8385.6007456684183</c:v>
                      </c:pt>
                      <c:pt idx="9">
                        <c:v>6732.2685399073225</c:v>
                      </c:pt>
                      <c:pt idx="10">
                        <c:v>6732.2685399073225</c:v>
                      </c:pt>
                      <c:pt idx="11">
                        <c:v>6175.5910295500498</c:v>
                      </c:pt>
                      <c:pt idx="12">
                        <c:v>6175.5910295500498</c:v>
                      </c:pt>
                      <c:pt idx="13">
                        <c:v>6175.5910295500498</c:v>
                      </c:pt>
                      <c:pt idx="14">
                        <c:v>5351.7083142212878</c:v>
                      </c:pt>
                      <c:pt idx="15">
                        <c:v>5284.907012978415</c:v>
                      </c:pt>
                      <c:pt idx="16">
                        <c:v>4325.1949851224799</c:v>
                      </c:pt>
                      <c:pt idx="17">
                        <c:v>3032.589806072895</c:v>
                      </c:pt>
                      <c:pt idx="18">
                        <c:v>1204.2381910554716</c:v>
                      </c:pt>
                      <c:pt idx="19">
                        <c:v>1128.7527206510256</c:v>
                      </c:pt>
                      <c:pt idx="20">
                        <c:v>688.19813895428069</c:v>
                      </c:pt>
                      <c:pt idx="21">
                        <c:v>550.19778413671304</c:v>
                      </c:pt>
                      <c:pt idx="22">
                        <c:v>497.87009816312951</c:v>
                      </c:pt>
                      <c:pt idx="23">
                        <c:v>497.87009816312951</c:v>
                      </c:pt>
                      <c:pt idx="24">
                        <c:v>497.87009816312951</c:v>
                      </c:pt>
                      <c:pt idx="25">
                        <c:v>437.74892704454413</c:v>
                      </c:pt>
                      <c:pt idx="26">
                        <c:v>437.74892704454413</c:v>
                      </c:pt>
                      <c:pt idx="27">
                        <c:v>437.74892704454413</c:v>
                      </c:pt>
                      <c:pt idx="28">
                        <c:v>437.74892704454413</c:v>
                      </c:pt>
                      <c:pt idx="29">
                        <c:v>437.74892704454413</c:v>
                      </c:pt>
                    </c:numCache>
                  </c:numRef>
                </c:yVal>
                <c:smooth val="1"/>
                <c:extLst xmlns:c15="http://schemas.microsoft.com/office/drawing/2012/chart">
                  <c:ext xmlns:c16="http://schemas.microsoft.com/office/drawing/2014/chart" uri="{C3380CC4-5D6E-409C-BE32-E72D297353CC}">
                    <c16:uniqueId val="{00000004-873A-49E4-B75F-C0D3931FF99A}"/>
                  </c:ext>
                </c:extLst>
              </c15:ser>
            </c15:filteredScatterSeries>
          </c:ext>
        </c:extLst>
      </c:scatterChart>
      <c:valAx>
        <c:axId val="924342792"/>
        <c:scaling>
          <c:orientation val="minMax"/>
          <c:min val="44000"/>
        </c:scaling>
        <c:delete val="0"/>
        <c:axPos val="b"/>
        <c:majorGridlines>
          <c:spPr>
            <a:ln w="9525" cap="flat" cmpd="sng" algn="ctr">
              <a:solidFill>
                <a:schemeClr val="tx1">
                  <a:lumMod val="15000"/>
                  <a:lumOff val="85000"/>
                </a:schemeClr>
              </a:solidFill>
              <a:round/>
            </a:ln>
            <a:effectLst/>
          </c:spPr>
        </c:majorGridlines>
        <c:numFmt formatCode="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342464"/>
        <c:crosses val="autoZero"/>
        <c:crossBetween val="midCat"/>
        <c:majorUnit val="1000"/>
      </c:valAx>
      <c:valAx>
        <c:axId val="924342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SG"/>
                  <a:t>MW</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342792"/>
        <c:crosses val="autoZero"/>
        <c:crossBetween val="midCat"/>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SG"/>
              <a:t>Power Generation Capacity - 2021 to 2050 Prediction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2"/>
          <c:order val="2"/>
          <c:tx>
            <c:v>Power Demand Prediction</c:v>
          </c:tx>
          <c:spPr>
            <a:ln w="12700" cap="rnd">
              <a:solidFill>
                <a:schemeClr val="accent3"/>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P'!$CY$14:$CY$43</c:f>
              <c:numCache>
                <c:formatCode>0.00</c:formatCode>
                <c:ptCount val="30"/>
                <c:pt idx="0">
                  <c:v>6068.3664805815779</c:v>
                </c:pt>
                <c:pt idx="1">
                  <c:v>6186.8714118140279</c:v>
                </c:pt>
                <c:pt idx="2">
                  <c:v>6305.2953080940742</c:v>
                </c:pt>
                <c:pt idx="3">
                  <c:v>6423.635511917023</c:v>
                </c:pt>
                <c:pt idx="4">
                  <c:v>6541.8893913947832</c:v>
                </c:pt>
                <c:pt idx="5">
                  <c:v>6660.0543424500529</c:v>
                </c:pt>
                <c:pt idx="6">
                  <c:v>6778.1277910022154</c:v>
                </c:pt>
                <c:pt idx="7">
                  <c:v>6896.1071951422828</c:v>
                </c:pt>
                <c:pt idx="8">
                  <c:v>7013.9900472946683</c:v>
                </c:pt>
                <c:pt idx="9">
                  <c:v>7131.7738763628868</c:v>
                </c:pt>
                <c:pt idx="10">
                  <c:v>7249.4562498569203</c:v>
                </c:pt>
                <c:pt idx="11">
                  <c:v>7367.0347759993565</c:v>
                </c:pt>
                <c:pt idx="12">
                  <c:v>7484.5071058082076</c:v>
                </c:pt>
                <c:pt idx="13">
                  <c:v>7601.8709351536054</c:v>
                </c:pt>
                <c:pt idx="14">
                  <c:v>7719.1240067857725</c:v>
                </c:pt>
                <c:pt idx="15">
                  <c:v>7836.2641123321218</c:v>
                </c:pt>
                <c:pt idx="16">
                  <c:v>7953.2890942607619</c:v>
                </c:pt>
                <c:pt idx="17">
                  <c:v>8070.1968478080753</c:v>
                </c:pt>
                <c:pt idx="18">
                  <c:v>8186.9853228678649</c:v>
                </c:pt>
                <c:pt idx="19">
                  <c:v>8303.6525258398833</c:v>
                </c:pt>
                <c:pt idx="20">
                  <c:v>8420.1965214353331</c:v>
                </c:pt>
                <c:pt idx="21">
                  <c:v>8536.615434436937</c:v>
                </c:pt>
                <c:pt idx="22">
                  <c:v>8652.9074514115582</c:v>
                </c:pt>
                <c:pt idx="23">
                  <c:v>8769.0708223730744</c:v>
                </c:pt>
                <c:pt idx="24">
                  <c:v>8885.1038623933546</c:v>
                </c:pt>
                <c:pt idx="25">
                  <c:v>9001.0049531593049</c:v>
                </c:pt>
                <c:pt idx="26">
                  <c:v>9116.7725444739917</c:v>
                </c:pt>
                <c:pt idx="27">
                  <c:v>9232.4051556999439</c:v>
                </c:pt>
                <c:pt idx="28">
                  <c:v>9347.9013771425216</c:v>
                </c:pt>
                <c:pt idx="29">
                  <c:v>9463.2598713718889</c:v>
                </c:pt>
              </c:numCache>
            </c:numRef>
          </c:yVal>
          <c:smooth val="1"/>
          <c:extLst>
            <c:ext xmlns:c16="http://schemas.microsoft.com/office/drawing/2014/chart" uri="{C3380CC4-5D6E-409C-BE32-E72D297353CC}">
              <c16:uniqueId val="{00000000-EF00-4416-A76D-CA4D07DC1354}"/>
            </c:ext>
          </c:extLst>
        </c:ser>
        <c:ser>
          <c:idx val="3"/>
          <c:order val="3"/>
          <c:tx>
            <c:v>Power Generation Capacity with Availability - Inc new Solar</c:v>
          </c:tx>
          <c:spPr>
            <a:ln w="9525" cap="rnd">
              <a:solidFill>
                <a:schemeClr val="accent4"/>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P'!$CX$51:$CX$80</c:f>
              <c:numCache>
                <c:formatCode>0.00</c:formatCode>
                <c:ptCount val="30"/>
                <c:pt idx="0">
                  <c:v>10295.199999999999</c:v>
                </c:pt>
                <c:pt idx="1">
                  <c:v>10686.267872632863</c:v>
                </c:pt>
                <c:pt idx="2">
                  <c:v>11077.335745265724</c:v>
                </c:pt>
                <c:pt idx="3">
                  <c:v>11468.403617898588</c:v>
                </c:pt>
                <c:pt idx="4">
                  <c:v>11557.417549453869</c:v>
                </c:pt>
                <c:pt idx="5">
                  <c:v>11646.431481009149</c:v>
                </c:pt>
                <c:pt idx="6">
                  <c:v>11735.445412564428</c:v>
                </c:pt>
                <c:pt idx="7">
                  <c:v>11824.459344119708</c:v>
                </c:pt>
                <c:pt idx="8">
                  <c:v>11913.473275674987</c:v>
                </c:pt>
                <c:pt idx="9">
                  <c:v>12091.501138785548</c:v>
                </c:pt>
                <c:pt idx="10">
                  <c:v>11658.003292111336</c:v>
                </c:pt>
                <c:pt idx="11">
                  <c:v>11836.031155221895</c:v>
                </c:pt>
                <c:pt idx="12">
                  <c:v>12014.059018332455</c:v>
                </c:pt>
                <c:pt idx="13">
                  <c:v>12192.086881443016</c:v>
                </c:pt>
                <c:pt idx="14">
                  <c:v>12370.114744553575</c:v>
                </c:pt>
                <c:pt idx="15">
                  <c:v>11522.257046489536</c:v>
                </c:pt>
                <c:pt idx="16">
                  <c:v>10396.675881973024</c:v>
                </c:pt>
                <c:pt idx="17">
                  <c:v>10574.703745083581</c:v>
                </c:pt>
                <c:pt idx="18">
                  <c:v>10102.929907840598</c:v>
                </c:pt>
                <c:pt idx="19">
                  <c:v>8959.1008873552528</c:v>
                </c:pt>
                <c:pt idx="20">
                  <c:v>9137.1287504658139</c:v>
                </c:pt>
                <c:pt idx="21">
                  <c:v>8870.086955799974</c:v>
                </c:pt>
                <c:pt idx="22">
                  <c:v>9048.1148189105334</c:v>
                </c:pt>
                <c:pt idx="23">
                  <c:v>9226.1426820210927</c:v>
                </c:pt>
                <c:pt idx="24">
                  <c:v>8745.4674516225823</c:v>
                </c:pt>
                <c:pt idx="25">
                  <c:v>8870.0869557999722</c:v>
                </c:pt>
                <c:pt idx="26">
                  <c:v>8280.8147289040207</c:v>
                </c:pt>
                <c:pt idx="27">
                  <c:v>7425.390846657785</c:v>
                </c:pt>
                <c:pt idx="28">
                  <c:v>6141.6319257675423</c:v>
                </c:pt>
                <c:pt idx="29">
                  <c:v>6081.2804801730626</c:v>
                </c:pt>
              </c:numCache>
            </c:numRef>
          </c:yVal>
          <c:smooth val="1"/>
          <c:extLst>
            <c:ext xmlns:c16="http://schemas.microsoft.com/office/drawing/2014/chart" uri="{C3380CC4-5D6E-409C-BE32-E72D297353CC}">
              <c16:uniqueId val="{00000001-EF00-4416-A76D-CA4D07DC1354}"/>
            </c:ext>
          </c:extLst>
        </c:ser>
        <c:ser>
          <c:idx val="4"/>
          <c:order val="4"/>
          <c:tx>
            <c:v>Power Generation Capacity with Availability - NOT inc new Solar</c:v>
          </c:tx>
          <c:spPr>
            <a:ln w="9525" cap="rnd">
              <a:solidFill>
                <a:schemeClr val="accent5"/>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P'!$CT$51:$CT$80</c:f>
              <c:numCache>
                <c:formatCode>0.00</c:formatCode>
                <c:ptCount val="30"/>
                <c:pt idx="0">
                  <c:v>10295.199999999999</c:v>
                </c:pt>
                <c:pt idx="1">
                  <c:v>10295.199999999999</c:v>
                </c:pt>
                <c:pt idx="2">
                  <c:v>10295.199999999999</c:v>
                </c:pt>
                <c:pt idx="3">
                  <c:v>10295.199999999999</c:v>
                </c:pt>
                <c:pt idx="4">
                  <c:v>10295.199999999999</c:v>
                </c:pt>
                <c:pt idx="5">
                  <c:v>10295.199999999999</c:v>
                </c:pt>
                <c:pt idx="6">
                  <c:v>10295.199999999999</c:v>
                </c:pt>
                <c:pt idx="7">
                  <c:v>10295.199999999999</c:v>
                </c:pt>
                <c:pt idx="8">
                  <c:v>10295.199999999999</c:v>
                </c:pt>
                <c:pt idx="9">
                  <c:v>10295.199999999999</c:v>
                </c:pt>
                <c:pt idx="10">
                  <c:v>9683.6742902152291</c:v>
                </c:pt>
                <c:pt idx="11">
                  <c:v>9683.6742902152291</c:v>
                </c:pt>
                <c:pt idx="12">
                  <c:v>9683.6742902152291</c:v>
                </c:pt>
                <c:pt idx="13">
                  <c:v>9683.6742902152291</c:v>
                </c:pt>
                <c:pt idx="14">
                  <c:v>9683.6742902152291</c:v>
                </c:pt>
                <c:pt idx="15">
                  <c:v>8657.7887290406306</c:v>
                </c:pt>
                <c:pt idx="16">
                  <c:v>7354.1797014135573</c:v>
                </c:pt>
                <c:pt idx="17">
                  <c:v>7354.1797014135573</c:v>
                </c:pt>
                <c:pt idx="18">
                  <c:v>6704.3780010600167</c:v>
                </c:pt>
                <c:pt idx="19">
                  <c:v>5382.5211174641145</c:v>
                </c:pt>
                <c:pt idx="20">
                  <c:v>5382.5211174641145</c:v>
                </c:pt>
                <c:pt idx="21">
                  <c:v>4937.4514596877152</c:v>
                </c:pt>
                <c:pt idx="22">
                  <c:v>4937.4514596877152</c:v>
                </c:pt>
                <c:pt idx="23">
                  <c:v>4937.4514596877152</c:v>
                </c:pt>
                <c:pt idx="24">
                  <c:v>4278.7483661786464</c:v>
                </c:pt>
                <c:pt idx="25">
                  <c:v>4225.3400072454788</c:v>
                </c:pt>
                <c:pt idx="26">
                  <c:v>3458.0399172389693</c:v>
                </c:pt>
                <c:pt idx="27">
                  <c:v>2424.5881718821729</c:v>
                </c:pt>
                <c:pt idx="28">
                  <c:v>962.80138788137094</c:v>
                </c:pt>
                <c:pt idx="29">
                  <c:v>902.44994228689131</c:v>
                </c:pt>
              </c:numCache>
            </c:numRef>
          </c:yVal>
          <c:smooth val="1"/>
          <c:extLst>
            <c:ext xmlns:c16="http://schemas.microsoft.com/office/drawing/2014/chart" uri="{C3380CC4-5D6E-409C-BE32-E72D297353CC}">
              <c16:uniqueId val="{00000002-EF00-4416-A76D-CA4D07DC1354}"/>
            </c:ext>
          </c:extLst>
        </c:ser>
        <c:dLbls>
          <c:showLegendKey val="0"/>
          <c:showVal val="0"/>
          <c:showCatName val="0"/>
          <c:showSerName val="0"/>
          <c:showPercent val="0"/>
          <c:showBubbleSize val="0"/>
        </c:dLbls>
        <c:axId val="924342792"/>
        <c:axId val="924342464"/>
        <c:extLst>
          <c:ext xmlns:c15="http://schemas.microsoft.com/office/drawing/2012/chart" uri="{02D57815-91ED-43cb-92C2-25804820EDAC}">
            <c15:filteredScatterSeries>
              <c15:ser>
                <c:idx val="1"/>
                <c:order val="0"/>
                <c:tx>
                  <c:v>Power Generation Capacity - Inc new Solar</c:v>
                </c:tx>
                <c:spPr>
                  <a:ln w="9525" cap="rnd">
                    <a:solidFill>
                      <a:schemeClr val="accent2"/>
                    </a:solidFill>
                    <a:round/>
                  </a:ln>
                  <a:effectLst>
                    <a:outerShdw blurRad="57150" dist="19050" dir="5400000" algn="ctr" rotWithShape="0">
                      <a:srgbClr val="000000">
                        <a:alpha val="63000"/>
                      </a:srgbClr>
                    </a:outerShdw>
                  </a:effectLst>
                </c:spPr>
                <c:marker>
                  <c:symbol val="none"/>
                </c:marker>
                <c:xVal>
                  <c:numRef>
                    <c:extLst>
                      <c:ext uri="{02D57815-91ED-43cb-92C2-25804820EDAC}">
                        <c15:formulaRef>
                          <c15:sqref>'Sensitivity - Aging Power P'!$O$14:$O$43</c15:sqref>
                        </c15:formulaRef>
                      </c:ext>
                    </c:extLst>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extLst>
                      <c:ext uri="{02D57815-91ED-43cb-92C2-25804820EDAC}">
                        <c15:formulaRef>
                          <c15:sqref>'Sensitivity - Aging Power P'!$CW$51:$CW$80</c15:sqref>
                        </c15:formulaRef>
                      </c:ext>
                    </c:extLst>
                    <c:numCache>
                      <c:formatCode>0.00</c:formatCode>
                      <c:ptCount val="30"/>
                      <c:pt idx="0">
                        <c:v>12112</c:v>
                      </c:pt>
                      <c:pt idx="1">
                        <c:v>12572.079850156309</c:v>
                      </c:pt>
                      <c:pt idx="2">
                        <c:v>13032.159700312617</c:v>
                      </c:pt>
                      <c:pt idx="3">
                        <c:v>13492.239550468927</c:v>
                      </c:pt>
                      <c:pt idx="4">
                        <c:v>13596.961822886904</c:v>
                      </c:pt>
                      <c:pt idx="5">
                        <c:v>13701.684095304881</c:v>
                      </c:pt>
                      <c:pt idx="6">
                        <c:v>13806.406367722857</c:v>
                      </c:pt>
                      <c:pt idx="7">
                        <c:v>13911.128640140834</c:v>
                      </c:pt>
                      <c:pt idx="8">
                        <c:v>14015.85091255881</c:v>
                      </c:pt>
                      <c:pt idx="9">
                        <c:v>14225.295457394763</c:v>
                      </c:pt>
                      <c:pt idx="10">
                        <c:v>13715.297990719218</c:v>
                      </c:pt>
                      <c:pt idx="11">
                        <c:v>13924.742535555171</c:v>
                      </c:pt>
                      <c:pt idx="12">
                        <c:v>14134.187080391124</c:v>
                      </c:pt>
                      <c:pt idx="13">
                        <c:v>14343.631625227077</c:v>
                      </c:pt>
                      <c:pt idx="14">
                        <c:v>14553.07617006303</c:v>
                      </c:pt>
                      <c:pt idx="15">
                        <c:v>13555.596525281808</c:v>
                      </c:pt>
                      <c:pt idx="16">
                        <c:v>12231.383390556499</c:v>
                      </c:pt>
                      <c:pt idx="17">
                        <c:v>12440.82793539245</c:v>
                      </c:pt>
                      <c:pt idx="18">
                        <c:v>11885.799891577175</c:v>
                      </c:pt>
                      <c:pt idx="19">
                        <c:v>10540.118691006181</c:v>
                      </c:pt>
                      <c:pt idx="20">
                        <c:v>10749.563235842134</c:v>
                      </c:pt>
                      <c:pt idx="21">
                        <c:v>10435.396418588205</c:v>
                      </c:pt>
                      <c:pt idx="22">
                        <c:v>10644.840963424156</c:v>
                      </c:pt>
                      <c:pt idx="23">
                        <c:v>10854.285508260109</c:v>
                      </c:pt>
                      <c:pt idx="24">
                        <c:v>10288.785237203037</c:v>
                      </c:pt>
                      <c:pt idx="25">
                        <c:v>10435.396418588203</c:v>
                      </c:pt>
                      <c:pt idx="26">
                        <c:v>9742.1349751812013</c:v>
                      </c:pt>
                      <c:pt idx="27">
                        <c:v>8735.7539372444535</c:v>
                      </c:pt>
                      <c:pt idx="28">
                        <c:v>7225.449324432403</c:v>
                      </c:pt>
                      <c:pt idx="29">
                        <c:v>7154.4476237330155</c:v>
                      </c:pt>
                    </c:numCache>
                  </c:numRef>
                </c:yVal>
                <c:smooth val="1"/>
                <c:extLst>
                  <c:ext xmlns:c16="http://schemas.microsoft.com/office/drawing/2014/chart" uri="{C3380CC4-5D6E-409C-BE32-E72D297353CC}">
                    <c16:uniqueId val="{00000003-EF00-4416-A76D-CA4D07DC1354}"/>
                  </c:ext>
                </c:extLst>
              </c15:ser>
            </c15:filteredScatterSeries>
            <c15:filteredScatterSeries>
              <c15:ser>
                <c:idx val="0"/>
                <c:order val="1"/>
                <c:tx>
                  <c:v>Power Generation Capacity - NOT Inc new Solar</c:v>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extLst xmlns:c15="http://schemas.microsoft.com/office/drawing/2012/chart">
                      <c:ext xmlns:c15="http://schemas.microsoft.com/office/drawing/2012/chart" uri="{02D57815-91ED-43cb-92C2-25804820EDAC}">
                        <c15:formulaRef>
                          <c15:sqref>'Sensitivity - Aging Power P'!$O$14:$O$43</c15:sqref>
                        </c15:formulaRef>
                      </c:ext>
                    </c:extLst>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extLst xmlns:c15="http://schemas.microsoft.com/office/drawing/2012/chart">
                      <c:ext xmlns:c15="http://schemas.microsoft.com/office/drawing/2012/chart" uri="{02D57815-91ED-43cb-92C2-25804820EDAC}">
                        <c15:formulaRef>
                          <c15:sqref>'Sensitivity - Aging Power P'!$CS$51:$CS$80</c15:sqref>
                        </c15:formulaRef>
                      </c:ext>
                    </c:extLst>
                    <c:numCache>
                      <c:formatCode>0.00</c:formatCode>
                      <c:ptCount val="30"/>
                      <c:pt idx="0">
                        <c:v>12112</c:v>
                      </c:pt>
                      <c:pt idx="1">
                        <c:v>12112</c:v>
                      </c:pt>
                      <c:pt idx="2">
                        <c:v>12112</c:v>
                      </c:pt>
                      <c:pt idx="3">
                        <c:v>12112</c:v>
                      </c:pt>
                      <c:pt idx="4">
                        <c:v>12112</c:v>
                      </c:pt>
                      <c:pt idx="5">
                        <c:v>12112</c:v>
                      </c:pt>
                      <c:pt idx="6">
                        <c:v>12112</c:v>
                      </c:pt>
                      <c:pt idx="7">
                        <c:v>12112</c:v>
                      </c:pt>
                      <c:pt idx="8">
                        <c:v>12112</c:v>
                      </c:pt>
                      <c:pt idx="9">
                        <c:v>12112</c:v>
                      </c:pt>
                      <c:pt idx="10">
                        <c:v>11392.557988488505</c:v>
                      </c:pt>
                      <c:pt idx="11">
                        <c:v>11392.557988488505</c:v>
                      </c:pt>
                      <c:pt idx="12">
                        <c:v>11392.557988488505</c:v>
                      </c:pt>
                      <c:pt idx="13">
                        <c:v>11392.557988488505</c:v>
                      </c:pt>
                      <c:pt idx="14">
                        <c:v>11392.557988488505</c:v>
                      </c:pt>
                      <c:pt idx="15">
                        <c:v>10185.633798871329</c:v>
                      </c:pt>
                      <c:pt idx="16">
                        <c:v>8651.9761193100676</c:v>
                      </c:pt>
                      <c:pt idx="17">
                        <c:v>8651.9761193100676</c:v>
                      </c:pt>
                      <c:pt idx="18">
                        <c:v>7887.5035306588434</c:v>
                      </c:pt>
                      <c:pt idx="19">
                        <c:v>6332.3777852518997</c:v>
                      </c:pt>
                      <c:pt idx="20">
                        <c:v>6332.3777852518997</c:v>
                      </c:pt>
                      <c:pt idx="21">
                        <c:v>5808.7664231620183</c:v>
                      </c:pt>
                      <c:pt idx="22">
                        <c:v>5808.7664231620183</c:v>
                      </c:pt>
                      <c:pt idx="23">
                        <c:v>5808.7664231620183</c:v>
                      </c:pt>
                      <c:pt idx="24">
                        <c:v>5033.8216072689956</c:v>
                      </c:pt>
                      <c:pt idx="25">
                        <c:v>4970.9882438182103</c:v>
                      </c:pt>
                      <c:pt idx="26">
                        <c:v>4068.2822555752582</c:v>
                      </c:pt>
                      <c:pt idx="27">
                        <c:v>2852.4566728025566</c:v>
                      </c:pt>
                      <c:pt idx="28">
                        <c:v>1132.7075151545541</c:v>
                      </c:pt>
                      <c:pt idx="29">
                        <c:v>1061.7058144551663</c:v>
                      </c:pt>
                    </c:numCache>
                  </c:numRef>
                </c:yVal>
                <c:smooth val="1"/>
                <c:extLst xmlns:c15="http://schemas.microsoft.com/office/drawing/2012/chart">
                  <c:ext xmlns:c16="http://schemas.microsoft.com/office/drawing/2014/chart" uri="{C3380CC4-5D6E-409C-BE32-E72D297353CC}">
                    <c16:uniqueId val="{00000004-EF00-4416-A76D-CA4D07DC1354}"/>
                  </c:ext>
                </c:extLst>
              </c15:ser>
            </c15:filteredScatterSeries>
          </c:ext>
        </c:extLst>
      </c:scatterChart>
      <c:valAx>
        <c:axId val="924342792"/>
        <c:scaling>
          <c:orientation val="minMax"/>
          <c:min val="44000"/>
        </c:scaling>
        <c:delete val="0"/>
        <c:axPos val="b"/>
        <c:majorGridlines>
          <c:spPr>
            <a:ln w="9525" cap="flat" cmpd="sng" algn="ctr">
              <a:solidFill>
                <a:schemeClr val="tx1">
                  <a:lumMod val="15000"/>
                  <a:lumOff val="85000"/>
                </a:schemeClr>
              </a:solidFill>
              <a:round/>
            </a:ln>
            <a:effectLst/>
          </c:spPr>
        </c:majorGridlines>
        <c:numFmt formatCode="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342464"/>
        <c:crosses val="autoZero"/>
        <c:crossBetween val="midCat"/>
        <c:majorUnit val="1000"/>
      </c:valAx>
      <c:valAx>
        <c:axId val="924342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SG"/>
                  <a:t>MW</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342792"/>
        <c:crosses val="autoZero"/>
        <c:crossBetween val="midCat"/>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SG"/>
              <a:t>Power Generation Capacity - 2021 to 2050 Prediction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2"/>
          <c:order val="2"/>
          <c:tx>
            <c:v>Power Demand Prediction</c:v>
          </c:tx>
          <c:spPr>
            <a:ln w="12700" cap="rnd">
              <a:solidFill>
                <a:schemeClr val="accent3"/>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P'!$CY$14:$CY$43</c:f>
              <c:numCache>
                <c:formatCode>0.00</c:formatCode>
                <c:ptCount val="30"/>
                <c:pt idx="0">
                  <c:v>6068.3664805815779</c:v>
                </c:pt>
                <c:pt idx="1">
                  <c:v>6186.8714118140279</c:v>
                </c:pt>
                <c:pt idx="2">
                  <c:v>6305.2953080940742</c:v>
                </c:pt>
                <c:pt idx="3">
                  <c:v>6423.635511917023</c:v>
                </c:pt>
                <c:pt idx="4">
                  <c:v>6541.8893913947832</c:v>
                </c:pt>
                <c:pt idx="5">
                  <c:v>6660.0543424500529</c:v>
                </c:pt>
                <c:pt idx="6">
                  <c:v>6778.1277910022154</c:v>
                </c:pt>
                <c:pt idx="7">
                  <c:v>6896.1071951422828</c:v>
                </c:pt>
                <c:pt idx="8">
                  <c:v>7013.9900472946683</c:v>
                </c:pt>
                <c:pt idx="9">
                  <c:v>7131.7738763628868</c:v>
                </c:pt>
                <c:pt idx="10">
                  <c:v>7249.4562498569203</c:v>
                </c:pt>
                <c:pt idx="11">
                  <c:v>7367.0347759993565</c:v>
                </c:pt>
                <c:pt idx="12">
                  <c:v>7484.5071058082076</c:v>
                </c:pt>
                <c:pt idx="13">
                  <c:v>7601.8709351536054</c:v>
                </c:pt>
                <c:pt idx="14">
                  <c:v>7719.1240067857725</c:v>
                </c:pt>
                <c:pt idx="15">
                  <c:v>7836.2641123321218</c:v>
                </c:pt>
                <c:pt idx="16">
                  <c:v>7953.2890942607619</c:v>
                </c:pt>
                <c:pt idx="17">
                  <c:v>8070.1968478080753</c:v>
                </c:pt>
                <c:pt idx="18">
                  <c:v>8186.9853228678649</c:v>
                </c:pt>
                <c:pt idx="19">
                  <c:v>8303.6525258398833</c:v>
                </c:pt>
                <c:pt idx="20">
                  <c:v>8420.1965214353331</c:v>
                </c:pt>
                <c:pt idx="21">
                  <c:v>8536.615434436937</c:v>
                </c:pt>
                <c:pt idx="22">
                  <c:v>8652.9074514115582</c:v>
                </c:pt>
                <c:pt idx="23">
                  <c:v>8769.0708223730744</c:v>
                </c:pt>
                <c:pt idx="24">
                  <c:v>8885.1038623933546</c:v>
                </c:pt>
                <c:pt idx="25">
                  <c:v>9001.0049531593049</c:v>
                </c:pt>
                <c:pt idx="26">
                  <c:v>9116.7725444739917</c:v>
                </c:pt>
                <c:pt idx="27">
                  <c:v>9232.4051556999439</c:v>
                </c:pt>
                <c:pt idx="28">
                  <c:v>9347.9013771425216</c:v>
                </c:pt>
                <c:pt idx="29">
                  <c:v>9463.2598713718889</c:v>
                </c:pt>
              </c:numCache>
            </c:numRef>
          </c:yVal>
          <c:smooth val="1"/>
          <c:extLst>
            <c:ext xmlns:c16="http://schemas.microsoft.com/office/drawing/2014/chart" uri="{C3380CC4-5D6E-409C-BE32-E72D297353CC}">
              <c16:uniqueId val="{00000000-5B35-4F51-8667-50BDD79B61DA}"/>
            </c:ext>
          </c:extLst>
        </c:ser>
        <c:ser>
          <c:idx val="3"/>
          <c:order val="3"/>
          <c:tx>
            <c:v>Power Generation Capacity with Availability - Inc new Solar</c:v>
          </c:tx>
          <c:spPr>
            <a:ln w="9525" cap="rnd">
              <a:solidFill>
                <a:schemeClr val="accent4"/>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P'!$CX$88:$CX$117</c:f>
              <c:numCache>
                <c:formatCode>0.00</c:formatCode>
                <c:ptCount val="30"/>
                <c:pt idx="0">
                  <c:v>10295.199999999999</c:v>
                </c:pt>
                <c:pt idx="1">
                  <c:v>10680.274918786781</c:v>
                </c:pt>
                <c:pt idx="2">
                  <c:v>11065.349837573563</c:v>
                </c:pt>
                <c:pt idx="3">
                  <c:v>11450.424756360344</c:v>
                </c:pt>
                <c:pt idx="4">
                  <c:v>11538.074586129716</c:v>
                </c:pt>
                <c:pt idx="5">
                  <c:v>11467.954722314216</c:v>
                </c:pt>
                <c:pt idx="6">
                  <c:v>11555.604552083589</c:v>
                </c:pt>
                <c:pt idx="7">
                  <c:v>11643.254381852963</c:v>
                </c:pt>
                <c:pt idx="8">
                  <c:v>11730.904211622335</c:v>
                </c:pt>
                <c:pt idx="9">
                  <c:v>11906.203871161084</c:v>
                </c:pt>
                <c:pt idx="10">
                  <c:v>12081.503530699832</c:v>
                </c:pt>
                <c:pt idx="11">
                  <c:v>12256.803190238581</c:v>
                </c:pt>
                <c:pt idx="12">
                  <c:v>12432.102849777328</c:v>
                </c:pt>
                <c:pt idx="13">
                  <c:v>12607.402509316074</c:v>
                </c:pt>
                <c:pt idx="14">
                  <c:v>12782.702168854821</c:v>
                </c:pt>
                <c:pt idx="15">
                  <c:v>12355.847497877974</c:v>
                </c:pt>
                <c:pt idx="16">
                  <c:v>12531.147157416721</c:v>
                </c:pt>
                <c:pt idx="17">
                  <c:v>12706.446816955466</c:v>
                </c:pt>
                <c:pt idx="18">
                  <c:v>12881.746476494214</c:v>
                </c:pt>
                <c:pt idx="19">
                  <c:v>13057.046136032961</c:v>
                </c:pt>
                <c:pt idx="20">
                  <c:v>12222.18150747968</c:v>
                </c:pt>
                <c:pt idx="21">
                  <c:v>11113.84941004595</c:v>
                </c:pt>
                <c:pt idx="22">
                  <c:v>11289.149069584697</c:v>
                </c:pt>
                <c:pt idx="23">
                  <c:v>10824.604971807015</c:v>
                </c:pt>
                <c:pt idx="24">
                  <c:v>9698.304659270565</c:v>
                </c:pt>
                <c:pt idx="25">
                  <c:v>9873.6043188093117</c:v>
                </c:pt>
                <c:pt idx="26">
                  <c:v>9610.6548295011908</c:v>
                </c:pt>
                <c:pt idx="27">
                  <c:v>9785.9544890399375</c:v>
                </c:pt>
                <c:pt idx="28">
                  <c:v>9961.2541485786842</c:v>
                </c:pt>
                <c:pt idx="29">
                  <c:v>9312.6454082853197</c:v>
                </c:pt>
              </c:numCache>
            </c:numRef>
          </c:yVal>
          <c:smooth val="1"/>
          <c:extLst>
            <c:ext xmlns:c16="http://schemas.microsoft.com/office/drawing/2014/chart" uri="{C3380CC4-5D6E-409C-BE32-E72D297353CC}">
              <c16:uniqueId val="{00000001-5B35-4F51-8667-50BDD79B61DA}"/>
            </c:ext>
          </c:extLst>
        </c:ser>
        <c:ser>
          <c:idx val="4"/>
          <c:order val="4"/>
          <c:tx>
            <c:v>Power Generation Capacity with Availability - NOT inc new Solar</c:v>
          </c:tx>
          <c:spPr>
            <a:ln w="9525" cap="rnd">
              <a:solidFill>
                <a:schemeClr val="accent5"/>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P'!$CT$88:$CT$117</c:f>
              <c:numCache>
                <c:formatCode>0.00</c:formatCode>
                <c:ptCount val="30"/>
                <c:pt idx="0">
                  <c:v>10295.199999999999</c:v>
                </c:pt>
                <c:pt idx="1">
                  <c:v>10295.199999999999</c:v>
                </c:pt>
                <c:pt idx="2">
                  <c:v>10295.199999999999</c:v>
                </c:pt>
                <c:pt idx="3">
                  <c:v>10295.199999999999</c:v>
                </c:pt>
                <c:pt idx="4">
                  <c:v>10295.199999999999</c:v>
                </c:pt>
                <c:pt idx="5">
                  <c:v>10137.430306415128</c:v>
                </c:pt>
                <c:pt idx="6">
                  <c:v>10137.430306415128</c:v>
                </c:pt>
                <c:pt idx="7">
                  <c:v>10137.430306415128</c:v>
                </c:pt>
                <c:pt idx="8">
                  <c:v>10137.430306415128</c:v>
                </c:pt>
                <c:pt idx="9">
                  <c:v>10137.430306415128</c:v>
                </c:pt>
                <c:pt idx="10">
                  <c:v>10137.430306415128</c:v>
                </c:pt>
                <c:pt idx="11">
                  <c:v>10137.430306415128</c:v>
                </c:pt>
                <c:pt idx="12">
                  <c:v>10137.430306415128</c:v>
                </c:pt>
                <c:pt idx="13">
                  <c:v>10137.430306415128</c:v>
                </c:pt>
                <c:pt idx="14">
                  <c:v>10137.430306415128</c:v>
                </c:pt>
                <c:pt idx="15">
                  <c:v>9535.2759758995326</c:v>
                </c:pt>
                <c:pt idx="16">
                  <c:v>9535.2759758995326</c:v>
                </c:pt>
                <c:pt idx="17">
                  <c:v>9535.2759758995326</c:v>
                </c:pt>
                <c:pt idx="18">
                  <c:v>9535.2759758995326</c:v>
                </c:pt>
                <c:pt idx="19">
                  <c:v>9535.2759758995326</c:v>
                </c:pt>
                <c:pt idx="20">
                  <c:v>8525.1116878075027</c:v>
                </c:pt>
                <c:pt idx="21">
                  <c:v>7241.4799308350266</c:v>
                </c:pt>
                <c:pt idx="22">
                  <c:v>7241.4799308350266</c:v>
                </c:pt>
                <c:pt idx="23">
                  <c:v>6601.636173518601</c:v>
                </c:pt>
                <c:pt idx="24">
                  <c:v>5300.0362014434058</c:v>
                </c:pt>
                <c:pt idx="25">
                  <c:v>5300.0362014434058</c:v>
                </c:pt>
                <c:pt idx="26">
                  <c:v>4861.7870525965373</c:v>
                </c:pt>
                <c:pt idx="27">
                  <c:v>4861.7870525965373</c:v>
                </c:pt>
                <c:pt idx="28">
                  <c:v>4861.7870525965373</c:v>
                </c:pt>
                <c:pt idx="29">
                  <c:v>4213.1783123031737</c:v>
                </c:pt>
              </c:numCache>
            </c:numRef>
          </c:yVal>
          <c:smooth val="1"/>
          <c:extLst>
            <c:ext xmlns:c16="http://schemas.microsoft.com/office/drawing/2014/chart" uri="{C3380CC4-5D6E-409C-BE32-E72D297353CC}">
              <c16:uniqueId val="{00000002-5B35-4F51-8667-50BDD79B61DA}"/>
            </c:ext>
          </c:extLst>
        </c:ser>
        <c:dLbls>
          <c:showLegendKey val="0"/>
          <c:showVal val="0"/>
          <c:showCatName val="0"/>
          <c:showSerName val="0"/>
          <c:showPercent val="0"/>
          <c:showBubbleSize val="0"/>
        </c:dLbls>
        <c:axId val="924342792"/>
        <c:axId val="924342464"/>
        <c:extLst>
          <c:ext xmlns:c15="http://schemas.microsoft.com/office/drawing/2012/chart" uri="{02D57815-91ED-43cb-92C2-25804820EDAC}">
            <c15:filteredScatterSeries>
              <c15:ser>
                <c:idx val="1"/>
                <c:order val="0"/>
                <c:tx>
                  <c:v>Power Generation Capacity - Inc new Solar</c:v>
                </c:tx>
                <c:spPr>
                  <a:ln w="9525" cap="rnd">
                    <a:solidFill>
                      <a:schemeClr val="accent2"/>
                    </a:solidFill>
                    <a:round/>
                  </a:ln>
                  <a:effectLst>
                    <a:outerShdw blurRad="57150" dist="19050" dir="5400000" algn="ctr" rotWithShape="0">
                      <a:srgbClr val="000000">
                        <a:alpha val="63000"/>
                      </a:srgbClr>
                    </a:outerShdw>
                  </a:effectLst>
                </c:spPr>
                <c:marker>
                  <c:symbol val="none"/>
                </c:marker>
                <c:xVal>
                  <c:numRef>
                    <c:extLst>
                      <c:ext uri="{02D57815-91ED-43cb-92C2-25804820EDAC}">
                        <c15:formulaRef>
                          <c15:sqref>'Sensitivity - Aging Power P'!$O$14:$O$43</c15:sqref>
                        </c15:formulaRef>
                      </c:ext>
                    </c:extLst>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extLst>
                      <c:ext uri="{02D57815-91ED-43cb-92C2-25804820EDAC}">
                        <c15:formulaRef>
                          <c15:sqref>'Sensitivity - Aging Power P'!$CW$88:$CW$117</c15:sqref>
                        </c15:formulaRef>
                      </c:ext>
                    </c:extLst>
                    <c:numCache>
                      <c:formatCode>0.00</c:formatCode>
                      <c:ptCount val="30"/>
                      <c:pt idx="0">
                        <c:v>12112</c:v>
                      </c:pt>
                      <c:pt idx="1">
                        <c:v>12565.029316219743</c:v>
                      </c:pt>
                      <c:pt idx="2">
                        <c:v>13018.058632439486</c:v>
                      </c:pt>
                      <c:pt idx="3">
                        <c:v>13471.087948659228</c:v>
                      </c:pt>
                      <c:pt idx="4">
                        <c:v>13574.205395446725</c:v>
                      </c:pt>
                      <c:pt idx="5">
                        <c:v>13491.711438016726</c:v>
                      </c:pt>
                      <c:pt idx="6">
                        <c:v>13594.828884804223</c:v>
                      </c:pt>
                      <c:pt idx="7">
                        <c:v>13697.946331591722</c:v>
                      </c:pt>
                      <c:pt idx="8">
                        <c:v>13801.063778379219</c:v>
                      </c:pt>
                      <c:pt idx="9">
                        <c:v>14007.298671954217</c:v>
                      </c:pt>
                      <c:pt idx="10">
                        <c:v>14213.533565529215</c:v>
                      </c:pt>
                      <c:pt idx="11">
                        <c:v>14419.768459104213</c:v>
                      </c:pt>
                      <c:pt idx="12">
                        <c:v>14626.003352679209</c:v>
                      </c:pt>
                      <c:pt idx="13">
                        <c:v>14832.238246254206</c:v>
                      </c:pt>
                      <c:pt idx="14">
                        <c:v>15038.473139829202</c:v>
                      </c:pt>
                      <c:pt idx="15">
                        <c:v>14536.291173974087</c:v>
                      </c:pt>
                      <c:pt idx="16">
                        <c:v>14742.526067549083</c:v>
                      </c:pt>
                      <c:pt idx="17">
                        <c:v>14948.760961124079</c:v>
                      </c:pt>
                      <c:pt idx="18">
                        <c:v>15154.995854699077</c:v>
                      </c:pt>
                      <c:pt idx="19">
                        <c:v>15361.230748274073</c:v>
                      </c:pt>
                      <c:pt idx="20">
                        <c:v>14379.037067623152</c:v>
                      </c:pt>
                      <c:pt idx="21">
                        <c:v>13075.116952995235</c:v>
                      </c:pt>
                      <c:pt idx="22">
                        <c:v>13281.351846570233</c:v>
                      </c:pt>
                      <c:pt idx="23">
                        <c:v>12734.829378596489</c:v>
                      </c:pt>
                      <c:pt idx="24">
                        <c:v>11409.770187377135</c:v>
                      </c:pt>
                      <c:pt idx="25">
                        <c:v>11616.005080952131</c:v>
                      </c:pt>
                      <c:pt idx="26">
                        <c:v>11306.652740589636</c:v>
                      </c:pt>
                      <c:pt idx="27">
                        <c:v>11512.887634164632</c:v>
                      </c:pt>
                      <c:pt idx="28">
                        <c:v>11719.122527739628</c:v>
                      </c:pt>
                      <c:pt idx="29">
                        <c:v>10956.053421512141</c:v>
                      </c:pt>
                    </c:numCache>
                  </c:numRef>
                </c:yVal>
                <c:smooth val="1"/>
                <c:extLst>
                  <c:ext xmlns:c16="http://schemas.microsoft.com/office/drawing/2014/chart" uri="{C3380CC4-5D6E-409C-BE32-E72D297353CC}">
                    <c16:uniqueId val="{00000003-5B35-4F51-8667-50BDD79B61DA}"/>
                  </c:ext>
                </c:extLst>
              </c15:ser>
            </c15:filteredScatterSeries>
            <c15:filteredScatterSeries>
              <c15:ser>
                <c:idx val="0"/>
                <c:order val="1"/>
                <c:tx>
                  <c:v>Power Generation Capacity - NOT Inc new Solar</c:v>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extLst xmlns:c15="http://schemas.microsoft.com/office/drawing/2012/chart">
                      <c:ext xmlns:c15="http://schemas.microsoft.com/office/drawing/2012/chart" uri="{02D57815-91ED-43cb-92C2-25804820EDAC}">
                        <c15:formulaRef>
                          <c15:sqref>'Sensitivity - Aging Power P'!$O$14:$O$43</c15:sqref>
                        </c15:formulaRef>
                      </c:ext>
                    </c:extLst>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extLst xmlns:c15="http://schemas.microsoft.com/office/drawing/2012/chart">
                      <c:ext xmlns:c15="http://schemas.microsoft.com/office/drawing/2012/chart" uri="{02D57815-91ED-43cb-92C2-25804820EDAC}">
                        <c15:formulaRef>
                          <c15:sqref>'Sensitivity - Aging Power P'!$CS$88:$CS$117</c15:sqref>
                        </c15:formulaRef>
                      </c:ext>
                    </c:extLst>
                    <c:numCache>
                      <c:formatCode>0.00</c:formatCode>
                      <c:ptCount val="30"/>
                      <c:pt idx="0">
                        <c:v>12112</c:v>
                      </c:pt>
                      <c:pt idx="1">
                        <c:v>12112</c:v>
                      </c:pt>
                      <c:pt idx="2">
                        <c:v>12112</c:v>
                      </c:pt>
                      <c:pt idx="3">
                        <c:v>12112</c:v>
                      </c:pt>
                      <c:pt idx="4">
                        <c:v>12112</c:v>
                      </c:pt>
                      <c:pt idx="5">
                        <c:v>11926.388595782504</c:v>
                      </c:pt>
                      <c:pt idx="6">
                        <c:v>11926.388595782504</c:v>
                      </c:pt>
                      <c:pt idx="7">
                        <c:v>11926.388595782504</c:v>
                      </c:pt>
                      <c:pt idx="8">
                        <c:v>11926.388595782504</c:v>
                      </c:pt>
                      <c:pt idx="9">
                        <c:v>11926.388595782504</c:v>
                      </c:pt>
                      <c:pt idx="10">
                        <c:v>11926.388595782504</c:v>
                      </c:pt>
                      <c:pt idx="11">
                        <c:v>11926.388595782504</c:v>
                      </c:pt>
                      <c:pt idx="12">
                        <c:v>11926.388595782504</c:v>
                      </c:pt>
                      <c:pt idx="13">
                        <c:v>11926.388595782504</c:v>
                      </c:pt>
                      <c:pt idx="14">
                        <c:v>11926.388595782504</c:v>
                      </c:pt>
                      <c:pt idx="15">
                        <c:v>11217.971736352392</c:v>
                      </c:pt>
                      <c:pt idx="16">
                        <c:v>11217.971736352392</c:v>
                      </c:pt>
                      <c:pt idx="17">
                        <c:v>11217.971736352392</c:v>
                      </c:pt>
                      <c:pt idx="18">
                        <c:v>11217.971736352392</c:v>
                      </c:pt>
                      <c:pt idx="19">
                        <c:v>11217.971736352392</c:v>
                      </c:pt>
                      <c:pt idx="20">
                        <c:v>10029.543162126474</c:v>
                      </c:pt>
                      <c:pt idx="21">
                        <c:v>8519.3881539235608</c:v>
                      </c:pt>
                      <c:pt idx="22">
                        <c:v>8519.3881539235608</c:v>
                      </c:pt>
                      <c:pt idx="23">
                        <c:v>7766.6307923748245</c:v>
                      </c:pt>
                      <c:pt idx="24">
                        <c:v>6235.3367075804772</c:v>
                      </c:pt>
                      <c:pt idx="25">
                        <c:v>6235.3367075804772</c:v>
                      </c:pt>
                      <c:pt idx="26">
                        <c:v>5719.7494736429853</c:v>
                      </c:pt>
                      <c:pt idx="27">
                        <c:v>5719.7494736429853</c:v>
                      </c:pt>
                      <c:pt idx="28">
                        <c:v>5719.7494736429853</c:v>
                      </c:pt>
                      <c:pt idx="29">
                        <c:v>4956.6803674154989</c:v>
                      </c:pt>
                    </c:numCache>
                  </c:numRef>
                </c:yVal>
                <c:smooth val="1"/>
                <c:extLst xmlns:c15="http://schemas.microsoft.com/office/drawing/2012/chart">
                  <c:ext xmlns:c16="http://schemas.microsoft.com/office/drawing/2014/chart" uri="{C3380CC4-5D6E-409C-BE32-E72D297353CC}">
                    <c16:uniqueId val="{00000004-5B35-4F51-8667-50BDD79B61DA}"/>
                  </c:ext>
                </c:extLst>
              </c15:ser>
            </c15:filteredScatterSeries>
          </c:ext>
        </c:extLst>
      </c:scatterChart>
      <c:valAx>
        <c:axId val="924342792"/>
        <c:scaling>
          <c:orientation val="minMax"/>
          <c:min val="44000"/>
        </c:scaling>
        <c:delete val="0"/>
        <c:axPos val="b"/>
        <c:majorGridlines>
          <c:spPr>
            <a:ln w="9525" cap="flat" cmpd="sng" algn="ctr">
              <a:solidFill>
                <a:schemeClr val="tx1">
                  <a:lumMod val="15000"/>
                  <a:lumOff val="85000"/>
                </a:schemeClr>
              </a:solidFill>
              <a:round/>
            </a:ln>
            <a:effectLst/>
          </c:spPr>
        </c:majorGridlines>
        <c:numFmt formatCode="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342464"/>
        <c:crosses val="autoZero"/>
        <c:crossBetween val="midCat"/>
        <c:majorUnit val="1000"/>
      </c:valAx>
      <c:valAx>
        <c:axId val="924342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SG"/>
                  <a:t>MW</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342792"/>
        <c:crosses val="autoZero"/>
        <c:crossBetween val="midCat"/>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r>
              <a:rPr lang="en-SG" sz="2400"/>
              <a:t>Power Generation Capacity - 2021 to 2050 Prediction</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Power Demand Prediction</c:v>
          </c:tx>
          <c:spPr>
            <a:ln w="19050" cap="rnd">
              <a:solidFill>
                <a:schemeClr val="accent3"/>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P'!$CY$14:$CY$43</c:f>
              <c:numCache>
                <c:formatCode>0.00</c:formatCode>
                <c:ptCount val="30"/>
                <c:pt idx="0">
                  <c:v>6068.3664805815779</c:v>
                </c:pt>
                <c:pt idx="1">
                  <c:v>6186.8714118140279</c:v>
                </c:pt>
                <c:pt idx="2">
                  <c:v>6305.2953080940742</c:v>
                </c:pt>
                <c:pt idx="3">
                  <c:v>6423.635511917023</c:v>
                </c:pt>
                <c:pt idx="4">
                  <c:v>6541.8893913947832</c:v>
                </c:pt>
                <c:pt idx="5">
                  <c:v>6660.0543424500529</c:v>
                </c:pt>
                <c:pt idx="6">
                  <c:v>6778.1277910022154</c:v>
                </c:pt>
                <c:pt idx="7">
                  <c:v>6896.1071951422828</c:v>
                </c:pt>
                <c:pt idx="8">
                  <c:v>7013.9900472946683</c:v>
                </c:pt>
                <c:pt idx="9">
                  <c:v>7131.7738763628868</c:v>
                </c:pt>
                <c:pt idx="10">
                  <c:v>7249.4562498569203</c:v>
                </c:pt>
                <c:pt idx="11">
                  <c:v>7367.0347759993565</c:v>
                </c:pt>
                <c:pt idx="12">
                  <c:v>7484.5071058082076</c:v>
                </c:pt>
                <c:pt idx="13">
                  <c:v>7601.8709351536054</c:v>
                </c:pt>
                <c:pt idx="14">
                  <c:v>7719.1240067857725</c:v>
                </c:pt>
                <c:pt idx="15">
                  <c:v>7836.2641123321218</c:v>
                </c:pt>
                <c:pt idx="16">
                  <c:v>7953.2890942607619</c:v>
                </c:pt>
                <c:pt idx="17">
                  <c:v>8070.1968478080753</c:v>
                </c:pt>
                <c:pt idx="18">
                  <c:v>8186.9853228678649</c:v>
                </c:pt>
                <c:pt idx="19">
                  <c:v>8303.6525258398833</c:v>
                </c:pt>
                <c:pt idx="20">
                  <c:v>8420.1965214353331</c:v>
                </c:pt>
                <c:pt idx="21">
                  <c:v>8536.615434436937</c:v>
                </c:pt>
                <c:pt idx="22">
                  <c:v>8652.9074514115582</c:v>
                </c:pt>
                <c:pt idx="23">
                  <c:v>8769.0708223730744</c:v>
                </c:pt>
                <c:pt idx="24">
                  <c:v>8885.1038623933546</c:v>
                </c:pt>
                <c:pt idx="25">
                  <c:v>9001.0049531593049</c:v>
                </c:pt>
                <c:pt idx="26">
                  <c:v>9116.7725444739917</c:v>
                </c:pt>
                <c:pt idx="27">
                  <c:v>9232.4051556999439</c:v>
                </c:pt>
                <c:pt idx="28">
                  <c:v>9347.9013771425216</c:v>
                </c:pt>
                <c:pt idx="29">
                  <c:v>9463.2598713718889</c:v>
                </c:pt>
              </c:numCache>
            </c:numRef>
          </c:yVal>
          <c:smooth val="0"/>
          <c:extLst>
            <c:ext xmlns:c16="http://schemas.microsoft.com/office/drawing/2014/chart" uri="{C3380CC4-5D6E-409C-BE32-E72D297353CC}">
              <c16:uniqueId val="{00000000-EFA0-42C7-B6D0-FA11A0F9312F}"/>
            </c:ext>
          </c:extLst>
        </c:ser>
        <c:ser>
          <c:idx val="1"/>
          <c:order val="1"/>
          <c:tx>
            <c:v>Power Generation Capacity with Decommission Age at 25 years</c:v>
          </c:tx>
          <c:spPr>
            <a:ln w="9525" cap="rnd">
              <a:solidFill>
                <a:schemeClr val="accent5"/>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P'!$CX$14:$CX$43</c:f>
              <c:numCache>
                <c:formatCode>0.00</c:formatCode>
                <c:ptCount val="30"/>
                <c:pt idx="0">
                  <c:v>10295.199999999999</c:v>
                </c:pt>
                <c:pt idx="1">
                  <c:v>10710.963876568836</c:v>
                </c:pt>
                <c:pt idx="2">
                  <c:v>11126.727753137671</c:v>
                </c:pt>
                <c:pt idx="3">
                  <c:v>11542.491629706505</c:v>
                </c:pt>
                <c:pt idx="4">
                  <c:v>11637.12680646724</c:v>
                </c:pt>
                <c:pt idx="5">
                  <c:v>10641.091571060491</c:v>
                </c:pt>
                <c:pt idx="6">
                  <c:v>9349.794584160245</c:v>
                </c:pt>
                <c:pt idx="7">
                  <c:v>9444.4297609209825</c:v>
                </c:pt>
                <c:pt idx="8">
                  <c:v>8848.2281473283419</c:v>
                </c:pt>
                <c:pt idx="9">
                  <c:v>7632.1661259528801</c:v>
                </c:pt>
                <c:pt idx="10">
                  <c:v>7821.4364794743506</c:v>
                </c:pt>
                <c:pt idx="11">
                  <c:v>7537.5309491921425</c:v>
                </c:pt>
                <c:pt idx="12">
                  <c:v>7726.8013027136158</c:v>
                </c:pt>
                <c:pt idx="13">
                  <c:v>7916.0716562350881</c:v>
                </c:pt>
                <c:pt idx="14">
                  <c:v>7405.041701727112</c:v>
                </c:pt>
                <c:pt idx="15">
                  <c:v>7537.5309491921425</c:v>
                </c:pt>
                <c:pt idx="16">
                  <c:v>6911.0460790360703</c:v>
                </c:pt>
                <c:pt idx="17">
                  <c:v>6001.6020303653968</c:v>
                </c:pt>
                <c:pt idx="18">
                  <c:v>4636.7735111220591</c:v>
                </c:pt>
                <c:pt idx="19">
                  <c:v>4761.8812147997523</c:v>
                </c:pt>
                <c:pt idx="20">
                  <c:v>4576.6801738789918</c:v>
                </c:pt>
                <c:pt idx="21">
                  <c:v>4648.6502258055316</c:v>
                </c:pt>
                <c:pt idx="22">
                  <c:v>4793.4420462494581</c:v>
                </c:pt>
                <c:pt idx="23">
                  <c:v>4982.7123997709305</c:v>
                </c:pt>
                <c:pt idx="24">
                  <c:v>5171.9827532924028</c:v>
                </c:pt>
                <c:pt idx="25">
                  <c:v>5310.1501113630775</c:v>
                </c:pt>
                <c:pt idx="26">
                  <c:v>5083.6565883157145</c:v>
                </c:pt>
                <c:pt idx="27">
                  <c:v>4857.1630652683525</c:v>
                </c:pt>
                <c:pt idx="28">
                  <c:v>4630.6695422209914</c:v>
                </c:pt>
                <c:pt idx="29">
                  <c:v>4536.0343654602548</c:v>
                </c:pt>
              </c:numCache>
            </c:numRef>
          </c:yVal>
          <c:smooth val="0"/>
          <c:extLst>
            <c:ext xmlns:c16="http://schemas.microsoft.com/office/drawing/2014/chart" uri="{C3380CC4-5D6E-409C-BE32-E72D297353CC}">
              <c16:uniqueId val="{00000001-EFA0-42C7-B6D0-FA11A0F9312F}"/>
            </c:ext>
          </c:extLst>
        </c:ser>
        <c:ser>
          <c:idx val="2"/>
          <c:order val="2"/>
          <c:tx>
            <c:v>Power Generation Capacity with Decommission Age at 35 years</c:v>
          </c:tx>
          <c:spPr>
            <a:ln w="9525" cap="rnd">
              <a:solidFill>
                <a:schemeClr val="accent4"/>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P'!$CX$51:$CX$80</c:f>
              <c:numCache>
                <c:formatCode>0.00</c:formatCode>
                <c:ptCount val="30"/>
                <c:pt idx="0">
                  <c:v>10295.199999999999</c:v>
                </c:pt>
                <c:pt idx="1">
                  <c:v>10686.267872632863</c:v>
                </c:pt>
                <c:pt idx="2">
                  <c:v>11077.335745265724</c:v>
                </c:pt>
                <c:pt idx="3">
                  <c:v>11468.403617898588</c:v>
                </c:pt>
                <c:pt idx="4">
                  <c:v>11557.417549453869</c:v>
                </c:pt>
                <c:pt idx="5">
                  <c:v>11646.431481009149</c:v>
                </c:pt>
                <c:pt idx="6">
                  <c:v>11735.445412564428</c:v>
                </c:pt>
                <c:pt idx="7">
                  <c:v>11824.459344119708</c:v>
                </c:pt>
                <c:pt idx="8">
                  <c:v>11913.473275674987</c:v>
                </c:pt>
                <c:pt idx="9">
                  <c:v>12091.501138785548</c:v>
                </c:pt>
                <c:pt idx="10">
                  <c:v>11658.003292111336</c:v>
                </c:pt>
                <c:pt idx="11">
                  <c:v>11836.031155221895</c:v>
                </c:pt>
                <c:pt idx="12">
                  <c:v>12014.059018332455</c:v>
                </c:pt>
                <c:pt idx="13">
                  <c:v>12192.086881443016</c:v>
                </c:pt>
                <c:pt idx="14">
                  <c:v>12370.114744553575</c:v>
                </c:pt>
                <c:pt idx="15">
                  <c:v>11522.257046489536</c:v>
                </c:pt>
                <c:pt idx="16">
                  <c:v>10396.675881973024</c:v>
                </c:pt>
                <c:pt idx="17">
                  <c:v>10574.703745083581</c:v>
                </c:pt>
                <c:pt idx="18">
                  <c:v>10102.929907840598</c:v>
                </c:pt>
                <c:pt idx="19">
                  <c:v>8959.1008873552528</c:v>
                </c:pt>
                <c:pt idx="20">
                  <c:v>9137.1287504658139</c:v>
                </c:pt>
                <c:pt idx="21">
                  <c:v>8870.086955799974</c:v>
                </c:pt>
                <c:pt idx="22">
                  <c:v>9048.1148189105334</c:v>
                </c:pt>
                <c:pt idx="23">
                  <c:v>9226.1426820210927</c:v>
                </c:pt>
                <c:pt idx="24">
                  <c:v>8745.4674516225823</c:v>
                </c:pt>
                <c:pt idx="25">
                  <c:v>8870.0869557999722</c:v>
                </c:pt>
                <c:pt idx="26">
                  <c:v>8280.8147289040207</c:v>
                </c:pt>
                <c:pt idx="27">
                  <c:v>7425.390846657785</c:v>
                </c:pt>
                <c:pt idx="28">
                  <c:v>6141.6319257675423</c:v>
                </c:pt>
                <c:pt idx="29">
                  <c:v>6081.2804801730626</c:v>
                </c:pt>
              </c:numCache>
            </c:numRef>
          </c:yVal>
          <c:smooth val="0"/>
          <c:extLst>
            <c:ext xmlns:c16="http://schemas.microsoft.com/office/drawing/2014/chart" uri="{C3380CC4-5D6E-409C-BE32-E72D297353CC}">
              <c16:uniqueId val="{00000002-EFA0-42C7-B6D0-FA11A0F9312F}"/>
            </c:ext>
          </c:extLst>
        </c:ser>
        <c:ser>
          <c:idx val="3"/>
          <c:order val="3"/>
          <c:tx>
            <c:v>Power Generation Capacity with Decommission Age at 40 years</c:v>
          </c:tx>
          <c:spPr>
            <a:ln w="9525" cap="rnd">
              <a:solidFill>
                <a:srgbClr val="C00000"/>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P'!$CX$88:$CX$117</c:f>
              <c:numCache>
                <c:formatCode>0.00</c:formatCode>
                <c:ptCount val="30"/>
                <c:pt idx="0">
                  <c:v>10295.199999999999</c:v>
                </c:pt>
                <c:pt idx="1">
                  <c:v>10680.274918786781</c:v>
                </c:pt>
                <c:pt idx="2">
                  <c:v>11065.349837573563</c:v>
                </c:pt>
                <c:pt idx="3">
                  <c:v>11450.424756360344</c:v>
                </c:pt>
                <c:pt idx="4">
                  <c:v>11538.074586129716</c:v>
                </c:pt>
                <c:pt idx="5">
                  <c:v>11467.954722314216</c:v>
                </c:pt>
                <c:pt idx="6">
                  <c:v>11555.604552083589</c:v>
                </c:pt>
                <c:pt idx="7">
                  <c:v>11643.254381852963</c:v>
                </c:pt>
                <c:pt idx="8">
                  <c:v>11730.904211622335</c:v>
                </c:pt>
                <c:pt idx="9">
                  <c:v>11906.203871161084</c:v>
                </c:pt>
                <c:pt idx="10">
                  <c:v>12081.503530699832</c:v>
                </c:pt>
                <c:pt idx="11">
                  <c:v>12256.803190238581</c:v>
                </c:pt>
                <c:pt idx="12">
                  <c:v>12432.102849777328</c:v>
                </c:pt>
                <c:pt idx="13">
                  <c:v>12607.402509316074</c:v>
                </c:pt>
                <c:pt idx="14">
                  <c:v>12782.702168854821</c:v>
                </c:pt>
                <c:pt idx="15">
                  <c:v>12355.847497877974</c:v>
                </c:pt>
                <c:pt idx="16">
                  <c:v>12531.147157416721</c:v>
                </c:pt>
                <c:pt idx="17">
                  <c:v>12706.446816955466</c:v>
                </c:pt>
                <c:pt idx="18">
                  <c:v>12881.746476494214</c:v>
                </c:pt>
                <c:pt idx="19">
                  <c:v>13057.046136032961</c:v>
                </c:pt>
                <c:pt idx="20">
                  <c:v>12222.18150747968</c:v>
                </c:pt>
                <c:pt idx="21">
                  <c:v>11113.84941004595</c:v>
                </c:pt>
                <c:pt idx="22">
                  <c:v>11289.149069584697</c:v>
                </c:pt>
                <c:pt idx="23">
                  <c:v>10824.604971807015</c:v>
                </c:pt>
                <c:pt idx="24">
                  <c:v>9698.304659270565</c:v>
                </c:pt>
                <c:pt idx="25">
                  <c:v>9873.6043188093117</c:v>
                </c:pt>
                <c:pt idx="26">
                  <c:v>9610.6548295011908</c:v>
                </c:pt>
                <c:pt idx="27">
                  <c:v>9785.9544890399375</c:v>
                </c:pt>
                <c:pt idx="28">
                  <c:v>9961.2541485786842</c:v>
                </c:pt>
                <c:pt idx="29">
                  <c:v>9312.6454082853197</c:v>
                </c:pt>
              </c:numCache>
            </c:numRef>
          </c:yVal>
          <c:smooth val="0"/>
          <c:extLst>
            <c:ext xmlns:c16="http://schemas.microsoft.com/office/drawing/2014/chart" uri="{C3380CC4-5D6E-409C-BE32-E72D297353CC}">
              <c16:uniqueId val="{00000003-EFA0-42C7-B6D0-FA11A0F9312F}"/>
            </c:ext>
          </c:extLst>
        </c:ser>
        <c:ser>
          <c:idx val="4"/>
          <c:order val="4"/>
          <c:tx>
            <c:v>Power Prediction (Min.)</c:v>
          </c:tx>
          <c:spPr>
            <a:ln w="19050" cap="rnd">
              <a:solidFill>
                <a:schemeClr val="accent1"/>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P'!$DC$14:$DC$43</c:f>
              <c:numCache>
                <c:formatCode>0.00</c:formatCode>
                <c:ptCount val="30"/>
                <c:pt idx="0">
                  <c:v>5547.4960004315726</c:v>
                </c:pt>
                <c:pt idx="1">
                  <c:v>5909.7661546454374</c:v>
                </c:pt>
                <c:pt idx="2">
                  <c:v>6024.5628895096506</c:v>
                </c:pt>
                <c:pt idx="3">
                  <c:v>6139.2789945962249</c:v>
                </c:pt>
                <c:pt idx="4">
                  <c:v>6253.9118256879829</c:v>
                </c:pt>
                <c:pt idx="5">
                  <c:v>6368.4587640562804</c:v>
                </c:pt>
                <c:pt idx="6">
                  <c:v>6482.9172186442001</c:v>
                </c:pt>
                <c:pt idx="7">
                  <c:v>6597.2846282415267</c:v>
                </c:pt>
                <c:pt idx="8">
                  <c:v>6711.5584636488211</c:v>
                </c:pt>
                <c:pt idx="9">
                  <c:v>6825.7362298283697</c:v>
                </c:pt>
                <c:pt idx="10">
                  <c:v>6939.8154680391744</c:v>
                </c:pt>
                <c:pt idx="11">
                  <c:v>7053.793757953662</c:v>
                </c:pt>
                <c:pt idx="12">
                  <c:v>7167.6687197533129</c:v>
                </c:pt>
                <c:pt idx="13">
                  <c:v>7281.4380162010466</c:v>
                </c:pt>
                <c:pt idx="14">
                  <c:v>7395.0993546876425</c:v>
                </c:pt>
                <c:pt idx="15">
                  <c:v>7508.650489249575</c:v>
                </c:pt>
                <c:pt idx="16">
                  <c:v>7622.0892225561183</c:v>
                </c:pt>
                <c:pt idx="17">
                  <c:v>7735.4134078630423</c:v>
                </c:pt>
                <c:pt idx="18">
                  <c:v>7848.6209509305472</c:v>
                </c:pt>
                <c:pt idx="19">
                  <c:v>7961.7098119029597</c:v>
                </c:pt>
                <c:pt idx="20">
                  <c:v>8074.678007148048</c:v>
                </c:pt>
                <c:pt idx="21">
                  <c:v>8187.5236110534452</c:v>
                </c:pt>
                <c:pt idx="22">
                  <c:v>8300.2447577779658</c:v>
                </c:pt>
                <c:pt idx="23">
                  <c:v>8412.8396429556378</c:v>
                </c:pt>
                <c:pt idx="24">
                  <c:v>8525.3065253502755</c:v>
                </c:pt>
                <c:pt idx="25">
                  <c:v>8637.643728458379</c:v>
                </c:pt>
                <c:pt idx="26">
                  <c:v>8749.849642058427</c:v>
                </c:pt>
                <c:pt idx="27">
                  <c:v>8861.9227237044652</c:v>
                </c:pt>
                <c:pt idx="28">
                  <c:v>8973.8615001622147</c:v>
                </c:pt>
                <c:pt idx="29">
                  <c:v>9085.6645687855071</c:v>
                </c:pt>
              </c:numCache>
            </c:numRef>
          </c:yVal>
          <c:smooth val="0"/>
          <c:extLst>
            <c:ext xmlns:c16="http://schemas.microsoft.com/office/drawing/2014/chart" uri="{C3380CC4-5D6E-409C-BE32-E72D297353CC}">
              <c16:uniqueId val="{00000001-073C-4A7C-BF9C-E6416C696802}"/>
            </c:ext>
          </c:extLst>
        </c:ser>
        <c:ser>
          <c:idx val="5"/>
          <c:order val="5"/>
          <c:tx>
            <c:v>Power Prediction (Max.)</c:v>
          </c:tx>
          <c:spPr>
            <a:ln w="25400" cap="rnd">
              <a:solidFill>
                <a:srgbClr val="FF0000"/>
              </a:solidFill>
              <a:round/>
            </a:ln>
            <a:effectLst>
              <a:outerShdw blurRad="57150" dist="19050" dir="5400000" algn="ctr" rotWithShape="0">
                <a:srgbClr val="000000">
                  <a:alpha val="63000"/>
                </a:srgbClr>
              </a:outerShdw>
            </a:effectLst>
          </c:spPr>
          <c:marker>
            <c:symbol val="none"/>
          </c:marker>
          <c:xVal>
            <c:numRef>
              <c:f>'Sensitivity - Aging Power P'!$O$14:$O$43</c:f>
              <c:numCache>
                <c:formatCode>yyyy</c:formatCode>
                <c:ptCount val="30"/>
                <c:pt idx="0">
                  <c:v>44561</c:v>
                </c:pt>
                <c:pt idx="1">
                  <c:v>44926</c:v>
                </c:pt>
                <c:pt idx="2">
                  <c:v>45291</c:v>
                </c:pt>
                <c:pt idx="3">
                  <c:v>45657</c:v>
                </c:pt>
                <c:pt idx="4">
                  <c:v>46022</c:v>
                </c:pt>
                <c:pt idx="5">
                  <c:v>46387</c:v>
                </c:pt>
                <c:pt idx="6">
                  <c:v>46752</c:v>
                </c:pt>
                <c:pt idx="7">
                  <c:v>47118</c:v>
                </c:pt>
                <c:pt idx="8">
                  <c:v>47483</c:v>
                </c:pt>
                <c:pt idx="9">
                  <c:v>47848</c:v>
                </c:pt>
                <c:pt idx="10">
                  <c:v>48213</c:v>
                </c:pt>
                <c:pt idx="11">
                  <c:v>48579</c:v>
                </c:pt>
                <c:pt idx="12">
                  <c:v>48944</c:v>
                </c:pt>
                <c:pt idx="13">
                  <c:v>49309</c:v>
                </c:pt>
                <c:pt idx="14">
                  <c:v>49674</c:v>
                </c:pt>
                <c:pt idx="15">
                  <c:v>50040</c:v>
                </c:pt>
                <c:pt idx="16">
                  <c:v>50405</c:v>
                </c:pt>
                <c:pt idx="17">
                  <c:v>50770</c:v>
                </c:pt>
                <c:pt idx="18">
                  <c:v>51135</c:v>
                </c:pt>
                <c:pt idx="19">
                  <c:v>51501</c:v>
                </c:pt>
                <c:pt idx="20">
                  <c:v>51866</c:v>
                </c:pt>
                <c:pt idx="21">
                  <c:v>52231</c:v>
                </c:pt>
                <c:pt idx="22">
                  <c:v>52596</c:v>
                </c:pt>
                <c:pt idx="23">
                  <c:v>52962</c:v>
                </c:pt>
                <c:pt idx="24">
                  <c:v>53327</c:v>
                </c:pt>
                <c:pt idx="25">
                  <c:v>53692</c:v>
                </c:pt>
                <c:pt idx="26">
                  <c:v>54057</c:v>
                </c:pt>
                <c:pt idx="27">
                  <c:v>54423</c:v>
                </c:pt>
                <c:pt idx="28">
                  <c:v>54788</c:v>
                </c:pt>
                <c:pt idx="29">
                  <c:v>55153</c:v>
                </c:pt>
              </c:numCache>
            </c:numRef>
          </c:xVal>
          <c:yVal>
            <c:numRef>
              <c:f>'Sensitivity - Aging Power P'!$DA$14:$DA$43</c:f>
              <c:numCache>
                <c:formatCode>0.00</c:formatCode>
                <c:ptCount val="30"/>
                <c:pt idx="0">
                  <c:v>5944.3312368989773</c:v>
                </c:pt>
                <c:pt idx="1">
                  <c:v>6351.0836302862081</c:v>
                </c:pt>
                <c:pt idx="2">
                  <c:v>6479.5660851112716</c:v>
                </c:pt>
                <c:pt idx="3">
                  <c:v>6607.966775669358</c:v>
                </c:pt>
                <c:pt idx="4">
                  <c:v>6736.2830205382324</c:v>
                </c:pt>
                <c:pt idx="5">
                  <c:v>6864.5121641428132</c:v>
                </c:pt>
                <c:pt idx="6">
                  <c:v>6992.6515789691002</c:v>
                </c:pt>
                <c:pt idx="7">
                  <c:v>7120.6986677697532</c:v>
                </c:pt>
                <c:pt idx="8">
                  <c:v>7248.6508657586028</c:v>
                </c:pt>
                <c:pt idx="9">
                  <c:v>7376.5056427918798</c:v>
                </c:pt>
                <c:pt idx="10">
                  <c:v>7504.2605055332324</c:v>
                </c:pt>
                <c:pt idx="11">
                  <c:v>7631.9129996002312</c:v>
                </c:pt>
                <c:pt idx="12">
                  <c:v>7759.4607116894722</c:v>
                </c:pt>
                <c:pt idx="13">
                  <c:v>7886.9012716781208</c:v>
                </c:pt>
                <c:pt idx="14">
                  <c:v>8014.2323546991483</c:v>
                </c:pt>
                <c:pt idx="15">
                  <c:v>8141.4516831875271</c:v>
                </c:pt>
                <c:pt idx="16">
                  <c:v>8268.5570288953113</c:v>
                </c:pt>
                <c:pt idx="17">
                  <c:v>8395.5462148728311</c:v>
                </c:pt>
                <c:pt idx="18">
                  <c:v>8522.4171174135918</c:v>
                </c:pt>
                <c:pt idx="19">
                  <c:v>8649.1676679604388</c:v>
                </c:pt>
                <c:pt idx="20">
                  <c:v>8775.7958549707255</c:v>
                </c:pt>
                <c:pt idx="21">
                  <c:v>8902.2997257380521</c:v>
                </c:pt>
                <c:pt idx="22">
                  <c:v>9028.6773881681911</c:v>
                </c:pt>
                <c:pt idx="23">
                  <c:v>9154.9270125071034</c:v>
                </c:pt>
                <c:pt idx="24">
                  <c:v>9281.0468330187978</c:v>
                </c:pt>
                <c:pt idx="25">
                  <c:v>9407.0351496107796</c:v>
                </c:pt>
                <c:pt idx="26">
                  <c:v>9532.8903294051433</c:v>
                </c:pt>
                <c:pt idx="27">
                  <c:v>9658.6108082531809</c:v>
                </c:pt>
                <c:pt idx="28">
                  <c:v>9784.1950921916887</c:v>
                </c:pt>
                <c:pt idx="29">
                  <c:v>9909.6417588387703</c:v>
                </c:pt>
              </c:numCache>
            </c:numRef>
          </c:yVal>
          <c:smooth val="0"/>
          <c:extLst>
            <c:ext xmlns:c16="http://schemas.microsoft.com/office/drawing/2014/chart" uri="{C3380CC4-5D6E-409C-BE32-E72D297353CC}">
              <c16:uniqueId val="{00000002-073C-4A7C-BF9C-E6416C696802}"/>
            </c:ext>
          </c:extLst>
        </c:ser>
        <c:dLbls>
          <c:showLegendKey val="0"/>
          <c:showVal val="0"/>
          <c:showCatName val="0"/>
          <c:showSerName val="0"/>
          <c:showPercent val="0"/>
          <c:showBubbleSize val="0"/>
        </c:dLbls>
        <c:axId val="924342792"/>
        <c:axId val="924342464"/>
        <c:extLst/>
      </c:scatterChart>
      <c:valAx>
        <c:axId val="924342792"/>
        <c:scaling>
          <c:orientation val="minMax"/>
          <c:min val="44000"/>
        </c:scaling>
        <c:delete val="0"/>
        <c:axPos val="b"/>
        <c:majorGridlines>
          <c:spPr>
            <a:ln w="9525" cap="flat" cmpd="sng" algn="ctr">
              <a:noFill/>
              <a:round/>
            </a:ln>
            <a:effectLst/>
          </c:spPr>
        </c:majorGridlines>
        <c:numFmt formatCode="yyyy"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924342464"/>
        <c:crosses val="autoZero"/>
        <c:crossBetween val="midCat"/>
        <c:majorUnit val="700"/>
      </c:valAx>
      <c:valAx>
        <c:axId val="924342464"/>
        <c:scaling>
          <c:orientation val="minMax"/>
          <c:min val="3000"/>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SG" sz="1400"/>
                  <a:t>MW</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924342792"/>
        <c:crosses val="autoZero"/>
        <c:crossBetween val="midCat"/>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venir Next LT Pro Light" panose="020B0304020202020204" pitchFamily="34" charset="0"/>
                <a:ea typeface="+mn-ea"/>
                <a:cs typeface="+mn-cs"/>
              </a:defRPr>
            </a:pPr>
            <a:r>
              <a:rPr lang="en-SG"/>
              <a:t>Change in Power consumption due to Carbon Tax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venir Next LT Pro Light" panose="020B0304020202020204" pitchFamily="34" charset="0"/>
              <a:ea typeface="+mn-ea"/>
              <a:cs typeface="+mn-cs"/>
            </a:defRPr>
          </a:pPr>
          <a:endParaRPr lang="en-US"/>
        </a:p>
      </c:txPr>
    </c:title>
    <c:autoTitleDeleted val="0"/>
    <c:plotArea>
      <c:layout/>
      <c:scatterChart>
        <c:scatterStyle val="lineMarker"/>
        <c:varyColors val="0"/>
        <c:ser>
          <c:idx val="0"/>
          <c:order val="0"/>
          <c:tx>
            <c:strRef>
              <c:f>'Trade-Off Analysis'!$C$30</c:f>
              <c:strCache>
                <c:ptCount val="1"/>
                <c:pt idx="0">
                  <c:v>Model Power Demand 
(GwH)</c:v>
                </c:pt>
              </c:strCache>
            </c:strRef>
          </c:tx>
          <c:spPr>
            <a:ln w="19050" cap="rnd">
              <a:noFill/>
              <a:round/>
            </a:ln>
            <a:effectLst/>
          </c:spPr>
          <c:marker>
            <c:symbol val="circle"/>
            <c:size val="5"/>
            <c:spPr>
              <a:solidFill>
                <a:schemeClr val="accent1"/>
              </a:solidFill>
              <a:ln w="9525">
                <a:solidFill>
                  <a:schemeClr val="accent1"/>
                </a:solidFill>
              </a:ln>
              <a:effectLst/>
            </c:spPr>
          </c:marker>
          <c:xVal>
            <c:numRef>
              <c:f>'Trade-Off Analysis'!$B$31:$B$76</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'Trade-Off Analysis'!$C$31:$C$76</c:f>
              <c:numCache>
                <c:formatCode>0.00</c:formatCode>
                <c:ptCount val="30"/>
                <c:pt idx="0">
                  <c:v>53158.890369894623</c:v>
                </c:pt>
                <c:pt idx="1">
                  <c:v>54196.993567490885</c:v>
                </c:pt>
                <c:pt idx="2">
                  <c:v>55234.386898904093</c:v>
                </c:pt>
                <c:pt idx="3">
                  <c:v>56271.047084393118</c:v>
                </c:pt>
                <c:pt idx="4">
                  <c:v>57306.951068618298</c:v>
                </c:pt>
                <c:pt idx="5">
                  <c:v>58342.076039862462</c:v>
                </c:pt>
                <c:pt idx="6">
                  <c:v>59376.399449179415</c:v>
                </c:pt>
                <c:pt idx="7">
                  <c:v>60409.899029446402</c:v>
                </c:pt>
                <c:pt idx="8">
                  <c:v>61442.552814301293</c:v>
                </c:pt>
                <c:pt idx="9">
                  <c:v>62474.339156938891</c:v>
                </c:pt>
                <c:pt idx="10">
                  <c:v>63505.236748746618</c:v>
                </c:pt>
                <c:pt idx="11">
                  <c:v>64535.224637754363</c:v>
                </c:pt>
                <c:pt idx="12">
                  <c:v>65564.282246879899</c:v>
                </c:pt>
                <c:pt idx="13">
                  <c:v>66592.389391945588</c:v>
                </c:pt>
                <c:pt idx="14">
                  <c:v>67619.526299443358</c:v>
                </c:pt>
                <c:pt idx="15">
                  <c:v>68645.673624029383</c:v>
                </c:pt>
                <c:pt idx="16">
                  <c:v>69670.812465724273</c:v>
                </c:pt>
                <c:pt idx="17">
                  <c:v>70694.924386798739</c:v>
                </c:pt>
                <c:pt idx="18">
                  <c:v>71717.991428322493</c:v>
                </c:pt>
                <c:pt idx="19">
                  <c:v>72739.996126357379</c:v>
                </c:pt>
                <c:pt idx="20">
                  <c:v>73760.92152777352</c:v>
                </c:pt>
                <c:pt idx="21">
                  <c:v>74780.751205667577</c:v>
                </c:pt>
                <c:pt idx="22">
                  <c:v>75799.469274365241</c:v>
                </c:pt>
                <c:pt idx="23">
                  <c:v>76817.060403988144</c:v>
                </c:pt>
                <c:pt idx="24">
                  <c:v>77833.50983456579</c:v>
                </c:pt>
                <c:pt idx="25">
                  <c:v>78848.803389675508</c:v>
                </c:pt>
                <c:pt idx="26">
                  <c:v>79862.92748959217</c:v>
                </c:pt>
                <c:pt idx="27">
                  <c:v>80875.869163931508</c:v>
                </c:pt>
                <c:pt idx="28">
                  <c:v>81887.616063768495</c:v>
                </c:pt>
                <c:pt idx="29">
                  <c:v>82898.156473217736</c:v>
                </c:pt>
              </c:numCache>
            </c:numRef>
          </c:yVal>
          <c:smooth val="0"/>
          <c:extLst>
            <c:ext xmlns:c16="http://schemas.microsoft.com/office/drawing/2014/chart" uri="{C3380CC4-5D6E-409C-BE32-E72D297353CC}">
              <c16:uniqueId val="{00000000-FE8C-425E-90B9-9934DE10943F}"/>
            </c:ext>
          </c:extLst>
        </c:ser>
        <c:ser>
          <c:idx val="1"/>
          <c:order val="1"/>
          <c:tx>
            <c:strRef>
              <c:f>'Trade-Off Analysis'!$Q$30</c:f>
              <c:strCache>
                <c:ptCount val="1"/>
                <c:pt idx="0">
                  <c:v>Revised Power Demand</c:v>
                </c:pt>
              </c:strCache>
            </c:strRef>
          </c:tx>
          <c:spPr>
            <a:ln w="19050" cap="rnd">
              <a:noFill/>
              <a:round/>
            </a:ln>
            <a:effectLst/>
          </c:spPr>
          <c:marker>
            <c:symbol val="circle"/>
            <c:size val="5"/>
            <c:spPr>
              <a:solidFill>
                <a:schemeClr val="accent2"/>
              </a:solidFill>
              <a:ln w="9525">
                <a:solidFill>
                  <a:schemeClr val="accent2"/>
                </a:solidFill>
              </a:ln>
              <a:effectLst/>
            </c:spPr>
          </c:marker>
          <c:xVal>
            <c:numRef>
              <c:f>'Trade-Off Analysis'!$B$31:$B$76</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'Trade-Off Analysis'!$Q$31:$Q$76</c:f>
              <c:numCache>
                <c:formatCode>0.00</c:formatCode>
                <c:ptCount val="30"/>
                <c:pt idx="0">
                  <c:v>52667.042753592847</c:v>
                </c:pt>
                <c:pt idx="1">
                  <c:v>53696.532660203819</c:v>
                </c:pt>
                <c:pt idx="2">
                  <c:v>54725.355251649118</c:v>
                </c:pt>
                <c:pt idx="3">
                  <c:v>54746.413777278765</c:v>
                </c:pt>
                <c:pt idx="4">
                  <c:v>55757.265903048028</c:v>
                </c:pt>
                <c:pt idx="5">
                  <c:v>56767.463259424825</c:v>
                </c:pt>
                <c:pt idx="6">
                  <c:v>57776.983484083801</c:v>
                </c:pt>
                <c:pt idx="7">
                  <c:v>58785.804485405308</c:v>
                </c:pt>
                <c:pt idx="8">
                  <c:v>59793.904460997641</c:v>
                </c:pt>
                <c:pt idx="9">
                  <c:v>60801.261916087285</c:v>
                </c:pt>
                <c:pt idx="10">
                  <c:v>60725.79463845789</c:v>
                </c:pt>
                <c:pt idx="11">
                  <c:v>61716.094401049602</c:v>
                </c:pt>
                <c:pt idx="12">
                  <c:v>62705.666562582046</c:v>
                </c:pt>
                <c:pt idx="13">
                  <c:v>63694.49113125664</c:v>
                </c:pt>
                <c:pt idx="14">
                  <c:v>63577.973498309402</c:v>
                </c:pt>
                <c:pt idx="15">
                  <c:v>64550.489840538597</c:v>
                </c:pt>
                <c:pt idx="16">
                  <c:v>65522.274240244304</c:v>
                </c:pt>
                <c:pt idx="17">
                  <c:v>66493.308431132013</c:v>
                </c:pt>
                <c:pt idx="18">
                  <c:v>67463.574591462297</c:v>
                </c:pt>
                <c:pt idx="19">
                  <c:v>67294.621160690673</c:v>
                </c:pt>
                <c:pt idx="20">
                  <c:v>68249.317262722194</c:v>
                </c:pt>
                <c:pt idx="21">
                  <c:v>69203.26411094013</c:v>
                </c:pt>
                <c:pt idx="22">
                  <c:v>70156.445854819642</c:v>
                </c:pt>
                <c:pt idx="23">
                  <c:v>71108.847152436341</c:v>
                </c:pt>
                <c:pt idx="24">
                  <c:v>72060.453183943304</c:v>
                </c:pt>
                <c:pt idx="25">
                  <c:v>73011.249664624469</c:v>
                </c:pt>
                <c:pt idx="26">
                  <c:v>73961.222857501314</c:v>
                </c:pt>
                <c:pt idx="27">
                  <c:v>74910.359585479659</c:v>
                </c:pt>
                <c:pt idx="28">
                  <c:v>75858.647243018306</c:v>
                </c:pt>
                <c:pt idx="29">
                  <c:v>75571.921201619334</c:v>
                </c:pt>
              </c:numCache>
            </c:numRef>
          </c:yVal>
          <c:smooth val="0"/>
          <c:extLst>
            <c:ext xmlns:c16="http://schemas.microsoft.com/office/drawing/2014/chart" uri="{C3380CC4-5D6E-409C-BE32-E72D297353CC}">
              <c16:uniqueId val="{00000001-FE8C-425E-90B9-9934DE10943F}"/>
            </c:ext>
          </c:extLst>
        </c:ser>
        <c:dLbls>
          <c:showLegendKey val="0"/>
          <c:showVal val="0"/>
          <c:showCatName val="0"/>
          <c:showSerName val="0"/>
          <c:showPercent val="0"/>
          <c:showBubbleSize val="0"/>
        </c:dLbls>
        <c:axId val="829895231"/>
        <c:axId val="2145732399"/>
      </c:scatterChart>
      <c:valAx>
        <c:axId val="829895231"/>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venir Next LT Pro Light" panose="020B0304020202020204" pitchFamily="34" charset="0"/>
                <a:ea typeface="+mn-ea"/>
                <a:cs typeface="+mn-cs"/>
              </a:defRPr>
            </a:pPr>
            <a:endParaRPr lang="en-US"/>
          </a:p>
        </c:txPr>
        <c:crossAx val="2145732399"/>
        <c:crosses val="autoZero"/>
        <c:crossBetween val="midCat"/>
      </c:valAx>
      <c:valAx>
        <c:axId val="2145732399"/>
        <c:scaling>
          <c:orientation val="minMax"/>
        </c:scaling>
        <c:delete val="0"/>
        <c:axPos val="l"/>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venir Next LT Pro Light" panose="020B0304020202020204" pitchFamily="34" charset="0"/>
                <a:ea typeface="+mn-ea"/>
                <a:cs typeface="+mn-cs"/>
              </a:defRPr>
            </a:pPr>
            <a:endParaRPr lang="en-US"/>
          </a:p>
        </c:txPr>
        <c:crossAx val="829895231"/>
        <c:crosses val="autoZero"/>
        <c:crossBetween val="midCat"/>
      </c:valAx>
      <c:spPr>
        <a:noFill/>
        <a:ln>
          <a:noFill/>
        </a:ln>
        <a:effectLst/>
      </c:spPr>
    </c:plotArea>
    <c:legend>
      <c:legendPos val="b"/>
      <c:layout>
        <c:manualLayout>
          <c:xMode val="edge"/>
          <c:yMode val="edge"/>
          <c:x val="0.21170717246223644"/>
          <c:y val="0.88574804057940448"/>
          <c:w val="0.54395324595320771"/>
          <c:h val="9.385680190547514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venir Next LT Pro Light" panose="020B03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venir Next LT Pro Light" panose="020B030402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Change</a:t>
            </a:r>
            <a:r>
              <a:rPr lang="en-SG" baseline="0"/>
              <a:t> in Total Power Demand due to Carbon Tax</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Model</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'Results (Trade-Off)'!$B$7:$B$36</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'Results (Trade-Off)'!$C$7:$C$36</c:f>
              <c:numCache>
                <c:formatCode>0</c:formatCode>
                <c:ptCount val="30"/>
                <c:pt idx="0">
                  <c:v>53158.890369894623</c:v>
                </c:pt>
                <c:pt idx="1">
                  <c:v>54196.993567490885</c:v>
                </c:pt>
                <c:pt idx="2">
                  <c:v>55234.386898904093</c:v>
                </c:pt>
                <c:pt idx="3">
                  <c:v>56271.047084393118</c:v>
                </c:pt>
                <c:pt idx="4">
                  <c:v>57306.951068618298</c:v>
                </c:pt>
                <c:pt idx="5">
                  <c:v>58342.076039862462</c:v>
                </c:pt>
                <c:pt idx="6">
                  <c:v>59376.399449179415</c:v>
                </c:pt>
                <c:pt idx="7">
                  <c:v>60409.899029446402</c:v>
                </c:pt>
                <c:pt idx="8">
                  <c:v>61442.552814301293</c:v>
                </c:pt>
                <c:pt idx="9">
                  <c:v>62474.339156938891</c:v>
                </c:pt>
                <c:pt idx="10">
                  <c:v>63505.236748746618</c:v>
                </c:pt>
                <c:pt idx="11">
                  <c:v>64535.224637754363</c:v>
                </c:pt>
                <c:pt idx="12">
                  <c:v>65564.282246879899</c:v>
                </c:pt>
                <c:pt idx="13">
                  <c:v>66592.389391945588</c:v>
                </c:pt>
                <c:pt idx="14">
                  <c:v>67619.526299443358</c:v>
                </c:pt>
                <c:pt idx="15">
                  <c:v>68645.673624029383</c:v>
                </c:pt>
                <c:pt idx="16">
                  <c:v>69670.812465724273</c:v>
                </c:pt>
                <c:pt idx="17">
                  <c:v>70694.924386798739</c:v>
                </c:pt>
                <c:pt idx="18">
                  <c:v>71717.991428322493</c:v>
                </c:pt>
                <c:pt idx="19">
                  <c:v>72739.996126357379</c:v>
                </c:pt>
                <c:pt idx="20">
                  <c:v>73760.92152777352</c:v>
                </c:pt>
                <c:pt idx="21">
                  <c:v>74780.751205667577</c:v>
                </c:pt>
                <c:pt idx="22">
                  <c:v>75799.469274365241</c:v>
                </c:pt>
                <c:pt idx="23">
                  <c:v>76817.060403988144</c:v>
                </c:pt>
                <c:pt idx="24">
                  <c:v>77833.50983456579</c:v>
                </c:pt>
                <c:pt idx="25">
                  <c:v>78848.803389675508</c:v>
                </c:pt>
                <c:pt idx="26">
                  <c:v>79862.92748959217</c:v>
                </c:pt>
                <c:pt idx="27">
                  <c:v>80875.869163931508</c:v>
                </c:pt>
                <c:pt idx="28">
                  <c:v>81887.616063768495</c:v>
                </c:pt>
                <c:pt idx="29">
                  <c:v>82898.156473217736</c:v>
                </c:pt>
              </c:numCache>
            </c:numRef>
          </c:yVal>
          <c:smooth val="0"/>
          <c:extLst>
            <c:ext xmlns:c16="http://schemas.microsoft.com/office/drawing/2014/chart" uri="{C3380CC4-5D6E-409C-BE32-E72D297353CC}">
              <c16:uniqueId val="{00000000-5F6A-4CF9-8849-9905D73BF6C3}"/>
            </c:ext>
          </c:extLst>
        </c:ser>
        <c:ser>
          <c:idx val="1"/>
          <c:order val="1"/>
          <c:tx>
            <c:v>$10 Increment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'Results (Trade-Off)'!$B$7:$B$36</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'Results (Trade-Off)'!$F$7:$F$36</c:f>
              <c:numCache>
                <c:formatCode>0.00</c:formatCode>
                <c:ptCount val="30"/>
                <c:pt idx="0">
                  <c:v>52667.042753592847</c:v>
                </c:pt>
                <c:pt idx="1">
                  <c:v>53696.532660203819</c:v>
                </c:pt>
                <c:pt idx="2">
                  <c:v>54725.355251649118</c:v>
                </c:pt>
                <c:pt idx="3">
                  <c:v>54746.413777278765</c:v>
                </c:pt>
                <c:pt idx="4">
                  <c:v>55757.265903048028</c:v>
                </c:pt>
                <c:pt idx="5">
                  <c:v>56767.463259424825</c:v>
                </c:pt>
                <c:pt idx="6">
                  <c:v>57776.983484083801</c:v>
                </c:pt>
                <c:pt idx="7">
                  <c:v>58785.804485405308</c:v>
                </c:pt>
                <c:pt idx="8">
                  <c:v>59793.904460997641</c:v>
                </c:pt>
                <c:pt idx="9">
                  <c:v>60801.261916087285</c:v>
                </c:pt>
                <c:pt idx="10">
                  <c:v>60725.794638457846</c:v>
                </c:pt>
                <c:pt idx="11">
                  <c:v>61716.094401049595</c:v>
                </c:pt>
                <c:pt idx="12">
                  <c:v>62705.666562582046</c:v>
                </c:pt>
                <c:pt idx="13">
                  <c:v>63694.491131256589</c:v>
                </c:pt>
                <c:pt idx="14">
                  <c:v>63577.973498309395</c:v>
                </c:pt>
                <c:pt idx="15">
                  <c:v>64550.48984053859</c:v>
                </c:pt>
                <c:pt idx="16">
                  <c:v>65522.274240244304</c:v>
                </c:pt>
                <c:pt idx="17">
                  <c:v>66493.308431132013</c:v>
                </c:pt>
                <c:pt idx="18">
                  <c:v>67463.574591462311</c:v>
                </c:pt>
                <c:pt idx="19">
                  <c:v>67294.621160690687</c:v>
                </c:pt>
                <c:pt idx="20">
                  <c:v>68249.317262722325</c:v>
                </c:pt>
                <c:pt idx="21">
                  <c:v>69203.264110940218</c:v>
                </c:pt>
                <c:pt idx="22">
                  <c:v>70156.445854819671</c:v>
                </c:pt>
                <c:pt idx="23">
                  <c:v>71108.847152436341</c:v>
                </c:pt>
                <c:pt idx="24">
                  <c:v>72060.453183943289</c:v>
                </c:pt>
                <c:pt idx="25">
                  <c:v>73011.249664624454</c:v>
                </c:pt>
                <c:pt idx="26">
                  <c:v>73961.222857501241</c:v>
                </c:pt>
                <c:pt idx="27">
                  <c:v>74910.359585479659</c:v>
                </c:pt>
                <c:pt idx="28">
                  <c:v>75858.647243018379</c:v>
                </c:pt>
                <c:pt idx="29">
                  <c:v>75571.921201618024</c:v>
                </c:pt>
              </c:numCache>
            </c:numRef>
          </c:yVal>
          <c:smooth val="0"/>
          <c:extLst>
            <c:ext xmlns:c16="http://schemas.microsoft.com/office/drawing/2014/chart" uri="{C3380CC4-5D6E-409C-BE32-E72D297353CC}">
              <c16:uniqueId val="{00000001-5F6A-4CF9-8849-9905D73BF6C3}"/>
            </c:ext>
          </c:extLst>
        </c:ser>
        <c:ser>
          <c:idx val="2"/>
          <c:order val="2"/>
          <c:tx>
            <c:v>$20 Increment</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'Results (Trade-Off)'!$B$7:$B$36</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'Results (Trade-Off)'!$I$7:$I$36</c:f>
              <c:numCache>
                <c:formatCode>0.00</c:formatCode>
                <c:ptCount val="30"/>
                <c:pt idx="0">
                  <c:v>52667.042753592847</c:v>
                </c:pt>
                <c:pt idx="1">
                  <c:v>53696.532660203819</c:v>
                </c:pt>
                <c:pt idx="2">
                  <c:v>54725.355251649118</c:v>
                </c:pt>
                <c:pt idx="3">
                  <c:v>54746.413777278765</c:v>
                </c:pt>
                <c:pt idx="4">
                  <c:v>55757.265903048028</c:v>
                </c:pt>
                <c:pt idx="5">
                  <c:v>56767.463259424825</c:v>
                </c:pt>
                <c:pt idx="6">
                  <c:v>57776.983484083801</c:v>
                </c:pt>
                <c:pt idx="7">
                  <c:v>58785.804485405308</c:v>
                </c:pt>
                <c:pt idx="8">
                  <c:v>59793.904460997641</c:v>
                </c:pt>
                <c:pt idx="9">
                  <c:v>60801.261916087285</c:v>
                </c:pt>
                <c:pt idx="10">
                  <c:v>59680.968693004361</c:v>
                </c:pt>
                <c:pt idx="11">
                  <c:v>60656.221812607946</c:v>
                </c:pt>
                <c:pt idx="12">
                  <c:v>61630.820178779359</c:v>
                </c:pt>
                <c:pt idx="13">
                  <c:v>62604.743908548327</c:v>
                </c:pt>
                <c:pt idx="14">
                  <c:v>61478.261816524966</c:v>
                </c:pt>
                <c:pt idx="15">
                  <c:v>62422.529449726164</c:v>
                </c:pt>
                <c:pt idx="16">
                  <c:v>63366.19939869114</c:v>
                </c:pt>
                <c:pt idx="17">
                  <c:v>64309.253588104475</c:v>
                </c:pt>
                <c:pt idx="18">
                  <c:v>65251.674369171204</c:v>
                </c:pt>
                <c:pt idx="19">
                  <c:v>64095.779865910874</c:v>
                </c:pt>
                <c:pt idx="20">
                  <c:v>65010.801928221204</c:v>
                </c:pt>
                <c:pt idx="21">
                  <c:v>65925.261086556333</c:v>
                </c:pt>
                <c:pt idx="22">
                  <c:v>66839.14169648118</c:v>
                </c:pt>
                <c:pt idx="23">
                  <c:v>67752.428593930686</c:v>
                </c:pt>
                <c:pt idx="24">
                  <c:v>68665.107108285592</c:v>
                </c:pt>
                <c:pt idx="25">
                  <c:v>69577.16307504577</c:v>
                </c:pt>
                <c:pt idx="26">
                  <c:v>70488.582848086167</c:v>
                </c:pt>
                <c:pt idx="27">
                  <c:v>71399.353311477695</c:v>
                </c:pt>
                <c:pt idx="28">
                  <c:v>72309.461890858569</c:v>
                </c:pt>
                <c:pt idx="29">
                  <c:v>71007.975970488595</c:v>
                </c:pt>
              </c:numCache>
            </c:numRef>
          </c:yVal>
          <c:smooth val="0"/>
          <c:extLst>
            <c:ext xmlns:c16="http://schemas.microsoft.com/office/drawing/2014/chart" uri="{C3380CC4-5D6E-409C-BE32-E72D297353CC}">
              <c16:uniqueId val="{00000002-5F6A-4CF9-8849-9905D73BF6C3}"/>
            </c:ext>
          </c:extLst>
        </c:ser>
        <c:ser>
          <c:idx val="3"/>
          <c:order val="3"/>
          <c:tx>
            <c:v>$30 Increment</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'Results (Trade-Off)'!$B$7:$B$36</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'Results (Trade-Off)'!$L$7:$L$36</c:f>
              <c:numCache>
                <c:formatCode>0.00</c:formatCode>
                <c:ptCount val="30"/>
                <c:pt idx="0">
                  <c:v>52667.042753592847</c:v>
                </c:pt>
                <c:pt idx="1">
                  <c:v>53696.532660203819</c:v>
                </c:pt>
                <c:pt idx="2">
                  <c:v>54725.355251649118</c:v>
                </c:pt>
                <c:pt idx="3">
                  <c:v>54746.413777278765</c:v>
                </c:pt>
                <c:pt idx="4">
                  <c:v>55757.265903048028</c:v>
                </c:pt>
                <c:pt idx="5">
                  <c:v>56767.463259424825</c:v>
                </c:pt>
                <c:pt idx="6">
                  <c:v>57776.983484083801</c:v>
                </c:pt>
                <c:pt idx="7">
                  <c:v>58785.804485405308</c:v>
                </c:pt>
                <c:pt idx="8">
                  <c:v>59793.904460997641</c:v>
                </c:pt>
                <c:pt idx="9">
                  <c:v>60801.261916087285</c:v>
                </c:pt>
                <c:pt idx="10">
                  <c:v>58671.488393942978</c:v>
                </c:pt>
                <c:pt idx="11">
                  <c:v>59632.137757823395</c:v>
                </c:pt>
                <c:pt idx="12">
                  <c:v>60592.200996527827</c:v>
                </c:pt>
                <c:pt idx="13">
                  <c:v>61551.658350453923</c:v>
                </c:pt>
                <c:pt idx="14">
                  <c:v>59512.805449450025</c:v>
                </c:pt>
                <c:pt idx="15">
                  <c:v>60430.391514569412</c:v>
                </c:pt>
                <c:pt idx="16">
                  <c:v>61347.499619782</c:v>
                </c:pt>
                <c:pt idx="17">
                  <c:v>62264.111927818347</c:v>
                </c:pt>
                <c:pt idx="18">
                  <c:v>63180.211010968851</c:v>
                </c:pt>
                <c:pt idx="19">
                  <c:v>61187.248700798067</c:v>
                </c:pt>
                <c:pt idx="20">
                  <c:v>62065.70369482712</c:v>
                </c:pt>
                <c:pt idx="21">
                  <c:v>62943.756847377386</c:v>
                </c:pt>
                <c:pt idx="22">
                  <c:v>63821.386884050742</c:v>
                </c:pt>
                <c:pt idx="23">
                  <c:v>64698.581856859506</c:v>
                </c:pt>
                <c:pt idx="24">
                  <c:v>65575.327339965515</c:v>
                </c:pt>
                <c:pt idx="25">
                  <c:v>66451.60938708215</c:v>
                </c:pt>
                <c:pt idx="26">
                  <c:v>67327.414543388019</c:v>
                </c:pt>
                <c:pt idx="27">
                  <c:v>68202.72985702951</c:v>
                </c:pt>
                <c:pt idx="28">
                  <c:v>69077.542890198543</c:v>
                </c:pt>
                <c:pt idx="29">
                  <c:v>66963.883708116293</c:v>
                </c:pt>
              </c:numCache>
            </c:numRef>
          </c:yVal>
          <c:smooth val="0"/>
          <c:extLst>
            <c:ext xmlns:c16="http://schemas.microsoft.com/office/drawing/2014/chart" uri="{C3380CC4-5D6E-409C-BE32-E72D297353CC}">
              <c16:uniqueId val="{00000003-5F6A-4CF9-8849-9905D73BF6C3}"/>
            </c:ext>
          </c:extLst>
        </c:ser>
        <c:ser>
          <c:idx val="4"/>
          <c:order val="4"/>
          <c:tx>
            <c:v>$40 Increment</c:v>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'Results (Trade-Off)'!$B$7:$B$36</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'Results (Trade-Off)'!$O$7:$O$36</c:f>
              <c:numCache>
                <c:formatCode>0.00</c:formatCode>
                <c:ptCount val="30"/>
                <c:pt idx="0">
                  <c:v>52667.042753592847</c:v>
                </c:pt>
                <c:pt idx="1">
                  <c:v>53696.532660203819</c:v>
                </c:pt>
                <c:pt idx="2">
                  <c:v>54725.355251649118</c:v>
                </c:pt>
                <c:pt idx="3">
                  <c:v>54746.413777278765</c:v>
                </c:pt>
                <c:pt idx="4">
                  <c:v>55757.265903048028</c:v>
                </c:pt>
                <c:pt idx="5">
                  <c:v>56767.463259424825</c:v>
                </c:pt>
                <c:pt idx="6">
                  <c:v>57776.983484083801</c:v>
                </c:pt>
                <c:pt idx="7">
                  <c:v>58785.804485405308</c:v>
                </c:pt>
                <c:pt idx="8">
                  <c:v>59793.904460997641</c:v>
                </c:pt>
                <c:pt idx="9">
                  <c:v>60801.261916087285</c:v>
                </c:pt>
                <c:pt idx="10">
                  <c:v>57695.590000803117</c:v>
                </c:pt>
                <c:pt idx="11">
                  <c:v>58642.059635289552</c:v>
                </c:pt>
                <c:pt idx="12">
                  <c:v>59588.007838084377</c:v>
                </c:pt>
                <c:pt idx="13">
                  <c:v>60533.414985439587</c:v>
                </c:pt>
                <c:pt idx="14">
                  <c:v>57669.126898728653</c:v>
                </c:pt>
                <c:pt idx="15">
                  <c:v>58561.474383425448</c:v>
                </c:pt>
                <c:pt idx="16">
                  <c:v>59453.450910114363</c:v>
                </c:pt>
                <c:pt idx="17">
                  <c:v>60345.038914378616</c:v>
                </c:pt>
                <c:pt idx="18">
                  <c:v>61236.221225425936</c:v>
                </c:pt>
                <c:pt idx="19">
                  <c:v>58531.227941599987</c:v>
                </c:pt>
                <c:pt idx="20">
                  <c:v>59375.882391001614</c:v>
                </c:pt>
                <c:pt idx="21">
                  <c:v>60220.264067195923</c:v>
                </c:pt>
                <c:pt idx="22">
                  <c:v>61064.360634240773</c:v>
                </c:pt>
                <c:pt idx="23">
                  <c:v>61908.157531147241</c:v>
                </c:pt>
                <c:pt idx="24">
                  <c:v>62751.64064020916</c:v>
                </c:pt>
                <c:pt idx="25">
                  <c:v>63594.79629895572</c:v>
                </c:pt>
                <c:pt idx="26">
                  <c:v>64437.611311733963</c:v>
                </c:pt>
                <c:pt idx="27">
                  <c:v>65280.072960901023</c:v>
                </c:pt>
                <c:pt idx="28">
                  <c:v>66122.169017614127</c:v>
                </c:pt>
                <c:pt idx="29">
                  <c:v>63355.617370238113</c:v>
                </c:pt>
              </c:numCache>
            </c:numRef>
          </c:yVal>
          <c:smooth val="0"/>
          <c:extLst>
            <c:ext xmlns:c16="http://schemas.microsoft.com/office/drawing/2014/chart" uri="{C3380CC4-5D6E-409C-BE32-E72D297353CC}">
              <c16:uniqueId val="{00000004-5F6A-4CF9-8849-9905D73BF6C3}"/>
            </c:ext>
          </c:extLst>
        </c:ser>
        <c:ser>
          <c:idx val="5"/>
          <c:order val="5"/>
          <c:tx>
            <c:v>$50 Increment</c:v>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'Results (Trade-Off)'!$B$7:$B$36</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'Results (Trade-Off)'!$R$7:$R$36</c:f>
              <c:numCache>
                <c:formatCode>0.00</c:formatCode>
                <c:ptCount val="30"/>
                <c:pt idx="0">
                  <c:v>52667.042753592847</c:v>
                </c:pt>
                <c:pt idx="1">
                  <c:v>53696.532660203819</c:v>
                </c:pt>
                <c:pt idx="2">
                  <c:v>54725.355251649118</c:v>
                </c:pt>
                <c:pt idx="3">
                  <c:v>54746.413777278765</c:v>
                </c:pt>
                <c:pt idx="4">
                  <c:v>55757.265903048028</c:v>
                </c:pt>
                <c:pt idx="5">
                  <c:v>56767.463259424825</c:v>
                </c:pt>
                <c:pt idx="6">
                  <c:v>57776.983484083801</c:v>
                </c:pt>
                <c:pt idx="7">
                  <c:v>58785.804485405308</c:v>
                </c:pt>
                <c:pt idx="8">
                  <c:v>59793.904460997641</c:v>
                </c:pt>
                <c:pt idx="9">
                  <c:v>60801.261916087285</c:v>
                </c:pt>
                <c:pt idx="10">
                  <c:v>56751.625200232294</c:v>
                </c:pt>
                <c:pt idx="11">
                  <c:v>57684.321296925096</c:v>
                </c:pt>
                <c:pt idx="12">
                  <c:v>58616.556982605238</c:v>
                </c:pt>
                <c:pt idx="13">
                  <c:v>59548.312780055319</c:v>
                </c:pt>
                <c:pt idx="14">
                  <c:v>55936.248393146147</c:v>
                </c:pt>
                <c:pt idx="15">
                  <c:v>56804.68855258033</c:v>
                </c:pt>
                <c:pt idx="16">
                  <c:v>57672.85358199435</c:v>
                </c:pt>
                <c:pt idx="17">
                  <c:v>58540.72621500821</c:v>
                </c:pt>
                <c:pt idx="18">
                  <c:v>59408.289563900573</c:v>
                </c:pt>
                <c:pt idx="19">
                  <c:v>56096.197164095203</c:v>
                </c:pt>
                <c:pt idx="20">
                  <c:v>56909.513573455479</c:v>
                </c:pt>
                <c:pt idx="21">
                  <c:v>57722.675113926765</c:v>
                </c:pt>
                <c:pt idx="22">
                  <c:v>58535.672471337719</c:v>
                </c:pt>
                <c:pt idx="23">
                  <c:v>59348.480948155244</c:v>
                </c:pt>
                <c:pt idx="24">
                  <c:v>60161.09199632446</c:v>
                </c:pt>
                <c:pt idx="25">
                  <c:v>60973.492279684826</c:v>
                </c:pt>
                <c:pt idx="26">
                  <c:v>61785.668906307306</c:v>
                </c:pt>
                <c:pt idx="27">
                  <c:v>62597.609439386637</c:v>
                </c:pt>
                <c:pt idx="28">
                  <c:v>63409.301907750931</c:v>
                </c:pt>
                <c:pt idx="29">
                  <c:v>60116.319771318915</c:v>
                </c:pt>
              </c:numCache>
            </c:numRef>
          </c:yVal>
          <c:smooth val="0"/>
          <c:extLst>
            <c:ext xmlns:c16="http://schemas.microsoft.com/office/drawing/2014/chart" uri="{C3380CC4-5D6E-409C-BE32-E72D297353CC}">
              <c16:uniqueId val="{00000005-5F6A-4CF9-8849-9905D73BF6C3}"/>
            </c:ext>
          </c:extLst>
        </c:ser>
        <c:dLbls>
          <c:showLegendKey val="0"/>
          <c:showVal val="0"/>
          <c:showCatName val="0"/>
          <c:showSerName val="0"/>
          <c:showPercent val="0"/>
          <c:showBubbleSize val="0"/>
        </c:dLbls>
        <c:axId val="675575744"/>
        <c:axId val="675576160"/>
      </c:scatterChart>
      <c:valAx>
        <c:axId val="675575744"/>
        <c:scaling>
          <c:orientation val="minMax"/>
          <c:max val="2050"/>
          <c:min val="202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576160"/>
        <c:crosses val="autoZero"/>
        <c:crossBetween val="midCat"/>
      </c:valAx>
      <c:valAx>
        <c:axId val="675576160"/>
        <c:scaling>
          <c:orientation val="minMax"/>
          <c:min val="50000"/>
        </c:scaling>
        <c:delete val="0"/>
        <c:axPos val="l"/>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575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Change</a:t>
            </a:r>
            <a:r>
              <a:rPr lang="en-SG" baseline="0"/>
              <a:t> in Carbon Emissions due to Carbon Tax</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Model</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'Results (Trade-Off)'!$B$7:$B$36</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'Results (Trade-Off)'!$D$7:$D$36</c:f>
              <c:numCache>
                <c:formatCode>0</c:formatCode>
                <c:ptCount val="30"/>
                <c:pt idx="0">
                  <c:v>21594.216625712161</c:v>
                </c:pt>
                <c:pt idx="1">
                  <c:v>20644.529682403718</c:v>
                </c:pt>
                <c:pt idx="2">
                  <c:v>19737.16436697165</c:v>
                </c:pt>
                <c:pt idx="3">
                  <c:v>18867.956887690627</c:v>
                </c:pt>
                <c:pt idx="4">
                  <c:v>18939.463476692868</c:v>
                </c:pt>
                <c:pt idx="5">
                  <c:v>19004.888605726428</c:v>
                </c:pt>
                <c:pt idx="6">
                  <c:v>19064.364024359336</c:v>
                </c:pt>
                <c:pt idx="7">
                  <c:v>19118.017943740877</c:v>
                </c:pt>
                <c:pt idx="8">
                  <c:v>19165.975167061832</c:v>
                </c:pt>
                <c:pt idx="9">
                  <c:v>18932.868593125353</c:v>
                </c:pt>
                <c:pt idx="10">
                  <c:v>18697.00328992452</c:v>
                </c:pt>
                <c:pt idx="11">
                  <c:v>18458.499321957486</c:v>
                </c:pt>
                <c:pt idx="12">
                  <c:v>18217.470659161067</c:v>
                </c:pt>
                <c:pt idx="13">
                  <c:v>17974.025584266077</c:v>
                </c:pt>
                <c:pt idx="14">
                  <c:v>17728.267067160989</c:v>
                </c:pt>
                <c:pt idx="15">
                  <c:v>17480.293109294769</c:v>
                </c:pt>
                <c:pt idx="16">
                  <c:v>17230.197060835399</c:v>
                </c:pt>
                <c:pt idx="17">
                  <c:v>16978.067913024304</c:v>
                </c:pt>
                <c:pt idx="18">
                  <c:v>16723.990567921017</c:v>
                </c:pt>
                <c:pt idx="19">
                  <c:v>16468.046087514882</c:v>
                </c:pt>
                <c:pt idx="20">
                  <c:v>16210.311923986272</c:v>
                </c:pt>
                <c:pt idx="21">
                  <c:v>15950.862132726905</c:v>
                </c:pt>
                <c:pt idx="22">
                  <c:v>15689.767569575724</c:v>
                </c:pt>
                <c:pt idx="23">
                  <c:v>15427.096073588389</c:v>
                </c:pt>
                <c:pt idx="24">
                  <c:v>15162.912636535586</c:v>
                </c:pt>
                <c:pt idx="25">
                  <c:v>14897.279560215484</c:v>
                </c:pt>
                <c:pt idx="26">
                  <c:v>14630.256602566318</c:v>
                </c:pt>
                <c:pt idx="27">
                  <c:v>14361.901113476799</c:v>
                </c:pt>
                <c:pt idx="28">
                  <c:v>14092.268161111393</c:v>
                </c:pt>
                <c:pt idx="29">
                  <c:v>13821.410649496715</c:v>
                </c:pt>
              </c:numCache>
            </c:numRef>
          </c:yVal>
          <c:smooth val="0"/>
          <c:extLst>
            <c:ext xmlns:c16="http://schemas.microsoft.com/office/drawing/2014/chart" uri="{C3380CC4-5D6E-409C-BE32-E72D297353CC}">
              <c16:uniqueId val="{00000000-286C-4DD7-942A-4987A8BB9B53}"/>
            </c:ext>
          </c:extLst>
        </c:ser>
        <c:ser>
          <c:idx val="1"/>
          <c:order val="1"/>
          <c:tx>
            <c:v>$10 Increment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'Results (Trade-Off)'!$B$7:$B$36</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'Results (Trade-Off)'!$G$7:$G$36</c:f>
              <c:numCache>
                <c:formatCode>0</c:formatCode>
                <c:ptCount val="30"/>
                <c:pt idx="0">
                  <c:v>21394.418174326958</c:v>
                </c:pt>
                <c:pt idx="1">
                  <c:v>20453.895859837445</c:v>
                </c:pt>
                <c:pt idx="2">
                  <c:v>19555.269684076909</c:v>
                </c:pt>
                <c:pt idx="3">
                  <c:v>18356.739894251219</c:v>
                </c:pt>
                <c:pt idx="4">
                  <c:v>18427.305613704353</c:v>
                </c:pt>
                <c:pt idx="5">
                  <c:v>18491.959643978069</c:v>
                </c:pt>
                <c:pt idx="6">
                  <c:v>18550.829211406373</c:v>
                </c:pt>
                <c:pt idx="7">
                  <c:v>18604.038130264042</c:v>
                </c:pt>
                <c:pt idx="8">
                  <c:v>18651.706928661417</c:v>
                </c:pt>
                <c:pt idx="9">
                  <c:v>18425.841996691575</c:v>
                </c:pt>
                <c:pt idx="10">
                  <c:v>17878.689069857472</c:v>
                </c:pt>
                <c:pt idx="11">
                  <c:v>17652.165821844708</c:v>
                </c:pt>
                <c:pt idx="12">
                  <c:v>17423.185332305497</c:v>
                </c:pt>
                <c:pt idx="13">
                  <c:v>17191.850654760936</c:v>
                </c:pt>
                <c:pt idx="14">
                  <c:v>16668.665923147571</c:v>
                </c:pt>
                <c:pt idx="15">
                  <c:v>16437.474107125468</c:v>
                </c:pt>
                <c:pt idx="16">
                  <c:v>16204.227524817801</c:v>
                </c:pt>
                <c:pt idx="17">
                  <c:v>15969.009318528131</c:v>
                </c:pt>
                <c:pt idx="18">
                  <c:v>15731.898825882134</c:v>
                </c:pt>
                <c:pt idx="19">
                  <c:v>15235.234832718774</c:v>
                </c:pt>
                <c:pt idx="20">
                  <c:v>14999.036054765851</c:v>
                </c:pt>
                <c:pt idx="21">
                  <c:v>14761.174596018702</c:v>
                </c:pt>
                <c:pt idx="22">
                  <c:v>14521.715514727299</c:v>
                </c:pt>
                <c:pt idx="23">
                  <c:v>14280.721117594263</c:v>
                </c:pt>
                <c:pt idx="24">
                  <c:v>14038.251114458306</c:v>
                </c:pt>
                <c:pt idx="25">
                  <c:v>13794.362761845277</c:v>
                </c:pt>
                <c:pt idx="26">
                  <c:v>13549.110996286146</c:v>
                </c:pt>
                <c:pt idx="27">
                  <c:v>13302.548558222488</c:v>
                </c:pt>
                <c:pt idx="28">
                  <c:v>13054.726107245426</c:v>
                </c:pt>
                <c:pt idx="29">
                  <c:v>12599.925027722715</c:v>
                </c:pt>
              </c:numCache>
            </c:numRef>
          </c:yVal>
          <c:smooth val="0"/>
          <c:extLst>
            <c:ext xmlns:c16="http://schemas.microsoft.com/office/drawing/2014/chart" uri="{C3380CC4-5D6E-409C-BE32-E72D297353CC}">
              <c16:uniqueId val="{00000001-286C-4DD7-942A-4987A8BB9B53}"/>
            </c:ext>
          </c:extLst>
        </c:ser>
        <c:ser>
          <c:idx val="2"/>
          <c:order val="2"/>
          <c:tx>
            <c:v>$20 Increment</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'Results (Trade-Off)'!$B$7:$B$36</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'Results (Trade-Off)'!$J$7:$J$36</c:f>
              <c:numCache>
                <c:formatCode>0</c:formatCode>
                <c:ptCount val="30"/>
                <c:pt idx="0">
                  <c:v>21394.418174326958</c:v>
                </c:pt>
                <c:pt idx="1">
                  <c:v>20453.895859837445</c:v>
                </c:pt>
                <c:pt idx="2">
                  <c:v>19555.269684076909</c:v>
                </c:pt>
                <c:pt idx="3">
                  <c:v>18356.739894251219</c:v>
                </c:pt>
                <c:pt idx="4">
                  <c:v>18427.305613704353</c:v>
                </c:pt>
                <c:pt idx="5">
                  <c:v>18491.959643978069</c:v>
                </c:pt>
                <c:pt idx="6">
                  <c:v>18550.829211406373</c:v>
                </c:pt>
                <c:pt idx="7">
                  <c:v>18604.038130264042</c:v>
                </c:pt>
                <c:pt idx="8">
                  <c:v>18651.706928661417</c:v>
                </c:pt>
                <c:pt idx="9">
                  <c:v>18425.841996691575</c:v>
                </c:pt>
                <c:pt idx="10">
                  <c:v>17571.074845587566</c:v>
                </c:pt>
                <c:pt idx="11">
                  <c:v>17349.018857300536</c:v>
                </c:pt>
                <c:pt idx="12">
                  <c:v>17124.532135946243</c:v>
                </c:pt>
                <c:pt idx="13">
                  <c:v>16897.71577478154</c:v>
                </c:pt>
                <c:pt idx="14">
                  <c:v>16118.170356321656</c:v>
                </c:pt>
                <c:pt idx="15">
                  <c:v>15895.599151391192</c:v>
                </c:pt>
                <c:pt idx="16">
                  <c:v>15671.011489535496</c:v>
                </c:pt>
                <c:pt idx="17">
                  <c:v>15444.487483724168</c:v>
                </c:pt>
                <c:pt idx="18">
                  <c:v>15216.103587922218</c:v>
                </c:pt>
                <c:pt idx="19">
                  <c:v>14511.029874313617</c:v>
                </c:pt>
                <c:pt idx="20">
                  <c:v>14287.313063030875</c:v>
                </c:pt>
                <c:pt idx="21">
                  <c:v>14061.970944415823</c:v>
                </c:pt>
                <c:pt idx="22">
                  <c:v>13835.065176668533</c:v>
                </c:pt>
                <c:pt idx="23">
                  <c:v>13606.654819132347</c:v>
                </c:pt>
                <c:pt idx="24">
                  <c:v>13376.796478461178</c:v>
                </c:pt>
                <c:pt idx="25">
                  <c:v>13145.544444259504</c:v>
                </c:pt>
                <c:pt idx="26">
                  <c:v>12912.950815046837</c:v>
                </c:pt>
                <c:pt idx="27">
                  <c:v>12679.065615321382</c:v>
                </c:pt>
                <c:pt idx="28">
                  <c:v>12443.936904429025</c:v>
                </c:pt>
                <c:pt idx="29">
                  <c:v>11838.989394110264</c:v>
                </c:pt>
              </c:numCache>
            </c:numRef>
          </c:yVal>
          <c:smooth val="0"/>
          <c:extLst>
            <c:ext xmlns:c16="http://schemas.microsoft.com/office/drawing/2014/chart" uri="{C3380CC4-5D6E-409C-BE32-E72D297353CC}">
              <c16:uniqueId val="{00000002-286C-4DD7-942A-4987A8BB9B53}"/>
            </c:ext>
          </c:extLst>
        </c:ser>
        <c:ser>
          <c:idx val="3"/>
          <c:order val="3"/>
          <c:tx>
            <c:v>$30 Increment</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'Results (Trade-Off)'!$B$7:$B$36</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'Results (Trade-Off)'!$M$7:$M$36</c:f>
              <c:numCache>
                <c:formatCode>0</c:formatCode>
                <c:ptCount val="30"/>
                <c:pt idx="0">
                  <c:v>21394.418174326958</c:v>
                </c:pt>
                <c:pt idx="1">
                  <c:v>20453.895859837445</c:v>
                </c:pt>
                <c:pt idx="2">
                  <c:v>19555.269684076909</c:v>
                </c:pt>
                <c:pt idx="3">
                  <c:v>18356.739894251219</c:v>
                </c:pt>
                <c:pt idx="4">
                  <c:v>18427.305613704353</c:v>
                </c:pt>
                <c:pt idx="5">
                  <c:v>18491.959643978069</c:v>
                </c:pt>
                <c:pt idx="6">
                  <c:v>18550.829211406373</c:v>
                </c:pt>
                <c:pt idx="7">
                  <c:v>18604.038130264042</c:v>
                </c:pt>
                <c:pt idx="8">
                  <c:v>18651.706928661417</c:v>
                </c:pt>
                <c:pt idx="9">
                  <c:v>18425.841996691575</c:v>
                </c:pt>
                <c:pt idx="10">
                  <c:v>17273.866970474224</c:v>
                </c:pt>
                <c:pt idx="11">
                  <c:v>17056.108203669537</c:v>
                </c:pt>
                <c:pt idx="12">
                  <c:v>16835.94490780482</c:v>
                </c:pt>
                <c:pt idx="13">
                  <c:v>16613.476285307697</c:v>
                </c:pt>
                <c:pt idx="14">
                  <c:v>15602.873410435725</c:v>
                </c:pt>
                <c:pt idx="15">
                  <c:v>15388.310735643234</c:v>
                </c:pt>
                <c:pt idx="16">
                  <c:v>15171.769500440261</c:v>
                </c:pt>
                <c:pt idx="17">
                  <c:v>14953.326989512265</c:v>
                </c:pt>
                <c:pt idx="18">
                  <c:v>14733.056963575609</c:v>
                </c:pt>
                <c:pt idx="19">
                  <c:v>13852.549975705329</c:v>
                </c:pt>
                <c:pt idx="20">
                  <c:v>13640.073847179661</c:v>
                </c:pt>
                <c:pt idx="21">
                  <c:v>13426.010990811081</c:v>
                </c:pt>
                <c:pt idx="22">
                  <c:v>13210.418697712053</c:v>
                </c:pt>
                <c:pt idx="23">
                  <c:v>12993.35372743416</c:v>
                </c:pt>
                <c:pt idx="24">
                  <c:v>12774.869868794573</c:v>
                </c:pt>
                <c:pt idx="25">
                  <c:v>12555.018715670534</c:v>
                </c:pt>
                <c:pt idx="26">
                  <c:v>12333.849786379178</c:v>
                </c:pt>
                <c:pt idx="27">
                  <c:v>12111.410634615717</c:v>
                </c:pt>
                <c:pt idx="28">
                  <c:v>11887.746952619647</c:v>
                </c:pt>
                <c:pt idx="29">
                  <c:v>11164.727598182895</c:v>
                </c:pt>
              </c:numCache>
            </c:numRef>
          </c:yVal>
          <c:smooth val="0"/>
          <c:extLst>
            <c:ext xmlns:c16="http://schemas.microsoft.com/office/drawing/2014/chart" uri="{C3380CC4-5D6E-409C-BE32-E72D297353CC}">
              <c16:uniqueId val="{00000003-286C-4DD7-942A-4987A8BB9B53}"/>
            </c:ext>
          </c:extLst>
        </c:ser>
        <c:ser>
          <c:idx val="4"/>
          <c:order val="4"/>
          <c:tx>
            <c:v>$40 Increment</c:v>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'Results (Trade-Off)'!$B$7:$B$36</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'Results (Trade-Off)'!$P$7:$P$36</c:f>
              <c:numCache>
                <c:formatCode>0</c:formatCode>
                <c:ptCount val="30"/>
                <c:pt idx="0">
                  <c:v>21394.418174326958</c:v>
                </c:pt>
                <c:pt idx="1">
                  <c:v>20453.895859837445</c:v>
                </c:pt>
                <c:pt idx="2">
                  <c:v>19555.269684076909</c:v>
                </c:pt>
                <c:pt idx="3">
                  <c:v>18356.739894251219</c:v>
                </c:pt>
                <c:pt idx="4">
                  <c:v>18427.305613704353</c:v>
                </c:pt>
                <c:pt idx="5">
                  <c:v>18491.959643978069</c:v>
                </c:pt>
                <c:pt idx="6">
                  <c:v>18550.829211406373</c:v>
                </c:pt>
                <c:pt idx="7">
                  <c:v>18604.038130264042</c:v>
                </c:pt>
                <c:pt idx="8">
                  <c:v>18651.706928661417</c:v>
                </c:pt>
                <c:pt idx="9">
                  <c:v>18425.841996691575</c:v>
                </c:pt>
                <c:pt idx="10">
                  <c:v>16986.546169839181</c:v>
                </c:pt>
                <c:pt idx="11">
                  <c:v>16772.923997585833</c:v>
                </c:pt>
                <c:pt idx="12">
                  <c:v>16556.923178699497</c:v>
                </c:pt>
                <c:pt idx="13">
                  <c:v>16338.641090762319</c:v>
                </c:pt>
                <c:pt idx="14">
                  <c:v>15119.503775628717</c:v>
                </c:pt>
                <c:pt idx="15">
                  <c:v>14912.399909444523</c:v>
                </c:pt>
                <c:pt idx="16">
                  <c:v>14703.354803447173</c:v>
                </c:pt>
                <c:pt idx="17">
                  <c:v>14492.443096717323</c:v>
                </c:pt>
                <c:pt idx="18">
                  <c:v>14279.736029873116</c:v>
                </c:pt>
                <c:pt idx="19">
                  <c:v>13251.237429635214</c:v>
                </c:pt>
                <c:pt idx="20">
                  <c:v>13048.936406761744</c:v>
                </c:pt>
                <c:pt idx="21">
                  <c:v>12845.085322697985</c:v>
                </c:pt>
                <c:pt idx="22">
                  <c:v>12639.740545782477</c:v>
                </c:pt>
                <c:pt idx="23">
                  <c:v>12432.955504273223</c:v>
                </c:pt>
                <c:pt idx="24">
                  <c:v>12224.781419329085</c:v>
                </c:pt>
                <c:pt idx="25">
                  <c:v>12015.267427185228</c:v>
                </c:pt>
                <c:pt idx="26">
                  <c:v>11804.460692603045</c:v>
                </c:pt>
                <c:pt idx="27">
                  <c:v>11592.406514292295</c:v>
                </c:pt>
                <c:pt idx="28">
                  <c:v>11379.148422942471</c:v>
                </c:pt>
                <c:pt idx="29">
                  <c:v>10563.130012539576</c:v>
                </c:pt>
              </c:numCache>
            </c:numRef>
          </c:yVal>
          <c:smooth val="0"/>
          <c:extLst>
            <c:ext xmlns:c16="http://schemas.microsoft.com/office/drawing/2014/chart" uri="{C3380CC4-5D6E-409C-BE32-E72D297353CC}">
              <c16:uniqueId val="{00000004-286C-4DD7-942A-4987A8BB9B53}"/>
            </c:ext>
          </c:extLst>
        </c:ser>
        <c:ser>
          <c:idx val="5"/>
          <c:order val="5"/>
          <c:tx>
            <c:v>$50 Increment</c:v>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'Results (Trade-Off)'!$B$7:$B$36</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'Results (Trade-Off)'!$S$7:$S$36</c:f>
              <c:numCache>
                <c:formatCode>0</c:formatCode>
                <c:ptCount val="30"/>
                <c:pt idx="0">
                  <c:v>21394.418174326958</c:v>
                </c:pt>
                <c:pt idx="1">
                  <c:v>20453.895859837445</c:v>
                </c:pt>
                <c:pt idx="2">
                  <c:v>19555.269684076909</c:v>
                </c:pt>
                <c:pt idx="3">
                  <c:v>18356.739894251219</c:v>
                </c:pt>
                <c:pt idx="4">
                  <c:v>18427.305613704353</c:v>
                </c:pt>
                <c:pt idx="5">
                  <c:v>18491.959643978069</c:v>
                </c:pt>
                <c:pt idx="6">
                  <c:v>18550.829211406373</c:v>
                </c:pt>
                <c:pt idx="7">
                  <c:v>18604.038130264042</c:v>
                </c:pt>
                <c:pt idx="8">
                  <c:v>18651.706928661417</c:v>
                </c:pt>
                <c:pt idx="9">
                  <c:v>18425.841996691575</c:v>
                </c:pt>
                <c:pt idx="10">
                  <c:v>16708.627152677276</c:v>
                </c:pt>
                <c:pt idx="11">
                  <c:v>16498.989683906064</c:v>
                </c:pt>
                <c:pt idx="12">
                  <c:v>16286.999115627024</c:v>
                </c:pt>
                <c:pt idx="13">
                  <c:v>16072.751063322708</c:v>
                </c:pt>
                <c:pt idx="14">
                  <c:v>14665.183335614596</c:v>
                </c:pt>
                <c:pt idx="15">
                  <c:v>14465.042783609882</c:v>
                </c:pt>
                <c:pt idx="16">
                  <c:v>14262.997618512689</c:v>
                </c:pt>
                <c:pt idx="17">
                  <c:v>14059.120000159017</c:v>
                </c:pt>
                <c:pt idx="18">
                  <c:v>13853.478806862244</c:v>
                </c:pt>
                <c:pt idx="19">
                  <c:v>12699.956137307297</c:v>
                </c:pt>
                <c:pt idx="20">
                  <c:v>12506.906738152438</c:v>
                </c:pt>
                <c:pt idx="21">
                  <c:v>12312.345327237779</c:v>
                </c:pt>
                <c:pt idx="22">
                  <c:v>12116.326201174343</c:v>
                </c:pt>
                <c:pt idx="23">
                  <c:v>11918.898127494434</c:v>
                </c:pt>
                <c:pt idx="24">
                  <c:v>11720.111093509151</c:v>
                </c:pt>
                <c:pt idx="25">
                  <c:v>11520.011987550894</c:v>
                </c:pt>
                <c:pt idx="26">
                  <c:v>11318.645820719274</c:v>
                </c:pt>
                <c:pt idx="27">
                  <c:v>11116.05582731038</c:v>
                </c:pt>
                <c:pt idx="28">
                  <c:v>10912.283558200528</c:v>
                </c:pt>
                <c:pt idx="29">
                  <c:v>10023.049699112395</c:v>
                </c:pt>
              </c:numCache>
            </c:numRef>
          </c:yVal>
          <c:smooth val="0"/>
          <c:extLst>
            <c:ext xmlns:c16="http://schemas.microsoft.com/office/drawing/2014/chart" uri="{C3380CC4-5D6E-409C-BE32-E72D297353CC}">
              <c16:uniqueId val="{00000005-286C-4DD7-942A-4987A8BB9B53}"/>
            </c:ext>
          </c:extLst>
        </c:ser>
        <c:dLbls>
          <c:showLegendKey val="0"/>
          <c:showVal val="0"/>
          <c:showCatName val="0"/>
          <c:showSerName val="0"/>
          <c:showPercent val="0"/>
          <c:showBubbleSize val="0"/>
        </c:dLbls>
        <c:axId val="675575744"/>
        <c:axId val="675576160"/>
      </c:scatterChart>
      <c:valAx>
        <c:axId val="675575744"/>
        <c:scaling>
          <c:orientation val="minMax"/>
          <c:max val="2050"/>
          <c:min val="202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576160"/>
        <c:crosses val="autoZero"/>
        <c:crossBetween val="midCat"/>
      </c:valAx>
      <c:valAx>
        <c:axId val="675576160"/>
        <c:scaling>
          <c:orientation val="minMax"/>
          <c:min val="5000"/>
        </c:scaling>
        <c:delete val="0"/>
        <c:axPos val="l"/>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575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venir Next LT Pro" panose="020B0504020202020204" pitchFamily="34" charset="0"/>
                <a:ea typeface="+mn-ea"/>
                <a:cs typeface="+mn-cs"/>
              </a:defRPr>
            </a:pPr>
            <a:r>
              <a:rPr lang="en-SG"/>
              <a:t>Electricity Supply and Availability in Singapore (Model)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venir Next LT Pro" panose="020B0504020202020204" pitchFamily="34" charset="0"/>
              <a:ea typeface="+mn-ea"/>
              <a:cs typeface="+mn-cs"/>
            </a:defRPr>
          </a:pPr>
          <a:endParaRPr lang="en-US"/>
        </a:p>
      </c:txPr>
    </c:title>
    <c:autoTitleDeleted val="0"/>
    <c:plotArea>
      <c:layout/>
      <c:barChart>
        <c:barDir val="col"/>
        <c:grouping val="stacked"/>
        <c:varyColors val="0"/>
        <c:ser>
          <c:idx val="1"/>
          <c:order val="0"/>
          <c:tx>
            <c:strRef>
              <c:f>'Capacity (Outage and Avail)'!$P$2</c:f>
              <c:strCache>
                <c:ptCount val="1"/>
                <c:pt idx="0">
                  <c:v>Available Capacity (GwH)</c:v>
                </c:pt>
              </c:strCache>
            </c:strRef>
          </c:tx>
          <c:spPr>
            <a:solidFill>
              <a:schemeClr val="accent2"/>
            </a:solidFill>
            <a:ln>
              <a:noFill/>
            </a:ln>
            <a:effectLst/>
          </c:spPr>
          <c:invertIfNegative val="0"/>
          <c:cat>
            <c:numRef>
              <c:f>'Capacity (Outage and Avail)'!$O$3:$O$48</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'Capacity (Outage and Avail)'!$P$3:$P$48</c:f>
              <c:numCache>
                <c:formatCode>0</c:formatCode>
                <c:ptCount val="46"/>
                <c:pt idx="0">
                  <c:v>73655.882400000002</c:v>
                </c:pt>
                <c:pt idx="1">
                  <c:v>75648.873600000006</c:v>
                </c:pt>
                <c:pt idx="2">
                  <c:v>78843.98771999999</c:v>
                </c:pt>
                <c:pt idx="3">
                  <c:v>80108.063999999998</c:v>
                </c:pt>
                <c:pt idx="4">
                  <c:v>75387.312000000005</c:v>
                </c:pt>
                <c:pt idx="5">
                  <c:v>75953.22</c:v>
                </c:pt>
                <c:pt idx="6">
                  <c:v>76721.243999999992</c:v>
                </c:pt>
                <c:pt idx="7">
                  <c:v>76078.680000000008</c:v>
                </c:pt>
                <c:pt idx="8">
                  <c:v>85380.012000000002</c:v>
                </c:pt>
                <c:pt idx="9">
                  <c:v>98190.086400000015</c:v>
                </c:pt>
                <c:pt idx="10">
                  <c:v>101673.9264</c:v>
                </c:pt>
                <c:pt idx="11">
                  <c:v>103223.1744</c:v>
                </c:pt>
                <c:pt idx="12">
                  <c:v>102049.13040000001</c:v>
                </c:pt>
                <c:pt idx="13">
                  <c:v>104565.58344000002</c:v>
                </c:pt>
                <c:pt idx="14">
                  <c:v>97784.063999999998</c:v>
                </c:pt>
                <c:pt idx="15">
                  <c:v>93194.285327999998</c:v>
                </c:pt>
                <c:pt idx="16">
                  <c:v>92365.25</c:v>
                </c:pt>
                <c:pt idx="17">
                  <c:v>95636.525999999998</c:v>
                </c:pt>
                <c:pt idx="18">
                  <c:v>98907.801999999996</c:v>
                </c:pt>
                <c:pt idx="19">
                  <c:v>102188.04039999998</c:v>
                </c:pt>
                <c:pt idx="20">
                  <c:v>102932.64039999999</c:v>
                </c:pt>
                <c:pt idx="21">
                  <c:v>103677.24039999998</c:v>
                </c:pt>
                <c:pt idx="22">
                  <c:v>104421.84039999999</c:v>
                </c:pt>
                <c:pt idx="23">
                  <c:v>105168.48039999999</c:v>
                </c:pt>
                <c:pt idx="24">
                  <c:v>105913.08039999998</c:v>
                </c:pt>
                <c:pt idx="25">
                  <c:v>107402.28039999999</c:v>
                </c:pt>
                <c:pt idx="26">
                  <c:v>108891.48039999999</c:v>
                </c:pt>
                <c:pt idx="27">
                  <c:v>110384.76039999998</c:v>
                </c:pt>
                <c:pt idx="28">
                  <c:v>111873.9604</c:v>
                </c:pt>
                <c:pt idx="29">
                  <c:v>113363.16039999999</c:v>
                </c:pt>
                <c:pt idx="30">
                  <c:v>114852.36039999999</c:v>
                </c:pt>
                <c:pt idx="31">
                  <c:v>116345.64039999999</c:v>
                </c:pt>
                <c:pt idx="32">
                  <c:v>117834.84039999999</c:v>
                </c:pt>
                <c:pt idx="33">
                  <c:v>119324.04039999998</c:v>
                </c:pt>
                <c:pt idx="34">
                  <c:v>120813.24039999998</c:v>
                </c:pt>
                <c:pt idx="35">
                  <c:v>122306.52039999998</c:v>
                </c:pt>
                <c:pt idx="36">
                  <c:v>123795.72039999998</c:v>
                </c:pt>
                <c:pt idx="37">
                  <c:v>125284.92039999997</c:v>
                </c:pt>
                <c:pt idx="38">
                  <c:v>126774.12039999997</c:v>
                </c:pt>
                <c:pt idx="39">
                  <c:v>128267.40039999997</c:v>
                </c:pt>
                <c:pt idx="40">
                  <c:v>129756.60039999997</c:v>
                </c:pt>
                <c:pt idx="41">
                  <c:v>131245.80039999998</c:v>
                </c:pt>
                <c:pt idx="42">
                  <c:v>132735.00039999996</c:v>
                </c:pt>
                <c:pt idx="43">
                  <c:v>134228.28039999996</c:v>
                </c:pt>
                <c:pt idx="44">
                  <c:v>135717.48039999994</c:v>
                </c:pt>
                <c:pt idx="45">
                  <c:v>137206.68039999995</c:v>
                </c:pt>
              </c:numCache>
            </c:numRef>
          </c:val>
          <c:extLst>
            <c:ext xmlns:c16="http://schemas.microsoft.com/office/drawing/2014/chart" uri="{C3380CC4-5D6E-409C-BE32-E72D297353CC}">
              <c16:uniqueId val="{00000000-1EAC-4376-AD2A-87C5240515A4}"/>
            </c:ext>
          </c:extLst>
        </c:ser>
        <c:ser>
          <c:idx val="0"/>
          <c:order val="1"/>
          <c:tx>
            <c:strRef>
              <c:f>'Capacity (Outage and Avail)'!$Q$2</c:f>
              <c:strCache>
                <c:ptCount val="1"/>
                <c:pt idx="0">
                  <c:v>Outage Capacity (GwH)</c:v>
                </c:pt>
              </c:strCache>
            </c:strRef>
          </c:tx>
          <c:spPr>
            <a:solidFill>
              <a:schemeClr val="accent1"/>
            </a:solidFill>
            <a:ln>
              <a:noFill/>
            </a:ln>
            <a:effectLst/>
          </c:spPr>
          <c:invertIfNegative val="0"/>
          <c:cat>
            <c:numRef>
              <c:f>'Capacity (Outage and Avail)'!$O$3:$O$48</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'Capacity (Outage and Avail)'!$Q$3:$Q$48</c:f>
              <c:numCache>
                <c:formatCode>0</c:formatCode>
                <c:ptCount val="46"/>
                <c:pt idx="0">
                  <c:v>16802.229600000002</c:v>
                </c:pt>
                <c:pt idx="1">
                  <c:v>16248.446400000001</c:v>
                </c:pt>
                <c:pt idx="2">
                  <c:v>16515.332279999999</c:v>
                </c:pt>
                <c:pt idx="3">
                  <c:v>13503.023999999999</c:v>
                </c:pt>
                <c:pt idx="4">
                  <c:v>15578.495999999999</c:v>
                </c:pt>
                <c:pt idx="5">
                  <c:v>12904.199999999997</c:v>
                </c:pt>
                <c:pt idx="6">
                  <c:v>14094.936000000002</c:v>
                </c:pt>
                <c:pt idx="7">
                  <c:v>15494.736000000001</c:v>
                </c:pt>
                <c:pt idx="8">
                  <c:v>13122.503999999999</c:v>
                </c:pt>
                <c:pt idx="9">
                  <c:v>13546.008</c:v>
                </c:pt>
                <c:pt idx="10">
                  <c:v>13915.560000000001</c:v>
                </c:pt>
                <c:pt idx="11">
                  <c:v>15976.127999999997</c:v>
                </c:pt>
                <c:pt idx="12">
                  <c:v>17969.736000000001</c:v>
                </c:pt>
                <c:pt idx="13">
                  <c:v>16257.599999999999</c:v>
                </c:pt>
                <c:pt idx="14">
                  <c:v>19007.112000000001</c:v>
                </c:pt>
                <c:pt idx="15">
                  <c:v>15363.071999999998</c:v>
                </c:pt>
                <c:pt idx="16">
                  <c:v>16299.750000000002</c:v>
                </c:pt>
                <c:pt idx="17">
                  <c:v>16877.034000000003</c:v>
                </c:pt>
                <c:pt idx="18">
                  <c:v>17454.318000000003</c:v>
                </c:pt>
                <c:pt idx="19">
                  <c:v>18033.1836</c:v>
                </c:pt>
                <c:pt idx="20">
                  <c:v>18164.583600000002</c:v>
                </c:pt>
                <c:pt idx="21">
                  <c:v>18295.9836</c:v>
                </c:pt>
                <c:pt idx="22">
                  <c:v>18427.383600000001</c:v>
                </c:pt>
                <c:pt idx="23">
                  <c:v>18559.143599999999</c:v>
                </c:pt>
                <c:pt idx="24">
                  <c:v>18690.543600000001</c:v>
                </c:pt>
                <c:pt idx="25">
                  <c:v>18953.3436</c:v>
                </c:pt>
                <c:pt idx="26">
                  <c:v>19216.143599999999</c:v>
                </c:pt>
                <c:pt idx="27">
                  <c:v>19479.6636</c:v>
                </c:pt>
                <c:pt idx="28">
                  <c:v>19742.463600000003</c:v>
                </c:pt>
                <c:pt idx="29">
                  <c:v>20005.263600000002</c:v>
                </c:pt>
                <c:pt idx="30">
                  <c:v>20268.063600000001</c:v>
                </c:pt>
                <c:pt idx="31">
                  <c:v>20531.583600000002</c:v>
                </c:pt>
                <c:pt idx="32">
                  <c:v>20794.383600000001</c:v>
                </c:pt>
                <c:pt idx="33">
                  <c:v>21057.1836</c:v>
                </c:pt>
                <c:pt idx="34">
                  <c:v>21319.9836</c:v>
                </c:pt>
                <c:pt idx="35">
                  <c:v>21583.5036</c:v>
                </c:pt>
                <c:pt idx="36">
                  <c:v>21846.303599999999</c:v>
                </c:pt>
                <c:pt idx="37">
                  <c:v>22109.103599999999</c:v>
                </c:pt>
                <c:pt idx="38">
                  <c:v>22371.903600000001</c:v>
                </c:pt>
                <c:pt idx="39">
                  <c:v>22635.423599999998</c:v>
                </c:pt>
                <c:pt idx="40">
                  <c:v>22898.223599999998</c:v>
                </c:pt>
                <c:pt idx="41">
                  <c:v>23161.023599999997</c:v>
                </c:pt>
                <c:pt idx="42">
                  <c:v>23423.8236</c:v>
                </c:pt>
                <c:pt idx="43">
                  <c:v>23687.343599999997</c:v>
                </c:pt>
                <c:pt idx="44">
                  <c:v>23950.143599999996</c:v>
                </c:pt>
                <c:pt idx="45">
                  <c:v>24212.943599999995</c:v>
                </c:pt>
              </c:numCache>
            </c:numRef>
          </c:val>
          <c:extLst>
            <c:ext xmlns:c16="http://schemas.microsoft.com/office/drawing/2014/chart" uri="{C3380CC4-5D6E-409C-BE32-E72D297353CC}">
              <c16:uniqueId val="{00000001-1EAC-4376-AD2A-87C5240515A4}"/>
            </c:ext>
          </c:extLst>
        </c:ser>
        <c:dLbls>
          <c:showLegendKey val="0"/>
          <c:showVal val="0"/>
          <c:showCatName val="0"/>
          <c:showSerName val="0"/>
          <c:showPercent val="0"/>
          <c:showBubbleSize val="0"/>
        </c:dLbls>
        <c:gapWidth val="150"/>
        <c:overlap val="100"/>
        <c:axId val="1270346655"/>
        <c:axId val="1270344159"/>
      </c:barChart>
      <c:lineChart>
        <c:grouping val="standard"/>
        <c:varyColors val="0"/>
        <c:ser>
          <c:idx val="2"/>
          <c:order val="2"/>
          <c:tx>
            <c:strRef>
              <c:f>'Capacity (Outage and Avail)'!$T$2</c:f>
              <c:strCache>
                <c:ptCount val="1"/>
                <c:pt idx="0">
                  <c:v>Availability (%)</c:v>
                </c:pt>
              </c:strCache>
            </c:strRef>
          </c:tx>
          <c:spPr>
            <a:ln w="28575" cap="rnd">
              <a:solidFill>
                <a:schemeClr val="accent3"/>
              </a:solidFill>
              <a:round/>
            </a:ln>
            <a:effectLst/>
          </c:spPr>
          <c:marker>
            <c:symbol val="none"/>
          </c:marker>
          <c:val>
            <c:numRef>
              <c:f>'Capacity (Outage and Avail)'!$T$3:$T$48</c:f>
              <c:numCache>
                <c:formatCode>0%</c:formatCode>
                <c:ptCount val="46"/>
                <c:pt idx="0">
                  <c:v>0.81425403174454947</c:v>
                </c:pt>
                <c:pt idx="1">
                  <c:v>0.82318911585234489</c:v>
                </c:pt>
                <c:pt idx="2">
                  <c:v>0.8268094583728155</c:v>
                </c:pt>
                <c:pt idx="3">
                  <c:v>0.85575401067873502</c:v>
                </c:pt>
                <c:pt idx="4">
                  <c:v>0.82874338894455835</c:v>
                </c:pt>
                <c:pt idx="5">
                  <c:v>0.85477633719277457</c:v>
                </c:pt>
                <c:pt idx="6">
                  <c:v>0.84479708351529426</c:v>
                </c:pt>
                <c:pt idx="7">
                  <c:v>0.83079438687751928</c:v>
                </c:pt>
                <c:pt idx="8">
                  <c:v>0.86678001199482069</c:v>
                </c:pt>
                <c:pt idx="9">
                  <c:v>0.8787678406629541</c:v>
                </c:pt>
                <c:pt idx="10">
                  <c:v>0.87961223435282931</c:v>
                </c:pt>
                <c:pt idx="11">
                  <c:v>0.86597129615416268</c:v>
                </c:pt>
                <c:pt idx="12">
                  <c:v>0.85027573964821235</c:v>
                </c:pt>
                <c:pt idx="13">
                  <c:v>0.86544304216190915</c:v>
                </c:pt>
                <c:pt idx="14">
                  <c:v>0.83725558170593295</c:v>
                </c:pt>
                <c:pt idx="15">
                  <c:v>0.85847967951558213</c:v>
                </c:pt>
                <c:pt idx="16">
                  <c:v>0.85</c:v>
                </c:pt>
                <c:pt idx="17">
                  <c:v>0.85</c:v>
                </c:pt>
                <c:pt idx="18">
                  <c:v>0.85</c:v>
                </c:pt>
                <c:pt idx="19">
                  <c:v>0.85</c:v>
                </c:pt>
                <c:pt idx="20">
                  <c:v>0.85</c:v>
                </c:pt>
                <c:pt idx="21">
                  <c:v>0.85</c:v>
                </c:pt>
                <c:pt idx="22">
                  <c:v>0.85</c:v>
                </c:pt>
                <c:pt idx="23">
                  <c:v>0.85</c:v>
                </c:pt>
                <c:pt idx="24">
                  <c:v>0.85</c:v>
                </c:pt>
                <c:pt idx="25">
                  <c:v>0.85</c:v>
                </c:pt>
                <c:pt idx="26">
                  <c:v>0.85</c:v>
                </c:pt>
                <c:pt idx="27">
                  <c:v>0.85</c:v>
                </c:pt>
                <c:pt idx="28">
                  <c:v>0.85</c:v>
                </c:pt>
                <c:pt idx="29">
                  <c:v>0.85</c:v>
                </c:pt>
                <c:pt idx="30">
                  <c:v>0.85</c:v>
                </c:pt>
                <c:pt idx="31">
                  <c:v>0.85</c:v>
                </c:pt>
                <c:pt idx="32">
                  <c:v>0.85</c:v>
                </c:pt>
                <c:pt idx="33">
                  <c:v>0.85</c:v>
                </c:pt>
                <c:pt idx="34">
                  <c:v>0.85</c:v>
                </c:pt>
                <c:pt idx="35">
                  <c:v>0.85</c:v>
                </c:pt>
                <c:pt idx="36">
                  <c:v>0.85</c:v>
                </c:pt>
                <c:pt idx="37">
                  <c:v>0.85</c:v>
                </c:pt>
                <c:pt idx="38">
                  <c:v>0.85</c:v>
                </c:pt>
                <c:pt idx="39">
                  <c:v>0.85</c:v>
                </c:pt>
                <c:pt idx="40">
                  <c:v>0.85</c:v>
                </c:pt>
                <c:pt idx="41">
                  <c:v>0.85</c:v>
                </c:pt>
                <c:pt idx="42">
                  <c:v>0.85</c:v>
                </c:pt>
                <c:pt idx="43">
                  <c:v>0.85</c:v>
                </c:pt>
                <c:pt idx="44">
                  <c:v>0.85</c:v>
                </c:pt>
                <c:pt idx="45">
                  <c:v>0.85</c:v>
                </c:pt>
              </c:numCache>
            </c:numRef>
          </c:val>
          <c:smooth val="0"/>
          <c:extLst>
            <c:ext xmlns:c16="http://schemas.microsoft.com/office/drawing/2014/chart" uri="{C3380CC4-5D6E-409C-BE32-E72D297353CC}">
              <c16:uniqueId val="{00000002-1EAC-4376-AD2A-87C5240515A4}"/>
            </c:ext>
          </c:extLst>
        </c:ser>
        <c:dLbls>
          <c:showLegendKey val="0"/>
          <c:showVal val="0"/>
          <c:showCatName val="0"/>
          <c:showSerName val="0"/>
          <c:showPercent val="0"/>
          <c:showBubbleSize val="0"/>
        </c:dLbls>
        <c:marker val="1"/>
        <c:smooth val="0"/>
        <c:axId val="2123347999"/>
        <c:axId val="2123349247"/>
      </c:lineChart>
      <c:catAx>
        <c:axId val="127034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1800000" spcFirstLastPara="1" vertOverflow="ellipsis" wrap="square" anchor="ctr" anchorCtr="1"/>
          <a:lstStyle/>
          <a:p>
            <a:pPr>
              <a:defRPr sz="9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crossAx val="1270344159"/>
        <c:crosses val="autoZero"/>
        <c:auto val="1"/>
        <c:lblAlgn val="ctr"/>
        <c:lblOffset val="100"/>
        <c:noMultiLvlLbl val="0"/>
      </c:catAx>
      <c:valAx>
        <c:axId val="1270344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venir Next LT Pro" panose="020B0504020202020204" pitchFamily="34" charset="0"/>
                    <a:ea typeface="+mn-ea"/>
                    <a:cs typeface="+mn-cs"/>
                  </a:defRPr>
                </a:pPr>
                <a:r>
                  <a:rPr lang="en-SG"/>
                  <a:t>Electricity Supply (GwH)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crossAx val="1270346655"/>
        <c:crosses val="autoZero"/>
        <c:crossBetween val="between"/>
      </c:valAx>
      <c:valAx>
        <c:axId val="212334924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venir Next LT Pro" panose="020B0504020202020204" pitchFamily="34" charset="0"/>
                    <a:ea typeface="+mn-ea"/>
                    <a:cs typeface="+mn-cs"/>
                  </a:defRPr>
                </a:pPr>
                <a:r>
                  <a:rPr lang="en-SG"/>
                  <a:t>Availability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crossAx val="2123347999"/>
        <c:crosses val="max"/>
        <c:crossBetween val="between"/>
      </c:valAx>
      <c:catAx>
        <c:axId val="2123347999"/>
        <c:scaling>
          <c:orientation val="minMax"/>
        </c:scaling>
        <c:delete val="1"/>
        <c:axPos val="b"/>
        <c:majorTickMark val="out"/>
        <c:minorTickMark val="none"/>
        <c:tickLblPos val="nextTo"/>
        <c:crossAx val="212334924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venir Next LT Pro" panose="020B05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venir Next LT Pro" panose="020B05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1</xdr:col>
      <xdr:colOff>341313</xdr:colOff>
      <xdr:row>0</xdr:row>
      <xdr:rowOff>0</xdr:rowOff>
    </xdr:from>
    <xdr:to>
      <xdr:col>9</xdr:col>
      <xdr:colOff>373969</xdr:colOff>
      <xdr:row>15</xdr:row>
      <xdr:rowOff>57150</xdr:rowOff>
    </xdr:to>
    <xdr:sp macro="" textlink="">
      <xdr:nvSpPr>
        <xdr:cNvPr id="3" name="Text Box 4">
          <a:extLst>
            <a:ext uri="{FF2B5EF4-FFF2-40B4-BE49-F238E27FC236}">
              <a16:creationId xmlns:a16="http://schemas.microsoft.com/office/drawing/2014/main" id="{3137E1F4-1578-4BFC-977D-DBC7095F8BEA}"/>
            </a:ext>
          </a:extLst>
        </xdr:cNvPr>
        <xdr:cNvSpPr txBox="1">
          <a:spLocks noChangeArrowheads="1"/>
        </xdr:cNvSpPr>
      </xdr:nvSpPr>
      <xdr:spPr bwMode="auto">
        <a:xfrm>
          <a:off x="396876" y="0"/>
          <a:ext cx="5239656" cy="2557463"/>
        </a:xfrm>
        <a:prstGeom prst="rect">
          <a:avLst/>
        </a:prstGeom>
        <a:noFill/>
        <a:ln>
          <a:noFill/>
        </a:ln>
      </xdr:spPr>
      <xdr:txBody>
        <a:bodyPr vertOverflow="clip" wrap="square" lIns="54864" tIns="41148" rIns="54864" bIns="0" anchor="ctr" upright="1"/>
        <a:lstStyle/>
        <a:p>
          <a:pPr algn="ctr"/>
          <a:r>
            <a:rPr lang="en-US" sz="1100" b="1">
              <a:effectLst/>
              <a:latin typeface="+mn-lt"/>
              <a:ea typeface="+mn-ea"/>
              <a:cs typeface="+mn-cs"/>
            </a:rPr>
            <a:t>Final Report</a:t>
          </a:r>
        </a:p>
        <a:p>
          <a:pPr algn="ctr"/>
          <a:endParaRPr lang="en-US" sz="1100" b="1">
            <a:effectLst/>
            <a:latin typeface="+mn-lt"/>
            <a:ea typeface="+mn-ea"/>
            <a:cs typeface="+mn-cs"/>
          </a:endParaRPr>
        </a:p>
        <a:p>
          <a:pPr algn="ctr"/>
          <a:r>
            <a:rPr lang="en-US" sz="1100" b="1">
              <a:effectLst/>
              <a:latin typeface="+mn-lt"/>
              <a:ea typeface="+mn-ea"/>
              <a:cs typeface="+mn-cs"/>
            </a:rPr>
            <a:t>Singapore Power Adequacy Forecast (up to 2050)</a:t>
          </a:r>
          <a:endParaRPr lang="en-SG" sz="1100">
            <a:effectLst/>
            <a:latin typeface="+mn-lt"/>
            <a:ea typeface="+mn-ea"/>
            <a:cs typeface="+mn-cs"/>
          </a:endParaRPr>
        </a:p>
        <a:p>
          <a:pPr algn="ctr"/>
          <a:r>
            <a:rPr lang="en-US" sz="1100">
              <a:effectLst/>
              <a:latin typeface="+mn-lt"/>
              <a:ea typeface="+mn-ea"/>
              <a:cs typeface="+mn-cs"/>
            </a:rPr>
            <a:t> </a:t>
          </a:r>
          <a:endParaRPr lang="en-SG" sz="1100">
            <a:effectLst/>
            <a:latin typeface="+mn-lt"/>
            <a:ea typeface="+mn-ea"/>
            <a:cs typeface="+mn-cs"/>
          </a:endParaRPr>
        </a:p>
        <a:p>
          <a:pPr algn="ctr"/>
          <a:r>
            <a:rPr lang="en-US" sz="1100">
              <a:effectLst/>
              <a:latin typeface="+mn-lt"/>
              <a:ea typeface="+mn-ea"/>
              <a:cs typeface="+mn-cs"/>
            </a:rPr>
            <a:t>Group Members:</a:t>
          </a:r>
        </a:p>
        <a:p>
          <a:pPr algn="ctr"/>
          <a:endParaRPr lang="en-SG" sz="1100">
            <a:effectLst/>
            <a:latin typeface="+mn-lt"/>
            <a:ea typeface="+mn-ea"/>
            <a:cs typeface="+mn-cs"/>
          </a:endParaRPr>
        </a:p>
        <a:p>
          <a:pPr algn="ctr"/>
          <a:r>
            <a:rPr lang="en-US" sz="1100">
              <a:effectLst/>
              <a:latin typeface="+mn-lt"/>
              <a:ea typeface="+mn-ea"/>
              <a:cs typeface="+mn-cs"/>
            </a:rPr>
            <a:t>Jian Lorenzo Gopez Chan</a:t>
          </a:r>
          <a:endParaRPr lang="en-SG" sz="1100">
            <a:effectLst/>
            <a:latin typeface="+mn-lt"/>
            <a:ea typeface="+mn-ea"/>
            <a:cs typeface="+mn-cs"/>
          </a:endParaRPr>
        </a:p>
        <a:p>
          <a:pPr algn="ctr"/>
          <a:r>
            <a:rPr lang="en-US" sz="1100">
              <a:effectLst/>
              <a:latin typeface="+mn-lt"/>
              <a:ea typeface="+mn-ea"/>
              <a:cs typeface="+mn-cs"/>
            </a:rPr>
            <a:t>Sanchit Garg</a:t>
          </a:r>
          <a:endParaRPr lang="en-SG" sz="1100">
            <a:effectLst/>
            <a:latin typeface="+mn-lt"/>
            <a:ea typeface="+mn-ea"/>
            <a:cs typeface="+mn-cs"/>
          </a:endParaRPr>
        </a:p>
        <a:p>
          <a:pPr algn="ctr"/>
          <a:r>
            <a:rPr lang="en-US" sz="1100">
              <a:effectLst/>
              <a:latin typeface="+mn-lt"/>
              <a:ea typeface="+mn-ea"/>
              <a:cs typeface="+mn-cs"/>
            </a:rPr>
            <a:t>Shachi Anirudha Raodeo</a:t>
          </a:r>
          <a:endParaRPr lang="en-SG" sz="1100">
            <a:effectLst/>
            <a:latin typeface="+mn-lt"/>
            <a:ea typeface="+mn-ea"/>
            <a:cs typeface="+mn-cs"/>
          </a:endParaRPr>
        </a:p>
        <a:p>
          <a:pPr algn="ctr"/>
          <a:r>
            <a:rPr lang="en-US" sz="1100">
              <a:effectLst/>
              <a:latin typeface="+mn-lt"/>
              <a:ea typeface="+mn-ea"/>
              <a:cs typeface="+mn-cs"/>
            </a:rPr>
            <a:t>Tan Hui Qi Ranice</a:t>
          </a:r>
          <a:endParaRPr lang="en-SG" sz="1100">
            <a:effectLst/>
            <a:latin typeface="+mn-lt"/>
            <a:ea typeface="+mn-ea"/>
            <a:cs typeface="+mn-cs"/>
          </a:endParaRPr>
        </a:p>
        <a:p>
          <a:pPr algn="ctr"/>
          <a:r>
            <a:rPr lang="en-US" sz="1100">
              <a:effectLst/>
              <a:latin typeface="+mn-lt"/>
              <a:ea typeface="+mn-ea"/>
              <a:cs typeface="+mn-cs"/>
            </a:rPr>
            <a:t>Tay Cheng Wei Clarence</a:t>
          </a:r>
          <a:endParaRPr lang="en-IN" sz="14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72631</xdr:colOff>
      <xdr:row>55</xdr:row>
      <xdr:rowOff>178618</xdr:rowOff>
    </xdr:from>
    <xdr:to>
      <xdr:col>10</xdr:col>
      <xdr:colOff>366889</xdr:colOff>
      <xdr:row>73</xdr:row>
      <xdr:rowOff>98777</xdr:rowOff>
    </xdr:to>
    <xdr:graphicFrame macro="">
      <xdr:nvGraphicFramePr>
        <xdr:cNvPr id="3" name="Chart 2">
          <a:extLst>
            <a:ext uri="{FF2B5EF4-FFF2-40B4-BE49-F238E27FC236}">
              <a16:creationId xmlns:a16="http://schemas.microsoft.com/office/drawing/2014/main" id="{A70FC5BB-8D23-40EB-8941-701909A9B2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518079</xdr:colOff>
      <xdr:row>55</xdr:row>
      <xdr:rowOff>82028</xdr:rowOff>
    </xdr:from>
    <xdr:to>
      <xdr:col>18</xdr:col>
      <xdr:colOff>852714</xdr:colOff>
      <xdr:row>73</xdr:row>
      <xdr:rowOff>152050</xdr:rowOff>
    </xdr:to>
    <xdr:graphicFrame macro="">
      <xdr:nvGraphicFramePr>
        <xdr:cNvPr id="4" name="Chart 2">
          <a:extLst>
            <a:ext uri="{FF2B5EF4-FFF2-40B4-BE49-F238E27FC236}">
              <a16:creationId xmlns:a16="http://schemas.microsoft.com/office/drawing/2014/main" id="{CE801DD7-A1F7-4488-92F0-59B85E553A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603248</xdr:colOff>
      <xdr:row>14</xdr:row>
      <xdr:rowOff>79828</xdr:rowOff>
    </xdr:from>
    <xdr:to>
      <xdr:col>30</xdr:col>
      <xdr:colOff>9071</xdr:colOff>
      <xdr:row>37</xdr:row>
      <xdr:rowOff>127000</xdr:rowOff>
    </xdr:to>
    <xdr:graphicFrame macro="">
      <xdr:nvGraphicFramePr>
        <xdr:cNvPr id="2" name="Chart 1">
          <a:extLst>
            <a:ext uri="{FF2B5EF4-FFF2-40B4-BE49-F238E27FC236}">
              <a16:creationId xmlns:a16="http://schemas.microsoft.com/office/drawing/2014/main" id="{30B0B67F-0FD9-41F7-971D-37B70DD45E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19</xdr:col>
      <xdr:colOff>431800</xdr:colOff>
      <xdr:row>11</xdr:row>
      <xdr:rowOff>177800</xdr:rowOff>
    </xdr:from>
    <xdr:to>
      <xdr:col>29</xdr:col>
      <xdr:colOff>453571</xdr:colOff>
      <xdr:row>32</xdr:row>
      <xdr:rowOff>95250</xdr:rowOff>
    </xdr:to>
    <xdr:graphicFrame macro="">
      <xdr:nvGraphicFramePr>
        <xdr:cNvPr id="3" name="Chart 2">
          <a:extLst>
            <a:ext uri="{FF2B5EF4-FFF2-40B4-BE49-F238E27FC236}">
              <a16:creationId xmlns:a16="http://schemas.microsoft.com/office/drawing/2014/main" id="{EF72195F-F2B6-44F4-9CE0-C8429104CD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430891</xdr:colOff>
      <xdr:row>106</xdr:row>
      <xdr:rowOff>93436</xdr:rowOff>
    </xdr:from>
    <xdr:to>
      <xdr:col>14</xdr:col>
      <xdr:colOff>9071</xdr:colOff>
      <xdr:row>126</xdr:row>
      <xdr:rowOff>145143</xdr:rowOff>
    </xdr:to>
    <xdr:graphicFrame macro="">
      <xdr:nvGraphicFramePr>
        <xdr:cNvPr id="4" name="Chart 3">
          <a:extLst>
            <a:ext uri="{FF2B5EF4-FFF2-40B4-BE49-F238E27FC236}">
              <a16:creationId xmlns:a16="http://schemas.microsoft.com/office/drawing/2014/main" id="{0AA1F88C-49CB-4BB1-BF42-14518FF977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1038677</xdr:colOff>
      <xdr:row>44</xdr:row>
      <xdr:rowOff>39005</xdr:rowOff>
    </xdr:from>
    <xdr:to>
      <xdr:col>13</xdr:col>
      <xdr:colOff>1170214</xdr:colOff>
      <xdr:row>63</xdr:row>
      <xdr:rowOff>18142</xdr:rowOff>
    </xdr:to>
    <xdr:graphicFrame macro="">
      <xdr:nvGraphicFramePr>
        <xdr:cNvPr id="5" name="Chart 4">
          <a:extLst>
            <a:ext uri="{FF2B5EF4-FFF2-40B4-BE49-F238E27FC236}">
              <a16:creationId xmlns:a16="http://schemas.microsoft.com/office/drawing/2014/main" id="{94D231BF-A6F6-4990-B7DF-320B36D591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20</xdr:col>
      <xdr:colOff>700934</xdr:colOff>
      <xdr:row>15</xdr:row>
      <xdr:rowOff>119063</xdr:rowOff>
    </xdr:from>
    <xdr:to>
      <xdr:col>26</xdr:col>
      <xdr:colOff>472157</xdr:colOff>
      <xdr:row>35</xdr:row>
      <xdr:rowOff>55789</xdr:rowOff>
    </xdr:to>
    <xdr:graphicFrame macro="">
      <xdr:nvGraphicFramePr>
        <xdr:cNvPr id="105" name="Chart 4">
          <a:extLst>
            <a:ext uri="{FF2B5EF4-FFF2-40B4-BE49-F238E27FC236}">
              <a16:creationId xmlns:a16="http://schemas.microsoft.com/office/drawing/2014/main" id="{DB27B93E-12D8-4AA5-9BA9-4CD21BC6D2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701810</xdr:colOff>
      <xdr:row>1</xdr:row>
      <xdr:rowOff>48665</xdr:rowOff>
    </xdr:from>
    <xdr:to>
      <xdr:col>26</xdr:col>
      <xdr:colOff>532122</xdr:colOff>
      <xdr:row>13</xdr:row>
      <xdr:rowOff>177374</xdr:rowOff>
    </xdr:to>
    <xdr:graphicFrame macro="">
      <xdr:nvGraphicFramePr>
        <xdr:cNvPr id="6" name="Chart 5">
          <a:extLst>
            <a:ext uri="{FF2B5EF4-FFF2-40B4-BE49-F238E27FC236}">
              <a16:creationId xmlns:a16="http://schemas.microsoft.com/office/drawing/2014/main" id="{66F63302-0ABF-4A91-A2B7-5F62458A58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816429</xdr:colOff>
      <xdr:row>12</xdr:row>
      <xdr:rowOff>130628</xdr:rowOff>
    </xdr:from>
    <xdr:to>
      <xdr:col>20</xdr:col>
      <xdr:colOff>391245</xdr:colOff>
      <xdr:row>27</xdr:row>
      <xdr:rowOff>88365</xdr:rowOff>
    </xdr:to>
    <xdr:graphicFrame macro="">
      <xdr:nvGraphicFramePr>
        <xdr:cNvPr id="8" name="Chart 7">
          <a:extLst>
            <a:ext uri="{FF2B5EF4-FFF2-40B4-BE49-F238E27FC236}">
              <a16:creationId xmlns:a16="http://schemas.microsoft.com/office/drawing/2014/main" id="{32AA4422-94BC-4622-A12F-78DBD193E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816429</xdr:colOff>
      <xdr:row>28</xdr:row>
      <xdr:rowOff>141513</xdr:rowOff>
    </xdr:from>
    <xdr:to>
      <xdr:col>20</xdr:col>
      <xdr:colOff>381001</xdr:colOff>
      <xdr:row>43</xdr:row>
      <xdr:rowOff>108855</xdr:rowOff>
    </xdr:to>
    <xdr:graphicFrame macro="">
      <xdr:nvGraphicFramePr>
        <xdr:cNvPr id="10" name="Chart 9">
          <a:extLst>
            <a:ext uri="{FF2B5EF4-FFF2-40B4-BE49-F238E27FC236}">
              <a16:creationId xmlns:a16="http://schemas.microsoft.com/office/drawing/2014/main" id="{1F6A8846-8143-4F80-ADC1-C8B29F2C2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762001</xdr:colOff>
      <xdr:row>1</xdr:row>
      <xdr:rowOff>119742</xdr:rowOff>
    </xdr:from>
    <xdr:to>
      <xdr:col>20</xdr:col>
      <xdr:colOff>326573</xdr:colOff>
      <xdr:row>11</xdr:row>
      <xdr:rowOff>32658</xdr:rowOff>
    </xdr:to>
    <xdr:graphicFrame macro="">
      <xdr:nvGraphicFramePr>
        <xdr:cNvPr id="13" name="Chart 12">
          <a:extLst>
            <a:ext uri="{FF2B5EF4-FFF2-40B4-BE49-F238E27FC236}">
              <a16:creationId xmlns:a16="http://schemas.microsoft.com/office/drawing/2014/main" id="{36FBB3F6-FC76-41DC-B8EE-A76015B0E0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13</xdr:col>
      <xdr:colOff>206374</xdr:colOff>
      <xdr:row>7</xdr:row>
      <xdr:rowOff>133350</xdr:rowOff>
    </xdr:from>
    <xdr:to>
      <xdr:col>21</xdr:col>
      <xdr:colOff>317499</xdr:colOff>
      <xdr:row>27</xdr:row>
      <xdr:rowOff>101600</xdr:rowOff>
    </xdr:to>
    <xdr:graphicFrame macro="">
      <xdr:nvGraphicFramePr>
        <xdr:cNvPr id="16" name="Chart 3">
          <a:extLst>
            <a:ext uri="{FF2B5EF4-FFF2-40B4-BE49-F238E27FC236}">
              <a16:creationId xmlns:a16="http://schemas.microsoft.com/office/drawing/2014/main" id="{D141A856-FE0F-4A47-9650-C6A4EDD38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107</xdr:col>
      <xdr:colOff>33874</xdr:colOff>
      <xdr:row>11</xdr:row>
      <xdr:rowOff>185125</xdr:rowOff>
    </xdr:from>
    <xdr:to>
      <xdr:col>124</xdr:col>
      <xdr:colOff>457511</xdr:colOff>
      <xdr:row>43</xdr:row>
      <xdr:rowOff>17318</xdr:rowOff>
    </xdr:to>
    <xdr:graphicFrame macro="">
      <xdr:nvGraphicFramePr>
        <xdr:cNvPr id="2" name="Chart 1">
          <a:extLst>
            <a:ext uri="{FF2B5EF4-FFF2-40B4-BE49-F238E27FC236}">
              <a16:creationId xmlns:a16="http://schemas.microsoft.com/office/drawing/2014/main" id="{205E930E-501E-44D8-B6D1-41679042E8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107</xdr:col>
      <xdr:colOff>0</xdr:colOff>
      <xdr:row>49</xdr:row>
      <xdr:rowOff>0</xdr:rowOff>
    </xdr:from>
    <xdr:to>
      <xdr:col>124</xdr:col>
      <xdr:colOff>423637</xdr:colOff>
      <xdr:row>80</xdr:row>
      <xdr:rowOff>22693</xdr:rowOff>
    </xdr:to>
    <xdr:graphicFrame macro="">
      <xdr:nvGraphicFramePr>
        <xdr:cNvPr id="3" name="Chart 2">
          <a:extLst>
            <a:ext uri="{FF2B5EF4-FFF2-40B4-BE49-F238E27FC236}">
              <a16:creationId xmlns:a16="http://schemas.microsoft.com/office/drawing/2014/main" id="{849AE29D-F11E-4FA9-848B-FFFE12A63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107</xdr:col>
      <xdr:colOff>0</xdr:colOff>
      <xdr:row>86</xdr:row>
      <xdr:rowOff>0</xdr:rowOff>
    </xdr:from>
    <xdr:to>
      <xdr:col>124</xdr:col>
      <xdr:colOff>423637</xdr:colOff>
      <xdr:row>117</xdr:row>
      <xdr:rowOff>22693</xdr:rowOff>
    </xdr:to>
    <xdr:graphicFrame macro="">
      <xdr:nvGraphicFramePr>
        <xdr:cNvPr id="4" name="Chart 3">
          <a:extLst>
            <a:ext uri="{FF2B5EF4-FFF2-40B4-BE49-F238E27FC236}">
              <a16:creationId xmlns:a16="http://schemas.microsoft.com/office/drawing/2014/main" id="{7EBE6260-59A5-43B7-A797-EE91C591E2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125</xdr:col>
      <xdr:colOff>169487</xdr:colOff>
      <xdr:row>11</xdr:row>
      <xdr:rowOff>187698</xdr:rowOff>
    </xdr:from>
    <xdr:to>
      <xdr:col>140</xdr:col>
      <xdr:colOff>412350</xdr:colOff>
      <xdr:row>39</xdr:row>
      <xdr:rowOff>44824</xdr:rowOff>
    </xdr:to>
    <xdr:graphicFrame macro="">
      <xdr:nvGraphicFramePr>
        <xdr:cNvPr id="5" name="Chart 4">
          <a:extLst>
            <a:ext uri="{FF2B5EF4-FFF2-40B4-BE49-F238E27FC236}">
              <a16:creationId xmlns:a16="http://schemas.microsoft.com/office/drawing/2014/main" id="{23AB7431-0775-40E9-AA28-1E54291FE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0.4772</cdr:x>
      <cdr:y>0.45653</cdr:y>
    </cdr:from>
    <cdr:to>
      <cdr:x>0.55776</cdr:x>
      <cdr:y>0.55232</cdr:y>
    </cdr:to>
    <cdr:sp macro="" textlink="">
      <cdr:nvSpPr>
        <cdr:cNvPr id="2" name="Oval 1">
          <a:extLst xmlns:a="http://schemas.openxmlformats.org/drawingml/2006/main">
            <a:ext uri="{FF2B5EF4-FFF2-40B4-BE49-F238E27FC236}">
              <a16:creationId xmlns:a16="http://schemas.microsoft.com/office/drawing/2014/main" id="{824C3BB0-976B-436A-AED3-E0ECC94F0E4F}"/>
            </a:ext>
          </a:extLst>
        </cdr:cNvPr>
        <cdr:cNvSpPr/>
      </cdr:nvSpPr>
      <cdr:spPr>
        <a:xfrm xmlns:a="http://schemas.openxmlformats.org/drawingml/2006/main">
          <a:off x="4447366" y="2456891"/>
          <a:ext cx="750764" cy="515470"/>
        </a:xfrm>
        <a:prstGeom xmlns:a="http://schemas.openxmlformats.org/drawingml/2006/main" prst="ellipse">
          <a:avLst/>
        </a:prstGeom>
        <a:noFill xmlns:a="http://schemas.openxmlformats.org/drawingml/2006/main"/>
        <a:ln xmlns:a="http://schemas.openxmlformats.org/drawingml/2006/main" w="25400">
          <a:solidFill>
            <a:srgbClr val="00B05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0.45377</cdr:x>
      <cdr:y>0.54191</cdr:y>
    </cdr:from>
    <cdr:to>
      <cdr:x>0.51808</cdr:x>
      <cdr:y>0.59313</cdr:y>
    </cdr:to>
    <cdr:sp macro="" textlink="">
      <cdr:nvSpPr>
        <cdr:cNvPr id="13" name="TextBox 12">
          <a:extLst xmlns:a="http://schemas.openxmlformats.org/drawingml/2006/main">
            <a:ext uri="{FF2B5EF4-FFF2-40B4-BE49-F238E27FC236}">
              <a16:creationId xmlns:a16="http://schemas.microsoft.com/office/drawing/2014/main" id="{3E5AF815-138C-48E3-87C9-449E71E3A091}"/>
            </a:ext>
          </a:extLst>
        </cdr:cNvPr>
        <cdr:cNvSpPr txBox="1"/>
      </cdr:nvSpPr>
      <cdr:spPr>
        <a:xfrm xmlns:a="http://schemas.openxmlformats.org/drawingml/2006/main">
          <a:off x="4228972" y="2916331"/>
          <a:ext cx="599364" cy="27568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SG" sz="1600" b="1">
              <a:solidFill>
                <a:srgbClr val="00B050"/>
              </a:solidFill>
            </a:rPr>
            <a:t>2034-2035</a:t>
          </a:r>
          <a:endParaRPr lang="en-SG" sz="1100" b="1">
            <a:solidFill>
              <a:srgbClr val="00B050"/>
            </a:solidFill>
          </a:endParaRPr>
        </a:p>
      </cdr:txBody>
    </cdr:sp>
  </cdr:relSizeAnchor>
  <cdr:relSizeAnchor xmlns:cdr="http://schemas.openxmlformats.org/drawingml/2006/chartDrawing">
    <cdr:from>
      <cdr:x>0.74011</cdr:x>
      <cdr:y>0.38216</cdr:y>
    </cdr:from>
    <cdr:to>
      <cdr:x>0.82067</cdr:x>
      <cdr:y>0.47795</cdr:y>
    </cdr:to>
    <cdr:sp macro="" textlink="">
      <cdr:nvSpPr>
        <cdr:cNvPr id="8" name="Oval 7">
          <a:extLst xmlns:a="http://schemas.openxmlformats.org/drawingml/2006/main">
            <a:ext uri="{FF2B5EF4-FFF2-40B4-BE49-F238E27FC236}">
              <a16:creationId xmlns:a16="http://schemas.microsoft.com/office/drawing/2014/main" id="{2B1A54A2-11BA-4CEE-AC56-8D99A9407D1B}"/>
            </a:ext>
          </a:extLst>
        </cdr:cNvPr>
        <cdr:cNvSpPr/>
      </cdr:nvSpPr>
      <cdr:spPr>
        <a:xfrm xmlns:a="http://schemas.openxmlformats.org/drawingml/2006/main">
          <a:off x="6897594" y="2056653"/>
          <a:ext cx="750764" cy="515470"/>
        </a:xfrm>
        <a:prstGeom xmlns:a="http://schemas.openxmlformats.org/drawingml/2006/main" prst="ellipse">
          <a:avLst/>
        </a:prstGeom>
        <a:noFill xmlns:a="http://schemas.openxmlformats.org/drawingml/2006/main"/>
        <a:ln xmlns:a="http://schemas.openxmlformats.org/drawingml/2006/main" w="25400">
          <a:solidFill>
            <a:srgbClr val="00B05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0.86637</cdr:x>
      <cdr:y>0.3426</cdr:y>
    </cdr:from>
    <cdr:to>
      <cdr:x>0.94692</cdr:x>
      <cdr:y>0.43838</cdr:y>
    </cdr:to>
    <cdr:sp macro="" textlink="">
      <cdr:nvSpPr>
        <cdr:cNvPr id="9" name="Oval 8">
          <a:extLst xmlns:a="http://schemas.openxmlformats.org/drawingml/2006/main">
            <a:ext uri="{FF2B5EF4-FFF2-40B4-BE49-F238E27FC236}">
              <a16:creationId xmlns:a16="http://schemas.microsoft.com/office/drawing/2014/main" id="{B62E7B07-4977-46F5-AC32-7A85F3EAA910}"/>
            </a:ext>
          </a:extLst>
        </cdr:cNvPr>
        <cdr:cNvSpPr/>
      </cdr:nvSpPr>
      <cdr:spPr>
        <a:xfrm xmlns:a="http://schemas.openxmlformats.org/drawingml/2006/main">
          <a:off x="8074211" y="1843741"/>
          <a:ext cx="750764" cy="515470"/>
        </a:xfrm>
        <a:prstGeom xmlns:a="http://schemas.openxmlformats.org/drawingml/2006/main" prst="ellipse">
          <a:avLst/>
        </a:prstGeom>
        <a:noFill xmlns:a="http://schemas.openxmlformats.org/drawingml/2006/main"/>
        <a:ln xmlns:a="http://schemas.openxmlformats.org/drawingml/2006/main" w="25400">
          <a:solidFill>
            <a:srgbClr val="00B05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0.71967</cdr:x>
      <cdr:y>0.47586</cdr:y>
    </cdr:from>
    <cdr:to>
      <cdr:x>0.78399</cdr:x>
      <cdr:y>0.52709</cdr:y>
    </cdr:to>
    <cdr:sp macro="" textlink="">
      <cdr:nvSpPr>
        <cdr:cNvPr id="10" name="TextBox 1">
          <a:extLst xmlns:a="http://schemas.openxmlformats.org/drawingml/2006/main">
            <a:ext uri="{FF2B5EF4-FFF2-40B4-BE49-F238E27FC236}">
              <a16:creationId xmlns:a16="http://schemas.microsoft.com/office/drawing/2014/main" id="{2CF5A833-38DE-4ECD-8948-885213286977}"/>
            </a:ext>
          </a:extLst>
        </cdr:cNvPr>
        <cdr:cNvSpPr txBox="1"/>
      </cdr:nvSpPr>
      <cdr:spPr>
        <a:xfrm xmlns:a="http://schemas.openxmlformats.org/drawingml/2006/main">
          <a:off x="6707095" y="2560918"/>
          <a:ext cx="599364" cy="275684"/>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SG" sz="1600" b="1">
              <a:solidFill>
                <a:srgbClr val="00B050"/>
              </a:solidFill>
            </a:rPr>
            <a:t>2045</a:t>
          </a:r>
          <a:r>
            <a:rPr lang="en-SG" sz="1600" b="1" baseline="0">
              <a:solidFill>
                <a:srgbClr val="00B050"/>
              </a:solidFill>
            </a:rPr>
            <a:t> - 2047</a:t>
          </a:r>
          <a:endParaRPr lang="en-SG" sz="1100" b="1">
            <a:solidFill>
              <a:srgbClr val="00B050"/>
            </a:solidFill>
          </a:endParaRPr>
        </a:p>
      </cdr:txBody>
    </cdr:sp>
  </cdr:relSizeAnchor>
  <cdr:relSizeAnchor xmlns:cdr="http://schemas.openxmlformats.org/drawingml/2006/chartDrawing">
    <cdr:from>
      <cdr:x>0.87839</cdr:x>
      <cdr:y>0.43005</cdr:y>
    </cdr:from>
    <cdr:to>
      <cdr:x>0.9427</cdr:x>
      <cdr:y>0.48128</cdr:y>
    </cdr:to>
    <cdr:sp macro="" textlink="">
      <cdr:nvSpPr>
        <cdr:cNvPr id="11" name="TextBox 1">
          <a:extLst xmlns:a="http://schemas.openxmlformats.org/drawingml/2006/main">
            <a:ext uri="{FF2B5EF4-FFF2-40B4-BE49-F238E27FC236}">
              <a16:creationId xmlns:a16="http://schemas.microsoft.com/office/drawing/2014/main" id="{2F3F1446-471B-4AA1-B41D-4CBD022A207B}"/>
            </a:ext>
          </a:extLst>
        </cdr:cNvPr>
        <cdr:cNvSpPr txBox="1"/>
      </cdr:nvSpPr>
      <cdr:spPr>
        <a:xfrm xmlns:a="http://schemas.openxmlformats.org/drawingml/2006/main">
          <a:off x="8186271" y="2314388"/>
          <a:ext cx="599364" cy="275684"/>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SG" sz="1600" b="1">
              <a:solidFill>
                <a:srgbClr val="00B050"/>
              </a:solidFill>
            </a:rPr>
            <a:t>2050++</a:t>
          </a:r>
          <a:endParaRPr lang="en-SG" sz="1100" b="1">
            <a:solidFill>
              <a:srgbClr val="00B050"/>
            </a:solidFill>
          </a:endParaRPr>
        </a:p>
      </cdr:txBody>
    </cdr:sp>
  </cdr:relSizeAnchor>
  <cdr:relSizeAnchor xmlns:cdr="http://schemas.openxmlformats.org/drawingml/2006/chartDrawing">
    <cdr:from>
      <cdr:x>0.15376</cdr:x>
      <cdr:y>0.61895</cdr:y>
    </cdr:from>
    <cdr:to>
      <cdr:x>0.53251</cdr:x>
      <cdr:y>0.75429</cdr:y>
    </cdr:to>
    <cdr:sp macro="" textlink="">
      <cdr:nvSpPr>
        <cdr:cNvPr id="5" name="TextBox 4">
          <a:extLst xmlns:a="http://schemas.openxmlformats.org/drawingml/2006/main">
            <a:ext uri="{FF2B5EF4-FFF2-40B4-BE49-F238E27FC236}">
              <a16:creationId xmlns:a16="http://schemas.microsoft.com/office/drawing/2014/main" id="{3037EF0B-EE75-424F-BFD1-75F4CDA98450}"/>
            </a:ext>
          </a:extLst>
        </cdr:cNvPr>
        <cdr:cNvSpPr txBox="1"/>
      </cdr:nvSpPr>
      <cdr:spPr>
        <a:xfrm xmlns:a="http://schemas.openxmlformats.org/drawingml/2006/main">
          <a:off x="1432953" y="3330949"/>
          <a:ext cx="3529853" cy="72838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SG" sz="1200" b="0"/>
            <a:t>Power demand prediction results from the Population and GDP sensitivity analysis were incorporated here to see how it</a:t>
          </a:r>
          <a:r>
            <a:rPr lang="en-SG" sz="1200" b="0" baseline="0"/>
            <a:t> impacts the outlook</a:t>
          </a:r>
          <a:endParaRPr lang="en-SG" sz="1200" b="0"/>
        </a:p>
      </cdr:txBody>
    </cdr:sp>
  </cdr:relSizeAnchor>
</c:userShapes>
</file>

<file path=xl/drawings/drawing9.xml><?xml version="1.0" encoding="utf-8"?>
<xdr:wsDr xmlns:xdr="http://schemas.openxmlformats.org/drawingml/2006/spreadsheetDrawing" xmlns:a="http://schemas.openxmlformats.org/drawingml/2006/main">
  <xdr:twoCellAnchor editAs="oneCell">
    <xdr:from>
      <xdr:col>22</xdr:col>
      <xdr:colOff>947449</xdr:colOff>
      <xdr:row>4</xdr:row>
      <xdr:rowOff>111127</xdr:rowOff>
    </xdr:from>
    <xdr:to>
      <xdr:col>32</xdr:col>
      <xdr:colOff>463551</xdr:colOff>
      <xdr:row>29</xdr:row>
      <xdr:rowOff>491393</xdr:rowOff>
    </xdr:to>
    <xdr:pic>
      <xdr:nvPicPr>
        <xdr:cNvPr id="2" name="Picture 1">
          <a:extLst>
            <a:ext uri="{FF2B5EF4-FFF2-40B4-BE49-F238E27FC236}">
              <a16:creationId xmlns:a16="http://schemas.microsoft.com/office/drawing/2014/main" id="{29D73FBF-AEDB-49D0-9C48-A34AF77CE118}"/>
            </a:ext>
          </a:extLst>
        </xdr:cNvPr>
        <xdr:cNvPicPr>
          <a:picLocks noChangeAspect="1"/>
        </xdr:cNvPicPr>
      </xdr:nvPicPr>
      <xdr:blipFill>
        <a:blip xmlns:r="http://schemas.openxmlformats.org/officeDocument/2006/relationships" r:embed="rId1"/>
        <a:stretch>
          <a:fillRect/>
        </a:stretch>
      </xdr:blipFill>
      <xdr:spPr>
        <a:xfrm>
          <a:off x="23077199" y="841377"/>
          <a:ext cx="6580477" cy="5317391"/>
        </a:xfrm>
        <a:prstGeom prst="rect">
          <a:avLst/>
        </a:prstGeom>
      </xdr:spPr>
    </xdr:pic>
    <xdr:clientData/>
  </xdr:twoCellAnchor>
  <xdr:twoCellAnchor>
    <xdr:from>
      <xdr:col>21</xdr:col>
      <xdr:colOff>885030</xdr:colOff>
      <xdr:row>49</xdr:row>
      <xdr:rowOff>128587</xdr:rowOff>
    </xdr:from>
    <xdr:to>
      <xdr:col>30</xdr:col>
      <xdr:colOff>182562</xdr:colOff>
      <xdr:row>70</xdr:row>
      <xdr:rowOff>30955</xdr:rowOff>
    </xdr:to>
    <xdr:graphicFrame macro="">
      <xdr:nvGraphicFramePr>
        <xdr:cNvPr id="3" name="Chart 2">
          <a:extLst>
            <a:ext uri="{FF2B5EF4-FFF2-40B4-BE49-F238E27FC236}">
              <a16:creationId xmlns:a16="http://schemas.microsoft.com/office/drawing/2014/main" id="{93C0377D-DF75-4B33-960B-F1E3DE57B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318791</xdr:colOff>
      <xdr:row>39</xdr:row>
      <xdr:rowOff>63840</xdr:rowOff>
    </xdr:from>
    <xdr:to>
      <xdr:col>8</xdr:col>
      <xdr:colOff>397978</xdr:colOff>
      <xdr:row>60</xdr:row>
      <xdr:rowOff>110211</xdr:rowOff>
    </xdr:to>
    <xdr:graphicFrame macro="">
      <xdr:nvGraphicFramePr>
        <xdr:cNvPr id="4" name="Chart 3">
          <a:extLst>
            <a:ext uri="{FF2B5EF4-FFF2-40B4-BE49-F238E27FC236}">
              <a16:creationId xmlns:a16="http://schemas.microsoft.com/office/drawing/2014/main" id="{08EA31D9-2F12-42D0-8806-3AE370F551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665561</xdr:colOff>
      <xdr:row>39</xdr:row>
      <xdr:rowOff>76745</xdr:rowOff>
    </xdr:from>
    <xdr:to>
      <xdr:col>15</xdr:col>
      <xdr:colOff>670042</xdr:colOff>
      <xdr:row>60</xdr:row>
      <xdr:rowOff>125152</xdr:rowOff>
    </xdr:to>
    <xdr:graphicFrame macro="">
      <xdr:nvGraphicFramePr>
        <xdr:cNvPr id="5" name="Chart 4">
          <a:extLst>
            <a:ext uri="{FF2B5EF4-FFF2-40B4-BE49-F238E27FC236}">
              <a16:creationId xmlns:a16="http://schemas.microsoft.com/office/drawing/2014/main" id="{297C7A92-5467-4126-BC70-FFC9BF83B2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21</xdr:col>
      <xdr:colOff>123827</xdr:colOff>
      <xdr:row>16</xdr:row>
      <xdr:rowOff>36289</xdr:rowOff>
    </xdr:from>
    <xdr:to>
      <xdr:col>29</xdr:col>
      <xdr:colOff>73933</xdr:colOff>
      <xdr:row>37</xdr:row>
      <xdr:rowOff>178708</xdr:rowOff>
    </xdr:to>
    <xdr:graphicFrame macro="">
      <xdr:nvGraphicFramePr>
        <xdr:cNvPr id="2" name="Chart 2">
          <a:extLst>
            <a:ext uri="{FF2B5EF4-FFF2-40B4-BE49-F238E27FC236}">
              <a16:creationId xmlns:a16="http://schemas.microsoft.com/office/drawing/2014/main" id="{11D39C16-5F6C-444A-9727-289C38BCAB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smu.sharepoint.com/Users/ranic/Documents/MITB/Term%201/IS602%20Spreadsheets%20Modelling%20for%20Decision%20Making/Projects/G4/Generating%20Plant%20Availability.xls"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nice Tan" refreshedDate="44498.724348263888" createdVersion="1" refreshedVersion="7" recordCount="225" xr:uid="{1A00B60C-0CF3-4C4C-9020-FF287FB1A435}">
  <cacheSource type="worksheet">
    <worksheetSource ref="A1:H226" sheet="monthly_plant avail" r:id="rId2"/>
  </cacheSource>
  <cacheFields count="11">
    <cacheField name="Month" numFmtId="17">
      <sharedItems containsSemiMixedTypes="0" containsNonDate="0" containsDate="1" containsString="0" minDate="2003-01-01T00:00:00" maxDate="2021-09-02T00:00:00" count="225">
        <d v="2003-01-01T00:00:00"/>
        <d v="2003-02-01T00:00:00"/>
        <d v="2003-03-01T00:00:00"/>
        <d v="2003-04-01T00:00:00"/>
        <d v="2003-05-01T00:00:00"/>
        <d v="2003-06-01T00:00:00"/>
        <d v="2003-07-01T00:00:00"/>
        <d v="2003-08-01T00:00:00"/>
        <d v="2003-09-01T00:00:00"/>
        <d v="2003-10-01T00:00:00"/>
        <d v="2003-11-01T00:00:00"/>
        <d v="2003-12-01T00:00:00"/>
        <d v="2004-01-01T00:00:00"/>
        <d v="2004-02-01T00:00:00"/>
        <d v="2004-03-01T00:00:00"/>
        <d v="2004-04-01T00:00:00"/>
        <d v="2004-05-01T00:00:00"/>
        <d v="2004-06-01T00:00:00"/>
        <d v="2004-07-01T00:00:00"/>
        <d v="2004-08-01T00:00:00"/>
        <d v="2004-09-01T00:00:00"/>
        <d v="2004-10-01T00:00:00"/>
        <d v="2004-11-01T00:00:00"/>
        <d v="2004-12-01T00:00:00"/>
        <d v="2005-01-01T00:00:00"/>
        <d v="2005-02-01T00:00:00"/>
        <d v="2005-03-01T00:00:00"/>
        <d v="2005-04-01T00:00:00"/>
        <d v="2005-05-01T00:00:00"/>
        <d v="2005-06-01T00:00:00"/>
        <d v="2005-07-01T00:00:00"/>
        <d v="2005-08-01T00:00:00"/>
        <d v="2005-09-01T00:00:00"/>
        <d v="2005-10-01T00:00:00"/>
        <d v="2005-11-01T00:00:00"/>
        <d v="2005-12-01T00:00:00"/>
        <d v="2006-01-01T00:00:00"/>
        <d v="2006-02-01T00:00:00"/>
        <d v="2006-03-01T00:00:00"/>
        <d v="2006-04-01T00:00:00"/>
        <d v="2006-05-01T00:00:00"/>
        <d v="2006-06-01T00:00:00"/>
        <d v="2006-07-01T00:00:00"/>
        <d v="2006-08-01T00:00:00"/>
        <d v="2006-09-01T00:00:00"/>
        <d v="2006-10-01T00:00:00"/>
        <d v="2006-11-01T00:00:00"/>
        <d v="2006-12-01T00:00:00"/>
        <d v="2007-01-01T00:00:00"/>
        <d v="2007-02-01T00:00:00"/>
        <d v="2007-03-01T00:00:00"/>
        <d v="2007-04-01T00:00:00"/>
        <d v="2007-05-01T00:00:00"/>
        <d v="2007-06-01T00:00:00"/>
        <d v="2007-07-01T00:00:00"/>
        <d v="2007-08-01T00:00:00"/>
        <d v="2007-09-01T00:00:00"/>
        <d v="2007-10-01T00:00:00"/>
        <d v="2007-11-01T00:00:00"/>
        <d v="2007-12-01T00:00:00"/>
        <d v="2008-01-01T00:00:00"/>
        <d v="2008-02-01T00:00:00"/>
        <d v="2008-03-01T00:00:00"/>
        <d v="2008-04-01T00:00:00"/>
        <d v="2008-05-01T00:00:00"/>
        <d v="2008-06-01T00:00:00"/>
        <d v="2008-07-01T00:00:00"/>
        <d v="2008-08-01T00:00:00"/>
        <d v="2008-09-01T00:00:00"/>
        <d v="2008-10-01T00:00:00"/>
        <d v="2008-11-01T00:00:00"/>
        <d v="2008-12-01T00:00:00"/>
        <d v="2009-01-01T00:00:00"/>
        <d v="2009-02-01T00:00:00"/>
        <d v="2009-03-01T00:00:00"/>
        <d v="2009-04-01T00:00:00"/>
        <d v="2009-05-10T00:00:00"/>
        <d v="2009-06-10T00:00:00"/>
        <d v="2009-07-10T00:00:00"/>
        <d v="2009-08-10T00:00:00"/>
        <d v="2009-09-10T00:00:00"/>
        <d v="2009-10-10T00:00:00"/>
        <d v="2009-11-10T00:00:00"/>
        <d v="2009-12-10T00:00:00"/>
        <d v="2010-01-10T00:00:00"/>
        <d v="2010-02-10T00:00:00"/>
        <d v="2010-03-10T00:00:00"/>
        <d v="2010-04-10T00:00:00"/>
        <d v="2010-05-10T00:00:00"/>
        <d v="2010-06-10T00:00:00"/>
        <d v="2010-07-10T00:00:00"/>
        <d v="2010-08-10T00:00:00"/>
        <d v="2010-09-10T00:00:00"/>
        <d v="2010-10-10T00:00:00"/>
        <d v="2010-11-10T00:00:00"/>
        <d v="2010-12-10T00:00:00"/>
        <d v="2011-01-10T00:00:00"/>
        <d v="2011-02-10T00:00:00"/>
        <d v="2011-03-10T00:00:00"/>
        <d v="2011-04-10T00:00:00"/>
        <d v="2011-05-10T00:00:00"/>
        <d v="2011-06-10T00:00:00"/>
        <d v="2011-07-10T00:00:00"/>
        <d v="2011-08-10T00:00:00"/>
        <d v="2011-09-10T00:00:00"/>
        <d v="2011-10-10T00:00:00"/>
        <d v="2011-11-10T00:00:00"/>
        <d v="2011-12-10T00:00:00"/>
        <d v="2012-01-10T00:00:00"/>
        <d v="2012-02-10T00:00:00"/>
        <d v="2012-03-10T00:00:00"/>
        <d v="2012-04-10T00:00:00"/>
        <d v="2012-05-10T00:00:00"/>
        <d v="2012-06-10T00:00:00"/>
        <d v="2012-07-10T00:00:00"/>
        <d v="2012-08-10T00:00:00"/>
        <d v="2012-09-10T00:00:00"/>
        <d v="2012-10-10T00:00:00"/>
        <d v="2012-11-10T00:00:00"/>
        <d v="2012-12-10T00:00:00"/>
        <d v="2013-01-01T00:00:00"/>
        <d v="2013-02-01T00:00:00"/>
        <d v="2013-03-01T00:00:00"/>
        <d v="2013-04-01T00:00:00"/>
        <d v="2013-05-01T00:00:00"/>
        <d v="2013-06-01T00:00:00"/>
        <d v="2013-07-01T00:00:00"/>
        <d v="2013-08-01T00:00:00"/>
        <d v="2013-09-01T00:00:00"/>
        <d v="2013-10-01T00:00:00"/>
        <d v="2013-11-01T00:00:00"/>
        <d v="2013-12-01T00:00:00"/>
        <d v="2014-01-01T00:00:00"/>
        <d v="2014-02-01T00:00:00"/>
        <d v="2014-03-01T00:00:00"/>
        <d v="2014-04-01T00:00:00"/>
        <d v="2014-05-01T00:00:00"/>
        <d v="2014-06-01T00:00:00"/>
        <d v="2014-07-01T00:00:00"/>
        <d v="2014-08-01T00:00:00"/>
        <d v="2014-09-01T00:00:00"/>
        <d v="2014-10-01T00:00:00"/>
        <d v="2014-11-01T00:00:00"/>
        <d v="2014-12-01T00:00:00"/>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sharedItems>
      <fieldGroup par="9" base="0">
        <rangePr groupBy="months" startDate="2003-01-01T00:00:00" endDate="2021-09-02T00:00:00"/>
        <groupItems count="14">
          <s v="&lt;1/1/2003"/>
          <s v="Jan"/>
          <s v="Feb"/>
          <s v="Mar"/>
          <s v="Apr"/>
          <s v="May"/>
          <s v="Jun"/>
          <s v="Jul"/>
          <s v="Aug"/>
          <s v="Sep"/>
          <s v="Oct"/>
          <s v="Nov"/>
          <s v="Dec"/>
          <s v="&gt;2/9/2021"/>
        </groupItems>
      </fieldGroup>
    </cacheField>
    <cacheField name="Outage Capacity (MW)" numFmtId="0">
      <sharedItems containsSemiMixedTypes="0" containsString="0" containsNumber="1" minValue="829.4" maxValue="3395"/>
    </cacheField>
    <cacheField name="Remaining Capacity (MW)" numFmtId="0">
      <sharedItems containsSemiMixedTypes="0" containsString="0" containsNumber="1" minValue="6849.6" maxValue="12454.6"/>
    </cacheField>
    <cacheField name="No. of Hours" numFmtId="1">
      <sharedItems containsSemiMixedTypes="0" containsString="0" containsNumber="1" containsInteger="1" minValue="672" maxValue="744"/>
    </cacheField>
    <cacheField name="Outage Capacity_x000a_(GwH)" numFmtId="1">
      <sharedItems containsSemiMixedTypes="0" containsString="0" containsNumber="1" minValue="617.07359999999994" maxValue="2525.88"/>
    </cacheField>
    <cacheField name="Remaining Capacity (GwH)" numFmtId="1">
      <sharedItems containsSemiMixedTypes="0" containsString="0" containsNumber="1" minValue="4852.5119999999997" maxValue="9266.2224000000006"/>
    </cacheField>
    <cacheField name="Total Capacity _x000a_(MwH)" numFmtId="1">
      <sharedItems containsSemiMixedTypes="0" containsString="0" containsNumber="1" minValue="6074.2079999999996" maxValue="10261.701840000002"/>
    </cacheField>
    <cacheField name="Availability_x000a_(%)" numFmtId="10">
      <sharedItems containsSemiMixedTypes="0" containsString="0" containsNumber="1" minValue="0.70187519213034122" maxValue="0.91199055365275883"/>
    </cacheField>
    <cacheField name="Quarters" numFmtId="0" databaseField="0">
      <fieldGroup base="0">
        <rangePr groupBy="quarters" startDate="2003-01-01T00:00:00" endDate="2021-09-02T00:00:00"/>
        <groupItems count="6">
          <s v="&lt;1/1/2003"/>
          <s v="Qtr1"/>
          <s v="Qtr2"/>
          <s v="Qtr3"/>
          <s v="Qtr4"/>
          <s v="&gt;2/9/2021"/>
        </groupItems>
      </fieldGroup>
    </cacheField>
    <cacheField name="Years" numFmtId="0" databaseField="0">
      <fieldGroup base="0">
        <rangePr groupBy="years" startDate="2003-01-01T00:00:00" endDate="2021-09-02T00:00:00"/>
        <groupItems count="21">
          <s v="&lt;1/1/2003"/>
          <s v="2003"/>
          <s v="2004"/>
          <s v="2005"/>
          <s v="2006"/>
          <s v="2007"/>
          <s v="2008"/>
          <s v="2009"/>
          <s v="2010"/>
          <s v="2011"/>
          <s v="2012"/>
          <s v="2013"/>
          <s v="2014"/>
          <s v="2015"/>
          <s v="2016"/>
          <s v="2017"/>
          <s v="2018"/>
          <s v="2019"/>
          <s v="2020"/>
          <s v="2021"/>
          <s v="&gt;2/9/2021"/>
        </groupItems>
      </fieldGroup>
    </cacheField>
    <cacheField name="Availability" numFmtId="0" formula="'Remaining Capacity (GwH)'/'Total Capacity _x000a_(MwH)'"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5">
  <r>
    <x v="0"/>
    <n v="954"/>
    <n v="8085"/>
    <n v="744"/>
    <n v="709.77599999999995"/>
    <n v="6015.24"/>
    <n v="6725.0159999999996"/>
    <n v="0.89445735147693328"/>
  </r>
  <r>
    <x v="1"/>
    <n v="1818"/>
    <n v="7221"/>
    <n v="672"/>
    <n v="1221.6959999999999"/>
    <n v="4852.5119999999997"/>
    <n v="6074.2079999999996"/>
    <n v="0.79887155658811815"/>
  </r>
  <r>
    <x v="2"/>
    <n v="2004.0125"/>
    <n v="7034.9875000000002"/>
    <n v="744"/>
    <n v="1490.9853000000001"/>
    <n v="5234.0307000000003"/>
    <n v="6725.0160000000005"/>
    <n v="0.7782926761809934"/>
  </r>
  <r>
    <x v="3"/>
    <n v="1363.5"/>
    <n v="7675.5"/>
    <n v="720"/>
    <n v="981.72"/>
    <n v="5526.36"/>
    <n v="6508.08"/>
    <n v="0.84915366744108856"/>
  </r>
  <r>
    <x v="4"/>
    <n v="1376.5"/>
    <n v="7662.5"/>
    <n v="744"/>
    <n v="1024.116"/>
    <n v="5700.9"/>
    <n v="6725.0159999999996"/>
    <n v="0.84771545524947445"/>
  </r>
  <r>
    <x v="5"/>
    <n v="1526"/>
    <n v="7513"/>
    <n v="720"/>
    <n v="1098.72"/>
    <n v="5409.36"/>
    <n v="6508.08"/>
    <n v="0.8311760150459121"/>
  </r>
  <r>
    <x v="6"/>
    <n v="1850.5"/>
    <n v="7188.5"/>
    <n v="744"/>
    <n v="1376.7719999999999"/>
    <n v="5348.2439999999997"/>
    <n v="6725.0159999999996"/>
    <n v="0.79527602610908288"/>
  </r>
  <r>
    <x v="7"/>
    <n v="1693.5440000000001"/>
    <n v="7345.4560000000001"/>
    <n v="744"/>
    <n v="1259.9967360000001"/>
    <n v="5465.0192640000005"/>
    <n v="6725.0160000000005"/>
    <n v="0.81264033632038946"/>
  </r>
  <r>
    <x v="8"/>
    <n v="1226.44"/>
    <n v="7812.5599999999995"/>
    <n v="720"/>
    <n v="883.03680000000008"/>
    <n v="5625.0431999999992"/>
    <n v="6508.079999999999"/>
    <n v="0.86431684920898333"/>
  </r>
  <r>
    <x v="9"/>
    <n v="1706.5"/>
    <n v="7332.5"/>
    <n v="744"/>
    <n v="1269.636"/>
    <n v="5455.38"/>
    <n v="6725.0159999999996"/>
    <n v="0.81120699192388546"/>
  </r>
  <r>
    <x v="10"/>
    <n v="2146.5"/>
    <n v="6892.5"/>
    <n v="720"/>
    <n v="1545.48"/>
    <n v="4962.6000000000004"/>
    <n v="6508.08"/>
    <n v="0.76252904082309991"/>
  </r>
  <r>
    <x v="11"/>
    <n v="1478.5"/>
    <n v="7560.5"/>
    <n v="744"/>
    <n v="1100.0039999999999"/>
    <n v="5625.0119999999997"/>
    <n v="6725.0159999999996"/>
    <n v="0.83643102113065604"/>
  </r>
  <r>
    <x v="12"/>
    <n v="829.4"/>
    <n v="8209.6"/>
    <n v="744"/>
    <n v="617.07359999999994"/>
    <n v="6107.9424000000008"/>
    <n v="6725.0160000000005"/>
    <n v="0.90824206217501946"/>
  </r>
  <r>
    <x v="13"/>
    <n v="1311"/>
    <n v="8088"/>
    <n v="696"/>
    <n v="912.45600000000002"/>
    <n v="5629.2479999999996"/>
    <n v="6541.7039999999997"/>
    <n v="0.86051707628471108"/>
  </r>
  <r>
    <x v="14"/>
    <n v="1675"/>
    <n v="7724"/>
    <n v="744"/>
    <n v="1246.2"/>
    <n v="5746.6559999999999"/>
    <n v="6992.8559999999998"/>
    <n v="0.82178955208000848"/>
  </r>
  <r>
    <x v="15"/>
    <n v="1418.4"/>
    <n v="7980.6"/>
    <n v="720"/>
    <n v="1021.2480000000002"/>
    <n v="5746.0320000000002"/>
    <n v="6767.2800000000007"/>
    <n v="0.84909032875837853"/>
  </r>
  <r>
    <x v="16"/>
    <n v="1386.5"/>
    <n v="8012.5"/>
    <n v="744"/>
    <n v="1031.556"/>
    <n v="5961.3"/>
    <n v="6992.8559999999998"/>
    <n v="0.85248430684115339"/>
  </r>
  <r>
    <x v="17"/>
    <n v="2094"/>
    <n v="7665"/>
    <n v="720"/>
    <n v="1507.68"/>
    <n v="5518.8"/>
    <n v="7026.4800000000005"/>
    <n v="0.78542883492161075"/>
  </r>
  <r>
    <x v="18"/>
    <n v="1356"/>
    <n v="8403"/>
    <n v="744"/>
    <n v="1008.864"/>
    <n v="6251.8320000000003"/>
    <n v="7260.6959999999999"/>
    <n v="0.86105133722717497"/>
  </r>
  <r>
    <x v="19"/>
    <n v="1954"/>
    <n v="7805"/>
    <n v="744"/>
    <n v="1453.7760000000001"/>
    <n v="5806.92"/>
    <n v="7260.6959999999999"/>
    <n v="0.79977456706629779"/>
  </r>
  <r>
    <x v="20"/>
    <n v="2114"/>
    <n v="7645"/>
    <n v="720"/>
    <n v="1522.08"/>
    <n v="5504.4"/>
    <n v="7026.48"/>
    <n v="0.78337944461522702"/>
  </r>
  <r>
    <x v="21"/>
    <n v="2909.4"/>
    <n v="6849.6"/>
    <n v="744"/>
    <n v="2164.5936000000002"/>
    <n v="5096.1024000000007"/>
    <n v="7260.6960000000008"/>
    <n v="0.70187519213034122"/>
  </r>
  <r>
    <x v="22"/>
    <n v="2461.5"/>
    <n v="7297.5"/>
    <n v="720"/>
    <n v="1772.28"/>
    <n v="5254.2"/>
    <n v="7026.48"/>
    <n v="0.74777128804180759"/>
  </r>
  <r>
    <x v="23"/>
    <n v="2541.5"/>
    <n v="7217.5"/>
    <n v="744"/>
    <n v="1890.876"/>
    <n v="5369.82"/>
    <n v="7260.6959999999999"/>
    <n v="0.73957372681627209"/>
  </r>
  <r>
    <x v="24"/>
    <n v="2441.5"/>
    <n v="7321.5"/>
    <n v="744"/>
    <n v="1816.4760000000001"/>
    <n v="5447.1959999999999"/>
    <n v="7263.6720000000005"/>
    <n v="0.74992317935060937"/>
  </r>
  <r>
    <x v="25"/>
    <n v="2084"/>
    <n v="8046"/>
    <n v="672"/>
    <n v="1400.4480000000001"/>
    <n v="5406.9120000000003"/>
    <n v="6807.3600000000006"/>
    <n v="0.79427443237907203"/>
  </r>
  <r>
    <x v="26"/>
    <n v="2435"/>
    <n v="7695"/>
    <n v="744"/>
    <n v="1811.64"/>
    <n v="5725.08"/>
    <n v="7536.72"/>
    <n v="0.75962487660414602"/>
  </r>
  <r>
    <x v="27"/>
    <n v="2254.4"/>
    <n v="7875.6"/>
    <n v="720"/>
    <n v="1623.1679999999999"/>
    <n v="5670.4319999999998"/>
    <n v="7293.5999999999995"/>
    <n v="0.77745310957551828"/>
  </r>
  <r>
    <x v="28"/>
    <n v="2034.5"/>
    <n v="8462.5"/>
    <n v="744"/>
    <n v="1513.6679999999999"/>
    <n v="6296.1"/>
    <n v="7809.768"/>
    <n v="0.80618271887205872"/>
  </r>
  <r>
    <x v="29"/>
    <n v="2106.5"/>
    <n v="8390.5"/>
    <n v="720"/>
    <n v="1516.68"/>
    <n v="6041.16"/>
    <n v="7557.84"/>
    <n v="0.79932361627131554"/>
  </r>
  <r>
    <x v="30"/>
    <n v="1690.4"/>
    <n v="8821.6"/>
    <n v="744"/>
    <n v="1257.6576"/>
    <n v="6563.2704000000003"/>
    <n v="7820.9279999999999"/>
    <n v="0.83919330289193306"/>
  </r>
  <r>
    <x v="31"/>
    <n v="1347.5"/>
    <n v="9164.5"/>
    <n v="744"/>
    <n v="1002.54"/>
    <n v="6818.3879999999999"/>
    <n v="7820.9279999999999"/>
    <n v="0.87181316590563163"/>
  </r>
  <r>
    <x v="32"/>
    <n v="1750"/>
    <n v="8762"/>
    <n v="720"/>
    <n v="1260"/>
    <n v="6308.64"/>
    <n v="7568.64"/>
    <n v="0.83352359208523596"/>
  </r>
  <r>
    <x v="33"/>
    <n v="1851.5"/>
    <n v="8555.5"/>
    <n v="744"/>
    <n v="1377.5160000000001"/>
    <n v="6365.2920000000004"/>
    <n v="7742.8080000000009"/>
    <n v="0.8220909003555299"/>
  </r>
  <r>
    <x v="34"/>
    <n v="1530"/>
    <n v="8877"/>
    <n v="720"/>
    <n v="1101.5999999999999"/>
    <n v="6391.44"/>
    <n v="7493.0399999999991"/>
    <n v="0.8529835687518017"/>
  </r>
  <r>
    <x v="35"/>
    <n v="1506.5"/>
    <n v="8900.5"/>
    <n v="744"/>
    <n v="1120.836"/>
    <n v="6621.9719999999998"/>
    <n v="7742.808"/>
    <n v="0.85524166426443737"/>
  </r>
  <r>
    <x v="36"/>
    <n v="1862.5"/>
    <n v="8544.5"/>
    <n v="744"/>
    <n v="1385.7"/>
    <n v="6357.1080000000002"/>
    <n v="7742.808"/>
    <n v="0.82103391947727489"/>
  </r>
  <r>
    <x v="37"/>
    <n v="1619"/>
    <n v="8788"/>
    <n v="672"/>
    <n v="1087.9680000000001"/>
    <n v="5905.5360000000001"/>
    <n v="6993.5039999999999"/>
    <n v="0.84443163255501108"/>
  </r>
  <r>
    <x v="38"/>
    <n v="1406.9"/>
    <n v="9000.1"/>
    <n v="744"/>
    <n v="1046.7336"/>
    <n v="6696.0744000000004"/>
    <n v="7742.8080000000009"/>
    <n v="0.86481214567118281"/>
  </r>
  <r>
    <x v="39"/>
    <n v="2157.5"/>
    <n v="8249.5"/>
    <n v="720"/>
    <n v="1553.4"/>
    <n v="5939.64"/>
    <n v="7493.0400000000009"/>
    <n v="0.79268761410589017"/>
  </r>
  <r>
    <x v="40"/>
    <n v="1926"/>
    <n v="8481"/>
    <n v="744"/>
    <n v="1432.944"/>
    <n v="6309.8639999999996"/>
    <n v="7742.8079999999991"/>
    <n v="0.81493225713462092"/>
  </r>
  <r>
    <x v="41"/>
    <n v="2088.5"/>
    <n v="8318.5"/>
    <n v="720"/>
    <n v="1503.72"/>
    <n v="5989.32"/>
    <n v="7493.04"/>
    <n v="0.79931776688767175"/>
  </r>
  <r>
    <x v="42"/>
    <n v="2049.5"/>
    <n v="8357.5"/>
    <n v="744"/>
    <n v="1524.828"/>
    <n v="6217.98"/>
    <n v="7742.8079999999991"/>
    <n v="0.80306524454693962"/>
  </r>
  <r>
    <x v="43"/>
    <n v="2434.6999999999998"/>
    <n v="7972.3"/>
    <n v="744"/>
    <n v="1811.4167999999997"/>
    <n v="5931.3912"/>
    <n v="7742.808"/>
    <n v="0.7660516959738638"/>
  </r>
  <r>
    <x v="44"/>
    <n v="1662"/>
    <n v="8745"/>
    <n v="720"/>
    <n v="1196.6400000000001"/>
    <n v="6296.4"/>
    <n v="7493.04"/>
    <n v="0.84029979821274137"/>
  </r>
  <r>
    <x v="45"/>
    <n v="1782"/>
    <n v="8625"/>
    <n v="744"/>
    <n v="1325.808"/>
    <n v="6417"/>
    <n v="7742.808"/>
    <n v="0.8287690977226867"/>
  </r>
  <r>
    <x v="46"/>
    <n v="1458"/>
    <n v="9449"/>
    <n v="720"/>
    <n v="1049.76"/>
    <n v="6803.28"/>
    <n v="7853.04"/>
    <n v="0.86632437883927749"/>
  </r>
  <r>
    <x v="47"/>
    <n v="1787"/>
    <n v="9120"/>
    <n v="744"/>
    <n v="1329.528"/>
    <n v="6785.28"/>
    <n v="8114.808"/>
    <n v="0.83616026405060973"/>
  </r>
  <r>
    <x v="48"/>
    <n v="1981.9949999999999"/>
    <n v="8925.005000000001"/>
    <n v="744"/>
    <n v="1474.60428"/>
    <n v="6640.2037200000004"/>
    <n v="8114.8080000000009"/>
    <n v="0.81828229577335654"/>
  </r>
  <r>
    <x v="49"/>
    <n v="2244.5"/>
    <n v="8662.5"/>
    <n v="672"/>
    <n v="1508.3040000000001"/>
    <n v="5821.2"/>
    <n v="7329.5039999999999"/>
    <n v="0.79421472448886032"/>
  </r>
  <r>
    <x v="50"/>
    <n v="2461.5"/>
    <n v="8445.5"/>
    <n v="744"/>
    <n v="1831.356"/>
    <n v="6283.4520000000002"/>
    <n v="8114.808"/>
    <n v="0.77431924452186673"/>
  </r>
  <r>
    <x v="51"/>
    <n v="1852.5"/>
    <n v="9054.5"/>
    <n v="720"/>
    <n v="1333.8"/>
    <n v="6519.24"/>
    <n v="7853.04"/>
    <n v="0.83015494636471987"/>
  </r>
  <r>
    <x v="52"/>
    <n v="1852.5"/>
    <n v="9054.5"/>
    <n v="744"/>
    <n v="1378.26"/>
    <n v="6736.5479999999998"/>
    <n v="8114.808"/>
    <n v="0.83015494636471987"/>
  </r>
  <r>
    <x v="53"/>
    <n v="1590"/>
    <n v="9317"/>
    <n v="720"/>
    <n v="1144.8"/>
    <n v="6708.24"/>
    <n v="7853.04"/>
    <n v="0.85422205922801864"/>
  </r>
  <r>
    <x v="54"/>
    <n v="1039"/>
    <n v="9868"/>
    <n v="744"/>
    <n v="773.01599999999996"/>
    <n v="7341.7920000000004"/>
    <n v="8114.808"/>
    <n v="0.90474007518107646"/>
  </r>
  <r>
    <x v="55"/>
    <n v="2214"/>
    <n v="8693"/>
    <n v="744"/>
    <n v="1647.2159999999999"/>
    <n v="6467.5919999999996"/>
    <n v="8114.8079999999991"/>
    <n v="0.79701109379297708"/>
  </r>
  <r>
    <x v="56"/>
    <n v="1415"/>
    <n v="9492"/>
    <n v="720"/>
    <n v="1018.8"/>
    <n v="6834.24"/>
    <n v="7853.04"/>
    <n v="0.87026680113688459"/>
  </r>
  <r>
    <x v="57"/>
    <n v="2155"/>
    <n v="8752"/>
    <n v="744"/>
    <n v="1603.32"/>
    <n v="6511.4880000000003"/>
    <n v="8114.808"/>
    <n v="0.80242046392225175"/>
  </r>
  <r>
    <x v="58"/>
    <n v="2110"/>
    <n v="8797"/>
    <n v="720"/>
    <n v="1519.2"/>
    <n v="6333.84"/>
    <n v="7853.04"/>
    <n v="0.80654625469881724"/>
  </r>
  <r>
    <x v="59"/>
    <n v="1724"/>
    <n v="8933"/>
    <n v="744"/>
    <n v="1282.6559999999999"/>
    <n v="6646.152"/>
    <n v="7928.808"/>
    <n v="0.83822839448249975"/>
  </r>
  <r>
    <x v="60"/>
    <n v="1350"/>
    <n v="9307"/>
    <n v="744"/>
    <n v="1004.4"/>
    <n v="6924.4080000000004"/>
    <n v="7928.808"/>
    <n v="0.87332269869569301"/>
  </r>
  <r>
    <x v="61"/>
    <n v="1436.5"/>
    <n v="9220.5"/>
    <n v="696"/>
    <n v="999.80399999999997"/>
    <n v="6417.4679999999998"/>
    <n v="7417.2719999999999"/>
    <n v="0.86520596790841697"/>
  </r>
  <r>
    <x v="62"/>
    <n v="1960"/>
    <n v="8697"/>
    <n v="744"/>
    <n v="1458.24"/>
    <n v="6470.5680000000002"/>
    <n v="7928.808"/>
    <n v="0.81608332551374685"/>
  </r>
  <r>
    <x v="63"/>
    <n v="1289"/>
    <n v="9368"/>
    <n v="720"/>
    <n v="928.08"/>
    <n v="6744.96"/>
    <n v="7673.04"/>
    <n v="0.87904663601388755"/>
  </r>
  <r>
    <x v="64"/>
    <n v="1602.5"/>
    <n v="9054.5"/>
    <n v="744"/>
    <n v="1192.26"/>
    <n v="6736.5479999999998"/>
    <n v="7928.808"/>
    <n v="0.84962935159988739"/>
  </r>
  <r>
    <x v="65"/>
    <n v="1158"/>
    <n v="9499"/>
    <n v="720"/>
    <n v="833.76"/>
    <n v="6839.28"/>
    <n v="7673.04"/>
    <n v="0.89133902599230552"/>
  </r>
  <r>
    <x v="66"/>
    <n v="1131"/>
    <n v="9526"/>
    <n v="744"/>
    <n v="841.46400000000006"/>
    <n v="7087.3440000000001"/>
    <n v="7928.808"/>
    <n v="0.89387257201839165"/>
  </r>
  <r>
    <x v="67"/>
    <n v="1681"/>
    <n v="8976"/>
    <n v="744"/>
    <n v="1250.664"/>
    <n v="6678.1440000000002"/>
    <n v="7928.808"/>
    <n v="0.84226330111663694"/>
  </r>
  <r>
    <x v="68"/>
    <n v="1217.5"/>
    <n v="9439.5"/>
    <n v="720"/>
    <n v="876.6"/>
    <n v="6796.44"/>
    <n v="7673.04"/>
    <n v="0.88575584123111561"/>
  </r>
  <r>
    <x v="69"/>
    <n v="1686.5"/>
    <n v="8970.5"/>
    <n v="744"/>
    <n v="1254.7560000000001"/>
    <n v="6674.0519999999997"/>
    <n v="7928.808"/>
    <n v="0.84174720840761941"/>
  </r>
  <r>
    <x v="70"/>
    <n v="1965"/>
    <n v="8692"/>
    <n v="720"/>
    <n v="1414.8"/>
    <n v="6258.24"/>
    <n v="7673.04"/>
    <n v="0.81561415032373086"/>
  </r>
  <r>
    <x v="71"/>
    <n v="1946.5"/>
    <n v="8710.5"/>
    <n v="744"/>
    <n v="1448.1959999999999"/>
    <n v="6480.6120000000001"/>
    <n v="7928.808"/>
    <n v="0.81735009852678986"/>
  </r>
  <r>
    <x v="72"/>
    <n v="2195"/>
    <n v="8462"/>
    <n v="744"/>
    <n v="1633.08"/>
    <n v="6295.7280000000001"/>
    <n v="7928.808"/>
    <n v="0.79403209158299715"/>
  </r>
  <r>
    <x v="73"/>
    <n v="2146"/>
    <n v="8261"/>
    <n v="672"/>
    <n v="1442.1120000000001"/>
    <n v="5551.3919999999998"/>
    <n v="6993.5039999999999"/>
    <n v="0.79379263956952051"/>
  </r>
  <r>
    <x v="74"/>
    <n v="1541"/>
    <n v="8866"/>
    <n v="744"/>
    <n v="1146.5039999999999"/>
    <n v="6596.3040000000001"/>
    <n v="7742.808"/>
    <n v="0.85192658787354669"/>
  </r>
  <r>
    <x v="75"/>
    <n v="1813"/>
    <n v="8594"/>
    <n v="720"/>
    <n v="1305.3599999999999"/>
    <n v="6187.68"/>
    <n v="7493.04"/>
    <n v="0.82579033342942254"/>
  </r>
  <r>
    <x v="76"/>
    <n v="1605"/>
    <n v="8802"/>
    <n v="744"/>
    <n v="1194.1199999999999"/>
    <n v="6548.6880000000001"/>
    <n v="7742.808"/>
    <n v="0.84577688094551751"/>
  </r>
  <r>
    <x v="77"/>
    <n v="1758"/>
    <n v="8649"/>
    <n v="720"/>
    <n v="1265.76"/>
    <n v="6227.28"/>
    <n v="7493.04"/>
    <n v="0.83107523782069759"/>
  </r>
  <r>
    <x v="78"/>
    <n v="1858"/>
    <n v="8549"/>
    <n v="744"/>
    <n v="1382.3520000000001"/>
    <n v="6360.4560000000001"/>
    <n v="7742.808"/>
    <n v="0.82146632074565196"/>
  </r>
  <r>
    <x v="79"/>
    <n v="1579"/>
    <n v="8828"/>
    <n v="744"/>
    <n v="1174.7760000000001"/>
    <n v="6568.0320000000002"/>
    <n v="7742.808"/>
    <n v="0.84827519938502938"/>
  </r>
  <r>
    <x v="80"/>
    <n v="2157"/>
    <n v="8250"/>
    <n v="720"/>
    <n v="1553.04"/>
    <n v="5940"/>
    <n v="7493.04"/>
    <n v="0.7927356586912655"/>
  </r>
  <r>
    <x v="81"/>
    <n v="1508"/>
    <n v="8907.5"/>
    <n v="744"/>
    <n v="1121.952"/>
    <n v="6627.18"/>
    <n v="7749.1320000000005"/>
    <n v="0.85521578416782673"/>
  </r>
  <r>
    <x v="82"/>
    <n v="1975"/>
    <n v="8545.5"/>
    <n v="720"/>
    <n v="1422"/>
    <n v="6152.76"/>
    <n v="7574.76"/>
    <n v="0.81227127988213488"/>
  </r>
  <r>
    <x v="83"/>
    <n v="1260"/>
    <n v="8510.5"/>
    <n v="744"/>
    <n v="937.44"/>
    <n v="6331.8119999999999"/>
    <n v="7269.2520000000004"/>
    <n v="0.87104037664397926"/>
  </r>
  <r>
    <x v="84"/>
    <n v="1275"/>
    <n v="8495.5"/>
    <n v="744"/>
    <n v="948.6"/>
    <n v="6320.652"/>
    <n v="7269.2520000000004"/>
    <n v="0.86950514303259807"/>
  </r>
  <r>
    <x v="85"/>
    <n v="1395"/>
    <n v="8375.5"/>
    <n v="672"/>
    <n v="937.44"/>
    <n v="5628.3360000000002"/>
    <n v="6565.7759999999998"/>
    <n v="0.85722327414154864"/>
  </r>
  <r>
    <x v="86"/>
    <n v="1531"/>
    <n v="8239.5"/>
    <n v="744"/>
    <n v="1139.0640000000001"/>
    <n v="6130.1880000000001"/>
    <n v="7269.2520000000004"/>
    <n v="0.84330382273169235"/>
  </r>
  <r>
    <x v="87"/>
    <n v="1037"/>
    <n v="8733.5"/>
    <n v="720"/>
    <n v="746.64"/>
    <n v="6288.12"/>
    <n v="7034.76"/>
    <n v="0.89386418299984638"/>
  </r>
  <r>
    <x v="88"/>
    <n v="1416"/>
    <n v="8354.5"/>
    <n v="744"/>
    <n v="1053.5039999999999"/>
    <n v="6215.7479999999996"/>
    <n v="7269.2519999999995"/>
    <n v="0.8550739470856149"/>
  </r>
  <r>
    <x v="89"/>
    <n v="1409"/>
    <n v="8361.5"/>
    <n v="720"/>
    <n v="1014.48"/>
    <n v="6020.28"/>
    <n v="7034.76"/>
    <n v="0.85579038943759267"/>
  </r>
  <r>
    <x v="90"/>
    <n v="1694"/>
    <n v="8816.5"/>
    <n v="744"/>
    <n v="1260.336"/>
    <n v="6559.4759999999997"/>
    <n v="7819.8119999999999"/>
    <n v="0.83882783882783885"/>
  </r>
  <r>
    <x v="91"/>
    <n v="1653"/>
    <n v="8857.5"/>
    <n v="744"/>
    <n v="1229.8320000000001"/>
    <n v="6589.98"/>
    <n v="7819.8119999999999"/>
    <n v="0.84272869987155696"/>
  </r>
  <r>
    <x v="92"/>
    <n v="998"/>
    <n v="9512.5"/>
    <n v="720"/>
    <n v="718.56"/>
    <n v="6849"/>
    <n v="7567.5599999999995"/>
    <n v="0.90504733361876222"/>
  </r>
  <r>
    <x v="93"/>
    <n v="1593"/>
    <n v="8917.5"/>
    <n v="744"/>
    <n v="1185.192"/>
    <n v="6634.62"/>
    <n v="7819.8119999999999"/>
    <n v="0.84843727700870553"/>
  </r>
  <r>
    <x v="94"/>
    <n v="1505"/>
    <n v="9005.5"/>
    <n v="720"/>
    <n v="1083.5999999999999"/>
    <n v="6483.96"/>
    <n v="7567.5599999999995"/>
    <n v="0.85680985680985688"/>
  </r>
  <r>
    <x v="95"/>
    <n v="2133"/>
    <n v="8377.5"/>
    <n v="744"/>
    <n v="1586.952"/>
    <n v="6232.86"/>
    <n v="7819.8119999999999"/>
    <n v="0.79706008277436846"/>
  </r>
  <r>
    <x v="96"/>
    <n v="2296"/>
    <n v="8109.5"/>
    <n v="744"/>
    <n v="1708.2239999999999"/>
    <n v="6033.4679999999998"/>
    <n v="7741.692"/>
    <n v="0.77934746047763204"/>
  </r>
  <r>
    <x v="97"/>
    <n v="1355"/>
    <n v="9050.5"/>
    <n v="672"/>
    <n v="910.56"/>
    <n v="6081.9359999999997"/>
    <n v="6992.4959999999992"/>
    <n v="0.86978040459372452"/>
  </r>
  <r>
    <x v="98"/>
    <n v="1570"/>
    <n v="8835.5"/>
    <n v="744"/>
    <n v="1168.08"/>
    <n v="6573.6120000000001"/>
    <n v="7741.692"/>
    <n v="0.84911825476911251"/>
  </r>
  <r>
    <x v="99"/>
    <n v="2107"/>
    <n v="8358.5"/>
    <n v="720"/>
    <n v="1517.04"/>
    <n v="6018.12"/>
    <n v="7535.16"/>
    <n v="0.79867182647747359"/>
  </r>
  <r>
    <x v="100"/>
    <n v="1313"/>
    <n v="9152.5"/>
    <n v="744"/>
    <n v="976.87199999999996"/>
    <n v="6809.46"/>
    <n v="7786.3320000000003"/>
    <n v="0.87454015574984467"/>
  </r>
  <r>
    <x v="101"/>
    <n v="1018"/>
    <n v="9447.5"/>
    <n v="720"/>
    <n v="732.96"/>
    <n v="6802.2"/>
    <n v="7535.16"/>
    <n v="0.902728011084038"/>
  </r>
  <r>
    <x v="102"/>
    <n v="1486"/>
    <n v="8979.5"/>
    <n v="744"/>
    <n v="1105.5840000000001"/>
    <n v="6680.7479999999996"/>
    <n v="7786.3319999999994"/>
    <n v="0.85800965075725"/>
  </r>
  <r>
    <x v="103"/>
    <n v="1796"/>
    <n v="8669.5"/>
    <n v="744"/>
    <n v="1336.2239999999999"/>
    <n v="6450.1080000000002"/>
    <n v="7786.3320000000003"/>
    <n v="0.82838851464335195"/>
  </r>
  <r>
    <x v="104"/>
    <n v="1688"/>
    <n v="8527.5"/>
    <n v="720"/>
    <n v="1215.3599999999999"/>
    <n v="6139.8"/>
    <n v="7355.16"/>
    <n v="0.83476090255004654"/>
  </r>
  <r>
    <x v="105"/>
    <n v="1608"/>
    <n v="8607.5"/>
    <n v="744"/>
    <n v="1196.3520000000001"/>
    <n v="6403.98"/>
    <n v="7600.3319999999994"/>
    <n v="0.84259213939601585"/>
  </r>
  <r>
    <x v="106"/>
    <n v="1544"/>
    <n v="8671.5"/>
    <n v="720"/>
    <n v="1111.68"/>
    <n v="6243.48"/>
    <n v="7355.16"/>
    <n v="0.8488571288727913"/>
  </r>
  <r>
    <x v="107"/>
    <n v="1500"/>
    <n v="8715.5"/>
    <n v="744"/>
    <n v="1116"/>
    <n v="6484.3320000000003"/>
    <n v="7600.3320000000003"/>
    <n v="0.85316430913807451"/>
  </r>
  <r>
    <x v="108"/>
    <n v="1845"/>
    <n v="8370.5"/>
    <n v="744"/>
    <n v="1372.68"/>
    <n v="6227.652"/>
    <n v="7600.3320000000003"/>
    <n v="0.81939210023983156"/>
  </r>
  <r>
    <x v="109"/>
    <n v="1329"/>
    <n v="8886.5"/>
    <n v="696"/>
    <n v="924.98400000000004"/>
    <n v="6185.0039999999999"/>
    <n v="7109.9880000000003"/>
    <n v="0.86990357789633399"/>
  </r>
  <r>
    <x v="110"/>
    <n v="2156"/>
    <n v="8059.5"/>
    <n v="744"/>
    <n v="1604.0640000000001"/>
    <n v="5996.268"/>
    <n v="7600.3320000000003"/>
    <n v="0.78894816700112569"/>
  </r>
  <r>
    <x v="111"/>
    <n v="2017"/>
    <n v="8198.5"/>
    <n v="720"/>
    <n v="1452.24"/>
    <n v="5902.92"/>
    <n v="7355.16"/>
    <n v="0.80255494102099756"/>
  </r>
  <r>
    <x v="112"/>
    <n v="1770"/>
    <n v="8445.5"/>
    <n v="744"/>
    <n v="1316.88"/>
    <n v="6283.4520000000002"/>
    <n v="7600.3320000000003"/>
    <n v="0.82673388478292786"/>
  </r>
  <r>
    <x v="113"/>
    <n v="2691"/>
    <n v="7524.5"/>
    <n v="720"/>
    <n v="1937.52"/>
    <n v="5417.64"/>
    <n v="7355.16"/>
    <n v="0.73657677059370574"/>
  </r>
  <r>
    <x v="114"/>
    <n v="2082"/>
    <n v="8133.5"/>
    <n v="744"/>
    <n v="1549.008"/>
    <n v="6051.3239999999996"/>
    <n v="7600.3319999999994"/>
    <n v="0.79619206108364737"/>
  </r>
  <r>
    <x v="115"/>
    <n v="1592"/>
    <n v="9485.5"/>
    <n v="744"/>
    <n v="1184.4480000000001"/>
    <n v="7057.2120000000004"/>
    <n v="8241.66"/>
    <n v="0.85628526292033413"/>
  </r>
  <r>
    <x v="116"/>
    <n v="1256"/>
    <n v="9821.5"/>
    <n v="720"/>
    <n v="904.32"/>
    <n v="7071.48"/>
    <n v="7975.7999999999993"/>
    <n v="0.88661701647483637"/>
  </r>
  <r>
    <x v="117"/>
    <n v="1235"/>
    <n v="9242.5"/>
    <n v="744"/>
    <n v="918.84"/>
    <n v="6876.42"/>
    <n v="7795.26"/>
    <n v="0.8821283703173467"/>
  </r>
  <r>
    <x v="118"/>
    <n v="1414"/>
    <n v="9063.5"/>
    <n v="720"/>
    <n v="1018.08"/>
    <n v="6525.72"/>
    <n v="7543.8"/>
    <n v="0.86504414220949655"/>
  </r>
  <r>
    <x v="119"/>
    <n v="1763"/>
    <n v="8714.5"/>
    <n v="744"/>
    <n v="1311.672"/>
    <n v="6483.5879999999997"/>
    <n v="7795.26"/>
    <n v="0.83173466952994501"/>
  </r>
  <r>
    <x v="120"/>
    <n v="1533"/>
    <n v="8944.5"/>
    <n v="744"/>
    <n v="1140.5519999999999"/>
    <n v="6654.7079999999996"/>
    <n v="7795.2599999999993"/>
    <n v="0.85368647100930573"/>
  </r>
  <r>
    <x v="121"/>
    <n v="1781"/>
    <n v="8696.5"/>
    <n v="672"/>
    <n v="1196.8320000000001"/>
    <n v="5844.0479999999998"/>
    <n v="7040.88"/>
    <n v="0.83001670245764725"/>
  </r>
  <r>
    <x v="122"/>
    <n v="1826"/>
    <n v="9061.5"/>
    <n v="744"/>
    <n v="1358.5440000000001"/>
    <n v="6741.7560000000003"/>
    <n v="8100.3"/>
    <n v="0.83228473019517801"/>
  </r>
  <r>
    <x v="123"/>
    <n v="1480"/>
    <n v="9627.5"/>
    <n v="720"/>
    <n v="1065.5999999999999"/>
    <n v="6931.8"/>
    <n v="7997.4"/>
    <n v="0.8667566959261761"/>
  </r>
  <r>
    <x v="124"/>
    <n v="1507"/>
    <n v="9600.5"/>
    <n v="744"/>
    <n v="1121.2080000000001"/>
    <n v="7142.7719999999999"/>
    <n v="8263.98"/>
    <n v="0.86432590591942382"/>
  </r>
  <r>
    <x v="125"/>
    <n v="1563"/>
    <n v="9544.5"/>
    <n v="720"/>
    <n v="1125.3599999999999"/>
    <n v="6872.04"/>
    <n v="7997.4"/>
    <n v="0.85928426738690078"/>
  </r>
  <r>
    <x v="126"/>
    <n v="1483"/>
    <n v="10135.5"/>
    <n v="744"/>
    <n v="1103.3520000000001"/>
    <n v="7540.8119999999999"/>
    <n v="8644.1640000000007"/>
    <n v="0.87235873821921928"/>
  </r>
  <r>
    <x v="127"/>
    <n v="1160"/>
    <n v="10458.5"/>
    <n v="744"/>
    <n v="863.04"/>
    <n v="7781.1239999999998"/>
    <n v="8644.1640000000007"/>
    <n v="0.9001592288161121"/>
  </r>
  <r>
    <x v="128"/>
    <n v="1243"/>
    <n v="10375.5"/>
    <n v="720"/>
    <n v="894.96"/>
    <n v="7470.36"/>
    <n v="8365.32"/>
    <n v="0.89301544949864442"/>
  </r>
  <r>
    <x v="129"/>
    <n v="1243"/>
    <n v="10375.5"/>
    <n v="744"/>
    <n v="924.79200000000003"/>
    <n v="7719.3720000000003"/>
    <n v="8644.1640000000007"/>
    <n v="0.89301544949864442"/>
  </r>
  <r>
    <x v="130"/>
    <n v="1507"/>
    <n v="10111.5"/>
    <n v="720"/>
    <n v="1085.04"/>
    <n v="7280.28"/>
    <n v="8365.32"/>
    <n v="0.87029306709127685"/>
  </r>
  <r>
    <x v="131"/>
    <n v="1671"/>
    <n v="9947.5"/>
    <n v="744"/>
    <n v="1243.2239999999999"/>
    <n v="7400.94"/>
    <n v="8644.1639999999989"/>
    <n v="0.85617764771700311"/>
  </r>
  <r>
    <x v="132"/>
    <n v="1474"/>
    <n v="10544.5"/>
    <n v="744"/>
    <n v="1096.6559999999999"/>
    <n v="7845.1080000000002"/>
    <n v="8941.7639999999992"/>
    <n v="0.87735574322918841"/>
  </r>
  <r>
    <x v="133"/>
    <n v="1093"/>
    <n v="11325.5"/>
    <n v="672"/>
    <n v="734.49599999999998"/>
    <n v="7610.7359999999999"/>
    <n v="8345.232"/>
    <n v="0.91198614969601799"/>
  </r>
  <r>
    <x v="134"/>
    <n v="1376"/>
    <n v="11042.5"/>
    <n v="744"/>
    <n v="1023.744"/>
    <n v="8215.6200000000008"/>
    <n v="9239.3640000000014"/>
    <n v="0.88919756814430084"/>
  </r>
  <r>
    <x v="135"/>
    <n v="1782"/>
    <n v="11042.4"/>
    <n v="720"/>
    <n v="1283.04"/>
    <n v="7950.5280000000002"/>
    <n v="9233.5679999999993"/>
    <n v="0.86104613081313752"/>
  </r>
  <r>
    <x v="136"/>
    <n v="1455"/>
    <n v="11406.2"/>
    <n v="744"/>
    <n v="1082.52"/>
    <n v="8486.2128000000012"/>
    <n v="9568.7328000000016"/>
    <n v="0.88686903243865267"/>
  </r>
  <r>
    <x v="137"/>
    <n v="1472"/>
    <n v="11284.2"/>
    <n v="720"/>
    <n v="1059.8399999999999"/>
    <n v="8124.6240000000007"/>
    <n v="9184.4639999999999"/>
    <n v="0.88460513319013512"/>
  </r>
  <r>
    <x v="138"/>
    <n v="1670"/>
    <n v="11086.2"/>
    <n v="744"/>
    <n v="1242.48"/>
    <n v="8248.1328000000012"/>
    <n v="9490.6128000000008"/>
    <n v="0.86908326931217772"/>
  </r>
  <r>
    <x v="139"/>
    <n v="1782"/>
    <n v="10974.2"/>
    <n v="744"/>
    <n v="1325.808"/>
    <n v="8164.8048000000008"/>
    <n v="9490.6128000000008"/>
    <n v="0.86030322509838353"/>
  </r>
  <r>
    <x v="140"/>
    <n v="1781"/>
    <n v="10975.2"/>
    <n v="720"/>
    <n v="1282.32"/>
    <n v="7902.1440000000011"/>
    <n v="9184.4640000000018"/>
    <n v="0.86038161835029237"/>
  </r>
  <r>
    <x v="141"/>
    <n v="1747"/>
    <n v="11413.000000000002"/>
    <n v="744"/>
    <n v="1299.768"/>
    <n v="8491.2720000000027"/>
    <n v="9791.0400000000027"/>
    <n v="0.86724924012158056"/>
  </r>
  <r>
    <x v="142"/>
    <n v="1730"/>
    <n v="11430"/>
    <n v="720"/>
    <n v="1245.5999999999999"/>
    <n v="8229.6"/>
    <n v="9475.2000000000007"/>
    <n v="0.86854103343465039"/>
  </r>
  <r>
    <x v="143"/>
    <n v="1169"/>
    <n v="11991.000000000002"/>
    <n v="744"/>
    <n v="869.73599999999999"/>
    <n v="8921.3040000000019"/>
    <n v="9791.0400000000027"/>
    <n v="0.91117021276595744"/>
  </r>
  <r>
    <x v="144"/>
    <n v="1624"/>
    <n v="11536.000000000002"/>
    <n v="744"/>
    <n v="1208.2560000000001"/>
    <n v="8582.7840000000015"/>
    <n v="9791.0400000000009"/>
    <n v="0.87659574468085111"/>
  </r>
  <r>
    <x v="145"/>
    <n v="1633"/>
    <n v="11527.000000000002"/>
    <n v="672"/>
    <n v="1097.376"/>
    <n v="7746.1440000000011"/>
    <n v="8843.52"/>
    <n v="0.8759118541033436"/>
  </r>
  <r>
    <x v="146"/>
    <n v="1597"/>
    <n v="11563.000000000002"/>
    <n v="744"/>
    <n v="1188.1679999999999"/>
    <n v="8602.8720000000012"/>
    <n v="9791.0400000000009"/>
    <n v="0.87864741641337396"/>
  </r>
  <r>
    <x v="147"/>
    <n v="1316"/>
    <n v="11844.000000000002"/>
    <n v="720"/>
    <n v="947.52"/>
    <n v="8527.6800000000021"/>
    <n v="9475.2000000000025"/>
    <n v="0.9"/>
  </r>
  <r>
    <x v="148"/>
    <n v="1769"/>
    <n v="11391"/>
    <n v="744"/>
    <n v="1316.136"/>
    <n v="8474.9040000000005"/>
    <n v="9791.0400000000009"/>
    <n v="0.86557750759878416"/>
  </r>
  <r>
    <x v="149"/>
    <n v="1385"/>
    <n v="11775"/>
    <n v="720"/>
    <n v="997.2"/>
    <n v="8478"/>
    <n v="9475.2000000000007"/>
    <n v="0.89475683890577495"/>
  </r>
  <r>
    <x v="150"/>
    <n v="1796"/>
    <n v="11431.8"/>
    <n v="744"/>
    <n v="1336.2239999999999"/>
    <n v="8505.2591999999986"/>
    <n v="9841.4831999999988"/>
    <n v="0.86422534359455083"/>
  </r>
  <r>
    <x v="151"/>
    <n v="1669"/>
    <n v="11558.8"/>
    <n v="744"/>
    <n v="1241.7360000000001"/>
    <n v="8599.7471999999998"/>
    <n v="9841.4832000000006"/>
    <n v="0.87382633544504751"/>
  </r>
  <r>
    <x v="152"/>
    <n v="1488"/>
    <n v="11739.8"/>
    <n v="720"/>
    <n v="1071.3599999999999"/>
    <n v="8452.6560000000009"/>
    <n v="9524.0160000000014"/>
    <n v="0.88750963879103095"/>
  </r>
  <r>
    <x v="153"/>
    <n v="1422"/>
    <n v="11805.8"/>
    <n v="744"/>
    <n v="1057.9680000000001"/>
    <n v="8783.5151999999998"/>
    <n v="9841.4832000000006"/>
    <n v="0.89249913061884811"/>
  </r>
  <r>
    <x v="154"/>
    <n v="1709"/>
    <n v="11518.8"/>
    <n v="720"/>
    <n v="1230.48"/>
    <n v="8293.5359999999982"/>
    <n v="9524.0159999999978"/>
    <n v="0.87080240100394624"/>
  </r>
  <r>
    <x v="155"/>
    <n v="1644"/>
    <n v="11595.2"/>
    <n v="744"/>
    <n v="1223.136"/>
    <n v="8626.8288000000011"/>
    <n v="9849.9648000000016"/>
    <n v="0.87582331258686319"/>
  </r>
  <r>
    <x v="156"/>
    <n v="2271"/>
    <n v="10968.4"/>
    <n v="744"/>
    <n v="1689.624"/>
    <n v="8160.4895999999999"/>
    <n v="9850.1136000000006"/>
    <n v="0.82846654682236354"/>
  </r>
  <r>
    <x v="157"/>
    <n v="1437"/>
    <n v="11802.2"/>
    <n v="696"/>
    <n v="1000.152"/>
    <n v="8214.3312000000005"/>
    <n v="9214.4832000000006"/>
    <n v="0.89145869841078007"/>
  </r>
  <r>
    <x v="158"/>
    <n v="1200"/>
    <n v="12434.9"/>
    <n v="744"/>
    <n v="892.8"/>
    <n v="9251.5655999999999"/>
    <n v="10144.365599999999"/>
    <n v="0.91199055365275883"/>
  </r>
  <r>
    <x v="159"/>
    <n v="1781"/>
    <n v="11853.9"/>
    <n v="720"/>
    <n v="1282.32"/>
    <n v="8534.8080000000009"/>
    <n v="9817.1280000000006"/>
    <n v="0.86937931337963614"/>
  </r>
  <r>
    <x v="160"/>
    <n v="1876"/>
    <n v="11758.9"/>
    <n v="744"/>
    <n v="1395.7439999999999"/>
    <n v="8748.6216000000004"/>
    <n v="10144.365600000001"/>
    <n v="0.86241189887714609"/>
  </r>
  <r>
    <x v="161"/>
    <n v="1328"/>
    <n v="12306.9"/>
    <n v="720"/>
    <n v="956.16"/>
    <n v="8860.9680000000008"/>
    <n v="9817.1280000000006"/>
    <n v="0.9026028793757197"/>
  </r>
  <r>
    <x v="162"/>
    <n v="1603"/>
    <n v="12031.9"/>
    <n v="744"/>
    <n v="1192.6320000000001"/>
    <n v="8951.7335999999996"/>
    <n v="10144.365599999999"/>
    <n v="0.88243404792114355"/>
  </r>
  <r>
    <x v="163"/>
    <n v="2170"/>
    <n v="11464.9"/>
    <n v="744"/>
    <n v="1614.48"/>
    <n v="8529.8855999999996"/>
    <n v="10144.365599999999"/>
    <n v="0.84084958452207204"/>
  </r>
  <r>
    <x v="164"/>
    <n v="2328"/>
    <n v="11306.9"/>
    <n v="720"/>
    <n v="1676.16"/>
    <n v="8140.9679999999998"/>
    <n v="9817.1280000000006"/>
    <n v="0.82926167408635187"/>
  </r>
  <r>
    <x v="165"/>
    <n v="2024"/>
    <n v="11610.9"/>
    <n v="744"/>
    <n v="1505.856"/>
    <n v="8638.5095999999994"/>
    <n v="10144.365599999999"/>
    <n v="0.85155740049431972"/>
  </r>
  <r>
    <x v="166"/>
    <n v="1631"/>
    <n v="12003.9"/>
    <n v="720"/>
    <n v="1174.32"/>
    <n v="8642.8080000000009"/>
    <n v="9817.1280000000006"/>
    <n v="0.88038049417304132"/>
  </r>
  <r>
    <x v="167"/>
    <n v="2145"/>
    <n v="11489.9"/>
    <n v="744"/>
    <n v="1595.88"/>
    <n v="8548.4856"/>
    <n v="10144.365600000001"/>
    <n v="0.84268311465430612"/>
  </r>
  <r>
    <x v="168"/>
    <n v="1743"/>
    <n v="11891.9"/>
    <n v="744"/>
    <n v="1296.7919999999999"/>
    <n v="8847.5735999999997"/>
    <n v="10144.365599999999"/>
    <n v="0.87216627918063205"/>
  </r>
  <r>
    <x v="169"/>
    <n v="2142"/>
    <n v="11492.9"/>
    <n v="672"/>
    <n v="1439.424"/>
    <n v="7723.2287999999999"/>
    <n v="9162.6527999999998"/>
    <n v="0.84290313827017438"/>
  </r>
  <r>
    <x v="170"/>
    <n v="1919"/>
    <n v="11715.9"/>
    <n v="744"/>
    <n v="1427.7360000000001"/>
    <n v="8716.6296000000002"/>
    <n v="10144.365600000001"/>
    <n v="0.85925822704970323"/>
  </r>
  <r>
    <x v="171"/>
    <n v="1723"/>
    <n v="11911.9"/>
    <n v="720"/>
    <n v="1240.56"/>
    <n v="8576.5679999999993"/>
    <n v="9817.1279999999988"/>
    <n v="0.87363310328641941"/>
  </r>
  <r>
    <x v="172"/>
    <n v="1480"/>
    <n v="12154.9"/>
    <n v="744"/>
    <n v="1101.1199999999999"/>
    <n v="9043.2456000000002"/>
    <n v="10144.365600000001"/>
    <n v="0.89145501617173573"/>
  </r>
  <r>
    <x v="173"/>
    <n v="2639"/>
    <n v="10995.9"/>
    <n v="720"/>
    <n v="1900.08"/>
    <n v="7917.0479999999998"/>
    <n v="9817.1280000000006"/>
    <n v="0.8064525592413585"/>
  </r>
  <r>
    <x v="174"/>
    <n v="3395"/>
    <n v="10316.799999999999"/>
    <n v="744"/>
    <n v="2525.88"/>
    <n v="7675.6991999999991"/>
    <n v="10201.5792"/>
    <n v="0.75240303971761535"/>
  </r>
  <r>
    <x v="175"/>
    <n v="2003"/>
    <n v="11749.2"/>
    <n v="744"/>
    <n v="1490.232"/>
    <n v="8741.4048000000003"/>
    <n v="10231.6368"/>
    <n v="0.85435057663501113"/>
  </r>
  <r>
    <x v="176"/>
    <n v="2028"/>
    <n v="11724.2"/>
    <n v="720"/>
    <n v="1460.16"/>
    <n v="8441.4240000000009"/>
    <n v="9901.5840000000007"/>
    <n v="0.85253268567938223"/>
  </r>
  <r>
    <x v="177"/>
    <n v="1973"/>
    <n v="11819.6"/>
    <n v="744"/>
    <n v="1467.912"/>
    <n v="8793.7824000000001"/>
    <n v="10261.6944"/>
    <n v="0.8569522787581747"/>
  </r>
  <r>
    <x v="178"/>
    <n v="2068"/>
    <n v="11724.6"/>
    <n v="720"/>
    <n v="1488.96"/>
    <n v="8441.7119999999995"/>
    <n v="9930.6719999999987"/>
    <n v="0.85006452735524851"/>
  </r>
  <r>
    <x v="179"/>
    <n v="1520"/>
    <n v="12272.6"/>
    <n v="744"/>
    <n v="1130.8800000000001"/>
    <n v="9130.8144000000011"/>
    <n v="10261.6944"/>
    <n v="0.88979597755318074"/>
  </r>
  <r>
    <x v="180"/>
    <n v="1543"/>
    <n v="12249.6"/>
    <n v="744"/>
    <n v="1147.992"/>
    <n v="9113.7024000000001"/>
    <n v="10261.6944"/>
    <n v="0.8881284166872091"/>
  </r>
  <r>
    <x v="181"/>
    <n v="2307"/>
    <n v="11485.6"/>
    <n v="672"/>
    <n v="1550.3040000000001"/>
    <n v="7718.3231999999998"/>
    <n v="9268.627199999999"/>
    <n v="0.83273639487841311"/>
  </r>
  <r>
    <x v="182"/>
    <n v="2650"/>
    <n v="11142.6"/>
    <n v="744"/>
    <n v="1971.6"/>
    <n v="8290.0944"/>
    <n v="10261.6944"/>
    <n v="0.80786798718153208"/>
  </r>
  <r>
    <x v="183"/>
    <n v="1529"/>
    <n v="12263.6"/>
    <n v="720"/>
    <n v="1100.8800000000001"/>
    <n v="8829.7919999999995"/>
    <n v="9930.6719999999987"/>
    <n v="0.88914345373606141"/>
  </r>
  <r>
    <x v="184"/>
    <n v="2096"/>
    <n v="11696.6"/>
    <n v="744"/>
    <n v="1559.424"/>
    <n v="8702.2704000000012"/>
    <n v="10261.6944"/>
    <n v="0.84803445325754401"/>
  </r>
  <r>
    <x v="185"/>
    <n v="1796"/>
    <n v="11996.6"/>
    <n v="720"/>
    <n v="1293.1199999999999"/>
    <n v="8637.5519999999997"/>
    <n v="9930.6719999999987"/>
    <n v="0.8697852471615215"/>
  </r>
  <r>
    <x v="186"/>
    <n v="1338"/>
    <n v="12454.6"/>
    <n v="744"/>
    <n v="995.47199999999998"/>
    <n v="9266.2224000000006"/>
    <n v="10261.6944"/>
    <n v="0.9029914591882604"/>
  </r>
  <r>
    <x v="187"/>
    <n v="1503"/>
    <n v="12289.6"/>
    <n v="744"/>
    <n v="1118.232"/>
    <n v="9143.4624000000003"/>
    <n v="10261.6944"/>
    <n v="0.89102852254107279"/>
  </r>
  <r>
    <x v="188"/>
    <n v="2129"/>
    <n v="11663.6"/>
    <n v="720"/>
    <n v="1532.88"/>
    <n v="8397.7919999999995"/>
    <n v="9930.6719999999987"/>
    <n v="0.84564186592810642"/>
  </r>
  <r>
    <x v="189"/>
    <n v="2209"/>
    <n v="11583.6"/>
    <n v="744"/>
    <n v="1643.4960000000001"/>
    <n v="8618.1984000000011"/>
    <n v="10261.6944"/>
    <n v="0.83984165422037915"/>
  </r>
  <r>
    <x v="190"/>
    <n v="1339"/>
    <n v="12453.6"/>
    <n v="720"/>
    <n v="964.08"/>
    <n v="8966.5920000000006"/>
    <n v="9930.6720000000005"/>
    <n v="0.90291895654191379"/>
  </r>
  <r>
    <x v="191"/>
    <n v="1855"/>
    <n v="11937.61"/>
    <n v="744"/>
    <n v="1380.12"/>
    <n v="8881.5818400000007"/>
    <n v="10261.701840000002"/>
    <n v="0.86550768853755733"/>
  </r>
  <r>
    <x v="192"/>
    <n v="2328"/>
    <n v="11464.6"/>
    <n v="744"/>
    <n v="1732.0319999999999"/>
    <n v="8529.6624000000011"/>
    <n v="10261.6944"/>
    <n v="0.83121383930513471"/>
  </r>
  <r>
    <x v="193"/>
    <n v="1522"/>
    <n v="12270.6"/>
    <n v="672"/>
    <n v="1022.784"/>
    <n v="8245.8431999999993"/>
    <n v="9268.627199999999"/>
    <n v="0.8896509722604875"/>
  </r>
  <r>
    <x v="194"/>
    <n v="2763"/>
    <n v="11029.6"/>
    <n v="744"/>
    <n v="2055.672"/>
    <n v="8206.0223999999998"/>
    <n v="10261.6944"/>
    <n v="0.79967518814436722"/>
  </r>
  <r>
    <x v="195"/>
    <n v="1980"/>
    <n v="11812.6"/>
    <n v="720"/>
    <n v="1425.6"/>
    <n v="8505.0720000000001"/>
    <n v="9930.6720000000005"/>
    <n v="0.85644476023374849"/>
  </r>
  <r>
    <x v="196"/>
    <n v="1980"/>
    <n v="11812.6"/>
    <n v="744"/>
    <n v="1473.12"/>
    <n v="8788.5743999999995"/>
    <n v="10261.6944"/>
    <n v="0.85644476023374849"/>
  </r>
  <r>
    <x v="197"/>
    <n v="2349"/>
    <n v="11443.6"/>
    <n v="720"/>
    <n v="1691.28"/>
    <n v="8239.3919999999998"/>
    <n v="9930.6720000000005"/>
    <n v="0.82969128373185619"/>
  </r>
  <r>
    <x v="198"/>
    <n v="2584"/>
    <n v="11208.6"/>
    <n v="744"/>
    <n v="1922.4960000000001"/>
    <n v="8339.1984000000011"/>
    <n v="10261.6944"/>
    <n v="0.81265316184040726"/>
  </r>
  <r>
    <x v="199"/>
    <n v="3139"/>
    <n v="10153.6"/>
    <n v="744"/>
    <n v="2335.4160000000002"/>
    <n v="7554.2784000000001"/>
    <n v="9889.6944000000003"/>
    <n v="0.76385357266449005"/>
  </r>
  <r>
    <x v="200"/>
    <n v="1911"/>
    <n v="10631.6"/>
    <n v="720"/>
    <n v="1375.92"/>
    <n v="7654.7520000000004"/>
    <n v="9030.6720000000005"/>
    <n v="0.84763924545150127"/>
  </r>
  <r>
    <x v="201"/>
    <n v="1737"/>
    <n v="10805.6"/>
    <n v="744"/>
    <n v="1292.328"/>
    <n v="8039.3664000000008"/>
    <n v="9331.6944000000003"/>
    <n v="0.86151196721572887"/>
  </r>
  <r>
    <x v="202"/>
    <n v="1650"/>
    <n v="10892.6"/>
    <n v="720"/>
    <n v="1188"/>
    <n v="7842.6719999999996"/>
    <n v="9030.6719999999987"/>
    <n v="0.86844832809784267"/>
  </r>
  <r>
    <x v="203"/>
    <n v="2006"/>
    <n v="10536.6"/>
    <n v="744"/>
    <n v="1492.4639999999999"/>
    <n v="7839.2304000000004"/>
    <n v="9331.6944000000003"/>
    <n v="0.84006505828137712"/>
  </r>
  <r>
    <x v="204"/>
    <n v="2371"/>
    <n v="10171.6"/>
    <n v="744"/>
    <n v="1764.0239999999999"/>
    <n v="7567.6704"/>
    <n v="9331.6944000000003"/>
    <n v="0.81096423389089978"/>
  </r>
  <r>
    <x v="205"/>
    <n v="2336"/>
    <n v="10206.6"/>
    <n v="696"/>
    <n v="1625.856"/>
    <n v="7103.7936000000009"/>
    <n v="8729.6496000000006"/>
    <n v="0.81375472390094561"/>
  </r>
  <r>
    <x v="206"/>
    <n v="2194"/>
    <n v="10348.6"/>
    <n v="744"/>
    <n v="1632.336"/>
    <n v="7699.3584000000001"/>
    <n v="9331.6944000000003"/>
    <n v="0.82507614051313127"/>
  </r>
  <r>
    <x v="207"/>
    <n v="1797"/>
    <n v="10745.6"/>
    <n v="720"/>
    <n v="1293.8399999999999"/>
    <n v="7736.8320000000003"/>
    <n v="9030.6720000000005"/>
    <n v="0.85672827005565033"/>
  </r>
  <r>
    <x v="208"/>
    <n v="1358"/>
    <n v="11184.6"/>
    <n v="744"/>
    <n v="1010.352"/>
    <n v="8321.3423999999995"/>
    <n v="9331.6944000000003"/>
    <n v="0.89172898761022423"/>
  </r>
  <r>
    <x v="209"/>
    <n v="1635"/>
    <n v="10592.8"/>
    <n v="720"/>
    <n v="1177.2"/>
    <n v="7626.8159999999989"/>
    <n v="8804.0159999999996"/>
    <n v="0.86628829388769846"/>
  </r>
  <r>
    <x v="210"/>
    <n v="1243"/>
    <n v="10984.8"/>
    <n v="744"/>
    <n v="924.79200000000003"/>
    <n v="8172.6911999999993"/>
    <n v="9097.4831999999988"/>
    <n v="0.89834639101064795"/>
  </r>
  <r>
    <x v="211"/>
    <n v="1347"/>
    <n v="10880.8"/>
    <n v="744"/>
    <n v="1002.168"/>
    <n v="8095.3151999999991"/>
    <n v="9097.4831999999988"/>
    <n v="0.88984118156986536"/>
  </r>
  <r>
    <x v="212"/>
    <n v="1337"/>
    <n v="10890.8"/>
    <n v="720"/>
    <n v="962.64"/>
    <n v="7841.3759999999993"/>
    <n v="8804.0159999999996"/>
    <n v="0.89065899016994055"/>
  </r>
  <r>
    <x v="213"/>
    <n v="1574"/>
    <n v="10653.8"/>
    <n v="744"/>
    <n v="1171.056"/>
    <n v="7926.4271999999992"/>
    <n v="9097.4831999999988"/>
    <n v="0.87127692634815745"/>
  </r>
  <r>
    <x v="214"/>
    <n v="2020"/>
    <n v="10207.799999999999"/>
    <n v="720"/>
    <n v="1454.4"/>
    <n v="7349.6159999999991"/>
    <n v="8804.0159999999996"/>
    <n v="0.83480266278480175"/>
  </r>
  <r>
    <x v="215"/>
    <n v="1807"/>
    <n v="10420.762000000001"/>
    <n v="744"/>
    <n v="1344.4079999999999"/>
    <n v="7753.0469280000007"/>
    <n v="9097.454928000001"/>
    <n v="0.8522215267192802"/>
  </r>
  <r>
    <x v="216"/>
    <n v="2089"/>
    <n v="10138.762000000001"/>
    <n v="744"/>
    <n v="1554.2159999999999"/>
    <n v="7543.2389280000007"/>
    <n v="9097.454928000001"/>
    <n v="0.82915925252715905"/>
  </r>
  <r>
    <x v="217"/>
    <n v="1751"/>
    <n v="10533.842000000001"/>
    <n v="672"/>
    <n v="1176.672"/>
    <n v="7078.7418239999997"/>
    <n v="8255.4138239999993"/>
    <n v="0.85746662431637299"/>
  </r>
  <r>
    <x v="218"/>
    <n v="2045"/>
    <n v="10239.842000000001"/>
    <n v="744"/>
    <n v="1521.48"/>
    <n v="7618.4424480000007"/>
    <n v="9139.9224480000012"/>
    <n v="0.83353469259108093"/>
  </r>
  <r>
    <x v="219"/>
    <n v="1969"/>
    <n v="10315.842000000001"/>
    <n v="720"/>
    <n v="1417.68"/>
    <n v="7427.4062400000003"/>
    <n v="8845.0862400000005"/>
    <n v="0.83972117834319726"/>
  </r>
  <r>
    <x v="220"/>
    <n v="1781"/>
    <n v="10503.842000000001"/>
    <n v="744"/>
    <n v="1325.0640000000001"/>
    <n v="7814.8584480000009"/>
    <n v="9139.9224480000012"/>
    <n v="0.85502459046685342"/>
  </r>
  <r>
    <x v="221"/>
    <n v="1732"/>
    <n v="10552.842000000001"/>
    <n v="720"/>
    <n v="1247.04"/>
    <n v="7598.0462400000006"/>
    <n v="8845.0862400000005"/>
    <n v="0.85901324575440208"/>
  </r>
  <r>
    <x v="222"/>
    <n v="1668"/>
    <n v="10616.842000000001"/>
    <n v="744"/>
    <n v="1240.992"/>
    <n v="7898.930448000001"/>
    <n v="9139.9224480000012"/>
    <n v="0.86422291796671047"/>
  </r>
  <r>
    <x v="223"/>
    <n v="1537"/>
    <n v="10747.842000000001"/>
    <n v="744"/>
    <n v="1143.528"/>
    <n v="7996.3944480000009"/>
    <n v="9139.9224480000012"/>
    <n v="0.87488646577627938"/>
  </r>
  <r>
    <x v="224"/>
    <n v="1365"/>
    <n v="10919.842000000001"/>
    <n v="720"/>
    <n v="982.8"/>
    <n v="7862.2862400000004"/>
    <n v="8845.0862400000005"/>
    <n v="0.8888874598468584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878C8D-376F-4AA7-BDC2-E8395BCAF5BF}" name="PivotTable3" cacheId="0" applyNumberFormats="0" applyBorderFormats="0" applyFontFormats="0" applyPatternFormats="0" applyAlignmentFormats="0" applyWidthHeightFormats="1" dataCaption="Data" updatedVersion="7" showMemberPropertyTips="0" useAutoFormatting="1" itemPrintTitles="1" createdVersion="1" indent="0" compact="0" compactData="0" gridDropZones="1" chartFormat="6">
  <location ref="I1:M22" firstHeaderRow="1" firstDataRow="2" firstDataCol="1"/>
  <pivotFields count="11">
    <pivotField compact="0" numFmtId="17" outline="0" showAll="0" includeNewItemsInFilter="1">
      <items count="15">
        <item x="0"/>
        <item x="1"/>
        <item x="2"/>
        <item x="3"/>
        <item x="4"/>
        <item x="5"/>
        <item x="6"/>
        <item x="7"/>
        <item x="8"/>
        <item x="9"/>
        <item x="10"/>
        <item x="11"/>
        <item x="12"/>
        <item x="13"/>
        <item t="default"/>
      </items>
    </pivotField>
    <pivotField compact="0" outline="0" showAll="0" includeNewItemsInFilter="1"/>
    <pivotField compact="0" outline="0" showAll="0" includeNewItemsInFilter="1"/>
    <pivotField compact="0" numFmtId="1" outline="0" showAll="0" includeNewItemsInFilter="1"/>
    <pivotField dataField="1" compact="0" numFmtId="1" outline="0" showAll="0" includeNewItemsInFilter="1"/>
    <pivotField dataField="1" compact="0" numFmtId="1" outline="0" showAll="0" includeNewItemsInFilter="1"/>
    <pivotField dataField="1" compact="0" numFmtId="1" outline="0" showAll="0" includeNewItemsInFilter="1"/>
    <pivotField compact="0" numFmtId="10" outline="0" showAll="0" includeNewItemsInFilter="1"/>
    <pivotField compact="0" outline="0" showAll="0" includeNewItemsInFilter="1">
      <items count="7">
        <item sd="0" x="0"/>
        <item sd="0" x="1"/>
        <item sd="0" x="2"/>
        <item sd="0" x="3"/>
        <item sd="0" x="4"/>
        <item sd="0" x="5"/>
        <item t="default"/>
      </items>
    </pivotField>
    <pivotField axis="axisRow" compact="0" outline="0" showAll="0" includeNewItemsInFilter="1">
      <items count="22">
        <item sd="0" x="0"/>
        <item sd="0" x="1"/>
        <item sd="0" x="2"/>
        <item sd="0" x="3"/>
        <item sd="0" x="4"/>
        <item sd="0" x="5"/>
        <item sd="0" x="6"/>
        <item sd="0" x="7"/>
        <item sd="0" x="8"/>
        <item sd="0" x="9"/>
        <item sd="0" x="10"/>
        <item sd="0" x="11"/>
        <item sd="0" x="12"/>
        <item sd="0" x="13"/>
        <item sd="0" x="14"/>
        <item sd="0" x="15"/>
        <item sd="0" x="16"/>
        <item sd="0" x="17"/>
        <item sd="0" x="18"/>
        <item sd="0" x="19"/>
        <item sd="0" x="20"/>
        <item t="default"/>
      </items>
    </pivotField>
    <pivotField dataField="1" compact="0" outline="0" dragToRow="0" dragToCol="0" dragToPage="0" showAll="0" includeNewItemsInFilter="1" defaultSubtotal="0"/>
  </pivotFields>
  <rowFields count="1">
    <field x="9"/>
  </rowFields>
  <rowItems count="20">
    <i>
      <x v="1"/>
    </i>
    <i>
      <x v="2"/>
    </i>
    <i>
      <x v="3"/>
    </i>
    <i>
      <x v="4"/>
    </i>
    <i>
      <x v="5"/>
    </i>
    <i>
      <x v="6"/>
    </i>
    <i>
      <x v="7"/>
    </i>
    <i>
      <x v="8"/>
    </i>
    <i>
      <x v="9"/>
    </i>
    <i>
      <x v="10"/>
    </i>
    <i>
      <x v="11"/>
    </i>
    <i>
      <x v="12"/>
    </i>
    <i>
      <x v="13"/>
    </i>
    <i>
      <x v="14"/>
    </i>
    <i>
      <x v="15"/>
    </i>
    <i>
      <x v="16"/>
    </i>
    <i>
      <x v="17"/>
    </i>
    <i>
      <x v="18"/>
    </i>
    <i>
      <x v="19"/>
    </i>
    <i t="grand">
      <x/>
    </i>
  </rowItems>
  <colFields count="1">
    <field x="-2"/>
  </colFields>
  <colItems count="4">
    <i>
      <x/>
    </i>
    <i i="1">
      <x v="1"/>
    </i>
    <i i="2">
      <x v="2"/>
    </i>
    <i i="3">
      <x v="3"/>
    </i>
  </colItems>
  <dataFields count="4">
    <dataField name="Outage Cap. (GwH)" fld="4" baseField="9" baseItem="1"/>
    <dataField name="Remaining Cap. (GwH)" fld="5" baseField="9" baseItem="1"/>
    <dataField name="Total Capacity (GwH)" fld="6" baseField="9" baseItem="1"/>
    <dataField name="Availability (%)" fld="10" baseField="9" baseItem="1" numFmtId="1"/>
  </dataFields>
  <formats count="15">
    <format dxfId="14">
      <pivotArea outline="0" fieldPosition="0"/>
    </format>
    <format dxfId="13">
      <pivotArea dataOnly="0" labelOnly="1" outline="0" fieldPosition="0">
        <references count="1">
          <reference field="4294967294" count="2">
            <x v="0"/>
            <x v="1"/>
          </reference>
        </references>
      </pivotArea>
    </format>
    <format dxfId="12">
      <pivotArea outline="0" fieldPosition="0"/>
    </format>
    <format dxfId="11">
      <pivotArea dataOnly="0" labelOnly="1" outline="0" fieldPosition="0">
        <references count="1">
          <reference field="4294967294" count="2">
            <x v="0"/>
            <x v="1"/>
          </reference>
        </references>
      </pivotArea>
    </format>
    <format dxfId="10">
      <pivotArea outline="0" fieldPosition="0">
        <references count="2">
          <reference field="4294967294" count="1" selected="0">
            <x v="3"/>
          </reference>
          <reference field="9" count="19" selected="0">
            <x v="1"/>
            <x v="2"/>
            <x v="3"/>
            <x v="4"/>
            <x v="5"/>
            <x v="6"/>
            <x v="7"/>
            <x v="8"/>
            <x v="9"/>
            <x v="10"/>
            <x v="11"/>
            <x v="12"/>
            <x v="13"/>
            <x v="14"/>
            <x v="15"/>
            <x v="16"/>
            <x v="17"/>
            <x v="18"/>
            <x v="19"/>
          </reference>
        </references>
      </pivotArea>
    </format>
    <format dxfId="9">
      <pivotArea dataOnly="0" labelOnly="1" outline="0" fieldPosition="0">
        <references count="1">
          <reference field="4294967294" count="1">
            <x v="3"/>
          </reference>
        </references>
      </pivotArea>
    </format>
    <format dxfId="8">
      <pivotArea type="origin" dataOnly="0" labelOnly="1" outline="0" fieldPosition="0"/>
    </format>
    <format dxfId="7">
      <pivotArea field="9" type="button" dataOnly="0" labelOnly="1" outline="0" axis="axisRow" fieldPosition="0"/>
    </format>
    <format dxfId="6">
      <pivotArea dataOnly="0" labelOnly="1" outline="0" fieldPosition="0">
        <references count="1">
          <reference field="9" count="19">
            <x v="1"/>
            <x v="2"/>
            <x v="3"/>
            <x v="4"/>
            <x v="5"/>
            <x v="6"/>
            <x v="7"/>
            <x v="8"/>
            <x v="9"/>
            <x v="10"/>
            <x v="11"/>
            <x v="12"/>
            <x v="13"/>
            <x v="14"/>
            <x v="15"/>
            <x v="16"/>
            <x v="17"/>
            <x v="18"/>
            <x v="19"/>
          </reference>
        </references>
      </pivotArea>
    </format>
    <format dxfId="5">
      <pivotArea dataOnly="0" labelOnly="1" grandRow="1" outline="0" fieldPosition="0"/>
    </format>
    <format dxfId="4">
      <pivotArea outline="0" fieldPosition="0"/>
    </format>
    <format dxfId="3">
      <pivotArea field="9" type="button" dataOnly="0" labelOnly="1" outline="0" axis="axisRow" fieldPosition="0"/>
    </format>
    <format dxfId="2">
      <pivotArea dataOnly="0" labelOnly="1" outline="0" fieldPosition="0">
        <references count="1">
          <reference field="9" count="19">
            <x v="1"/>
            <x v="2"/>
            <x v="3"/>
            <x v="4"/>
            <x v="5"/>
            <x v="6"/>
            <x v="7"/>
            <x v="8"/>
            <x v="9"/>
            <x v="10"/>
            <x v="11"/>
            <x v="12"/>
            <x v="13"/>
            <x v="14"/>
            <x v="15"/>
            <x v="16"/>
            <x v="17"/>
            <x v="18"/>
            <x v="19"/>
          </reference>
        </references>
      </pivotArea>
    </format>
    <format dxfId="1">
      <pivotArea dataOnly="0" labelOnly="1" grandRow="1" outline="0" fieldPosition="0"/>
    </format>
    <format dxfId="0">
      <pivotArea dataOnly="0" labelOnly="1" outline="0" fieldPosition="0">
        <references count="1">
          <reference field="4294967294" count="4">
            <x v="0"/>
            <x v="1"/>
            <x v="2"/>
            <x v="3"/>
          </reference>
        </references>
      </pivotArea>
    </format>
  </formats>
  <chartFormats count="4">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3"/>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hyperlink" Target="https://www.ema.gov.sg/Licensees_Electricity_Generation_Company.aspx" TargetMode="External"/><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
  <sheetViews>
    <sheetView zoomScale="90" zoomScaleNormal="90" workbookViewId="0">
      <selection activeCell="C28" sqref="C28"/>
    </sheetView>
  </sheetViews>
  <sheetFormatPr defaultRowHeight="14.5" x14ac:dyDescent="0.35"/>
  <cols>
    <col min="1" max="1" width="10.81640625" style="3" customWidth="1"/>
    <col min="2" max="17" width="13.26953125" style="2" customWidth="1"/>
    <col min="18" max="18" width="12" customWidth="1"/>
  </cols>
  <sheetData>
    <row r="1" spans="1:18" ht="15" thickBot="1" x14ac:dyDescent="0.4">
      <c r="B1" t="s">
        <v>0</v>
      </c>
    </row>
    <row r="2" spans="1:18" ht="29.15" customHeight="1" x14ac:dyDescent="0.35">
      <c r="A2" s="17"/>
      <c r="B2" s="295" t="s">
        <v>1</v>
      </c>
      <c r="C2" s="296"/>
      <c r="D2" s="296"/>
      <c r="E2" s="296"/>
      <c r="F2" s="297"/>
      <c r="G2" s="298" t="s">
        <v>2</v>
      </c>
      <c r="H2" s="299"/>
      <c r="I2" s="299"/>
      <c r="J2" s="299"/>
      <c r="K2" s="299"/>
      <c r="L2" s="299"/>
      <c r="M2" s="299"/>
      <c r="N2" s="299"/>
      <c r="O2" s="300"/>
      <c r="P2" s="8" t="s">
        <v>3</v>
      </c>
      <c r="Q2" s="8" t="s">
        <v>4</v>
      </c>
      <c r="R2" s="293" t="s">
        <v>5</v>
      </c>
    </row>
    <row r="3" spans="1:18" ht="58" x14ac:dyDescent="0.35">
      <c r="A3" s="18" t="s">
        <v>6</v>
      </c>
      <c r="B3" s="12" t="s">
        <v>7</v>
      </c>
      <c r="C3" s="5" t="s">
        <v>8</v>
      </c>
      <c r="D3" s="5" t="s">
        <v>9</v>
      </c>
      <c r="E3" s="5" t="s">
        <v>10</v>
      </c>
      <c r="F3" s="16" t="s">
        <v>5</v>
      </c>
      <c r="G3" s="12" t="s">
        <v>11</v>
      </c>
      <c r="H3" s="5" t="s">
        <v>12</v>
      </c>
      <c r="I3" s="5" t="s">
        <v>13</v>
      </c>
      <c r="J3" s="5" t="s">
        <v>14</v>
      </c>
      <c r="K3" s="5" t="s">
        <v>15</v>
      </c>
      <c r="L3" s="5" t="s">
        <v>16</v>
      </c>
      <c r="M3" s="5" t="s">
        <v>17</v>
      </c>
      <c r="N3" s="5" t="s">
        <v>18</v>
      </c>
      <c r="O3" s="16" t="s">
        <v>5</v>
      </c>
      <c r="P3" s="9" t="s">
        <v>3</v>
      </c>
      <c r="Q3" s="9" t="s">
        <v>4</v>
      </c>
      <c r="R3" s="294"/>
    </row>
    <row r="4" spans="1:18" x14ac:dyDescent="0.35">
      <c r="A4" s="18">
        <v>2005</v>
      </c>
      <c r="B4" s="13">
        <v>13836.13</v>
      </c>
      <c r="C4" s="6">
        <v>234.77977730000001</v>
      </c>
      <c r="D4" s="6">
        <v>410.97507250000001</v>
      </c>
      <c r="E4" s="6">
        <v>27.153824180000001</v>
      </c>
      <c r="F4" s="14">
        <f>SUM(B4:E4)</f>
        <v>14509.03867398</v>
      </c>
      <c r="G4" s="13">
        <v>2109.8000000000002</v>
      </c>
      <c r="H4" s="6">
        <v>1031.33</v>
      </c>
      <c r="I4" s="6">
        <v>667.1916185</v>
      </c>
      <c r="J4" s="6">
        <v>1291.94</v>
      </c>
      <c r="K4" s="6">
        <v>3712.42</v>
      </c>
      <c r="L4" s="6">
        <v>650.22663050000006</v>
      </c>
      <c r="M4" s="6">
        <v>3612.7</v>
      </c>
      <c r="N4" s="6">
        <v>1200.01</v>
      </c>
      <c r="O4" s="14">
        <f>SUM(G4:N4)</f>
        <v>14275.618249000001</v>
      </c>
      <c r="P4" s="10">
        <v>6092.46</v>
      </c>
      <c r="Q4" s="10">
        <v>612.13975960000005</v>
      </c>
      <c r="R4" s="19">
        <f>SUM(B4:E4,G4:N4,P4:Q4)</f>
        <v>35489.256682580002</v>
      </c>
    </row>
    <row r="5" spans="1:18" x14ac:dyDescent="0.35">
      <c r="A5" s="18">
        <v>2006</v>
      </c>
      <c r="B5" s="15">
        <v>14397.16</v>
      </c>
      <c r="C5" s="7">
        <v>250.52334160000001</v>
      </c>
      <c r="D5" s="7">
        <v>441.8148195</v>
      </c>
      <c r="E5" s="7">
        <v>25.878581499999999</v>
      </c>
      <c r="F5" s="14">
        <f t="shared" ref="F5:F18" si="0">SUM(B5:E5)</f>
        <v>15115.376742599998</v>
      </c>
      <c r="G5" s="15">
        <v>1977.24</v>
      </c>
      <c r="H5" s="7">
        <v>1087.05</v>
      </c>
      <c r="I5" s="7">
        <v>708.70722160000003</v>
      </c>
      <c r="J5" s="7">
        <v>1659.68</v>
      </c>
      <c r="K5" s="7">
        <v>3780.78</v>
      </c>
      <c r="L5" s="7">
        <v>740.4570708</v>
      </c>
      <c r="M5" s="7">
        <v>3831.81</v>
      </c>
      <c r="N5" s="7">
        <v>1245.3900000000001</v>
      </c>
      <c r="O5" s="14">
        <f t="shared" ref="O5:O18" si="1">SUM(G5:N5)</f>
        <v>15031.114292399998</v>
      </c>
      <c r="P5" s="11">
        <v>6109.13</v>
      </c>
      <c r="Q5" s="11">
        <v>546.18665639999995</v>
      </c>
      <c r="R5" s="19">
        <f t="shared" ref="R5:R18" si="2">SUM(B5:E5,G5:N5,P5:Q5)</f>
        <v>36801.807691399998</v>
      </c>
    </row>
    <row r="6" spans="1:18" x14ac:dyDescent="0.35">
      <c r="A6" s="18">
        <v>2007</v>
      </c>
      <c r="B6" s="15">
        <v>14943.19</v>
      </c>
      <c r="C6" s="7">
        <v>279.12795399999999</v>
      </c>
      <c r="D6" s="7">
        <v>569.15594250000004</v>
      </c>
      <c r="E6" s="7">
        <v>27.49112126</v>
      </c>
      <c r="F6" s="14">
        <f t="shared" si="0"/>
        <v>15818.96501776</v>
      </c>
      <c r="G6" s="15">
        <v>1891.93</v>
      </c>
      <c r="H6" s="7">
        <v>1131.45</v>
      </c>
      <c r="I6" s="7">
        <v>761.24948529999995</v>
      </c>
      <c r="J6" s="7">
        <v>2014.58</v>
      </c>
      <c r="K6" s="7">
        <v>3809.96</v>
      </c>
      <c r="L6" s="7">
        <v>834.23931879999998</v>
      </c>
      <c r="M6" s="7">
        <v>4077.17</v>
      </c>
      <c r="N6" s="7">
        <v>1300.1600000000001</v>
      </c>
      <c r="O6" s="14">
        <f t="shared" si="1"/>
        <v>15820.738804100001</v>
      </c>
      <c r="P6" s="11">
        <v>6163.74</v>
      </c>
      <c r="Q6" s="11">
        <v>501.46932709999999</v>
      </c>
      <c r="R6" s="19">
        <f t="shared" si="2"/>
        <v>38304.913148959997</v>
      </c>
    </row>
    <row r="7" spans="1:18" x14ac:dyDescent="0.35">
      <c r="A7" s="18">
        <v>2008</v>
      </c>
      <c r="B7" s="15">
        <v>15032.67</v>
      </c>
      <c r="C7" s="7">
        <v>300.87653110000002</v>
      </c>
      <c r="D7" s="7">
        <v>668.36189879999995</v>
      </c>
      <c r="E7" s="7">
        <v>28.967586619999999</v>
      </c>
      <c r="F7" s="14">
        <f t="shared" si="0"/>
        <v>16030.87601652</v>
      </c>
      <c r="G7" s="15">
        <v>1924.69</v>
      </c>
      <c r="H7" s="7">
        <v>1171.67</v>
      </c>
      <c r="I7" s="7">
        <v>844.52734299999997</v>
      </c>
      <c r="J7" s="7">
        <v>2014.86</v>
      </c>
      <c r="K7" s="7">
        <v>3931.23</v>
      </c>
      <c r="L7" s="7">
        <v>841.98723759999996</v>
      </c>
      <c r="M7" s="7">
        <v>4275.67</v>
      </c>
      <c r="N7" s="7">
        <v>1399.83</v>
      </c>
      <c r="O7" s="14">
        <f t="shared" si="1"/>
        <v>16404.464580600001</v>
      </c>
      <c r="P7" s="11">
        <v>6094.03</v>
      </c>
      <c r="Q7" s="11">
        <v>457.58549640000001</v>
      </c>
      <c r="R7" s="19">
        <f t="shared" si="2"/>
        <v>38986.956093520006</v>
      </c>
    </row>
    <row r="8" spans="1:18" x14ac:dyDescent="0.35">
      <c r="A8" s="18">
        <v>2009</v>
      </c>
      <c r="B8" s="15">
        <v>14539.66</v>
      </c>
      <c r="C8" s="7">
        <v>308.29534919999998</v>
      </c>
      <c r="D8" s="7">
        <v>691.87613580000004</v>
      </c>
      <c r="E8" s="7">
        <v>30.42788444</v>
      </c>
      <c r="F8" s="14">
        <f t="shared" si="0"/>
        <v>15570.259369439998</v>
      </c>
      <c r="G8" s="15">
        <v>1821.37</v>
      </c>
      <c r="H8" s="7">
        <v>1169.19</v>
      </c>
      <c r="I8" s="7">
        <v>865.98495000000003</v>
      </c>
      <c r="J8" s="7">
        <v>1865.43</v>
      </c>
      <c r="K8" s="7">
        <v>4050.85</v>
      </c>
      <c r="L8" s="7">
        <v>778.42936239999995</v>
      </c>
      <c r="M8" s="7">
        <v>4248.8100000000004</v>
      </c>
      <c r="N8" s="7">
        <v>1607.81</v>
      </c>
      <c r="O8" s="14">
        <f t="shared" si="1"/>
        <v>16407.874312400003</v>
      </c>
      <c r="P8" s="11">
        <v>6430.8</v>
      </c>
      <c r="Q8" s="11">
        <v>413.94056389999997</v>
      </c>
      <c r="R8" s="19">
        <f t="shared" si="2"/>
        <v>38822.87424574</v>
      </c>
    </row>
    <row r="9" spans="1:18" x14ac:dyDescent="0.35">
      <c r="A9" s="18">
        <v>2010</v>
      </c>
      <c r="B9" s="15">
        <v>16448.03</v>
      </c>
      <c r="C9" s="7">
        <v>337.83921359999999</v>
      </c>
      <c r="D9" s="7">
        <v>843.39750660000004</v>
      </c>
      <c r="E9" s="7">
        <v>33.309513850000002</v>
      </c>
      <c r="F9" s="14">
        <f t="shared" si="0"/>
        <v>17662.576234049997</v>
      </c>
      <c r="G9" s="15">
        <v>1922.97</v>
      </c>
      <c r="H9" s="7">
        <v>1219.6199999999999</v>
      </c>
      <c r="I9" s="7">
        <v>925.48304150000001</v>
      </c>
      <c r="J9" s="7">
        <v>1926.99</v>
      </c>
      <c r="K9" s="7">
        <v>4346.16</v>
      </c>
      <c r="L9" s="7">
        <v>885.76958070000001</v>
      </c>
      <c r="M9" s="7">
        <v>4242.7299999999996</v>
      </c>
      <c r="N9" s="7">
        <v>2098.6799999999998</v>
      </c>
      <c r="O9" s="14">
        <f t="shared" si="1"/>
        <v>17568.402622199999</v>
      </c>
      <c r="P9" s="11">
        <v>6635.97</v>
      </c>
      <c r="Q9" s="11">
        <v>384.80570519999998</v>
      </c>
      <c r="R9" s="19">
        <f t="shared" si="2"/>
        <v>42251.754561449998</v>
      </c>
    </row>
    <row r="10" spans="1:18" x14ac:dyDescent="0.35">
      <c r="A10" s="18">
        <v>2011</v>
      </c>
      <c r="B10" s="15">
        <v>16752.400000000001</v>
      </c>
      <c r="C10" s="7">
        <v>362.96793150000002</v>
      </c>
      <c r="D10" s="7">
        <v>928.50488600000006</v>
      </c>
      <c r="E10" s="7">
        <v>33.63363228</v>
      </c>
      <c r="F10" s="14">
        <f t="shared" si="0"/>
        <v>18077.506449780001</v>
      </c>
      <c r="G10" s="15">
        <v>1898.85</v>
      </c>
      <c r="H10" s="7">
        <v>1251.3699999999999</v>
      </c>
      <c r="I10" s="7">
        <v>988.64865239999995</v>
      </c>
      <c r="J10" s="7">
        <v>2003.17</v>
      </c>
      <c r="K10" s="7">
        <v>4454.6899999999996</v>
      </c>
      <c r="L10" s="7">
        <v>934.08368610000002</v>
      </c>
      <c r="M10" s="7">
        <v>4345.4399999999996</v>
      </c>
      <c r="N10" s="7">
        <v>2224.17</v>
      </c>
      <c r="O10" s="14">
        <f t="shared" si="1"/>
        <v>18100.4223385</v>
      </c>
      <c r="P10" s="11">
        <v>6482.7</v>
      </c>
      <c r="Q10" s="11">
        <v>346.50770440000002</v>
      </c>
      <c r="R10" s="19">
        <f t="shared" si="2"/>
        <v>43007.136492679987</v>
      </c>
    </row>
    <row r="11" spans="1:18" x14ac:dyDescent="0.35">
      <c r="A11" s="18">
        <v>2012</v>
      </c>
      <c r="B11" s="15">
        <v>17112.400000000001</v>
      </c>
      <c r="C11" s="7">
        <v>443.68913839999999</v>
      </c>
      <c r="D11" s="7">
        <v>978.91504620000001</v>
      </c>
      <c r="E11" s="7">
        <v>37.527046470000002</v>
      </c>
      <c r="F11" s="14">
        <f t="shared" si="0"/>
        <v>18572.531231070003</v>
      </c>
      <c r="G11" s="15">
        <v>1909.36</v>
      </c>
      <c r="H11" s="7">
        <v>1275.1400000000001</v>
      </c>
      <c r="I11" s="7">
        <v>1084.42</v>
      </c>
      <c r="J11" s="7">
        <v>2204.1999999999998</v>
      </c>
      <c r="K11" s="7">
        <v>4522.6000000000004</v>
      </c>
      <c r="L11" s="7">
        <v>930.78811429999996</v>
      </c>
      <c r="M11" s="7">
        <v>4439.58</v>
      </c>
      <c r="N11" s="7">
        <v>2328.59</v>
      </c>
      <c r="O11" s="14">
        <f t="shared" si="1"/>
        <v>18694.678114300001</v>
      </c>
      <c r="P11" s="11">
        <v>6629.53</v>
      </c>
      <c r="Q11" s="11">
        <v>303.96886869999997</v>
      </c>
      <c r="R11" s="19">
        <f t="shared" si="2"/>
        <v>44200.708214070008</v>
      </c>
    </row>
    <row r="12" spans="1:18" x14ac:dyDescent="0.35">
      <c r="A12" s="18">
        <v>2013</v>
      </c>
      <c r="B12" s="15">
        <v>17237.38</v>
      </c>
      <c r="C12" s="7">
        <v>490.53635359999998</v>
      </c>
      <c r="D12" s="7">
        <v>1074.8399999999999</v>
      </c>
      <c r="E12" s="7">
        <v>40.063730919999998</v>
      </c>
      <c r="F12" s="14">
        <f t="shared" si="0"/>
        <v>18842.820084520001</v>
      </c>
      <c r="G12" s="15">
        <v>1967.08</v>
      </c>
      <c r="H12" s="7">
        <v>1326.57</v>
      </c>
      <c r="I12" s="7">
        <v>1149.0899999999999</v>
      </c>
      <c r="J12" s="7">
        <v>2257.94</v>
      </c>
      <c r="K12" s="7">
        <v>4532.3900000000003</v>
      </c>
      <c r="L12" s="7">
        <v>932.74264000000005</v>
      </c>
      <c r="M12" s="7">
        <v>4552.8</v>
      </c>
      <c r="N12" s="7">
        <v>2369.09</v>
      </c>
      <c r="O12" s="14">
        <f t="shared" si="1"/>
        <v>19087.70264</v>
      </c>
      <c r="P12" s="11">
        <v>6754.91</v>
      </c>
      <c r="Q12" s="11">
        <v>263.38273240000001</v>
      </c>
      <c r="R12" s="19">
        <f t="shared" si="2"/>
        <v>44948.815456919998</v>
      </c>
    </row>
    <row r="13" spans="1:18" x14ac:dyDescent="0.35">
      <c r="A13" s="18">
        <v>2014</v>
      </c>
      <c r="B13" s="15">
        <v>17988.95</v>
      </c>
      <c r="C13" s="7">
        <v>527.11729400000002</v>
      </c>
      <c r="D13" s="7">
        <v>1197.96</v>
      </c>
      <c r="E13" s="7">
        <v>39.168697639999998</v>
      </c>
      <c r="F13" s="14">
        <f t="shared" si="0"/>
        <v>19753.195991640001</v>
      </c>
      <c r="G13" s="15">
        <v>2020.5</v>
      </c>
      <c r="H13" s="7">
        <v>1332.27</v>
      </c>
      <c r="I13" s="7">
        <v>1294.52</v>
      </c>
      <c r="J13" s="7">
        <v>2574.1</v>
      </c>
      <c r="K13" s="7">
        <v>4485.74</v>
      </c>
      <c r="L13" s="7">
        <v>680.95932860000005</v>
      </c>
      <c r="M13" s="7">
        <v>4658.54</v>
      </c>
      <c r="N13" s="7">
        <v>2441.0300000000002</v>
      </c>
      <c r="O13" s="14">
        <f t="shared" si="1"/>
        <v>19487.659328599999</v>
      </c>
      <c r="P13" s="11">
        <v>6924.39</v>
      </c>
      <c r="Q13" s="11">
        <v>237.70066349999999</v>
      </c>
      <c r="R13" s="19">
        <f t="shared" si="2"/>
        <v>46402.945983739999</v>
      </c>
    </row>
    <row r="14" spans="1:18" x14ac:dyDescent="0.35">
      <c r="A14" s="18">
        <v>2015</v>
      </c>
      <c r="B14" s="15">
        <v>18277.61</v>
      </c>
      <c r="C14" s="7">
        <v>531.03604080000002</v>
      </c>
      <c r="D14" s="7">
        <v>1237.1600000000001</v>
      </c>
      <c r="E14" s="7">
        <v>42.195916859999997</v>
      </c>
      <c r="F14" s="14">
        <f t="shared" si="0"/>
        <v>20088.001957660003</v>
      </c>
      <c r="G14" s="15">
        <v>2107.42</v>
      </c>
      <c r="H14" s="7">
        <v>1350.2</v>
      </c>
      <c r="I14" s="7">
        <v>1426.75</v>
      </c>
      <c r="J14" s="7">
        <v>2718.12</v>
      </c>
      <c r="K14" s="7">
        <v>4454.57</v>
      </c>
      <c r="L14" s="7">
        <v>713.70167430000004</v>
      </c>
      <c r="M14" s="7">
        <v>4710.28</v>
      </c>
      <c r="N14" s="7">
        <v>2444.83</v>
      </c>
      <c r="O14" s="14">
        <f t="shared" si="1"/>
        <v>19925.871674299997</v>
      </c>
      <c r="P14" s="11">
        <v>7220.93</v>
      </c>
      <c r="Q14" s="11">
        <v>279.13905770000002</v>
      </c>
      <c r="R14" s="19">
        <f t="shared" si="2"/>
        <v>47513.942689659998</v>
      </c>
    </row>
    <row r="15" spans="1:18" x14ac:dyDescent="0.35">
      <c r="A15" s="18">
        <v>2016</v>
      </c>
      <c r="B15" s="15">
        <v>18370.91</v>
      </c>
      <c r="C15" s="7">
        <v>551.57112610000001</v>
      </c>
      <c r="D15" s="7">
        <v>1450.14</v>
      </c>
      <c r="E15" s="7">
        <v>45.818303200000003</v>
      </c>
      <c r="F15" s="14">
        <f t="shared" si="0"/>
        <v>20418.4394293</v>
      </c>
      <c r="G15" s="15">
        <v>2073.37</v>
      </c>
      <c r="H15" s="7">
        <v>1453.24</v>
      </c>
      <c r="I15" s="7">
        <v>1847.97</v>
      </c>
      <c r="J15" s="7">
        <v>2361.69</v>
      </c>
      <c r="K15" s="7">
        <v>4497.0200000000004</v>
      </c>
      <c r="L15" s="7">
        <v>683.43105309999999</v>
      </c>
      <c r="M15" s="7">
        <v>4782.6000000000004</v>
      </c>
      <c r="N15" s="7">
        <v>2639.37</v>
      </c>
      <c r="O15" s="14">
        <f t="shared" si="1"/>
        <v>20338.691053099999</v>
      </c>
      <c r="P15" s="11">
        <v>7589.44</v>
      </c>
      <c r="Q15" s="11">
        <v>280.06596469999999</v>
      </c>
      <c r="R15" s="19">
        <f t="shared" si="2"/>
        <v>48626.636447100005</v>
      </c>
    </row>
    <row r="16" spans="1:18" x14ac:dyDescent="0.35">
      <c r="A16" s="18">
        <v>2017</v>
      </c>
      <c r="B16" s="15">
        <v>19581.669999999998</v>
      </c>
      <c r="C16" s="7">
        <v>484.34876780000002</v>
      </c>
      <c r="D16" s="7">
        <v>1402.62</v>
      </c>
      <c r="E16" s="7">
        <v>47.684551749999997</v>
      </c>
      <c r="F16" s="14">
        <f t="shared" si="0"/>
        <v>21516.323319549996</v>
      </c>
      <c r="G16" s="15">
        <v>1994.5</v>
      </c>
      <c r="H16" s="7">
        <v>1444.9</v>
      </c>
      <c r="I16" s="7">
        <v>1873.47</v>
      </c>
      <c r="J16" s="7">
        <v>2342.85</v>
      </c>
      <c r="K16" s="7">
        <v>4700.88</v>
      </c>
      <c r="L16" s="7">
        <v>703.77639669999996</v>
      </c>
      <c r="M16" s="7">
        <v>4743.8900000000003</v>
      </c>
      <c r="N16" s="7">
        <v>2750.76</v>
      </c>
      <c r="O16" s="14">
        <f t="shared" si="1"/>
        <v>20555.026396699999</v>
      </c>
      <c r="P16" s="11">
        <v>7295.82</v>
      </c>
      <c r="Q16" s="11">
        <v>276.48227459999998</v>
      </c>
      <c r="R16" s="19">
        <f t="shared" si="2"/>
        <v>49643.651990849998</v>
      </c>
    </row>
    <row r="17" spans="1:18" x14ac:dyDescent="0.35">
      <c r="A17" s="18">
        <v>2018</v>
      </c>
      <c r="B17" s="15">
        <v>19451.5</v>
      </c>
      <c r="C17" s="7">
        <v>432.29023760000001</v>
      </c>
      <c r="D17" s="7">
        <v>1518.68</v>
      </c>
      <c r="E17" s="7">
        <v>48.26049579</v>
      </c>
      <c r="F17" s="14">
        <f t="shared" si="0"/>
        <v>21450.730733389999</v>
      </c>
      <c r="G17" s="15">
        <v>2292.9</v>
      </c>
      <c r="H17" s="7">
        <v>1463.95</v>
      </c>
      <c r="I17" s="7">
        <v>2230.46</v>
      </c>
      <c r="J17" s="7">
        <v>2358.9499999999998</v>
      </c>
      <c r="K17" s="7">
        <v>4636.18</v>
      </c>
      <c r="L17" s="7">
        <v>719.89286500000003</v>
      </c>
      <c r="M17" s="7">
        <v>4860.08</v>
      </c>
      <c r="N17" s="7">
        <v>2943.62</v>
      </c>
      <c r="O17" s="14">
        <f t="shared" si="1"/>
        <v>21506.032864999997</v>
      </c>
      <c r="P17" s="11">
        <v>7221.43</v>
      </c>
      <c r="Q17" s="11">
        <v>270.70364819999998</v>
      </c>
      <c r="R17" s="19">
        <f t="shared" si="2"/>
        <v>50448.897246590001</v>
      </c>
    </row>
    <row r="18" spans="1:18" x14ac:dyDescent="0.35">
      <c r="A18" s="18">
        <v>2019</v>
      </c>
      <c r="B18" s="15">
        <v>19422.349999999999</v>
      </c>
      <c r="C18" s="7">
        <v>395.16130559999999</v>
      </c>
      <c r="D18" s="7">
        <v>1573.64</v>
      </c>
      <c r="E18" s="7">
        <v>53.297949719999998</v>
      </c>
      <c r="F18" s="14">
        <f t="shared" si="0"/>
        <v>21444.449255319996</v>
      </c>
      <c r="G18" s="15">
        <v>2265.4899999999998</v>
      </c>
      <c r="H18" s="7">
        <v>1523.35</v>
      </c>
      <c r="I18" s="7">
        <v>2491.81</v>
      </c>
      <c r="J18" s="7">
        <v>2379.33</v>
      </c>
      <c r="K18" s="7">
        <v>4865.3599999999997</v>
      </c>
      <c r="L18" s="7">
        <v>807.38847180000005</v>
      </c>
      <c r="M18" s="7">
        <v>4982.24</v>
      </c>
      <c r="N18" s="7">
        <v>3020.93</v>
      </c>
      <c r="O18" s="14">
        <f t="shared" si="1"/>
        <v>22335.898471799999</v>
      </c>
      <c r="P18" s="11">
        <v>7688.01</v>
      </c>
      <c r="Q18" s="11">
        <v>251.67027659999999</v>
      </c>
      <c r="R18" s="19">
        <f t="shared" si="2"/>
        <v>51720.028003719992</v>
      </c>
    </row>
    <row r="19" spans="1:18" ht="15" thickBot="1" x14ac:dyDescent="0.4">
      <c r="A19" s="111">
        <v>2020</v>
      </c>
      <c r="B19" s="112"/>
      <c r="C19" s="113"/>
      <c r="D19" s="113"/>
      <c r="E19" s="113"/>
      <c r="F19" s="114">
        <f>B24</f>
        <v>20957.2</v>
      </c>
      <c r="G19" s="112"/>
      <c r="H19" s="113"/>
      <c r="I19" s="113"/>
      <c r="J19" s="113"/>
      <c r="K19" s="113"/>
      <c r="L19" s="113"/>
      <c r="M19" s="113"/>
      <c r="N19" s="113">
        <v>2810.2</v>
      </c>
      <c r="O19" s="114">
        <f>SUM(B25:B26)</f>
        <v>21324.9</v>
      </c>
      <c r="P19" s="115">
        <f>B27</f>
        <v>8244.5</v>
      </c>
      <c r="Q19" s="115">
        <f>B28</f>
        <v>233.9</v>
      </c>
      <c r="R19" s="116">
        <f>SUM(B24:B28)</f>
        <v>50760.5</v>
      </c>
    </row>
    <row r="23" spans="1:18" x14ac:dyDescent="0.35">
      <c r="A23" s="108" t="s">
        <v>19</v>
      </c>
      <c r="B23" s="109"/>
    </row>
    <row r="24" spans="1:18" x14ac:dyDescent="0.35">
      <c r="A24" s="108" t="s">
        <v>20</v>
      </c>
      <c r="B24" s="109">
        <v>20957.2</v>
      </c>
    </row>
    <row r="25" spans="1:18" x14ac:dyDescent="0.35">
      <c r="A25" s="108" t="s">
        <v>21</v>
      </c>
      <c r="B25" s="109">
        <v>18514.7</v>
      </c>
    </row>
    <row r="26" spans="1:18" x14ac:dyDescent="0.35">
      <c r="A26" s="108" t="s">
        <v>22</v>
      </c>
      <c r="B26" s="110">
        <v>2810.2</v>
      </c>
    </row>
    <row r="27" spans="1:18" x14ac:dyDescent="0.35">
      <c r="A27" s="108" t="s">
        <v>3</v>
      </c>
      <c r="B27" s="110">
        <v>8244.5</v>
      </c>
    </row>
    <row r="28" spans="1:18" x14ac:dyDescent="0.35">
      <c r="A28" s="108" t="s">
        <v>4</v>
      </c>
      <c r="B28" s="109">
        <v>233.9</v>
      </c>
    </row>
  </sheetData>
  <mergeCells count="3">
    <mergeCell ref="R2:R3"/>
    <mergeCell ref="B2:F2"/>
    <mergeCell ref="G2:O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16C30-6C11-4139-A198-682F1BB8D917}">
  <sheetPr>
    <tabColor theme="1"/>
    <pageSetUpPr autoPageBreaks="0"/>
  </sheetPr>
  <dimension ref="A1:S60"/>
  <sheetViews>
    <sheetView showGridLines="0" showRowColHeaders="0" zoomScale="80" zoomScaleNormal="80" workbookViewId="0">
      <selection activeCell="L27" sqref="L27"/>
    </sheetView>
  </sheetViews>
  <sheetFormatPr defaultColWidth="9.26953125" defaultRowHeight="12.5" x14ac:dyDescent="0.25"/>
  <cols>
    <col min="1" max="1" width="0.81640625" style="266" customWidth="1"/>
    <col min="2" max="9" width="9.26953125" style="266"/>
    <col min="10" max="11" width="6.7265625" style="266" customWidth="1"/>
    <col min="12" max="12" width="0.81640625" style="266" customWidth="1"/>
    <col min="13" max="16384" width="9.26953125" style="266"/>
  </cols>
  <sheetData>
    <row r="1" spans="1:19" x14ac:dyDescent="0.25">
      <c r="K1" s="271"/>
      <c r="L1" s="267"/>
      <c r="M1" s="270"/>
      <c r="N1" s="267"/>
      <c r="O1" s="267"/>
      <c r="P1" s="267"/>
      <c r="Q1" s="267"/>
      <c r="R1" s="267"/>
    </row>
    <row r="2" spans="1:19" ht="14.5" x14ac:dyDescent="0.25">
      <c r="A2" s="269" t="s">
        <v>23</v>
      </c>
      <c r="L2" s="267"/>
      <c r="M2" s="267"/>
      <c r="N2" s="267"/>
      <c r="O2" s="305" t="s">
        <v>25</v>
      </c>
      <c r="P2" s="306"/>
      <c r="Q2" s="267"/>
      <c r="R2" s="267"/>
    </row>
    <row r="3" spans="1:19" ht="14.5" x14ac:dyDescent="0.35">
      <c r="L3" s="267"/>
      <c r="M3" s="267"/>
      <c r="N3" s="303" t="s">
        <v>26</v>
      </c>
      <c r="O3" s="307" t="s">
        <v>27</v>
      </c>
      <c r="P3" s="308"/>
      <c r="Q3" s="267"/>
      <c r="R3" s="267"/>
    </row>
    <row r="4" spans="1:19" ht="12.75" customHeight="1" x14ac:dyDescent="0.35">
      <c r="L4" s="267"/>
      <c r="M4" s="268"/>
      <c r="N4" s="303"/>
      <c r="O4" s="309" t="s">
        <v>28</v>
      </c>
      <c r="P4" s="310"/>
      <c r="Q4" s="267"/>
      <c r="R4" s="267"/>
    </row>
    <row r="5" spans="1:19" ht="14.5" x14ac:dyDescent="0.35">
      <c r="L5" s="267"/>
      <c r="M5" s="267"/>
      <c r="N5" s="303"/>
      <c r="O5" s="311" t="s">
        <v>29</v>
      </c>
      <c r="P5" s="312"/>
      <c r="Q5" s="267"/>
      <c r="R5" s="267"/>
    </row>
    <row r="6" spans="1:19" ht="14.5" x14ac:dyDescent="0.35">
      <c r="L6" s="267"/>
      <c r="M6" s="267"/>
      <c r="N6" s="304" t="s">
        <v>30</v>
      </c>
      <c r="O6" s="313" t="s">
        <v>31</v>
      </c>
      <c r="P6" s="314"/>
      <c r="Q6" s="267"/>
      <c r="R6" s="267"/>
    </row>
    <row r="7" spans="1:19" ht="12.75" customHeight="1" x14ac:dyDescent="0.35">
      <c r="L7" s="267"/>
      <c r="M7" s="267"/>
      <c r="N7" s="304"/>
      <c r="O7" s="315" t="s">
        <v>32</v>
      </c>
      <c r="P7" s="316"/>
      <c r="Q7" s="267"/>
      <c r="R7" s="267"/>
    </row>
    <row r="8" spans="1:19" ht="12.75" customHeight="1" x14ac:dyDescent="0.35">
      <c r="L8" s="267"/>
      <c r="M8" s="267"/>
      <c r="N8" s="304"/>
      <c r="O8" s="317" t="s">
        <v>33</v>
      </c>
      <c r="P8" s="318"/>
      <c r="Q8" s="267"/>
      <c r="R8" s="267"/>
    </row>
    <row r="9" spans="1:19" ht="14.5" x14ac:dyDescent="0.35">
      <c r="L9" s="267"/>
      <c r="M9" s="267"/>
      <c r="N9" s="304"/>
      <c r="O9" s="301" t="s">
        <v>34</v>
      </c>
      <c r="P9" s="302"/>
      <c r="Q9" s="267"/>
      <c r="R9" s="267"/>
    </row>
    <row r="10" spans="1:19" x14ac:dyDescent="0.25">
      <c r="L10" s="267"/>
      <c r="M10" s="267" t="s">
        <v>24</v>
      </c>
      <c r="N10" s="342"/>
      <c r="O10" s="342"/>
      <c r="P10" s="342"/>
      <c r="Q10" s="267"/>
      <c r="R10" s="267"/>
    </row>
    <row r="11" spans="1:19" x14ac:dyDescent="0.25">
      <c r="L11" s="267"/>
      <c r="M11" s="267" t="s">
        <v>24</v>
      </c>
      <c r="N11" s="342"/>
      <c r="O11" s="342"/>
      <c r="P11" s="342"/>
      <c r="Q11" s="267"/>
      <c r="R11" s="267"/>
    </row>
    <row r="12" spans="1:19" x14ac:dyDescent="0.25">
      <c r="L12" s="267"/>
      <c r="M12" s="267"/>
      <c r="N12" s="342"/>
      <c r="O12" s="342"/>
      <c r="P12" s="342"/>
      <c r="Q12" s="267"/>
      <c r="R12" s="267"/>
    </row>
    <row r="13" spans="1:19" x14ac:dyDescent="0.25">
      <c r="L13" s="267"/>
      <c r="M13" s="267"/>
      <c r="N13" s="342"/>
      <c r="O13" s="342"/>
      <c r="P13" s="342"/>
      <c r="Q13" s="267"/>
      <c r="R13" s="267"/>
    </row>
    <row r="14" spans="1:19" x14ac:dyDescent="0.25">
      <c r="L14" s="267"/>
      <c r="M14" s="267"/>
      <c r="N14" s="342"/>
      <c r="O14" s="342"/>
      <c r="P14" s="342"/>
      <c r="Q14" s="267"/>
      <c r="R14" s="267"/>
    </row>
    <row r="15" spans="1:19" x14ac:dyDescent="0.25">
      <c r="L15" s="267"/>
      <c r="M15" s="267"/>
      <c r="N15" s="342"/>
      <c r="O15" s="342"/>
      <c r="P15" s="342"/>
      <c r="Q15" s="267"/>
      <c r="R15" s="267"/>
    </row>
    <row r="16" spans="1:19" x14ac:dyDescent="0.25">
      <c r="K16" s="343"/>
      <c r="L16" s="343"/>
      <c r="M16" s="343"/>
      <c r="N16" s="343"/>
      <c r="O16" s="343"/>
      <c r="P16" s="343"/>
      <c r="Q16" s="343"/>
      <c r="R16" s="343"/>
      <c r="S16" s="343"/>
    </row>
    <row r="17" spans="11:19" x14ac:dyDescent="0.25">
      <c r="K17" s="343"/>
      <c r="L17" s="343"/>
      <c r="M17" s="343"/>
      <c r="N17" s="343"/>
      <c r="O17" s="343"/>
      <c r="P17" s="343"/>
      <c r="Q17" s="343"/>
      <c r="R17" s="343"/>
      <c r="S17" s="343"/>
    </row>
    <row r="18" spans="11:19" x14ac:dyDescent="0.25">
      <c r="K18" s="343"/>
      <c r="L18" s="343"/>
      <c r="M18" s="343"/>
      <c r="N18" s="343"/>
      <c r="O18" s="343"/>
      <c r="P18" s="343"/>
      <c r="Q18" s="343"/>
      <c r="R18" s="343"/>
      <c r="S18" s="343"/>
    </row>
    <row r="19" spans="11:19" x14ac:dyDescent="0.25">
      <c r="K19" s="343"/>
      <c r="L19" s="343"/>
      <c r="M19" s="343"/>
      <c r="N19" s="343"/>
      <c r="O19" s="343"/>
      <c r="P19" s="343"/>
      <c r="Q19" s="343"/>
      <c r="R19" s="343"/>
      <c r="S19" s="343"/>
    </row>
    <row r="20" spans="11:19" x14ac:dyDescent="0.25">
      <c r="K20" s="343"/>
      <c r="L20" s="343"/>
      <c r="M20" s="343"/>
      <c r="N20" s="343"/>
      <c r="O20" s="343"/>
      <c r="P20" s="343"/>
      <c r="Q20" s="343"/>
      <c r="R20" s="343"/>
      <c r="S20" s="343"/>
    </row>
    <row r="21" spans="11:19" x14ac:dyDescent="0.25">
      <c r="K21" s="343"/>
      <c r="L21" s="343"/>
      <c r="M21" s="343"/>
      <c r="N21" s="343"/>
      <c r="O21" s="343"/>
      <c r="P21" s="343"/>
      <c r="Q21" s="343"/>
      <c r="R21" s="343"/>
      <c r="S21" s="343"/>
    </row>
    <row r="22" spans="11:19" x14ac:dyDescent="0.25">
      <c r="K22" s="343"/>
      <c r="L22" s="343"/>
      <c r="M22" s="343"/>
      <c r="N22" s="343"/>
      <c r="O22" s="343"/>
      <c r="P22" s="343"/>
      <c r="Q22" s="343"/>
      <c r="R22" s="343"/>
      <c r="S22" s="343"/>
    </row>
    <row r="23" spans="11:19" x14ac:dyDescent="0.25">
      <c r="K23" s="343"/>
      <c r="L23" s="343"/>
      <c r="M23" s="343"/>
      <c r="N23" s="343"/>
      <c r="O23" s="343"/>
      <c r="P23" s="343"/>
      <c r="Q23" s="343"/>
      <c r="R23" s="343"/>
      <c r="S23" s="343"/>
    </row>
    <row r="24" spans="11:19" x14ac:dyDescent="0.25">
      <c r="K24" s="343"/>
      <c r="L24" s="343"/>
      <c r="M24" s="343"/>
      <c r="N24" s="343"/>
      <c r="O24" s="343"/>
      <c r="P24" s="343"/>
      <c r="Q24" s="343"/>
      <c r="R24" s="343"/>
      <c r="S24" s="343"/>
    </row>
    <row r="25" spans="11:19" x14ac:dyDescent="0.25">
      <c r="K25" s="343"/>
      <c r="L25" s="343"/>
      <c r="M25" s="343"/>
      <c r="N25" s="343"/>
      <c r="O25" s="343"/>
      <c r="P25" s="343"/>
      <c r="Q25" s="343"/>
      <c r="R25" s="343"/>
      <c r="S25" s="343"/>
    </row>
    <row r="26" spans="11:19" x14ac:dyDescent="0.25">
      <c r="K26" s="343"/>
      <c r="L26" s="343"/>
      <c r="M26" s="343"/>
      <c r="N26" s="343"/>
      <c r="O26" s="343"/>
      <c r="P26" s="343"/>
      <c r="Q26" s="343"/>
      <c r="R26" s="343"/>
      <c r="S26" s="343"/>
    </row>
    <row r="27" spans="11:19" x14ac:dyDescent="0.25">
      <c r="K27" s="343"/>
      <c r="L27" s="343"/>
      <c r="M27" s="343"/>
      <c r="N27" s="343"/>
      <c r="O27" s="343"/>
      <c r="P27" s="343"/>
      <c r="Q27" s="343"/>
      <c r="R27" s="343"/>
      <c r="S27" s="343"/>
    </row>
    <row r="28" spans="11:19" x14ac:dyDescent="0.25">
      <c r="K28" s="343"/>
      <c r="L28" s="343"/>
      <c r="M28" s="343"/>
      <c r="N28" s="343"/>
      <c r="O28" s="343"/>
      <c r="P28" s="343"/>
      <c r="Q28" s="343"/>
      <c r="R28" s="343"/>
      <c r="S28" s="343"/>
    </row>
    <row r="29" spans="11:19" x14ac:dyDescent="0.25">
      <c r="K29" s="343"/>
      <c r="L29" s="343"/>
      <c r="M29" s="343"/>
      <c r="N29" s="343"/>
      <c r="O29" s="343"/>
      <c r="P29" s="343"/>
      <c r="Q29" s="343"/>
      <c r="R29" s="343"/>
      <c r="S29" s="343"/>
    </row>
    <row r="30" spans="11:19" x14ac:dyDescent="0.25">
      <c r="K30" s="343"/>
      <c r="L30" s="343"/>
      <c r="M30" s="343"/>
      <c r="N30" s="343"/>
      <c r="O30" s="343"/>
      <c r="P30" s="343"/>
      <c r="Q30" s="343"/>
      <c r="R30" s="343"/>
      <c r="S30" s="343"/>
    </row>
    <row r="31" spans="11:19" x14ac:dyDescent="0.25">
      <c r="K31" s="343"/>
      <c r="L31" s="343"/>
      <c r="M31" s="343"/>
      <c r="N31" s="343"/>
      <c r="O31" s="343"/>
      <c r="P31" s="343"/>
      <c r="Q31" s="343"/>
      <c r="R31" s="343"/>
      <c r="S31" s="343"/>
    </row>
    <row r="32" spans="11:19" x14ac:dyDescent="0.25">
      <c r="K32" s="343"/>
      <c r="L32" s="343"/>
      <c r="M32" s="343"/>
      <c r="N32" s="343"/>
      <c r="O32" s="343"/>
      <c r="P32" s="343"/>
      <c r="Q32" s="343"/>
      <c r="R32" s="343"/>
      <c r="S32" s="343"/>
    </row>
    <row r="33" spans="11:19" x14ac:dyDescent="0.25">
      <c r="K33" s="343"/>
      <c r="L33" s="343"/>
      <c r="M33" s="343"/>
      <c r="N33" s="343"/>
      <c r="O33" s="343"/>
      <c r="P33" s="343"/>
      <c r="Q33" s="343"/>
      <c r="R33" s="343"/>
      <c r="S33" s="343"/>
    </row>
    <row r="34" spans="11:19" x14ac:dyDescent="0.25">
      <c r="K34" s="343"/>
      <c r="L34" s="343"/>
      <c r="M34" s="343"/>
      <c r="N34" s="343"/>
      <c r="O34" s="343"/>
      <c r="P34" s="343"/>
      <c r="Q34" s="343"/>
      <c r="R34" s="343"/>
      <c r="S34" s="343"/>
    </row>
    <row r="35" spans="11:19" x14ac:dyDescent="0.25">
      <c r="K35" s="343"/>
      <c r="L35" s="343"/>
      <c r="M35" s="343"/>
      <c r="N35" s="343"/>
      <c r="O35" s="343"/>
      <c r="P35" s="343"/>
      <c r="Q35" s="343"/>
      <c r="R35" s="343"/>
      <c r="S35" s="343"/>
    </row>
    <row r="36" spans="11:19" x14ac:dyDescent="0.25">
      <c r="K36" s="343"/>
      <c r="L36" s="343"/>
      <c r="M36" s="343"/>
      <c r="N36" s="343"/>
      <c r="O36" s="343"/>
      <c r="P36" s="343"/>
      <c r="Q36" s="343"/>
      <c r="R36" s="343"/>
      <c r="S36" s="343"/>
    </row>
    <row r="37" spans="11:19" x14ac:dyDescent="0.25">
      <c r="K37" s="343"/>
      <c r="L37" s="343"/>
      <c r="M37" s="343"/>
      <c r="N37" s="343"/>
      <c r="O37" s="343"/>
      <c r="P37" s="343"/>
      <c r="Q37" s="343"/>
      <c r="R37" s="343"/>
      <c r="S37" s="343"/>
    </row>
    <row r="38" spans="11:19" x14ac:dyDescent="0.25">
      <c r="K38" s="343"/>
      <c r="L38" s="343"/>
      <c r="M38" s="343"/>
      <c r="N38" s="343"/>
      <c r="O38" s="343"/>
      <c r="P38" s="343"/>
      <c r="Q38" s="343"/>
      <c r="R38" s="343"/>
      <c r="S38" s="343"/>
    </row>
    <row r="39" spans="11:19" x14ac:dyDescent="0.25">
      <c r="K39" s="343"/>
      <c r="L39" s="343"/>
      <c r="M39" s="343"/>
      <c r="N39" s="343"/>
      <c r="O39" s="343"/>
      <c r="P39" s="343"/>
      <c r="Q39" s="343"/>
      <c r="R39" s="343"/>
      <c r="S39" s="343"/>
    </row>
    <row r="40" spans="11:19" x14ac:dyDescent="0.25">
      <c r="K40" s="343"/>
      <c r="L40" s="343"/>
      <c r="M40" s="343"/>
      <c r="N40" s="343"/>
      <c r="O40" s="343"/>
      <c r="P40" s="343"/>
      <c r="Q40" s="343"/>
      <c r="R40" s="343"/>
      <c r="S40" s="343"/>
    </row>
    <row r="41" spans="11:19" x14ac:dyDescent="0.25">
      <c r="K41" s="343"/>
      <c r="L41" s="343"/>
      <c r="M41" s="343"/>
      <c r="N41" s="343"/>
      <c r="O41" s="343"/>
      <c r="P41" s="343"/>
      <c r="Q41" s="343"/>
      <c r="R41" s="343"/>
      <c r="S41" s="343"/>
    </row>
    <row r="42" spans="11:19" x14ac:dyDescent="0.25">
      <c r="K42" s="343"/>
      <c r="L42" s="343"/>
      <c r="M42" s="343"/>
      <c r="N42" s="343"/>
      <c r="O42" s="343"/>
      <c r="P42" s="343"/>
      <c r="Q42" s="343"/>
      <c r="R42" s="343"/>
      <c r="S42" s="343"/>
    </row>
    <row r="43" spans="11:19" x14ac:dyDescent="0.25">
      <c r="K43" s="343"/>
      <c r="L43" s="343"/>
      <c r="M43" s="343"/>
      <c r="N43" s="343"/>
      <c r="O43" s="343"/>
      <c r="P43" s="343"/>
      <c r="Q43" s="343"/>
      <c r="R43" s="343"/>
      <c r="S43" s="343"/>
    </row>
    <row r="44" spans="11:19" x14ac:dyDescent="0.25">
      <c r="K44" s="343"/>
      <c r="L44" s="343"/>
      <c r="M44" s="343"/>
      <c r="N44" s="343"/>
      <c r="O44" s="343"/>
      <c r="P44" s="343"/>
      <c r="Q44" s="343"/>
      <c r="R44" s="343"/>
      <c r="S44" s="343"/>
    </row>
    <row r="45" spans="11:19" x14ac:dyDescent="0.25">
      <c r="K45" s="343"/>
      <c r="L45" s="343"/>
      <c r="M45" s="343"/>
      <c r="N45" s="343"/>
      <c r="O45" s="343"/>
      <c r="P45" s="343"/>
      <c r="Q45" s="343"/>
      <c r="R45" s="343"/>
      <c r="S45" s="343"/>
    </row>
    <row r="46" spans="11:19" x14ac:dyDescent="0.25">
      <c r="K46" s="343"/>
      <c r="L46" s="343"/>
      <c r="M46" s="343"/>
      <c r="N46" s="343"/>
      <c r="O46" s="343"/>
      <c r="P46" s="343"/>
      <c r="Q46" s="343"/>
      <c r="R46" s="343"/>
      <c r="S46" s="343"/>
    </row>
    <row r="47" spans="11:19" x14ac:dyDescent="0.25">
      <c r="K47" s="343"/>
      <c r="L47" s="343"/>
      <c r="M47" s="343"/>
      <c r="N47" s="343"/>
      <c r="O47" s="343"/>
      <c r="P47" s="343"/>
      <c r="Q47" s="343"/>
      <c r="R47" s="343"/>
      <c r="S47" s="343"/>
    </row>
    <row r="48" spans="11:19" x14ac:dyDescent="0.25">
      <c r="K48" s="343"/>
      <c r="L48" s="343"/>
      <c r="M48" s="343"/>
      <c r="N48" s="343"/>
      <c r="O48" s="343"/>
      <c r="P48" s="343"/>
      <c r="Q48" s="343"/>
      <c r="R48" s="343"/>
      <c r="S48" s="343"/>
    </row>
    <row r="49" spans="11:19" x14ac:dyDescent="0.25">
      <c r="K49" s="343"/>
      <c r="L49" s="343"/>
      <c r="M49" s="343"/>
      <c r="N49" s="343"/>
      <c r="O49" s="343"/>
      <c r="P49" s="343"/>
      <c r="Q49" s="343"/>
      <c r="R49" s="343"/>
      <c r="S49" s="343"/>
    </row>
    <row r="50" spans="11:19" x14ac:dyDescent="0.25">
      <c r="K50" s="343"/>
      <c r="L50" s="343"/>
      <c r="M50" s="343"/>
      <c r="N50" s="343"/>
      <c r="O50" s="343"/>
      <c r="P50" s="343"/>
      <c r="Q50" s="343"/>
      <c r="R50" s="343"/>
      <c r="S50" s="343"/>
    </row>
    <row r="51" spans="11:19" x14ac:dyDescent="0.25">
      <c r="K51" s="343"/>
      <c r="L51" s="343"/>
      <c r="M51" s="343"/>
      <c r="N51" s="343"/>
      <c r="O51" s="343"/>
      <c r="P51" s="343"/>
      <c r="Q51" s="343"/>
      <c r="R51" s="343"/>
      <c r="S51" s="343"/>
    </row>
    <row r="52" spans="11:19" x14ac:dyDescent="0.25">
      <c r="K52" s="343"/>
      <c r="L52" s="343"/>
      <c r="M52" s="343"/>
      <c r="N52" s="343"/>
      <c r="O52" s="343"/>
      <c r="P52" s="343"/>
      <c r="Q52" s="343"/>
      <c r="R52" s="343"/>
      <c r="S52" s="343"/>
    </row>
    <row r="53" spans="11:19" x14ac:dyDescent="0.25">
      <c r="K53" s="343"/>
      <c r="L53" s="343"/>
      <c r="M53" s="343"/>
      <c r="N53" s="343"/>
      <c r="O53" s="343"/>
      <c r="P53" s="343"/>
      <c r="Q53" s="343"/>
      <c r="R53" s="343"/>
      <c r="S53" s="343"/>
    </row>
    <row r="54" spans="11:19" x14ac:dyDescent="0.25">
      <c r="K54" s="343"/>
      <c r="L54" s="343"/>
      <c r="M54" s="343"/>
      <c r="N54" s="343"/>
      <c r="O54" s="343"/>
      <c r="P54" s="343"/>
      <c r="Q54" s="343"/>
      <c r="R54" s="343"/>
      <c r="S54" s="343"/>
    </row>
    <row r="55" spans="11:19" x14ac:dyDescent="0.25">
      <c r="K55" s="343"/>
      <c r="L55" s="343"/>
      <c r="M55" s="343"/>
      <c r="N55" s="343"/>
      <c r="O55" s="343"/>
      <c r="P55" s="343"/>
      <c r="Q55" s="343"/>
      <c r="R55" s="343"/>
      <c r="S55" s="343"/>
    </row>
    <row r="56" spans="11:19" x14ac:dyDescent="0.25">
      <c r="K56" s="343"/>
      <c r="L56" s="343"/>
      <c r="M56" s="343"/>
      <c r="N56" s="343"/>
      <c r="O56" s="343"/>
      <c r="P56" s="343"/>
      <c r="Q56" s="343"/>
      <c r="R56" s="343"/>
      <c r="S56" s="343"/>
    </row>
    <row r="57" spans="11:19" x14ac:dyDescent="0.25">
      <c r="K57" s="343"/>
      <c r="L57" s="343"/>
      <c r="M57" s="343"/>
      <c r="N57" s="343"/>
      <c r="O57" s="343"/>
      <c r="P57" s="343"/>
      <c r="Q57" s="343"/>
      <c r="R57" s="343"/>
      <c r="S57" s="343"/>
    </row>
    <row r="58" spans="11:19" x14ac:dyDescent="0.25">
      <c r="K58" s="343"/>
      <c r="L58" s="343"/>
      <c r="M58" s="343"/>
      <c r="N58" s="343"/>
      <c r="O58" s="343"/>
      <c r="P58" s="343"/>
      <c r="Q58" s="343"/>
      <c r="R58" s="343"/>
      <c r="S58" s="343"/>
    </row>
    <row r="59" spans="11:19" x14ac:dyDescent="0.25">
      <c r="K59" s="343"/>
      <c r="L59" s="343"/>
      <c r="M59" s="343"/>
      <c r="N59" s="343"/>
      <c r="O59" s="343"/>
      <c r="P59" s="343"/>
      <c r="Q59" s="343"/>
      <c r="R59" s="343"/>
      <c r="S59" s="343"/>
    </row>
    <row r="60" spans="11:19" x14ac:dyDescent="0.25">
      <c r="K60" s="343"/>
      <c r="L60" s="343"/>
      <c r="M60" s="343"/>
      <c r="N60" s="343"/>
      <c r="O60" s="343"/>
      <c r="P60" s="343"/>
      <c r="Q60" s="343"/>
      <c r="R60" s="343"/>
      <c r="S60" s="343"/>
    </row>
  </sheetData>
  <mergeCells count="10">
    <mergeCell ref="O9:P9"/>
    <mergeCell ref="N3:N5"/>
    <mergeCell ref="N6:N9"/>
    <mergeCell ref="O2:P2"/>
    <mergeCell ref="O3:P3"/>
    <mergeCell ref="O4:P4"/>
    <mergeCell ref="O5:P5"/>
    <mergeCell ref="O6:P6"/>
    <mergeCell ref="O7:P7"/>
    <mergeCell ref="O8:P8"/>
  </mergeCells>
  <pageMargins left="0.74803149606299213" right="0.74803149606299213" top="0.98425196850393704" bottom="0.98425196850393704" header="0.51181102362204722" footer="0.51181102362204722"/>
  <pageSetup paperSize="9" orientation="portrait" horizontalDpi="4294967293"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B3:W53"/>
  <sheetViews>
    <sheetView showGridLines="0" zoomScale="80" zoomScaleNormal="80" workbookViewId="0">
      <selection activeCell="O7" sqref="O7"/>
    </sheetView>
  </sheetViews>
  <sheetFormatPr defaultRowHeight="14.5" x14ac:dyDescent="0.35"/>
  <cols>
    <col min="1" max="1" width="5.1796875" customWidth="1"/>
    <col min="3" max="3" width="13.1796875" customWidth="1"/>
    <col min="5" max="5" width="10.81640625" style="3" customWidth="1"/>
    <col min="6" max="6" width="13.26953125" style="2" customWidth="1"/>
    <col min="7" max="7" width="15.7265625" style="2" customWidth="1"/>
    <col min="8" max="9" width="13.26953125" style="2" customWidth="1"/>
    <col min="10" max="10" width="12.7265625" customWidth="1"/>
    <col min="12" max="12" width="11.54296875" customWidth="1"/>
    <col min="13" max="18" width="13.7265625" customWidth="1"/>
    <col min="19" max="19" width="13.7265625" style="3" customWidth="1"/>
    <col min="21" max="23" width="12.26953125" customWidth="1"/>
  </cols>
  <sheetData>
    <row r="3" spans="2:23" x14ac:dyDescent="0.35">
      <c r="E3" s="208" t="s">
        <v>35</v>
      </c>
    </row>
    <row r="6" spans="2:23" ht="29.15" customHeight="1" x14ac:dyDescent="0.35">
      <c r="E6" s="323" t="s">
        <v>36</v>
      </c>
      <c r="F6" s="324"/>
      <c r="G6" s="324"/>
      <c r="H6" s="324"/>
      <c r="I6" s="324"/>
      <c r="J6" s="325"/>
      <c r="L6" s="322" t="s">
        <v>37</v>
      </c>
      <c r="M6" s="322"/>
      <c r="N6" s="322"/>
      <c r="O6" s="322"/>
      <c r="P6" s="322"/>
      <c r="Q6" s="322"/>
      <c r="R6" s="322"/>
      <c r="S6" s="322"/>
      <c r="U6" s="321" t="s">
        <v>38</v>
      </c>
      <c r="V6" s="321"/>
      <c r="W6" s="321"/>
    </row>
    <row r="7" spans="2:23" ht="58.5" thickBot="1" x14ac:dyDescent="0.4">
      <c r="E7" s="135" t="s">
        <v>6</v>
      </c>
      <c r="F7" s="136" t="s">
        <v>39</v>
      </c>
      <c r="G7" s="136" t="s">
        <v>40</v>
      </c>
      <c r="H7" s="136" t="s">
        <v>3</v>
      </c>
      <c r="I7" s="136" t="s">
        <v>4</v>
      </c>
      <c r="J7" s="136" t="s">
        <v>41</v>
      </c>
      <c r="L7" s="136" t="s">
        <v>42</v>
      </c>
      <c r="M7" s="136" t="s">
        <v>43</v>
      </c>
      <c r="N7" s="136" t="s">
        <v>44</v>
      </c>
      <c r="O7" s="136" t="s">
        <v>45</v>
      </c>
      <c r="P7" s="136" t="s">
        <v>46</v>
      </c>
      <c r="Q7" s="136" t="s">
        <v>47</v>
      </c>
      <c r="R7" s="136" t="s">
        <v>48</v>
      </c>
      <c r="S7" s="136" t="s">
        <v>49</v>
      </c>
      <c r="U7" s="135" t="s">
        <v>50</v>
      </c>
      <c r="V7" s="136" t="s">
        <v>51</v>
      </c>
      <c r="W7" s="136" t="s">
        <v>52</v>
      </c>
    </row>
    <row r="8" spans="2:23" x14ac:dyDescent="0.35">
      <c r="B8" s="1"/>
      <c r="C8" s="209" t="s">
        <v>25</v>
      </c>
      <c r="E8" s="173">
        <v>2005</v>
      </c>
      <c r="F8" s="147">
        <v>14509.03867398</v>
      </c>
      <c r="G8" s="147">
        <v>14275.618249000001</v>
      </c>
      <c r="H8" s="147">
        <v>6092.46</v>
      </c>
      <c r="I8" s="147">
        <v>612.13975960000005</v>
      </c>
      <c r="J8" s="133">
        <f>SUM(F8:I8)</f>
        <v>35489.256682580002</v>
      </c>
      <c r="L8" s="144">
        <v>2005</v>
      </c>
      <c r="M8" s="158">
        <v>73655.882400000002</v>
      </c>
      <c r="N8" s="158">
        <v>16802.229600000002</v>
      </c>
      <c r="O8" s="158">
        <v>90458.111999999994</v>
      </c>
      <c r="P8" s="159">
        <v>0.81425403174454947</v>
      </c>
      <c r="Q8" s="158">
        <f t="shared" ref="Q8:Q23" si="0">Q$24*O8/O$24</f>
        <v>88565.794726420601</v>
      </c>
      <c r="R8" s="176">
        <f t="shared" ref="R8:R53" si="1">Q8*P8</f>
        <v>72115.055430648135</v>
      </c>
      <c r="S8" s="174">
        <f t="shared" ref="S8:S53" si="2">Q8-R8</f>
        <v>16450.739295772466</v>
      </c>
      <c r="U8" s="224">
        <v>2018</v>
      </c>
      <c r="V8" s="224">
        <v>182</v>
      </c>
      <c r="W8" s="225">
        <f>(V8/(U9-U8))/1000</f>
        <v>4.5499999999999999E-2</v>
      </c>
    </row>
    <row r="9" spans="2:23" x14ac:dyDescent="0.35">
      <c r="B9" s="320" t="s">
        <v>26</v>
      </c>
      <c r="C9" s="217" t="s">
        <v>27</v>
      </c>
      <c r="E9" s="119">
        <v>2006</v>
      </c>
      <c r="F9" s="139">
        <v>15115.376742599998</v>
      </c>
      <c r="G9" s="139">
        <v>15031.114292399998</v>
      </c>
      <c r="H9" s="125">
        <v>6109.13</v>
      </c>
      <c r="I9" s="125">
        <v>546.18665639999995</v>
      </c>
      <c r="J9" s="125">
        <f t="shared" ref="J9:J23" si="3">SUM(F9:I9)</f>
        <v>36801.807691399998</v>
      </c>
      <c r="L9" s="138">
        <v>2006</v>
      </c>
      <c r="M9" s="153">
        <v>75648.873600000006</v>
      </c>
      <c r="N9" s="153">
        <v>16248.446400000001</v>
      </c>
      <c r="O9" s="153">
        <v>91897.319999999992</v>
      </c>
      <c r="P9" s="154">
        <v>0.82318911585234489</v>
      </c>
      <c r="Q9" s="153">
        <f t="shared" si="0"/>
        <v>89974.895551967609</v>
      </c>
      <c r="R9" s="175">
        <f t="shared" si="1"/>
        <v>74066.354718331291</v>
      </c>
      <c r="S9" s="174">
        <f t="shared" si="2"/>
        <v>15908.540833636318</v>
      </c>
      <c r="U9" s="85">
        <v>2022</v>
      </c>
      <c r="V9" s="85">
        <v>1318</v>
      </c>
      <c r="W9" s="223">
        <f>(V9/(U10-U9))/1000</f>
        <v>0.4393333333333333</v>
      </c>
    </row>
    <row r="10" spans="2:23" x14ac:dyDescent="0.35">
      <c r="B10" s="320"/>
      <c r="C10" s="222" t="s">
        <v>28</v>
      </c>
      <c r="E10" s="119">
        <v>2007</v>
      </c>
      <c r="F10" s="139">
        <v>15818.96501776</v>
      </c>
      <c r="G10" s="139">
        <v>15820.738804100001</v>
      </c>
      <c r="H10" s="125">
        <v>6163.74</v>
      </c>
      <c r="I10" s="125">
        <v>501.46932709999999</v>
      </c>
      <c r="J10" s="125">
        <f t="shared" si="3"/>
        <v>38304.913148959997</v>
      </c>
      <c r="L10" s="138">
        <v>2007</v>
      </c>
      <c r="M10" s="153">
        <v>78843.98771999999</v>
      </c>
      <c r="N10" s="153">
        <v>16515.332279999999</v>
      </c>
      <c r="O10" s="153">
        <v>95359.319999999992</v>
      </c>
      <c r="P10" s="154">
        <v>0.8268094583728155</v>
      </c>
      <c r="Q10" s="153">
        <f t="shared" si="0"/>
        <v>93364.473054346468</v>
      </c>
      <c r="R10" s="175">
        <f t="shared" si="1"/>
        <v>77194.629397327531</v>
      </c>
      <c r="S10" s="174">
        <f t="shared" si="2"/>
        <v>16169.843657018937</v>
      </c>
      <c r="U10" s="85">
        <v>2025</v>
      </c>
      <c r="V10" s="85">
        <v>500</v>
      </c>
      <c r="W10" s="223">
        <f>(V10/(U11-U10))/1000</f>
        <v>0.1</v>
      </c>
    </row>
    <row r="11" spans="2:23" x14ac:dyDescent="0.35">
      <c r="B11" s="320"/>
      <c r="C11" s="214" t="s">
        <v>29</v>
      </c>
      <c r="E11" s="119">
        <v>2008</v>
      </c>
      <c r="F11" s="139">
        <v>16030.87601652</v>
      </c>
      <c r="G11" s="139">
        <v>16404.464580600001</v>
      </c>
      <c r="H11" s="125">
        <v>6094.03</v>
      </c>
      <c r="I11" s="125">
        <v>457.58549640000001</v>
      </c>
      <c r="J11" s="125">
        <f t="shared" si="3"/>
        <v>38986.956093520006</v>
      </c>
      <c r="L11" s="138">
        <v>2008</v>
      </c>
      <c r="M11" s="153">
        <v>80108.063999999998</v>
      </c>
      <c r="N11" s="153">
        <v>13503.023999999999</v>
      </c>
      <c r="O11" s="153">
        <v>93611.087999999989</v>
      </c>
      <c r="P11" s="154">
        <v>0.85575401067873502</v>
      </c>
      <c r="Q11" s="153">
        <f t="shared" si="0"/>
        <v>91652.812783942412</v>
      </c>
      <c r="R11" s="175">
        <f t="shared" si="1"/>
        <v>78432.262129845956</v>
      </c>
      <c r="S11" s="174">
        <f t="shared" si="2"/>
        <v>13220.550654096456</v>
      </c>
      <c r="U11" s="85">
        <v>2030</v>
      </c>
      <c r="V11" s="85">
        <v>4000</v>
      </c>
      <c r="W11" s="223">
        <f>(V11/(U12-U11))/1000</f>
        <v>0.2</v>
      </c>
    </row>
    <row r="12" spans="2:23" x14ac:dyDescent="0.35">
      <c r="B12" s="319" t="s">
        <v>30</v>
      </c>
      <c r="C12" s="210" t="s">
        <v>31</v>
      </c>
      <c r="E12" s="119">
        <v>2009</v>
      </c>
      <c r="F12" s="139">
        <v>15570.259369439998</v>
      </c>
      <c r="G12" s="139">
        <v>16407.874312400003</v>
      </c>
      <c r="H12" s="125">
        <v>6430.8</v>
      </c>
      <c r="I12" s="125">
        <v>413.94056389999997</v>
      </c>
      <c r="J12" s="125">
        <f t="shared" si="3"/>
        <v>38822.874245740008</v>
      </c>
      <c r="L12" s="138">
        <v>2009</v>
      </c>
      <c r="M12" s="153">
        <v>75387.312000000005</v>
      </c>
      <c r="N12" s="153">
        <v>15578.495999999999</v>
      </c>
      <c r="O12" s="153">
        <v>90965.80799999999</v>
      </c>
      <c r="P12" s="154">
        <v>0.82874338894455835</v>
      </c>
      <c r="Q12" s="153">
        <f t="shared" si="0"/>
        <v>89062.870098935848</v>
      </c>
      <c r="R12" s="175">
        <f t="shared" si="1"/>
        <v>73810.264794921066</v>
      </c>
      <c r="S12" s="174">
        <f t="shared" si="2"/>
        <v>15252.605304014782</v>
      </c>
      <c r="U12" s="23">
        <v>2050</v>
      </c>
      <c r="V12" s="162"/>
      <c r="W12" s="163"/>
    </row>
    <row r="13" spans="2:23" x14ac:dyDescent="0.35">
      <c r="B13" s="319"/>
      <c r="C13" s="211" t="s">
        <v>32</v>
      </c>
      <c r="E13" s="119">
        <v>2010</v>
      </c>
      <c r="F13" s="139">
        <v>17662.576234049997</v>
      </c>
      <c r="G13" s="139">
        <v>17568.402622199999</v>
      </c>
      <c r="H13" s="125">
        <v>6635.97</v>
      </c>
      <c r="I13" s="125">
        <v>384.80570519999998</v>
      </c>
      <c r="J13" s="125">
        <f t="shared" si="3"/>
        <v>42251.754561449998</v>
      </c>
      <c r="L13" s="138">
        <v>2010</v>
      </c>
      <c r="M13" s="153">
        <v>75953.22</v>
      </c>
      <c r="N13" s="153">
        <v>12904.199999999997</v>
      </c>
      <c r="O13" s="153">
        <v>88857.420000000013</v>
      </c>
      <c r="P13" s="154">
        <v>0.85477633719277457</v>
      </c>
      <c r="Q13" s="153">
        <f t="shared" si="0"/>
        <v>86998.5880275651</v>
      </c>
      <c r="R13" s="175">
        <f t="shared" si="1"/>
        <v>74364.334415145262</v>
      </c>
      <c r="S13" s="174">
        <f t="shared" si="2"/>
        <v>12634.253612419838</v>
      </c>
      <c r="W13" s="56"/>
    </row>
    <row r="14" spans="2:23" x14ac:dyDescent="0.35">
      <c r="B14" s="319"/>
      <c r="C14" s="212" t="s">
        <v>33</v>
      </c>
      <c r="E14" s="119">
        <v>2011</v>
      </c>
      <c r="F14" s="139">
        <v>18077.506449780001</v>
      </c>
      <c r="G14" s="139">
        <v>18100.4223385</v>
      </c>
      <c r="H14" s="125">
        <v>6482.7</v>
      </c>
      <c r="I14" s="125">
        <v>346.50770440000002</v>
      </c>
      <c r="J14" s="125">
        <f t="shared" si="3"/>
        <v>43007.136492679994</v>
      </c>
      <c r="L14" s="138">
        <v>2011</v>
      </c>
      <c r="M14" s="153">
        <v>76721.243999999992</v>
      </c>
      <c r="N14" s="153">
        <v>14094.936000000002</v>
      </c>
      <c r="O14" s="153">
        <v>90816.18</v>
      </c>
      <c r="P14" s="154">
        <v>0.84479708351529426</v>
      </c>
      <c r="Q14" s="153">
        <f t="shared" si="0"/>
        <v>88916.372206813961</v>
      </c>
      <c r="R14" s="175">
        <f t="shared" si="1"/>
        <v>75116.2919170768</v>
      </c>
      <c r="S14" s="174">
        <f t="shared" si="2"/>
        <v>13800.080289737161</v>
      </c>
      <c r="W14" s="56"/>
    </row>
    <row r="15" spans="2:23" x14ac:dyDescent="0.35">
      <c r="B15" s="319"/>
      <c r="C15" s="213" t="s">
        <v>34</v>
      </c>
      <c r="E15" s="119">
        <v>2012</v>
      </c>
      <c r="F15" s="139">
        <v>18572.531231070003</v>
      </c>
      <c r="G15" s="139">
        <v>18694.678114300001</v>
      </c>
      <c r="H15" s="125">
        <v>6629.53</v>
      </c>
      <c r="I15" s="125">
        <v>303.96886869999997</v>
      </c>
      <c r="J15" s="125">
        <f t="shared" si="3"/>
        <v>44200.708214070008</v>
      </c>
      <c r="L15" s="138">
        <v>2012</v>
      </c>
      <c r="M15" s="153">
        <v>76078.680000000008</v>
      </c>
      <c r="N15" s="153">
        <v>15494.736000000001</v>
      </c>
      <c r="O15" s="153">
        <v>91573.415999999997</v>
      </c>
      <c r="P15" s="154">
        <v>0.83079438687751928</v>
      </c>
      <c r="Q15" s="153">
        <f t="shared" si="0"/>
        <v>89657.767385783169</v>
      </c>
      <c r="R15" s="175">
        <f t="shared" si="1"/>
        <v>74487.169884078976</v>
      </c>
      <c r="S15" s="174">
        <f t="shared" si="2"/>
        <v>15170.597501704193</v>
      </c>
      <c r="W15" s="56"/>
    </row>
    <row r="16" spans="2:23" x14ac:dyDescent="0.35">
      <c r="E16" s="119">
        <v>2013</v>
      </c>
      <c r="F16" s="139">
        <v>18842.820084520001</v>
      </c>
      <c r="G16" s="139">
        <v>19087.70264</v>
      </c>
      <c r="H16" s="125">
        <v>6754.91</v>
      </c>
      <c r="I16" s="125">
        <v>263.38273240000001</v>
      </c>
      <c r="J16" s="125">
        <f t="shared" si="3"/>
        <v>44948.815456919998</v>
      </c>
      <c r="L16" s="138">
        <v>2013</v>
      </c>
      <c r="M16" s="153">
        <v>85380.012000000002</v>
      </c>
      <c r="N16" s="153">
        <v>13122.503999999999</v>
      </c>
      <c r="O16" s="153">
        <v>98502.515999999989</v>
      </c>
      <c r="P16" s="154">
        <v>0.86678001199482069</v>
      </c>
      <c r="Q16" s="153">
        <f t="shared" si="0"/>
        <v>96441.915702286176</v>
      </c>
      <c r="R16" s="175">
        <f t="shared" si="1"/>
        <v>83593.924849231102</v>
      </c>
      <c r="S16" s="174">
        <f t="shared" si="2"/>
        <v>12847.990853055075</v>
      </c>
      <c r="W16" s="56"/>
    </row>
    <row r="17" spans="5:23" x14ac:dyDescent="0.35">
      <c r="E17" s="119">
        <v>2014</v>
      </c>
      <c r="F17" s="139">
        <v>19753.195991640001</v>
      </c>
      <c r="G17" s="139">
        <v>19487.659328599999</v>
      </c>
      <c r="H17" s="125">
        <v>6924.39</v>
      </c>
      <c r="I17" s="125">
        <v>237.70066349999999</v>
      </c>
      <c r="J17" s="125">
        <f t="shared" si="3"/>
        <v>46402.945983739999</v>
      </c>
      <c r="L17" s="138">
        <v>2014</v>
      </c>
      <c r="M17" s="153">
        <v>98190.086400000015</v>
      </c>
      <c r="N17" s="153">
        <v>13546.008</v>
      </c>
      <c r="O17" s="153">
        <v>111736.09440000002</v>
      </c>
      <c r="P17" s="154">
        <v>0.8787678406629541</v>
      </c>
      <c r="Q17" s="153">
        <f t="shared" si="0"/>
        <v>109398.65736046268</v>
      </c>
      <c r="R17" s="175">
        <f t="shared" si="1"/>
        <v>96136.021900080174</v>
      </c>
      <c r="S17" s="174">
        <f t="shared" si="2"/>
        <v>13262.635460382502</v>
      </c>
      <c r="W17" s="58"/>
    </row>
    <row r="18" spans="5:23" x14ac:dyDescent="0.35">
      <c r="E18" s="119">
        <v>2015</v>
      </c>
      <c r="F18" s="139">
        <v>20088.001957660003</v>
      </c>
      <c r="G18" s="139">
        <v>19925.871674299997</v>
      </c>
      <c r="H18" s="125">
        <v>7220.93</v>
      </c>
      <c r="I18" s="125">
        <v>279.13905770000002</v>
      </c>
      <c r="J18" s="125">
        <f t="shared" si="3"/>
        <v>47513.942689659998</v>
      </c>
      <c r="L18" s="138">
        <v>2015</v>
      </c>
      <c r="M18" s="153">
        <v>101673.9264</v>
      </c>
      <c r="N18" s="153">
        <v>13915.560000000001</v>
      </c>
      <c r="O18" s="153">
        <v>115589.48640000002</v>
      </c>
      <c r="P18" s="154">
        <v>0.87961223435282931</v>
      </c>
      <c r="Q18" s="153">
        <f t="shared" si="0"/>
        <v>113171.43922962697</v>
      </c>
      <c r="R18" s="175">
        <f t="shared" si="1"/>
        <v>99546.982525697618</v>
      </c>
      <c r="S18" s="174">
        <f t="shared" si="2"/>
        <v>13624.456703929347</v>
      </c>
      <c r="W18" s="58"/>
    </row>
    <row r="19" spans="5:23" x14ac:dyDescent="0.35">
      <c r="E19" s="119">
        <v>2016</v>
      </c>
      <c r="F19" s="139">
        <v>20418.4394293</v>
      </c>
      <c r="G19" s="139">
        <v>20338.691053099999</v>
      </c>
      <c r="H19" s="125">
        <v>7589.44</v>
      </c>
      <c r="I19" s="125">
        <v>280.06596469999999</v>
      </c>
      <c r="J19" s="125">
        <f t="shared" si="3"/>
        <v>48626.636447099998</v>
      </c>
      <c r="L19" s="138">
        <v>2016</v>
      </c>
      <c r="M19" s="153">
        <v>103223.1744</v>
      </c>
      <c r="N19" s="153">
        <v>15976.127999999997</v>
      </c>
      <c r="O19" s="153">
        <v>119199.30240000002</v>
      </c>
      <c r="P19" s="154">
        <v>0.86597129615416268</v>
      </c>
      <c r="Q19" s="153">
        <f t="shared" si="0"/>
        <v>116705.74052983704</v>
      </c>
      <c r="R19" s="175">
        <f t="shared" si="1"/>
        <v>101063.82139525439</v>
      </c>
      <c r="S19" s="174">
        <f t="shared" si="2"/>
        <v>15641.919134582655</v>
      </c>
      <c r="W19" s="58"/>
    </row>
    <row r="20" spans="5:23" x14ac:dyDescent="0.35">
      <c r="E20" s="119">
        <v>2017</v>
      </c>
      <c r="F20" s="139">
        <v>21516.323319549996</v>
      </c>
      <c r="G20" s="139">
        <v>20555.026396699999</v>
      </c>
      <c r="H20" s="125">
        <v>7295.82</v>
      </c>
      <c r="I20" s="125">
        <v>276.48227459999998</v>
      </c>
      <c r="J20" s="125">
        <f t="shared" si="3"/>
        <v>49643.651990849998</v>
      </c>
      <c r="L20" s="138">
        <v>2017</v>
      </c>
      <c r="M20" s="153">
        <v>102049.13040000001</v>
      </c>
      <c r="N20" s="153">
        <v>17969.736000000001</v>
      </c>
      <c r="O20" s="153">
        <v>120018.86640000003</v>
      </c>
      <c r="P20" s="154">
        <v>0.85027573964821235</v>
      </c>
      <c r="Q20" s="153">
        <f t="shared" si="0"/>
        <v>117508.15985281787</v>
      </c>
      <c r="R20" s="175">
        <f t="shared" si="1"/>
        <v>99914.337533555095</v>
      </c>
      <c r="S20" s="174">
        <f t="shared" si="2"/>
        <v>17593.822319262777</v>
      </c>
      <c r="W20" s="58"/>
    </row>
    <row r="21" spans="5:23" x14ac:dyDescent="0.35">
      <c r="E21" s="119">
        <v>2018</v>
      </c>
      <c r="F21" s="139">
        <v>21450.730733389999</v>
      </c>
      <c r="G21" s="139">
        <v>21506.032864999997</v>
      </c>
      <c r="H21" s="125">
        <v>7221.43</v>
      </c>
      <c r="I21" s="125">
        <v>270.70364819999998</v>
      </c>
      <c r="J21" s="125">
        <f t="shared" si="3"/>
        <v>50448.897246589993</v>
      </c>
      <c r="L21" s="138">
        <v>2018</v>
      </c>
      <c r="M21" s="153">
        <v>104565.58344000002</v>
      </c>
      <c r="N21" s="153">
        <v>16257.599999999999</v>
      </c>
      <c r="O21" s="153">
        <v>120823.18344000002</v>
      </c>
      <c r="P21" s="154">
        <v>0.86544304216190915</v>
      </c>
      <c r="Q21" s="153">
        <f t="shared" si="0"/>
        <v>118295.65117100504</v>
      </c>
      <c r="R21" s="175">
        <f t="shared" si="1"/>
        <v>102378.14822395862</v>
      </c>
      <c r="S21" s="174">
        <f t="shared" si="2"/>
        <v>15917.502947046421</v>
      </c>
      <c r="W21" s="58"/>
    </row>
    <row r="22" spans="5:23" x14ac:dyDescent="0.35">
      <c r="E22" s="119">
        <v>2019</v>
      </c>
      <c r="F22" s="139">
        <v>21444.449255319996</v>
      </c>
      <c r="G22" s="139">
        <v>22335.898471799999</v>
      </c>
      <c r="H22" s="125">
        <v>7688.01</v>
      </c>
      <c r="I22" s="125">
        <v>251.67027659999999</v>
      </c>
      <c r="J22" s="125">
        <f t="shared" si="3"/>
        <v>51720.028003719999</v>
      </c>
      <c r="L22" s="138">
        <v>2019</v>
      </c>
      <c r="M22" s="153">
        <v>97784.063999999998</v>
      </c>
      <c r="N22" s="153">
        <v>19007.112000000001</v>
      </c>
      <c r="O22" s="153">
        <v>116791.17600000001</v>
      </c>
      <c r="P22" s="154">
        <v>0.83725558170593295</v>
      </c>
      <c r="Q22" s="153">
        <f t="shared" si="0"/>
        <v>114347.99036567623</v>
      </c>
      <c r="R22" s="175">
        <f t="shared" si="1"/>
        <v>95738.493190518668</v>
      </c>
      <c r="S22" s="174">
        <f t="shared" si="2"/>
        <v>18609.497175157565</v>
      </c>
      <c r="W22" s="58"/>
    </row>
    <row r="23" spans="5:23" x14ac:dyDescent="0.35">
      <c r="E23" s="119">
        <v>2020</v>
      </c>
      <c r="F23" s="139">
        <f>VLOOKUP(E23,'Goods Model'!B2:H48,6)</f>
        <v>20957.2</v>
      </c>
      <c r="G23" s="139">
        <f>VLOOKUP(E23,'Services Model'!B2:H48,6)</f>
        <v>21324.9</v>
      </c>
      <c r="H23" s="139">
        <f>VLOOKUP(E23,'Household Model'!B1:H47,7)</f>
        <v>8244.5</v>
      </c>
      <c r="I23" s="125">
        <v>129.8651031</v>
      </c>
      <c r="J23" s="125">
        <f t="shared" si="3"/>
        <v>50656.465103100003</v>
      </c>
      <c r="L23" s="138">
        <v>2020</v>
      </c>
      <c r="M23" s="153">
        <v>93194.285327999998</v>
      </c>
      <c r="N23" s="153">
        <v>15363.071999999998</v>
      </c>
      <c r="O23" s="153">
        <v>108557.35732800003</v>
      </c>
      <c r="P23" s="154">
        <v>0.85847967951558213</v>
      </c>
      <c r="Q23" s="153">
        <f t="shared" si="0"/>
        <v>106286.41713364904</v>
      </c>
      <c r="R23" s="175">
        <f t="shared" si="1"/>
        <v>91244.729317754507</v>
      </c>
      <c r="S23" s="174">
        <f t="shared" si="2"/>
        <v>15041.687815894533</v>
      </c>
      <c r="W23" s="58"/>
    </row>
    <row r="24" spans="5:23" x14ac:dyDescent="0.35">
      <c r="E24" s="23">
        <v>2021</v>
      </c>
      <c r="F24" s="220">
        <f>VLOOKUP(E24,'Goods Model'!B3:H49,6)</f>
        <v>22774.896272693099</v>
      </c>
      <c r="G24" s="220">
        <f>VLOOKUP(E24,'Services Model'!B3:H49,6)</f>
        <v>22707.777313151149</v>
      </c>
      <c r="H24" s="220">
        <f>VLOOKUP(E24,'Household Model'!B2:H48,7)</f>
        <v>7419.7225511039451</v>
      </c>
      <c r="I24" s="220">
        <f>_xlfn.FORECAST.LINEAR($E24,I$15:I$22,$E$15:$E$22)</f>
        <v>256.49423294642838</v>
      </c>
      <c r="J24" s="215">
        <f>SUM(F24:I24)</f>
        <v>53158.890369894623</v>
      </c>
      <c r="L24" s="5">
        <v>2021</v>
      </c>
      <c r="M24" s="155">
        <f t="shared" ref="M24:M53" si="4">P24*O24</f>
        <v>92365.25</v>
      </c>
      <c r="N24" s="155">
        <f t="shared" ref="N24:N53" si="5">(1-P24)*O24</f>
        <v>16299.750000000002</v>
      </c>
      <c r="O24" s="221">
        <v>108665</v>
      </c>
      <c r="P24" s="218">
        <v>0.85</v>
      </c>
      <c r="Q24" s="155">
        <f>12112*24*366/1000</f>
        <v>106391.808</v>
      </c>
      <c r="R24" s="175">
        <f t="shared" si="1"/>
        <v>90433.036800000002</v>
      </c>
      <c r="S24" s="216">
        <f t="shared" si="2"/>
        <v>15958.771200000003</v>
      </c>
      <c r="W24" s="58"/>
    </row>
    <row r="25" spans="5:23" x14ac:dyDescent="0.35">
      <c r="E25" s="23">
        <v>2022</v>
      </c>
      <c r="F25" s="220">
        <f>VLOOKUP(E25,'Goods Model'!B4:H50,6)</f>
        <v>23275.081613134476</v>
      </c>
      <c r="G25" s="220">
        <f>VLOOKUP(E25,'Services Model'!B4:H50,6)</f>
        <v>23201.158888934166</v>
      </c>
      <c r="H25" s="220">
        <f>VLOOKUP(E25,'Household Model'!B3:H49,7)</f>
        <v>7466.785187540102</v>
      </c>
      <c r="I25" s="220">
        <f t="shared" ref="I25:I53" si="6">_xlfn.FORECAST.LINEAR($E25,I$15:I$22,$E$15:$E$22)</f>
        <v>253.9678778821426</v>
      </c>
      <c r="J25" s="215">
        <f t="shared" ref="J25:J53" si="7">SUM(F25:I25)</f>
        <v>54196.993567490885</v>
      </c>
      <c r="L25" s="5">
        <v>2022</v>
      </c>
      <c r="M25" s="155">
        <f t="shared" si="4"/>
        <v>92704.043000000005</v>
      </c>
      <c r="N25" s="155">
        <f t="shared" si="5"/>
        <v>16359.537000000002</v>
      </c>
      <c r="O25" s="221">
        <f>O24+(LOOKUP(L24,$U$8:$U$12,$W$8:$W$12)*24*(365+IF(MOD(L24,4),0,1)))</f>
        <v>109063.58</v>
      </c>
      <c r="P25" s="219">
        <v>0.85</v>
      </c>
      <c r="Q25" s="155">
        <f t="shared" ref="Q25:Q53" si="8">Q$24*O25/O$24</f>
        <v>106782.04999910404</v>
      </c>
      <c r="R25" s="175">
        <f t="shared" si="1"/>
        <v>90764.742499238433</v>
      </c>
      <c r="S25" s="216">
        <f t="shared" si="2"/>
        <v>16017.307499865608</v>
      </c>
      <c r="W25" s="58"/>
    </row>
    <row r="26" spans="5:23" x14ac:dyDescent="0.35">
      <c r="E26" s="23">
        <v>2023</v>
      </c>
      <c r="F26" s="220">
        <f>VLOOKUP(E26,'Goods Model'!B5:H51,6)</f>
        <v>23775.266953575752</v>
      </c>
      <c r="G26" s="220">
        <f>VLOOKUP(E26,'Services Model'!B5:H51,6)</f>
        <v>23694.540464717265</v>
      </c>
      <c r="H26" s="220">
        <f>VLOOKUP(E26,'Household Model'!B4:H50,7)</f>
        <v>7513.1379577932248</v>
      </c>
      <c r="I26" s="220">
        <f t="shared" si="6"/>
        <v>251.44152281785682</v>
      </c>
      <c r="J26" s="215">
        <f t="shared" si="7"/>
        <v>55234.386898904093</v>
      </c>
      <c r="L26" s="5">
        <v>2023</v>
      </c>
      <c r="M26" s="155">
        <f t="shared" si="4"/>
        <v>95975.319000000003</v>
      </c>
      <c r="N26" s="155">
        <f t="shared" si="5"/>
        <v>16936.821000000004</v>
      </c>
      <c r="O26" s="221">
        <f t="shared" ref="O26:O53" si="9">O25+(LOOKUP(L25,$U$8:$U$12,$W$8:$W$12)*24*(365+IF(MOD(L25,4),0,1)))</f>
        <v>112912.14</v>
      </c>
      <c r="P26" s="219">
        <v>0.85</v>
      </c>
      <c r="Q26" s="155">
        <f t="shared" si="8"/>
        <v>110550.10095015986</v>
      </c>
      <c r="R26" s="175">
        <f t="shared" si="1"/>
        <v>93967.585807635885</v>
      </c>
      <c r="S26" s="216">
        <f t="shared" si="2"/>
        <v>16582.515142523975</v>
      </c>
      <c r="W26" s="58"/>
    </row>
    <row r="27" spans="5:23" x14ac:dyDescent="0.35">
      <c r="E27" s="23">
        <v>2024</v>
      </c>
      <c r="F27" s="220">
        <f>VLOOKUP(E27,'Goods Model'!B6:H52,6)</f>
        <v>24275.452294017123</v>
      </c>
      <c r="G27" s="220">
        <f>VLOOKUP(E27,'Services Model'!B6:H52,6)</f>
        <v>24187.922040500322</v>
      </c>
      <c r="H27" s="220">
        <f>VLOOKUP(E27,'Household Model'!B5:H51,7)</f>
        <v>7558.7575821221026</v>
      </c>
      <c r="I27" s="220">
        <f t="shared" si="6"/>
        <v>248.91516775357104</v>
      </c>
      <c r="J27" s="215">
        <f t="shared" si="7"/>
        <v>56271.047084393118</v>
      </c>
      <c r="L27" s="5">
        <v>2024</v>
      </c>
      <c r="M27" s="155">
        <f t="shared" si="4"/>
        <v>99246.595000000001</v>
      </c>
      <c r="N27" s="155">
        <f t="shared" si="5"/>
        <v>17514.105000000003</v>
      </c>
      <c r="O27" s="221">
        <f t="shared" si="9"/>
        <v>116760.7</v>
      </c>
      <c r="P27" s="219">
        <v>0.85</v>
      </c>
      <c r="Q27" s="155">
        <f t="shared" si="8"/>
        <v>114318.15190121566</v>
      </c>
      <c r="R27" s="175">
        <f t="shared" si="1"/>
        <v>97170.429116033309</v>
      </c>
      <c r="S27" s="216">
        <f t="shared" si="2"/>
        <v>17147.722785182355</v>
      </c>
      <c r="W27" s="58"/>
    </row>
    <row r="28" spans="5:23" x14ac:dyDescent="0.35">
      <c r="E28" s="23">
        <v>2025</v>
      </c>
      <c r="F28" s="220">
        <f>VLOOKUP(E28,'Goods Model'!B7:H53,6)</f>
        <v>24775.637634458493</v>
      </c>
      <c r="G28" s="220">
        <f>VLOOKUP(E28,'Services Model'!B7:H53,6)</f>
        <v>24681.303616283338</v>
      </c>
      <c r="H28" s="220">
        <f>VLOOKUP(E28,'Household Model'!B6:H52,7)</f>
        <v>7603.6210051871803</v>
      </c>
      <c r="I28" s="220">
        <f t="shared" si="6"/>
        <v>246.38881268928526</v>
      </c>
      <c r="J28" s="215">
        <f t="shared" si="7"/>
        <v>57306.951068618298</v>
      </c>
      <c r="L28" s="5">
        <v>2025</v>
      </c>
      <c r="M28" s="155">
        <f t="shared" si="4"/>
        <v>102526.8334</v>
      </c>
      <c r="N28" s="155">
        <f t="shared" si="5"/>
        <v>18092.970600000004</v>
      </c>
      <c r="O28" s="221">
        <f t="shared" si="9"/>
        <v>120619.804</v>
      </c>
      <c r="P28" s="219">
        <v>0.85</v>
      </c>
      <c r="Q28" s="155">
        <f t="shared" si="8"/>
        <v>118096.52627953465</v>
      </c>
      <c r="R28" s="175">
        <f t="shared" si="1"/>
        <v>100382.04733760445</v>
      </c>
      <c r="S28" s="216">
        <f t="shared" si="2"/>
        <v>17714.478941930196</v>
      </c>
      <c r="W28" s="58"/>
    </row>
    <row r="29" spans="5:23" x14ac:dyDescent="0.35">
      <c r="E29" s="23">
        <v>2026</v>
      </c>
      <c r="F29" s="220">
        <f>VLOOKUP(E29,'Goods Model'!B8:H54,6)</f>
        <v>25275.82297489974</v>
      </c>
      <c r="G29" s="220">
        <f>VLOOKUP(E29,'Services Model'!B8:H54,6)</f>
        <v>25174.685192066398</v>
      </c>
      <c r="H29" s="220">
        <f>VLOOKUP(E29,'Household Model'!B7:H53,7)</f>
        <v>7647.7054152713254</v>
      </c>
      <c r="I29" s="220">
        <f t="shared" si="6"/>
        <v>243.86245762499948</v>
      </c>
      <c r="J29" s="215">
        <f t="shared" si="7"/>
        <v>58342.076039862462</v>
      </c>
      <c r="L29" s="5">
        <v>2026</v>
      </c>
      <c r="M29" s="155">
        <f t="shared" si="4"/>
        <v>103271.43339999999</v>
      </c>
      <c r="N29" s="155">
        <f t="shared" si="5"/>
        <v>18224.370600000002</v>
      </c>
      <c r="O29" s="221">
        <f t="shared" si="9"/>
        <v>121495.804</v>
      </c>
      <c r="P29" s="219">
        <v>0.85</v>
      </c>
      <c r="Q29" s="155">
        <f t="shared" si="8"/>
        <v>118954.20100284023</v>
      </c>
      <c r="R29" s="175">
        <f t="shared" si="1"/>
        <v>101111.0708524142</v>
      </c>
      <c r="S29" s="216">
        <f t="shared" si="2"/>
        <v>17843.130150426034</v>
      </c>
      <c r="W29" s="58"/>
    </row>
    <row r="30" spans="5:23" x14ac:dyDescent="0.35">
      <c r="E30" s="23">
        <v>2027</v>
      </c>
      <c r="F30" s="220">
        <f>VLOOKUP(E30,'Goods Model'!B9:H55,6)</f>
        <v>25776.008315341118</v>
      </c>
      <c r="G30" s="220">
        <f>VLOOKUP(E30,'Services Model'!B9:H55,6)</f>
        <v>25668.066767849537</v>
      </c>
      <c r="H30" s="220">
        <f>VLOOKUP(E30,'Household Model'!B8:H54,7)</f>
        <v>7690.988263428042</v>
      </c>
      <c r="I30" s="220">
        <f t="shared" si="6"/>
        <v>241.3361025607137</v>
      </c>
      <c r="J30" s="215">
        <f t="shared" si="7"/>
        <v>59376.399449179415</v>
      </c>
      <c r="L30" s="5">
        <v>2027</v>
      </c>
      <c r="M30" s="155">
        <f t="shared" si="4"/>
        <v>104016.0334</v>
      </c>
      <c r="N30" s="155">
        <f t="shared" si="5"/>
        <v>18355.770600000003</v>
      </c>
      <c r="O30" s="221">
        <f t="shared" si="9"/>
        <v>122371.804</v>
      </c>
      <c r="P30" s="219">
        <v>0.85</v>
      </c>
      <c r="Q30" s="155">
        <f t="shared" si="8"/>
        <v>119811.87572614579</v>
      </c>
      <c r="R30" s="175">
        <f t="shared" si="1"/>
        <v>101840.09436722392</v>
      </c>
      <c r="S30" s="216">
        <f t="shared" si="2"/>
        <v>17971.781358921871</v>
      </c>
      <c r="W30" s="58"/>
    </row>
    <row r="31" spans="5:23" x14ac:dyDescent="0.35">
      <c r="E31" s="23">
        <v>2028</v>
      </c>
      <c r="F31" s="220">
        <f>VLOOKUP(E31,'Goods Model'!B10:H56,6)</f>
        <v>26276.19365578251</v>
      </c>
      <c r="G31" s="220">
        <f>VLOOKUP(E31,'Services Model'!B10:H56,6)</f>
        <v>26161.448343632594</v>
      </c>
      <c r="H31" s="220">
        <f>VLOOKUP(E31,'Household Model'!B9:H55,7)</f>
        <v>7733.4472825348639</v>
      </c>
      <c r="I31" s="220">
        <f t="shared" si="6"/>
        <v>238.80974749642883</v>
      </c>
      <c r="J31" s="215">
        <f t="shared" si="7"/>
        <v>60409.899029446402</v>
      </c>
      <c r="L31" s="5">
        <v>2028</v>
      </c>
      <c r="M31" s="155">
        <f t="shared" si="4"/>
        <v>104760.63340000001</v>
      </c>
      <c r="N31" s="155">
        <f t="shared" si="5"/>
        <v>18487.170600000005</v>
      </c>
      <c r="O31" s="221">
        <f t="shared" si="9"/>
        <v>123247.804</v>
      </c>
      <c r="P31" s="219">
        <v>0.85</v>
      </c>
      <c r="Q31" s="155">
        <f t="shared" si="8"/>
        <v>120669.55044945136</v>
      </c>
      <c r="R31" s="175">
        <f t="shared" si="1"/>
        <v>102569.11788203365</v>
      </c>
      <c r="S31" s="216">
        <f t="shared" si="2"/>
        <v>18100.432567417709</v>
      </c>
      <c r="W31" s="56"/>
    </row>
    <row r="32" spans="5:23" x14ac:dyDescent="0.35">
      <c r="E32" s="23">
        <v>2029</v>
      </c>
      <c r="F32" s="220">
        <f>VLOOKUP(E32,'Goods Model'!B11:H57,6)</f>
        <v>26776.378996223881</v>
      </c>
      <c r="G32" s="220">
        <f>VLOOKUP(E32,'Services Model'!B11:H57,6)</f>
        <v>26654.82991941565</v>
      </c>
      <c r="H32" s="220">
        <f>VLOOKUP(E32,'Household Model'!B10:H56,7)</f>
        <v>7775.0605062296199</v>
      </c>
      <c r="I32" s="220">
        <f t="shared" si="6"/>
        <v>236.28339243214305</v>
      </c>
      <c r="J32" s="215">
        <f t="shared" si="7"/>
        <v>61442.552814301293</v>
      </c>
      <c r="L32" s="5">
        <v>2029</v>
      </c>
      <c r="M32" s="155">
        <f t="shared" si="4"/>
        <v>105507.27339999999</v>
      </c>
      <c r="N32" s="155">
        <f t="shared" si="5"/>
        <v>18618.930600000003</v>
      </c>
      <c r="O32" s="221">
        <f t="shared" si="9"/>
        <v>124126.204</v>
      </c>
      <c r="P32" s="219">
        <v>0.85</v>
      </c>
      <c r="Q32" s="155">
        <f t="shared" si="8"/>
        <v>121529.57496651942</v>
      </c>
      <c r="R32" s="175">
        <f t="shared" si="1"/>
        <v>103300.1387215415</v>
      </c>
      <c r="S32" s="216">
        <f t="shared" si="2"/>
        <v>18229.436244977915</v>
      </c>
      <c r="W32" s="56"/>
    </row>
    <row r="33" spans="5:23" x14ac:dyDescent="0.35">
      <c r="E33" s="23">
        <v>2030</v>
      </c>
      <c r="F33" s="220">
        <f>VLOOKUP(E33,'Goods Model'!B12:H58,6)</f>
        <v>27276.564336665127</v>
      </c>
      <c r="G33" s="220">
        <f>VLOOKUP(E33,'Services Model'!B12:H58,6)</f>
        <v>27148.211495198666</v>
      </c>
      <c r="H33" s="220">
        <f>VLOOKUP(E33,'Household Model'!B11:H57,7)</f>
        <v>7815.8062877072425</v>
      </c>
      <c r="I33" s="220">
        <f t="shared" si="6"/>
        <v>233.75703736785727</v>
      </c>
      <c r="J33" s="215">
        <f t="shared" si="7"/>
        <v>62474.339156938891</v>
      </c>
      <c r="L33" s="5">
        <v>2030</v>
      </c>
      <c r="M33" s="155">
        <f t="shared" si="4"/>
        <v>106251.8734</v>
      </c>
      <c r="N33" s="155">
        <f t="shared" si="5"/>
        <v>18750.330600000001</v>
      </c>
      <c r="O33" s="221">
        <f t="shared" si="9"/>
        <v>125002.204</v>
      </c>
      <c r="P33" s="219">
        <v>0.85</v>
      </c>
      <c r="Q33" s="155">
        <f t="shared" si="8"/>
        <v>122387.24968982498</v>
      </c>
      <c r="R33" s="175">
        <f t="shared" si="1"/>
        <v>104029.16223635123</v>
      </c>
      <c r="S33" s="216">
        <f t="shared" si="2"/>
        <v>18358.087453473752</v>
      </c>
      <c r="W33" s="56"/>
    </row>
    <row r="34" spans="5:23" x14ac:dyDescent="0.35">
      <c r="E34" s="23">
        <v>2031</v>
      </c>
      <c r="F34" s="220">
        <f>VLOOKUP(E34,'Goods Model'!B13:H59,6)</f>
        <v>27776.749677106498</v>
      </c>
      <c r="G34" s="220">
        <f>VLOOKUP(E34,'Services Model'!B13:H59,6)</f>
        <v>27641.593070981766</v>
      </c>
      <c r="H34" s="220">
        <f>VLOOKUP(E34,'Household Model'!B12:H58,7)</f>
        <v>7855.6633183547847</v>
      </c>
      <c r="I34" s="220">
        <f t="shared" si="6"/>
        <v>231.23068230357148</v>
      </c>
      <c r="J34" s="215">
        <f t="shared" si="7"/>
        <v>63505.236748746618</v>
      </c>
      <c r="L34" s="5">
        <v>2031</v>
      </c>
      <c r="M34" s="155">
        <f t="shared" si="4"/>
        <v>107741.07339999999</v>
      </c>
      <c r="N34" s="155">
        <f t="shared" si="5"/>
        <v>19013.130600000004</v>
      </c>
      <c r="O34" s="221">
        <f t="shared" si="9"/>
        <v>126754.204</v>
      </c>
      <c r="P34" s="219">
        <v>0.85</v>
      </c>
      <c r="Q34" s="155">
        <f t="shared" si="8"/>
        <v>124102.59913643613</v>
      </c>
      <c r="R34" s="175">
        <f t="shared" si="1"/>
        <v>105487.2092659707</v>
      </c>
      <c r="S34" s="216">
        <f t="shared" si="2"/>
        <v>18615.389870465428</v>
      </c>
      <c r="W34" s="56"/>
    </row>
    <row r="35" spans="5:23" x14ac:dyDescent="0.35">
      <c r="E35" s="23">
        <v>2032</v>
      </c>
      <c r="F35" s="220">
        <f>VLOOKUP(E35,'Goods Model'!B14:H60,6)</f>
        <v>28276.935017547876</v>
      </c>
      <c r="G35" s="220">
        <f>VLOOKUP(E35,'Services Model'!B14:H60,6)</f>
        <v>28134.974646764822</v>
      </c>
      <c r="H35" s="220">
        <f>VLOOKUP(E35,'Household Model'!B13:H59,7)</f>
        <v>7894.6106462023808</v>
      </c>
      <c r="I35" s="220">
        <f t="shared" si="6"/>
        <v>228.7043272392857</v>
      </c>
      <c r="J35" s="215">
        <f t="shared" si="7"/>
        <v>64535.224637754363</v>
      </c>
      <c r="L35" s="5">
        <v>2032</v>
      </c>
      <c r="M35" s="155">
        <f t="shared" si="4"/>
        <v>109230.27339999999</v>
      </c>
      <c r="N35" s="155">
        <f t="shared" si="5"/>
        <v>19275.930600000003</v>
      </c>
      <c r="O35" s="221">
        <f t="shared" si="9"/>
        <v>128506.204</v>
      </c>
      <c r="P35" s="219">
        <v>0.85</v>
      </c>
      <c r="Q35" s="155">
        <f t="shared" si="8"/>
        <v>125817.94858304728</v>
      </c>
      <c r="R35" s="175">
        <f t="shared" si="1"/>
        <v>106945.2562955902</v>
      </c>
      <c r="S35" s="216">
        <f t="shared" si="2"/>
        <v>18872.692287457088</v>
      </c>
      <c r="W35" s="56"/>
    </row>
    <row r="36" spans="5:23" x14ac:dyDescent="0.35">
      <c r="E36" s="23">
        <v>2033</v>
      </c>
      <c r="F36" s="220">
        <f>VLOOKUP(E36,'Goods Model'!B15:H61,6)</f>
        <v>28777.120357989123</v>
      </c>
      <c r="G36" s="220">
        <f>VLOOKUP(E36,'Services Model'!B15:H61,6)</f>
        <v>28628.356222547838</v>
      </c>
      <c r="H36" s="220">
        <f>VLOOKUP(E36,'Household Model'!B14:H60,7)</f>
        <v>7932.6276941679353</v>
      </c>
      <c r="I36" s="220">
        <f t="shared" si="6"/>
        <v>226.17797217499992</v>
      </c>
      <c r="J36" s="215">
        <f t="shared" si="7"/>
        <v>65564.282246879899</v>
      </c>
      <c r="L36" s="5">
        <v>2033</v>
      </c>
      <c r="M36" s="155">
        <f t="shared" si="4"/>
        <v>110723.5534</v>
      </c>
      <c r="N36" s="155">
        <f t="shared" si="5"/>
        <v>19539.450600000004</v>
      </c>
      <c r="O36" s="221">
        <f t="shared" si="9"/>
        <v>130263.004</v>
      </c>
      <c r="P36" s="219">
        <v>0.85</v>
      </c>
      <c r="Q36" s="155">
        <f t="shared" si="8"/>
        <v>127537.99761718338</v>
      </c>
      <c r="R36" s="175">
        <f t="shared" si="1"/>
        <v>108407.29797460587</v>
      </c>
      <c r="S36" s="216">
        <f t="shared" si="2"/>
        <v>19130.699642577514</v>
      </c>
      <c r="W36" s="56"/>
    </row>
    <row r="37" spans="5:23" x14ac:dyDescent="0.35">
      <c r="E37" s="23">
        <v>2034</v>
      </c>
      <c r="F37" s="220">
        <f>VLOOKUP(E37,'Goods Model'!B16:H62,6)</f>
        <v>29277.305698430522</v>
      </c>
      <c r="G37" s="220">
        <f>VLOOKUP(E37,'Services Model'!B16:H62,6)</f>
        <v>29121.737798330894</v>
      </c>
      <c r="H37" s="220">
        <f>VLOOKUP(E37,'Household Model'!B15:H61,7)</f>
        <v>7969.6942780734489</v>
      </c>
      <c r="I37" s="220">
        <f t="shared" si="6"/>
        <v>223.65161711071414</v>
      </c>
      <c r="J37" s="215">
        <f t="shared" si="7"/>
        <v>66592.389391945588</v>
      </c>
      <c r="L37" s="5">
        <v>2034</v>
      </c>
      <c r="M37" s="155">
        <f t="shared" si="4"/>
        <v>112212.75340000002</v>
      </c>
      <c r="N37" s="155">
        <f t="shared" si="5"/>
        <v>19802.250600000007</v>
      </c>
      <c r="O37" s="221">
        <f t="shared" si="9"/>
        <v>132015.00400000002</v>
      </c>
      <c r="P37" s="219">
        <v>0.85</v>
      </c>
      <c r="Q37" s="155">
        <f t="shared" si="8"/>
        <v>129253.34706379456</v>
      </c>
      <c r="R37" s="175">
        <f t="shared" si="1"/>
        <v>109865.34500422537</v>
      </c>
      <c r="S37" s="216">
        <f t="shared" si="2"/>
        <v>19388.002059569189</v>
      </c>
      <c r="W37" s="56"/>
    </row>
    <row r="38" spans="5:23" x14ac:dyDescent="0.35">
      <c r="E38" s="23">
        <v>2035</v>
      </c>
      <c r="F38" s="220">
        <f>VLOOKUP(E38,'Goods Model'!B17:H63,6)</f>
        <v>29777.491038871885</v>
      </c>
      <c r="G38" s="220">
        <f>VLOOKUP(E38,'Services Model'!B17:H63,6)</f>
        <v>29615.119374113994</v>
      </c>
      <c r="H38" s="220">
        <f>VLOOKUP(E38,'Household Model'!B16:H62,7)</f>
        <v>8005.7906244110536</v>
      </c>
      <c r="I38" s="220">
        <f t="shared" si="6"/>
        <v>221.12526204642836</v>
      </c>
      <c r="J38" s="215">
        <f t="shared" si="7"/>
        <v>67619.526299443358</v>
      </c>
      <c r="L38" s="5">
        <v>2035</v>
      </c>
      <c r="M38" s="155">
        <f t="shared" si="4"/>
        <v>113701.95340000001</v>
      </c>
      <c r="N38" s="155">
        <f t="shared" si="5"/>
        <v>20065.050600000006</v>
      </c>
      <c r="O38" s="221">
        <f t="shared" si="9"/>
        <v>133767.00400000002</v>
      </c>
      <c r="P38" s="219">
        <v>0.85</v>
      </c>
      <c r="Q38" s="155">
        <f t="shared" si="8"/>
        <v>130968.69651040569</v>
      </c>
      <c r="R38" s="175">
        <f t="shared" si="1"/>
        <v>111323.39203384484</v>
      </c>
      <c r="S38" s="216">
        <f t="shared" si="2"/>
        <v>19645.30447656085</v>
      </c>
      <c r="W38" s="56"/>
    </row>
    <row r="39" spans="5:23" x14ac:dyDescent="0.35">
      <c r="E39" s="23">
        <v>2036</v>
      </c>
      <c r="F39" s="220">
        <f>VLOOKUP(E39,'Goods Model'!B18:H64,6)</f>
        <v>30277.676379313263</v>
      </c>
      <c r="G39" s="220">
        <f>VLOOKUP(E39,'Services Model'!B18:H64,6)</f>
        <v>30108.50094989701</v>
      </c>
      <c r="H39" s="220">
        <f>VLOOKUP(E39,'Household Model'!B17:H63,7)</f>
        <v>8040.8973878369688</v>
      </c>
      <c r="I39" s="220">
        <f t="shared" si="6"/>
        <v>218.59890698214258</v>
      </c>
      <c r="J39" s="215">
        <f t="shared" si="7"/>
        <v>68645.673624029383</v>
      </c>
      <c r="L39" s="5">
        <v>2036</v>
      </c>
      <c r="M39" s="155">
        <f t="shared" si="4"/>
        <v>115191.15340000001</v>
      </c>
      <c r="N39" s="155">
        <f t="shared" si="5"/>
        <v>20327.850600000005</v>
      </c>
      <c r="O39" s="221">
        <f t="shared" si="9"/>
        <v>135519.00400000002</v>
      </c>
      <c r="P39" s="219">
        <v>0.85</v>
      </c>
      <c r="Q39" s="155">
        <f t="shared" si="8"/>
        <v>132684.04595701682</v>
      </c>
      <c r="R39" s="175">
        <f t="shared" si="1"/>
        <v>112781.43906346429</v>
      </c>
      <c r="S39" s="216">
        <f t="shared" si="2"/>
        <v>19902.606893552525</v>
      </c>
      <c r="W39" s="56"/>
    </row>
    <row r="40" spans="5:23" x14ac:dyDescent="0.35">
      <c r="E40" s="23">
        <v>2037</v>
      </c>
      <c r="F40" s="220">
        <f>VLOOKUP(E40,'Goods Model'!B19:H65,6)</f>
        <v>30777.86171975451</v>
      </c>
      <c r="G40" s="220">
        <f>VLOOKUP(E40,'Services Model'!B19:H65,6)</f>
        <v>30601.882525680066</v>
      </c>
      <c r="H40" s="220">
        <f>VLOOKUP(E40,'Household Model'!B18:H64,7)</f>
        <v>8074.9956683718437</v>
      </c>
      <c r="I40" s="220">
        <f t="shared" si="6"/>
        <v>216.0725519178568</v>
      </c>
      <c r="J40" s="215">
        <f t="shared" si="7"/>
        <v>69670.812465724273</v>
      </c>
      <c r="L40" s="5">
        <v>2037</v>
      </c>
      <c r="M40" s="155">
        <f t="shared" si="4"/>
        <v>116684.43339999999</v>
      </c>
      <c r="N40" s="155">
        <f t="shared" si="5"/>
        <v>20591.370600000002</v>
      </c>
      <c r="O40" s="221">
        <f t="shared" si="9"/>
        <v>137275.804</v>
      </c>
      <c r="P40" s="219">
        <v>0.85</v>
      </c>
      <c r="Q40" s="155">
        <f t="shared" si="8"/>
        <v>134404.09499115293</v>
      </c>
      <c r="R40" s="175">
        <f t="shared" si="1"/>
        <v>114243.48074247999</v>
      </c>
      <c r="S40" s="216">
        <f t="shared" si="2"/>
        <v>20160.614248672937</v>
      </c>
      <c r="W40" s="56"/>
    </row>
    <row r="41" spans="5:23" x14ac:dyDescent="0.35">
      <c r="E41" s="23">
        <v>2038</v>
      </c>
      <c r="F41" s="220">
        <f>VLOOKUP(E41,'Goods Model'!B20:H66,6)</f>
        <v>31278.04706019588</v>
      </c>
      <c r="G41" s="220">
        <f>VLOOKUP(E41,'Services Model'!B20:H66,6)</f>
        <v>31095.264101463123</v>
      </c>
      <c r="H41" s="220">
        <f>VLOOKUP(E41,'Household Model'!B19:H65,7)</f>
        <v>8108.0670282861738</v>
      </c>
      <c r="I41" s="220">
        <f t="shared" si="6"/>
        <v>213.54619685357102</v>
      </c>
      <c r="J41" s="215">
        <f t="shared" si="7"/>
        <v>70694.924386798739</v>
      </c>
      <c r="L41" s="5">
        <v>2038</v>
      </c>
      <c r="M41" s="155">
        <f t="shared" si="4"/>
        <v>118173.63340000001</v>
      </c>
      <c r="N41" s="155">
        <f t="shared" si="5"/>
        <v>20854.170600000005</v>
      </c>
      <c r="O41" s="221">
        <f t="shared" si="9"/>
        <v>139027.804</v>
      </c>
      <c r="P41" s="219">
        <v>0.85</v>
      </c>
      <c r="Q41" s="155">
        <f t="shared" si="8"/>
        <v>136119.44443776409</v>
      </c>
      <c r="R41" s="175">
        <f t="shared" si="1"/>
        <v>115701.52777209948</v>
      </c>
      <c r="S41" s="216">
        <f t="shared" si="2"/>
        <v>20417.916665664612</v>
      </c>
      <c r="W41" s="56"/>
    </row>
    <row r="42" spans="5:23" x14ac:dyDescent="0.35">
      <c r="E42" s="23">
        <v>2039</v>
      </c>
      <c r="F42" s="220">
        <f>VLOOKUP(E42,'Goods Model'!B21:H67,6)</f>
        <v>31778.232400637251</v>
      </c>
      <c r="G42" s="220">
        <f>VLOOKUP(E42,'Services Model'!B21:H67,6)</f>
        <v>31588.645677246182</v>
      </c>
      <c r="H42" s="220">
        <f>VLOOKUP(E42,'Household Model'!B20:H66,7)</f>
        <v>8140.0935086497775</v>
      </c>
      <c r="I42" s="220">
        <f t="shared" si="6"/>
        <v>211.01984178928524</v>
      </c>
      <c r="J42" s="215">
        <f t="shared" si="7"/>
        <v>71717.991428322493</v>
      </c>
      <c r="L42" s="5">
        <v>2039</v>
      </c>
      <c r="M42" s="155">
        <f t="shared" si="4"/>
        <v>119662.8334</v>
      </c>
      <c r="N42" s="155">
        <f t="shared" si="5"/>
        <v>21116.970600000004</v>
      </c>
      <c r="O42" s="221">
        <f t="shared" si="9"/>
        <v>140779.804</v>
      </c>
      <c r="P42" s="219">
        <v>0.85</v>
      </c>
      <c r="Q42" s="155">
        <f t="shared" si="8"/>
        <v>137834.79388437522</v>
      </c>
      <c r="R42" s="175">
        <f t="shared" si="1"/>
        <v>117159.57480171893</v>
      </c>
      <c r="S42" s="216">
        <f t="shared" si="2"/>
        <v>20675.219082656287</v>
      </c>
      <c r="W42" s="56"/>
    </row>
    <row r="43" spans="5:23" x14ac:dyDescent="0.35">
      <c r="E43" s="23">
        <v>2040</v>
      </c>
      <c r="F43" s="220">
        <f>VLOOKUP(E43,'Goods Model'!B22:H68,6)</f>
        <v>32278.417741078527</v>
      </c>
      <c r="G43" s="220">
        <f>VLOOKUP(E43,'Services Model'!B22:H68,6)</f>
        <v>32082.027253029239</v>
      </c>
      <c r="H43" s="220">
        <f>VLOOKUP(E43,'Household Model'!B21:H67,7)</f>
        <v>8171.0576455246228</v>
      </c>
      <c r="I43" s="220">
        <f t="shared" si="6"/>
        <v>208.49348672499946</v>
      </c>
      <c r="J43" s="215">
        <f t="shared" si="7"/>
        <v>72739.996126357379</v>
      </c>
      <c r="L43" s="5">
        <v>2040</v>
      </c>
      <c r="M43" s="155">
        <f t="shared" si="4"/>
        <v>121152.0334</v>
      </c>
      <c r="N43" s="155">
        <f t="shared" si="5"/>
        <v>21379.770600000003</v>
      </c>
      <c r="O43" s="221">
        <f t="shared" si="9"/>
        <v>142531.804</v>
      </c>
      <c r="P43" s="219">
        <v>0.85</v>
      </c>
      <c r="Q43" s="155">
        <f t="shared" si="8"/>
        <v>139550.14333098635</v>
      </c>
      <c r="R43" s="175">
        <f t="shared" si="1"/>
        <v>118617.62183133839</v>
      </c>
      <c r="S43" s="216">
        <f t="shared" si="2"/>
        <v>20932.521499647963</v>
      </c>
      <c r="W43" s="56"/>
    </row>
    <row r="44" spans="5:23" x14ac:dyDescent="0.35">
      <c r="E44" s="23">
        <v>2041</v>
      </c>
      <c r="F44" s="220">
        <f>VLOOKUP(E44,'Goods Model'!B23:H69,6)</f>
        <v>32778.603081519905</v>
      </c>
      <c r="G44" s="220">
        <f>VLOOKUP(E44,'Services Model'!B23:H69,6)</f>
        <v>32575.408828812255</v>
      </c>
      <c r="H44" s="220">
        <f>VLOOKUP(E44,'Household Model'!B22:H68,7)</f>
        <v>8200.9424857806389</v>
      </c>
      <c r="I44" s="220">
        <f t="shared" si="6"/>
        <v>205.96713166071368</v>
      </c>
      <c r="J44" s="215">
        <f t="shared" si="7"/>
        <v>73760.92152777352</v>
      </c>
      <c r="L44" s="5">
        <v>2041</v>
      </c>
      <c r="M44" s="155">
        <f t="shared" si="4"/>
        <v>122645.31339999998</v>
      </c>
      <c r="N44" s="155">
        <f t="shared" si="5"/>
        <v>21643.2906</v>
      </c>
      <c r="O44" s="221">
        <f t="shared" si="9"/>
        <v>144288.60399999999</v>
      </c>
      <c r="P44" s="219">
        <v>0.85</v>
      </c>
      <c r="Q44" s="155">
        <f t="shared" si="8"/>
        <v>141270.19236512246</v>
      </c>
      <c r="R44" s="175">
        <f t="shared" si="1"/>
        <v>120079.66351035409</v>
      </c>
      <c r="S44" s="216">
        <f t="shared" si="2"/>
        <v>21190.528854768374</v>
      </c>
      <c r="W44" s="56"/>
    </row>
    <row r="45" spans="5:23" x14ac:dyDescent="0.35">
      <c r="E45" s="23">
        <v>2042</v>
      </c>
      <c r="F45" s="220">
        <f>VLOOKUP(E45,'Goods Model'!B24:H70,6)</f>
        <v>33278.788421961275</v>
      </c>
      <c r="G45" s="220">
        <f>VLOOKUP(E45,'Services Model'!B24:H70,6)</f>
        <v>33068.790404595311</v>
      </c>
      <c r="H45" s="220">
        <f>VLOOKUP(E45,'Household Model'!B23:H69,7)</f>
        <v>8229.7316025145519</v>
      </c>
      <c r="I45" s="220">
        <f t="shared" si="6"/>
        <v>203.4407765964288</v>
      </c>
      <c r="J45" s="215">
        <f t="shared" si="7"/>
        <v>74780.751205667577</v>
      </c>
      <c r="L45" s="5">
        <v>2042</v>
      </c>
      <c r="M45" s="155">
        <f t="shared" si="4"/>
        <v>124134.5134</v>
      </c>
      <c r="N45" s="155">
        <f t="shared" si="5"/>
        <v>21906.090600000003</v>
      </c>
      <c r="O45" s="221">
        <f t="shared" si="9"/>
        <v>146040.60399999999</v>
      </c>
      <c r="P45" s="219">
        <v>0.85</v>
      </c>
      <c r="Q45" s="155">
        <f t="shared" si="8"/>
        <v>142985.54181173359</v>
      </c>
      <c r="R45" s="175">
        <f t="shared" si="1"/>
        <v>121537.71053997354</v>
      </c>
      <c r="S45" s="216">
        <f t="shared" si="2"/>
        <v>21447.831271760049</v>
      </c>
      <c r="W45" s="56"/>
    </row>
    <row r="46" spans="5:23" x14ac:dyDescent="0.35">
      <c r="E46" s="23">
        <v>2043</v>
      </c>
      <c r="F46" s="220">
        <f>VLOOKUP(E46,'Goods Model'!B25:H71,6)</f>
        <v>33778.973762402522</v>
      </c>
      <c r="G46" s="220">
        <f>VLOOKUP(E46,'Services Model'!B25:H71,6)</f>
        <v>33562.171980378407</v>
      </c>
      <c r="H46" s="220">
        <f>VLOOKUP(E46,'Household Model'!B24:H70,7)</f>
        <v>8257.4091100521619</v>
      </c>
      <c r="I46" s="220">
        <f t="shared" si="6"/>
        <v>200.91442153214302</v>
      </c>
      <c r="J46" s="215">
        <f t="shared" si="7"/>
        <v>75799.469274365241</v>
      </c>
      <c r="L46" s="5">
        <v>2043</v>
      </c>
      <c r="M46" s="155">
        <f t="shared" si="4"/>
        <v>125623.71339999999</v>
      </c>
      <c r="N46" s="155">
        <f t="shared" si="5"/>
        <v>22168.890600000002</v>
      </c>
      <c r="O46" s="221">
        <f t="shared" si="9"/>
        <v>147792.60399999999</v>
      </c>
      <c r="P46" s="219">
        <v>0.85</v>
      </c>
      <c r="Q46" s="155">
        <f t="shared" si="8"/>
        <v>144700.89125834475</v>
      </c>
      <c r="R46" s="175">
        <f t="shared" si="1"/>
        <v>122995.75756959304</v>
      </c>
      <c r="S46" s="216">
        <f t="shared" si="2"/>
        <v>21705.13368875171</v>
      </c>
      <c r="W46" s="56"/>
    </row>
    <row r="47" spans="5:23" x14ac:dyDescent="0.35">
      <c r="E47" s="23">
        <v>2044</v>
      </c>
      <c r="F47" s="220">
        <f>VLOOKUP(E47,'Goods Model'!B26:H72,6)</f>
        <v>34279.159102843892</v>
      </c>
      <c r="G47" s="220">
        <f>VLOOKUP(E47,'Services Model'!B26:H72,6)</f>
        <v>34055.553556161423</v>
      </c>
      <c r="H47" s="220">
        <f>VLOOKUP(E47,'Household Model'!B25:H71,7)</f>
        <v>8283.9596785149697</v>
      </c>
      <c r="I47" s="220">
        <f t="shared" si="6"/>
        <v>198.38806646785724</v>
      </c>
      <c r="J47" s="215">
        <f t="shared" si="7"/>
        <v>76817.060403988144</v>
      </c>
      <c r="L47" s="5">
        <v>2044</v>
      </c>
      <c r="M47" s="155">
        <f t="shared" si="4"/>
        <v>127112.91339999999</v>
      </c>
      <c r="N47" s="155">
        <f t="shared" si="5"/>
        <v>22431.690600000002</v>
      </c>
      <c r="O47" s="221">
        <f t="shared" si="9"/>
        <v>149544.60399999999</v>
      </c>
      <c r="P47" s="219">
        <v>0.85</v>
      </c>
      <c r="Q47" s="155">
        <f t="shared" si="8"/>
        <v>146416.24070495588</v>
      </c>
      <c r="R47" s="175">
        <f t="shared" si="1"/>
        <v>124453.8045992125</v>
      </c>
      <c r="S47" s="216">
        <f t="shared" si="2"/>
        <v>21962.436105743385</v>
      </c>
      <c r="W47" s="56"/>
    </row>
    <row r="48" spans="5:23" x14ac:dyDescent="0.35">
      <c r="E48" s="23">
        <v>2045</v>
      </c>
      <c r="F48" s="220">
        <f>VLOOKUP(E48,'Goods Model'!B27:H73,6)</f>
        <v>34779.344443285256</v>
      </c>
      <c r="G48" s="220">
        <f>VLOOKUP(E48,'Services Model'!B27:H73,6)</f>
        <v>34548.935131944483</v>
      </c>
      <c r="H48" s="220">
        <f>VLOOKUP(E48,'Household Model'!B26:H72,7)</f>
        <v>8309.3685479324704</v>
      </c>
      <c r="I48" s="220">
        <f t="shared" si="6"/>
        <v>195.86171140357146</v>
      </c>
      <c r="J48" s="215">
        <f t="shared" si="7"/>
        <v>77833.50983456579</v>
      </c>
      <c r="L48" s="5">
        <v>2045</v>
      </c>
      <c r="M48" s="155">
        <f t="shared" si="4"/>
        <v>128606.19339999997</v>
      </c>
      <c r="N48" s="155">
        <f t="shared" si="5"/>
        <v>22695.210600000002</v>
      </c>
      <c r="O48" s="221">
        <f t="shared" si="9"/>
        <v>151301.40399999998</v>
      </c>
      <c r="P48" s="219">
        <v>0.85</v>
      </c>
      <c r="Q48" s="155">
        <f t="shared" si="8"/>
        <v>148136.28973909197</v>
      </c>
      <c r="R48" s="175">
        <f t="shared" si="1"/>
        <v>125915.84627822817</v>
      </c>
      <c r="S48" s="216">
        <f t="shared" si="2"/>
        <v>22220.443460863797</v>
      </c>
      <c r="W48" s="56"/>
    </row>
    <row r="49" spans="5:23" x14ac:dyDescent="0.35">
      <c r="E49" s="23">
        <v>2046</v>
      </c>
      <c r="F49" s="220">
        <f>VLOOKUP(E49,'Goods Model'!B28:H74,6)</f>
        <v>35279.529783726663</v>
      </c>
      <c r="G49" s="220">
        <f>VLOOKUP(E49,'Services Model'!B28:H74,6)</f>
        <v>35042.316707727543</v>
      </c>
      <c r="H49" s="220">
        <f>VLOOKUP(E49,'Household Model'!B27:H73,7)</f>
        <v>8333.6215418820175</v>
      </c>
      <c r="I49" s="220">
        <f t="shared" si="6"/>
        <v>193.33535633928568</v>
      </c>
      <c r="J49" s="215">
        <f t="shared" si="7"/>
        <v>78848.803389675508</v>
      </c>
      <c r="L49" s="5">
        <v>2046</v>
      </c>
      <c r="M49" s="155">
        <f t="shared" si="4"/>
        <v>130095.39339999999</v>
      </c>
      <c r="N49" s="155">
        <f t="shared" si="5"/>
        <v>22958.010600000001</v>
      </c>
      <c r="O49" s="221">
        <f t="shared" si="9"/>
        <v>153053.40399999998</v>
      </c>
      <c r="P49" s="219">
        <v>0.85</v>
      </c>
      <c r="Q49" s="155">
        <f t="shared" si="8"/>
        <v>149851.63918570313</v>
      </c>
      <c r="R49" s="175">
        <f t="shared" si="1"/>
        <v>127373.89330784765</v>
      </c>
      <c r="S49" s="216">
        <f t="shared" si="2"/>
        <v>22477.745877855472</v>
      </c>
      <c r="W49" s="56"/>
    </row>
    <row r="50" spans="5:23" x14ac:dyDescent="0.35">
      <c r="E50" s="23">
        <v>2047</v>
      </c>
      <c r="F50" s="220">
        <f>VLOOKUP(E50,'Goods Model'!B29:H75,6)</f>
        <v>35779.715124167909</v>
      </c>
      <c r="G50" s="220">
        <f>VLOOKUP(E50,'Services Model'!B29:H75,6)</f>
        <v>35535.698283510596</v>
      </c>
      <c r="H50" s="220">
        <f>VLOOKUP(E50,'Household Model'!B28:H74,7)</f>
        <v>8356.705080638656</v>
      </c>
      <c r="I50" s="220">
        <f t="shared" si="6"/>
        <v>190.8090012749999</v>
      </c>
      <c r="J50" s="215">
        <f t="shared" si="7"/>
        <v>79862.92748959217</v>
      </c>
      <c r="L50" s="5">
        <v>2047</v>
      </c>
      <c r="M50" s="155">
        <f t="shared" si="4"/>
        <v>131584.59339999998</v>
      </c>
      <c r="N50" s="155">
        <f t="shared" si="5"/>
        <v>23220.810600000001</v>
      </c>
      <c r="O50" s="221">
        <f t="shared" si="9"/>
        <v>154805.40399999998</v>
      </c>
      <c r="P50" s="219">
        <v>0.85</v>
      </c>
      <c r="Q50" s="155">
        <f t="shared" si="8"/>
        <v>151566.98863231429</v>
      </c>
      <c r="R50" s="175">
        <f t="shared" si="1"/>
        <v>128831.94033746714</v>
      </c>
      <c r="S50" s="216">
        <f t="shared" si="2"/>
        <v>22735.048294847147</v>
      </c>
      <c r="W50" s="56"/>
    </row>
    <row r="51" spans="5:23" x14ac:dyDescent="0.35">
      <c r="E51" s="23">
        <v>2048</v>
      </c>
      <c r="F51" s="220">
        <f>VLOOKUP(E51,'Goods Model'!B30:H76,6)</f>
        <v>36279.90046460928</v>
      </c>
      <c r="G51" s="220">
        <f>VLOOKUP(E51,'Services Model'!B30:H76,6)</f>
        <v>36029.079859293655</v>
      </c>
      <c r="H51" s="220">
        <f>VLOOKUP(E51,'Household Model'!B29:H75,7)</f>
        <v>8378.6061938178464</v>
      </c>
      <c r="I51" s="220">
        <f t="shared" si="6"/>
        <v>188.28264621071412</v>
      </c>
      <c r="J51" s="215">
        <f t="shared" si="7"/>
        <v>80875.869163931508</v>
      </c>
      <c r="L51" s="5">
        <v>2048</v>
      </c>
      <c r="M51" s="155">
        <f t="shared" si="4"/>
        <v>133073.79339999997</v>
      </c>
      <c r="N51" s="155">
        <f t="shared" si="5"/>
        <v>23483.6106</v>
      </c>
      <c r="O51" s="221">
        <f t="shared" si="9"/>
        <v>156557.40399999998</v>
      </c>
      <c r="P51" s="219">
        <v>0.85</v>
      </c>
      <c r="Q51" s="155">
        <f t="shared" si="8"/>
        <v>153282.33807892542</v>
      </c>
      <c r="R51" s="175">
        <f t="shared" si="1"/>
        <v>130289.98736708659</v>
      </c>
      <c r="S51" s="216">
        <f t="shared" si="2"/>
        <v>22992.350711838822</v>
      </c>
      <c r="W51" s="56"/>
    </row>
    <row r="52" spans="5:23" x14ac:dyDescent="0.35">
      <c r="E52" s="23">
        <v>2049</v>
      </c>
      <c r="F52" s="220">
        <f>VLOOKUP(E52,'Goods Model'!B31:H77,6)</f>
        <v>36780.08580505065</v>
      </c>
      <c r="G52" s="220">
        <f>VLOOKUP(E52,'Services Model'!B31:H77,6)</f>
        <v>36522.461435076708</v>
      </c>
      <c r="H52" s="220">
        <f>VLOOKUP(E52,'Household Model'!B30:H76,7)</f>
        <v>8399.3125324947105</v>
      </c>
      <c r="I52" s="220">
        <f t="shared" si="6"/>
        <v>185.75629114642834</v>
      </c>
      <c r="J52" s="215">
        <f t="shared" si="7"/>
        <v>81887.616063768495</v>
      </c>
      <c r="L52" s="5">
        <v>2049</v>
      </c>
      <c r="M52" s="155">
        <f t="shared" si="4"/>
        <v>134567.07339999996</v>
      </c>
      <c r="N52" s="155">
        <f t="shared" si="5"/>
        <v>23747.1306</v>
      </c>
      <c r="O52" s="221">
        <f t="shared" si="9"/>
        <v>158314.20399999997</v>
      </c>
      <c r="P52" s="219">
        <v>0.85</v>
      </c>
      <c r="Q52" s="155">
        <f t="shared" si="8"/>
        <v>155002.3871130615</v>
      </c>
      <c r="R52" s="175">
        <f t="shared" si="1"/>
        <v>131752.02904610228</v>
      </c>
      <c r="S52" s="216">
        <f t="shared" si="2"/>
        <v>23250.358066959219</v>
      </c>
      <c r="W52" s="56"/>
    </row>
    <row r="53" spans="5:23" x14ac:dyDescent="0.35">
      <c r="E53" s="23">
        <v>2050</v>
      </c>
      <c r="F53" s="220">
        <f>VLOOKUP(E53,'Goods Model'!B32:H78,6)</f>
        <v>37280.271145491897</v>
      </c>
      <c r="G53" s="220">
        <f>VLOOKUP(E53,'Services Model'!B32:H78,6)</f>
        <v>37015.843010859768</v>
      </c>
      <c r="H53" s="220">
        <f>VLOOKUP(E53,'Household Model'!B31:H77,7)</f>
        <v>8418.8123807839274</v>
      </c>
      <c r="I53" s="220">
        <f t="shared" si="6"/>
        <v>183.22993608214256</v>
      </c>
      <c r="J53" s="215">
        <f t="shared" si="7"/>
        <v>82898.156473217736</v>
      </c>
      <c r="L53" s="5">
        <v>2050</v>
      </c>
      <c r="M53" s="155">
        <f t="shared" si="4"/>
        <v>136056.27339999998</v>
      </c>
      <c r="N53" s="155">
        <f t="shared" si="5"/>
        <v>24009.9306</v>
      </c>
      <c r="O53" s="221">
        <f t="shared" si="9"/>
        <v>160066.20399999997</v>
      </c>
      <c r="P53" s="219">
        <v>0.85</v>
      </c>
      <c r="Q53" s="155">
        <f t="shared" si="8"/>
        <v>156717.73655967266</v>
      </c>
      <c r="R53" s="175">
        <f t="shared" si="1"/>
        <v>133210.07607572176</v>
      </c>
      <c r="S53" s="216">
        <f t="shared" si="2"/>
        <v>23507.660483950895</v>
      </c>
      <c r="W53" s="56"/>
    </row>
  </sheetData>
  <mergeCells count="5">
    <mergeCell ref="B12:B15"/>
    <mergeCell ref="B9:B11"/>
    <mergeCell ref="U6:W6"/>
    <mergeCell ref="L6:S6"/>
    <mergeCell ref="E6:J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B2:O49"/>
  <sheetViews>
    <sheetView showGridLines="0" zoomScale="80" zoomScaleNormal="80" workbookViewId="0">
      <selection activeCell="F19" sqref="F19"/>
    </sheetView>
  </sheetViews>
  <sheetFormatPr defaultRowHeight="14.5" x14ac:dyDescent="0.35"/>
  <cols>
    <col min="2" max="2" width="10.54296875" customWidth="1"/>
    <col min="3" max="4" width="14.54296875" customWidth="1"/>
    <col min="5" max="5" width="18.1796875" customWidth="1"/>
    <col min="6" max="6" width="16.54296875" customWidth="1"/>
    <col min="7" max="7" width="18.81640625" style="1" customWidth="1"/>
    <col min="8" max="8" width="16.1796875" customWidth="1"/>
    <col min="9" max="9" width="15.453125" customWidth="1"/>
    <col min="11" max="11" width="20.26953125" customWidth="1"/>
    <col min="12" max="12" width="11.1796875" bestFit="1" customWidth="1"/>
    <col min="13" max="13" width="10.1796875" bestFit="1" customWidth="1"/>
    <col min="14" max="14" width="12.1796875" bestFit="1" customWidth="1"/>
  </cols>
  <sheetData>
    <row r="2" spans="2:11" x14ac:dyDescent="0.35">
      <c r="B2" s="22"/>
      <c r="C2" s="326" t="s">
        <v>53</v>
      </c>
      <c r="D2" s="326"/>
      <c r="E2" s="326"/>
      <c r="F2" s="326"/>
      <c r="G2" s="327" t="s">
        <v>54</v>
      </c>
      <c r="H2" s="326"/>
    </row>
    <row r="3" spans="2:11" ht="87" x14ac:dyDescent="0.35">
      <c r="B3" s="135" t="s">
        <v>6</v>
      </c>
      <c r="C3" s="136" t="s">
        <v>55</v>
      </c>
      <c r="D3" s="136" t="s">
        <v>56</v>
      </c>
      <c r="E3" s="136" t="s">
        <v>57</v>
      </c>
      <c r="F3" s="136" t="s">
        <v>58</v>
      </c>
      <c r="G3" s="136" t="s">
        <v>54</v>
      </c>
      <c r="H3" s="136" t="s">
        <v>59</v>
      </c>
      <c r="I3" s="2"/>
    </row>
    <row r="4" spans="2:11" x14ac:dyDescent="0.35">
      <c r="B4" s="130">
        <v>2005</v>
      </c>
      <c r="C4" s="131">
        <v>50640.800000000003</v>
      </c>
      <c r="D4" s="131">
        <v>7083.7</v>
      </c>
      <c r="E4" s="131">
        <f>F4-C4-D4</f>
        <v>4344.1999999999944</v>
      </c>
      <c r="F4" s="131">
        <v>62068.7</v>
      </c>
      <c r="G4" s="166">
        <v>14509.03867398</v>
      </c>
      <c r="H4" s="167"/>
    </row>
    <row r="5" spans="2:11" x14ac:dyDescent="0.35">
      <c r="B5" s="48">
        <v>2006</v>
      </c>
      <c r="C5" s="124">
        <v>56678.2</v>
      </c>
      <c r="D5" s="124">
        <v>7639.8</v>
      </c>
      <c r="E5" s="124">
        <f t="shared" ref="E5:E18" si="0">F5-C5-D5</f>
        <v>4765.2</v>
      </c>
      <c r="F5" s="124">
        <v>69083.199999999997</v>
      </c>
      <c r="G5" s="168">
        <v>15115.376742599998</v>
      </c>
      <c r="H5" s="169"/>
      <c r="J5" s="1"/>
      <c r="K5" s="209" t="s">
        <v>25</v>
      </c>
    </row>
    <row r="6" spans="2:11" x14ac:dyDescent="0.35">
      <c r="B6" s="48">
        <v>2007</v>
      </c>
      <c r="C6" s="124">
        <v>60045.4</v>
      </c>
      <c r="D6" s="124">
        <v>9220.4</v>
      </c>
      <c r="E6" s="124">
        <f t="shared" si="0"/>
        <v>4752.0000000000018</v>
      </c>
      <c r="F6" s="124">
        <v>74017.8</v>
      </c>
      <c r="G6" s="168">
        <v>15818.96501776</v>
      </c>
      <c r="H6" s="169"/>
      <c r="J6" s="320" t="s">
        <v>26</v>
      </c>
      <c r="K6" s="217" t="s">
        <v>27</v>
      </c>
    </row>
    <row r="7" spans="2:11" x14ac:dyDescent="0.35">
      <c r="B7" s="48">
        <v>2008</v>
      </c>
      <c r="C7" s="124">
        <v>57530.400000000001</v>
      </c>
      <c r="D7" s="124">
        <v>11537.9</v>
      </c>
      <c r="E7" s="124">
        <f t="shared" si="0"/>
        <v>4359.3000000000047</v>
      </c>
      <c r="F7" s="124">
        <v>73427.600000000006</v>
      </c>
      <c r="G7" s="168">
        <v>16030.87601652</v>
      </c>
      <c r="H7" s="169"/>
      <c r="J7" s="320"/>
      <c r="K7" s="222" t="s">
        <v>28</v>
      </c>
    </row>
    <row r="8" spans="2:11" x14ac:dyDescent="0.35">
      <c r="B8" s="48">
        <v>2009</v>
      </c>
      <c r="C8" s="124">
        <v>55142.9</v>
      </c>
      <c r="D8" s="124">
        <v>14112.5</v>
      </c>
      <c r="E8" s="124">
        <f t="shared" si="0"/>
        <v>4567.7000000000044</v>
      </c>
      <c r="F8" s="124">
        <v>73823.100000000006</v>
      </c>
      <c r="G8" s="168">
        <v>15570.259369439998</v>
      </c>
      <c r="H8" s="169"/>
      <c r="J8" s="320"/>
      <c r="K8" s="214" t="s">
        <v>29</v>
      </c>
    </row>
    <row r="9" spans="2:11" x14ac:dyDescent="0.35">
      <c r="B9" s="48">
        <v>2010</v>
      </c>
      <c r="C9" s="124">
        <v>71506.5</v>
      </c>
      <c r="D9" s="124">
        <v>15102.6</v>
      </c>
      <c r="E9" s="124">
        <f t="shared" si="0"/>
        <v>4964.0000000000055</v>
      </c>
      <c r="F9" s="124">
        <v>91573.1</v>
      </c>
      <c r="G9" s="168">
        <v>17662.576234049997</v>
      </c>
      <c r="H9" s="169"/>
      <c r="J9" s="319" t="s">
        <v>30</v>
      </c>
      <c r="K9" s="210" t="s">
        <v>31</v>
      </c>
    </row>
    <row r="10" spans="2:11" x14ac:dyDescent="0.35">
      <c r="B10" s="48">
        <v>2011</v>
      </c>
      <c r="C10" s="124">
        <v>77089.5</v>
      </c>
      <c r="D10" s="124">
        <v>15617.5</v>
      </c>
      <c r="E10" s="124">
        <f t="shared" si="0"/>
        <v>5069.3999999999942</v>
      </c>
      <c r="F10" s="124">
        <v>97776.4</v>
      </c>
      <c r="G10" s="168">
        <v>18077.506449780001</v>
      </c>
      <c r="H10" s="169"/>
      <c r="J10" s="319"/>
      <c r="K10" s="211" t="s">
        <v>32</v>
      </c>
    </row>
    <row r="11" spans="2:11" x14ac:dyDescent="0.35">
      <c r="B11" s="48">
        <v>2012</v>
      </c>
      <c r="C11" s="124">
        <v>77335.8</v>
      </c>
      <c r="D11" s="124">
        <v>17293.3</v>
      </c>
      <c r="E11" s="124">
        <f t="shared" si="0"/>
        <v>5266.5999999999949</v>
      </c>
      <c r="F11" s="124">
        <v>99895.7</v>
      </c>
      <c r="G11" s="168">
        <v>18572.531231070003</v>
      </c>
      <c r="H11" s="169"/>
      <c r="J11" s="319"/>
      <c r="K11" s="212" t="s">
        <v>33</v>
      </c>
    </row>
    <row r="12" spans="2:11" x14ac:dyDescent="0.35">
      <c r="B12" s="48">
        <v>2013</v>
      </c>
      <c r="C12" s="124">
        <v>78628.399999999994</v>
      </c>
      <c r="D12" s="124">
        <v>17728.5</v>
      </c>
      <c r="E12" s="124">
        <f t="shared" si="0"/>
        <v>5402.9000000000087</v>
      </c>
      <c r="F12" s="124">
        <v>101759.8</v>
      </c>
      <c r="G12" s="168">
        <v>18842.820084520001</v>
      </c>
      <c r="H12" s="169"/>
      <c r="J12" s="319"/>
      <c r="K12" s="213" t="s">
        <v>34</v>
      </c>
    </row>
    <row r="13" spans="2:11" x14ac:dyDescent="0.35">
      <c r="B13" s="48">
        <v>2014</v>
      </c>
      <c r="C13" s="124">
        <v>80737.899999999994</v>
      </c>
      <c r="D13" s="124">
        <v>19280.599999999999</v>
      </c>
      <c r="E13" s="124">
        <f t="shared" si="0"/>
        <v>5626.7000000000044</v>
      </c>
      <c r="F13" s="124">
        <v>105645.2</v>
      </c>
      <c r="G13" s="168">
        <v>19753.195991640001</v>
      </c>
      <c r="H13" s="169"/>
    </row>
    <row r="14" spans="2:11" x14ac:dyDescent="0.35">
      <c r="B14" s="48">
        <v>2015</v>
      </c>
      <c r="C14" s="124">
        <v>76598.2</v>
      </c>
      <c r="D14" s="124">
        <v>20433.8</v>
      </c>
      <c r="E14" s="124">
        <f t="shared" si="0"/>
        <v>5954.0000000000036</v>
      </c>
      <c r="F14" s="124">
        <v>102986</v>
      </c>
      <c r="G14" s="168">
        <v>20088.001957660003</v>
      </c>
      <c r="H14" s="169"/>
    </row>
    <row r="15" spans="2:11" x14ac:dyDescent="0.35">
      <c r="B15" s="48">
        <v>2016</v>
      </c>
      <c r="C15" s="124">
        <v>79432.800000000003</v>
      </c>
      <c r="D15" s="124">
        <v>20202</v>
      </c>
      <c r="E15" s="124">
        <f t="shared" si="0"/>
        <v>6053.8000000000029</v>
      </c>
      <c r="F15" s="124">
        <v>105688.6</v>
      </c>
      <c r="G15" s="168">
        <v>20418.4394293</v>
      </c>
      <c r="H15" s="169"/>
    </row>
    <row r="16" spans="2:11" x14ac:dyDescent="0.35">
      <c r="B16" s="48">
        <v>2017</v>
      </c>
      <c r="C16" s="124">
        <v>87698.6</v>
      </c>
      <c r="D16" s="124">
        <v>19215</v>
      </c>
      <c r="E16" s="124">
        <f t="shared" si="0"/>
        <v>6061.8999999999942</v>
      </c>
      <c r="F16" s="124">
        <v>112975.5</v>
      </c>
      <c r="G16" s="168">
        <v>21516.323319549996</v>
      </c>
      <c r="H16" s="169"/>
    </row>
    <row r="17" spans="2:15" x14ac:dyDescent="0.35">
      <c r="B17" s="48">
        <v>2018</v>
      </c>
      <c r="C17" s="124">
        <v>93862.8</v>
      </c>
      <c r="D17" s="124">
        <v>19318.3</v>
      </c>
      <c r="E17" s="124">
        <f t="shared" si="0"/>
        <v>6102.0999999999949</v>
      </c>
      <c r="F17" s="124">
        <v>119283.2</v>
      </c>
      <c r="G17" s="168">
        <v>21450.730733389999</v>
      </c>
      <c r="H17" s="169"/>
      <c r="K17" s="172"/>
    </row>
    <row r="18" spans="2:15" x14ac:dyDescent="0.35">
      <c r="B18" s="48">
        <v>2019</v>
      </c>
      <c r="C18" s="124">
        <v>92496.9</v>
      </c>
      <c r="D18" s="124">
        <v>19621.5</v>
      </c>
      <c r="E18" s="124">
        <f t="shared" si="0"/>
        <v>6069.1000000000058</v>
      </c>
      <c r="F18" s="124">
        <v>118187.5</v>
      </c>
      <c r="G18" s="168">
        <v>21444.449255319996</v>
      </c>
      <c r="H18" s="170"/>
    </row>
    <row r="19" spans="2:15" x14ac:dyDescent="0.35">
      <c r="B19" s="48">
        <v>2020</v>
      </c>
      <c r="C19" s="124">
        <v>99211.1</v>
      </c>
      <c r="D19" s="124">
        <v>12574.4</v>
      </c>
      <c r="E19" s="124">
        <f>F19-C19-D19</f>
        <v>6808.6999999999916</v>
      </c>
      <c r="F19" s="124">
        <v>118594.2</v>
      </c>
      <c r="G19" s="168">
        <v>20957.2</v>
      </c>
      <c r="H19" s="170"/>
      <c r="I19" s="123"/>
    </row>
    <row r="20" spans="2:15" x14ac:dyDescent="0.35">
      <c r="B20" s="127">
        <v>2021</v>
      </c>
      <c r="C20" s="227">
        <f>_xlfn.FORECAST.LINEAR($B20,C$4:C$19,$B$4:$B$19)</f>
        <v>100232.61750000063</v>
      </c>
      <c r="D20" s="227">
        <f>_xlfn.FORECAST.LINEAR($B20,D$4:D$19,$B$4:$B$19)</f>
        <v>21611.367499999935</v>
      </c>
      <c r="E20" s="227">
        <f>_xlfn.FORECAST.LINEAR($B20,E$4:E$19,$B$4:$B$19)</f>
        <v>6651.1449999999604</v>
      </c>
      <c r="F20" s="128">
        <f>SUM(C20:E20)</f>
        <v>128495.13000000053</v>
      </c>
      <c r="G20" s="226">
        <f>_xlfn.FORECAST.LINEAR(F20,G$4:G$18,$F$4:$F$18)</f>
        <v>22774.896272693099</v>
      </c>
      <c r="H20" s="171">
        <f t="shared" ref="H20:H49" si="1">INTERCEPT($G$4:$G$18,$F$4:$F$18)+F20*($G$19-INTERCEPT($G$4:$G$18,$F$4:$F$18))/$F$19</f>
        <v>22184.566023655905</v>
      </c>
      <c r="L20" s="172"/>
      <c r="M20" s="172"/>
      <c r="N20" s="172"/>
      <c r="O20" s="172"/>
    </row>
    <row r="21" spans="2:15" x14ac:dyDescent="0.35">
      <c r="B21" s="127">
        <v>2022</v>
      </c>
      <c r="C21" s="227">
        <f t="shared" ref="C21:E49" si="2">_xlfn.FORECAST.LINEAR($B21,C$4:C$19,$B$4:$B$19)</f>
        <v>103240.60044117738</v>
      </c>
      <c r="D21" s="227">
        <f>_xlfn.FORECAST.LINEAR($B21,D$4:D$19,$B$4:$B$19)</f>
        <v>22345.191617646953</v>
      </c>
      <c r="E21" s="227">
        <f>_xlfn.FORECAST.LINEAR($B21,E$4:E$19,$B$4:$B$19)</f>
        <v>6800.0473529411829</v>
      </c>
      <c r="F21" s="128">
        <f t="shared" ref="F21:F49" si="3">SUM(C21:E21)</f>
        <v>132385.83941176551</v>
      </c>
      <c r="G21" s="226">
        <f t="shared" ref="G21:G49" si="4">_xlfn.FORECAST.LINEAR(F21,G$4:G$18,$F$4:$F$18)</f>
        <v>23275.081613134476</v>
      </c>
      <c r="H21" s="171">
        <f t="shared" si="1"/>
        <v>22666.876729813637</v>
      </c>
    </row>
    <row r="22" spans="2:15" x14ac:dyDescent="0.35">
      <c r="B22" s="127">
        <v>2023</v>
      </c>
      <c r="C22" s="227">
        <f t="shared" si="2"/>
        <v>106248.58338235319</v>
      </c>
      <c r="D22" s="227">
        <f t="shared" si="2"/>
        <v>23079.015735294204</v>
      </c>
      <c r="E22" s="227">
        <f t="shared" si="2"/>
        <v>6948.9497058823472</v>
      </c>
      <c r="F22" s="128">
        <f t="shared" si="3"/>
        <v>136276.54882352974</v>
      </c>
      <c r="G22" s="226">
        <f t="shared" si="4"/>
        <v>23775.266953575752</v>
      </c>
      <c r="H22" s="171">
        <f t="shared" si="1"/>
        <v>23149.187435971282</v>
      </c>
    </row>
    <row r="23" spans="2:15" x14ac:dyDescent="0.35">
      <c r="B23" s="127">
        <v>2024</v>
      </c>
      <c r="C23" s="227">
        <f t="shared" si="2"/>
        <v>109256.56632352993</v>
      </c>
      <c r="D23" s="227">
        <f t="shared" si="2"/>
        <v>23812.839852941222</v>
      </c>
      <c r="E23" s="227">
        <f t="shared" si="2"/>
        <v>7097.8520588235115</v>
      </c>
      <c r="F23" s="128">
        <f t="shared" si="3"/>
        <v>140167.25823529466</v>
      </c>
      <c r="G23" s="226">
        <f t="shared" si="4"/>
        <v>24275.452294017123</v>
      </c>
      <c r="H23" s="171">
        <f t="shared" si="1"/>
        <v>23631.498142129014</v>
      </c>
    </row>
    <row r="24" spans="2:15" x14ac:dyDescent="0.35">
      <c r="B24" s="127">
        <v>2025</v>
      </c>
      <c r="C24" s="227">
        <f t="shared" si="2"/>
        <v>112264.54926470667</v>
      </c>
      <c r="D24" s="227">
        <f t="shared" si="2"/>
        <v>24546.663970588241</v>
      </c>
      <c r="E24" s="227">
        <f t="shared" si="2"/>
        <v>7246.7544117646758</v>
      </c>
      <c r="F24" s="128">
        <f t="shared" si="3"/>
        <v>144057.96764705959</v>
      </c>
      <c r="G24" s="226">
        <f t="shared" si="4"/>
        <v>24775.637634458493</v>
      </c>
      <c r="H24" s="171">
        <f t="shared" si="1"/>
        <v>24113.808848286746</v>
      </c>
    </row>
    <row r="25" spans="2:15" x14ac:dyDescent="0.35">
      <c r="B25" s="127">
        <v>2026</v>
      </c>
      <c r="C25" s="227">
        <f t="shared" si="2"/>
        <v>115272.53220588248</v>
      </c>
      <c r="D25" s="227">
        <f t="shared" si="2"/>
        <v>25280.488088235259</v>
      </c>
      <c r="E25" s="227">
        <f t="shared" si="2"/>
        <v>7395.65676470584</v>
      </c>
      <c r="F25" s="128">
        <f t="shared" si="3"/>
        <v>147948.67705882358</v>
      </c>
      <c r="G25" s="226">
        <f t="shared" si="4"/>
        <v>25275.82297489974</v>
      </c>
      <c r="H25" s="171">
        <f t="shared" si="1"/>
        <v>24596.119554444362</v>
      </c>
    </row>
    <row r="26" spans="2:15" x14ac:dyDescent="0.35">
      <c r="B26" s="127">
        <v>2027</v>
      </c>
      <c r="C26" s="227">
        <f t="shared" si="2"/>
        <v>118280.51514705922</v>
      </c>
      <c r="D26" s="227">
        <f t="shared" si="2"/>
        <v>26014.312205882277</v>
      </c>
      <c r="E26" s="227">
        <f t="shared" si="2"/>
        <v>7544.5591176470625</v>
      </c>
      <c r="F26" s="128">
        <f t="shared" si="3"/>
        <v>151839.38647058856</v>
      </c>
      <c r="G26" s="226">
        <f t="shared" si="4"/>
        <v>25776.008315341118</v>
      </c>
      <c r="H26" s="171">
        <f t="shared" si="1"/>
        <v>25078.430260602094</v>
      </c>
    </row>
    <row r="27" spans="2:15" x14ac:dyDescent="0.35">
      <c r="B27" s="127">
        <v>2028</v>
      </c>
      <c r="C27" s="227">
        <f t="shared" si="2"/>
        <v>121288.49808823597</v>
      </c>
      <c r="D27" s="227">
        <f t="shared" si="2"/>
        <v>26748.136323529528</v>
      </c>
      <c r="E27" s="227">
        <f t="shared" si="2"/>
        <v>7693.4614705882268</v>
      </c>
      <c r="F27" s="128">
        <f t="shared" si="3"/>
        <v>155730.09588235372</v>
      </c>
      <c r="G27" s="226">
        <f t="shared" si="4"/>
        <v>26276.19365578251</v>
      </c>
      <c r="H27" s="171">
        <f t="shared" si="1"/>
        <v>25560.740966759855</v>
      </c>
    </row>
    <row r="28" spans="2:15" x14ac:dyDescent="0.35">
      <c r="B28" s="127">
        <v>2029</v>
      </c>
      <c r="C28" s="227">
        <f t="shared" si="2"/>
        <v>124296.48102941271</v>
      </c>
      <c r="D28" s="227">
        <f t="shared" si="2"/>
        <v>27481.960441176547</v>
      </c>
      <c r="E28" s="227">
        <f t="shared" si="2"/>
        <v>7842.3638235293911</v>
      </c>
      <c r="F28" s="128">
        <f t="shared" si="3"/>
        <v>159620.80529411865</v>
      </c>
      <c r="G28" s="226">
        <f t="shared" si="4"/>
        <v>26776.378996223881</v>
      </c>
      <c r="H28" s="171">
        <f t="shared" si="1"/>
        <v>26043.05167291758</v>
      </c>
    </row>
    <row r="29" spans="2:15" x14ac:dyDescent="0.35">
      <c r="B29" s="127">
        <v>2030</v>
      </c>
      <c r="C29" s="227">
        <f t="shared" si="2"/>
        <v>127304.46397058852</v>
      </c>
      <c r="D29" s="227">
        <f t="shared" si="2"/>
        <v>28215.784558823565</v>
      </c>
      <c r="E29" s="227">
        <f t="shared" si="2"/>
        <v>7991.2661764705554</v>
      </c>
      <c r="F29" s="128">
        <f t="shared" si="3"/>
        <v>163511.51470588264</v>
      </c>
      <c r="G29" s="226">
        <f t="shared" si="4"/>
        <v>27276.564336665127</v>
      </c>
      <c r="H29" s="171">
        <f t="shared" si="1"/>
        <v>26525.362379075195</v>
      </c>
    </row>
    <row r="30" spans="2:15" x14ac:dyDescent="0.35">
      <c r="B30" s="127">
        <v>2031</v>
      </c>
      <c r="C30" s="227">
        <f t="shared" si="2"/>
        <v>130312.44691176526</v>
      </c>
      <c r="D30" s="227">
        <f t="shared" si="2"/>
        <v>28949.608676470583</v>
      </c>
      <c r="E30" s="227">
        <f t="shared" si="2"/>
        <v>8140.1685294117196</v>
      </c>
      <c r="F30" s="128">
        <f t="shared" si="3"/>
        <v>167402.22411764757</v>
      </c>
      <c r="G30" s="226">
        <f t="shared" si="4"/>
        <v>27776.749677106498</v>
      </c>
      <c r="H30" s="171">
        <f t="shared" si="1"/>
        <v>27007.673085232927</v>
      </c>
    </row>
    <row r="31" spans="2:15" x14ac:dyDescent="0.35">
      <c r="B31" s="127">
        <v>2032</v>
      </c>
      <c r="C31" s="227">
        <f t="shared" si="2"/>
        <v>133320.429852942</v>
      </c>
      <c r="D31" s="227">
        <f t="shared" si="2"/>
        <v>29683.432794117602</v>
      </c>
      <c r="E31" s="227">
        <f t="shared" si="2"/>
        <v>8289.0708823529421</v>
      </c>
      <c r="F31" s="128">
        <f t="shared" si="3"/>
        <v>171292.93352941255</v>
      </c>
      <c r="G31" s="226">
        <f t="shared" si="4"/>
        <v>28276.935017547876</v>
      </c>
      <c r="H31" s="171">
        <f t="shared" si="1"/>
        <v>27489.983791390667</v>
      </c>
    </row>
    <row r="32" spans="2:15" x14ac:dyDescent="0.35">
      <c r="B32" s="127">
        <v>2033</v>
      </c>
      <c r="C32" s="227">
        <f t="shared" si="2"/>
        <v>136328.41279411782</v>
      </c>
      <c r="D32" s="227">
        <f t="shared" si="2"/>
        <v>30417.25691176462</v>
      </c>
      <c r="E32" s="227">
        <f t="shared" si="2"/>
        <v>8437.9732352941064</v>
      </c>
      <c r="F32" s="128">
        <f t="shared" si="3"/>
        <v>175183.64294117654</v>
      </c>
      <c r="G32" s="226">
        <f t="shared" si="4"/>
        <v>28777.120357989123</v>
      </c>
      <c r="H32" s="171">
        <f t="shared" si="1"/>
        <v>27972.294497548282</v>
      </c>
    </row>
    <row r="33" spans="2:8" x14ac:dyDescent="0.35">
      <c r="B33" s="127">
        <v>2034</v>
      </c>
      <c r="C33" s="227">
        <f t="shared" si="2"/>
        <v>139336.39573529456</v>
      </c>
      <c r="D33" s="227">
        <f t="shared" si="2"/>
        <v>31151.081029411871</v>
      </c>
      <c r="E33" s="227">
        <f t="shared" si="2"/>
        <v>8586.8755882352707</v>
      </c>
      <c r="F33" s="128">
        <f t="shared" si="3"/>
        <v>179074.3523529417</v>
      </c>
      <c r="G33" s="226">
        <f t="shared" si="4"/>
        <v>29277.305698430522</v>
      </c>
      <c r="H33" s="171">
        <f t="shared" si="1"/>
        <v>28454.605203706044</v>
      </c>
    </row>
    <row r="34" spans="2:8" x14ac:dyDescent="0.35">
      <c r="B34" s="127">
        <v>2035</v>
      </c>
      <c r="C34" s="227">
        <f t="shared" si="2"/>
        <v>142344.3786764713</v>
      </c>
      <c r="D34" s="227">
        <f t="shared" si="2"/>
        <v>31884.905147058889</v>
      </c>
      <c r="E34" s="227">
        <f t="shared" si="2"/>
        <v>8735.777941176435</v>
      </c>
      <c r="F34" s="128">
        <f t="shared" si="3"/>
        <v>182965.06176470662</v>
      </c>
      <c r="G34" s="226">
        <f t="shared" si="4"/>
        <v>29777.491038871885</v>
      </c>
      <c r="H34" s="171">
        <f t="shared" si="1"/>
        <v>28936.915909863768</v>
      </c>
    </row>
    <row r="35" spans="2:8" x14ac:dyDescent="0.35">
      <c r="B35" s="127">
        <v>2036</v>
      </c>
      <c r="C35" s="227">
        <f t="shared" si="2"/>
        <v>145352.36161764804</v>
      </c>
      <c r="D35" s="227">
        <f t="shared" si="2"/>
        <v>32618.729264705908</v>
      </c>
      <c r="E35" s="227">
        <f t="shared" si="2"/>
        <v>8884.6802941176575</v>
      </c>
      <c r="F35" s="128">
        <f t="shared" si="3"/>
        <v>186855.77117647161</v>
      </c>
      <c r="G35" s="226">
        <f t="shared" si="4"/>
        <v>30277.676379313263</v>
      </c>
      <c r="H35" s="171">
        <f t="shared" si="1"/>
        <v>29419.226616021508</v>
      </c>
    </row>
    <row r="36" spans="2:8" x14ac:dyDescent="0.35">
      <c r="B36" s="127">
        <v>2037</v>
      </c>
      <c r="C36" s="227">
        <f t="shared" si="2"/>
        <v>148360.34455882385</v>
      </c>
      <c r="D36" s="227">
        <f t="shared" si="2"/>
        <v>33352.553382352926</v>
      </c>
      <c r="E36" s="227">
        <f t="shared" si="2"/>
        <v>9033.5826470588217</v>
      </c>
      <c r="F36" s="128">
        <f t="shared" si="3"/>
        <v>190746.4805882356</v>
      </c>
      <c r="G36" s="226">
        <f t="shared" si="4"/>
        <v>30777.86171975451</v>
      </c>
      <c r="H36" s="171">
        <f t="shared" si="1"/>
        <v>29901.537322179123</v>
      </c>
    </row>
    <row r="37" spans="2:8" x14ac:dyDescent="0.35">
      <c r="B37" s="127">
        <v>2038</v>
      </c>
      <c r="C37" s="227">
        <f t="shared" si="2"/>
        <v>151368.3275000006</v>
      </c>
      <c r="D37" s="227">
        <f t="shared" si="2"/>
        <v>34086.377499999944</v>
      </c>
      <c r="E37" s="227">
        <f t="shared" si="2"/>
        <v>9182.484999999986</v>
      </c>
      <c r="F37" s="128">
        <f t="shared" si="3"/>
        <v>194637.19000000053</v>
      </c>
      <c r="G37" s="226">
        <f t="shared" si="4"/>
        <v>31278.04706019588</v>
      </c>
      <c r="H37" s="171">
        <f t="shared" si="1"/>
        <v>30383.848028336855</v>
      </c>
    </row>
    <row r="38" spans="2:8" x14ac:dyDescent="0.35">
      <c r="B38" s="127">
        <v>2039</v>
      </c>
      <c r="C38" s="227">
        <f t="shared" si="2"/>
        <v>154376.31044117734</v>
      </c>
      <c r="D38" s="227">
        <f t="shared" si="2"/>
        <v>34820.201617646962</v>
      </c>
      <c r="E38" s="227">
        <f t="shared" si="2"/>
        <v>9331.3873529411503</v>
      </c>
      <c r="F38" s="128">
        <f t="shared" si="3"/>
        <v>198527.89941176545</v>
      </c>
      <c r="G38" s="226">
        <f t="shared" si="4"/>
        <v>31778.232400637251</v>
      </c>
      <c r="H38" s="171">
        <f t="shared" si="1"/>
        <v>30866.158734494587</v>
      </c>
    </row>
    <row r="39" spans="2:8" x14ac:dyDescent="0.35">
      <c r="B39" s="127">
        <v>2040</v>
      </c>
      <c r="C39" s="227">
        <f t="shared" si="2"/>
        <v>157384.29338235315</v>
      </c>
      <c r="D39" s="227">
        <f t="shared" si="2"/>
        <v>35554.025735294214</v>
      </c>
      <c r="E39" s="227">
        <f t="shared" si="2"/>
        <v>9480.2897058823146</v>
      </c>
      <c r="F39" s="128">
        <f t="shared" si="3"/>
        <v>202418.60882352968</v>
      </c>
      <c r="G39" s="226">
        <f t="shared" si="4"/>
        <v>32278.417741078527</v>
      </c>
      <c r="H39" s="171">
        <f t="shared" si="1"/>
        <v>31348.469440652225</v>
      </c>
    </row>
    <row r="40" spans="2:8" x14ac:dyDescent="0.35">
      <c r="B40" s="127">
        <v>2041</v>
      </c>
      <c r="C40" s="227">
        <f t="shared" si="2"/>
        <v>160392.27632352989</v>
      </c>
      <c r="D40" s="227">
        <f t="shared" si="2"/>
        <v>36287.849852941232</v>
      </c>
      <c r="E40" s="227">
        <f t="shared" si="2"/>
        <v>9629.1920588235371</v>
      </c>
      <c r="F40" s="128">
        <f t="shared" si="3"/>
        <v>206309.31823529466</v>
      </c>
      <c r="G40" s="226">
        <f t="shared" si="4"/>
        <v>32778.603081519905</v>
      </c>
      <c r="H40" s="171">
        <f t="shared" si="1"/>
        <v>31830.780146809964</v>
      </c>
    </row>
    <row r="41" spans="2:8" x14ac:dyDescent="0.35">
      <c r="B41" s="127">
        <v>2042</v>
      </c>
      <c r="C41" s="227">
        <f t="shared" si="2"/>
        <v>163400.25926470663</v>
      </c>
      <c r="D41" s="227">
        <f t="shared" si="2"/>
        <v>37021.67397058825</v>
      </c>
      <c r="E41" s="227">
        <f t="shared" si="2"/>
        <v>9778.0944117647014</v>
      </c>
      <c r="F41" s="128">
        <f t="shared" si="3"/>
        <v>210200.02764705959</v>
      </c>
      <c r="G41" s="226">
        <f t="shared" si="4"/>
        <v>33278.788421961275</v>
      </c>
      <c r="H41" s="171">
        <f t="shared" si="1"/>
        <v>32313.090852967689</v>
      </c>
    </row>
    <row r="42" spans="2:8" x14ac:dyDescent="0.35">
      <c r="B42" s="127">
        <v>2043</v>
      </c>
      <c r="C42" s="227">
        <f t="shared" si="2"/>
        <v>166408.24220588244</v>
      </c>
      <c r="D42" s="227">
        <f t="shared" si="2"/>
        <v>37755.498088235268</v>
      </c>
      <c r="E42" s="227">
        <f t="shared" si="2"/>
        <v>9926.9967647058656</v>
      </c>
      <c r="F42" s="128">
        <f t="shared" si="3"/>
        <v>214090.73705882358</v>
      </c>
      <c r="G42" s="226">
        <f t="shared" si="4"/>
        <v>33778.973762402522</v>
      </c>
      <c r="H42" s="171">
        <f t="shared" si="1"/>
        <v>32795.401559125305</v>
      </c>
    </row>
    <row r="43" spans="2:8" x14ac:dyDescent="0.35">
      <c r="B43" s="127">
        <v>2044</v>
      </c>
      <c r="C43" s="227">
        <f t="shared" si="2"/>
        <v>169416.22514705919</v>
      </c>
      <c r="D43" s="227">
        <f t="shared" si="2"/>
        <v>38489.322205882287</v>
      </c>
      <c r="E43" s="227">
        <f t="shared" si="2"/>
        <v>10075.89911764703</v>
      </c>
      <c r="F43" s="128">
        <f t="shared" si="3"/>
        <v>217981.4464705885</v>
      </c>
      <c r="G43" s="226">
        <f t="shared" si="4"/>
        <v>34279.159102843892</v>
      </c>
      <c r="H43" s="171">
        <f t="shared" si="1"/>
        <v>33277.712265283037</v>
      </c>
    </row>
    <row r="44" spans="2:8" x14ac:dyDescent="0.35">
      <c r="B44" s="127">
        <v>2045</v>
      </c>
      <c r="C44" s="227">
        <f t="shared" si="2"/>
        <v>172424.20808823593</v>
      </c>
      <c r="D44" s="227">
        <f t="shared" si="2"/>
        <v>39223.146323529305</v>
      </c>
      <c r="E44" s="227">
        <f t="shared" si="2"/>
        <v>10224.801470588194</v>
      </c>
      <c r="F44" s="128">
        <f t="shared" si="3"/>
        <v>221872.15588235343</v>
      </c>
      <c r="G44" s="226">
        <f t="shared" si="4"/>
        <v>34779.344443285256</v>
      </c>
      <c r="H44" s="171">
        <f t="shared" si="1"/>
        <v>33760.022971440769</v>
      </c>
    </row>
    <row r="45" spans="2:8" x14ac:dyDescent="0.35">
      <c r="B45" s="127">
        <v>2046</v>
      </c>
      <c r="C45" s="227">
        <f t="shared" si="2"/>
        <v>175432.19102941267</v>
      </c>
      <c r="D45" s="227">
        <f t="shared" si="2"/>
        <v>39956.970441176556</v>
      </c>
      <c r="E45" s="227">
        <f t="shared" si="2"/>
        <v>10373.703823529417</v>
      </c>
      <c r="F45" s="128">
        <f t="shared" si="3"/>
        <v>225762.86529411864</v>
      </c>
      <c r="G45" s="226">
        <f t="shared" si="4"/>
        <v>35279.529783726663</v>
      </c>
      <c r="H45" s="171">
        <f t="shared" si="1"/>
        <v>34242.333677598537</v>
      </c>
    </row>
    <row r="46" spans="2:8" x14ac:dyDescent="0.35">
      <c r="B46" s="127">
        <v>2047</v>
      </c>
      <c r="C46" s="227">
        <f t="shared" si="2"/>
        <v>178440.17397058848</v>
      </c>
      <c r="D46" s="227">
        <f t="shared" si="2"/>
        <v>40690.794558823574</v>
      </c>
      <c r="E46" s="227">
        <f t="shared" si="2"/>
        <v>10522.606176470581</v>
      </c>
      <c r="F46" s="128">
        <f t="shared" si="3"/>
        <v>229653.57470588264</v>
      </c>
      <c r="G46" s="226">
        <f t="shared" si="4"/>
        <v>35779.715124167909</v>
      </c>
      <c r="H46" s="171">
        <f t="shared" si="1"/>
        <v>34724.644383756153</v>
      </c>
    </row>
    <row r="47" spans="2:8" x14ac:dyDescent="0.35">
      <c r="B47" s="127">
        <v>2048</v>
      </c>
      <c r="C47" s="227">
        <f t="shared" si="2"/>
        <v>181448.15691176523</v>
      </c>
      <c r="D47" s="227">
        <f t="shared" si="2"/>
        <v>41424.618676470593</v>
      </c>
      <c r="E47" s="227">
        <f t="shared" si="2"/>
        <v>10671.508529411745</v>
      </c>
      <c r="F47" s="128">
        <f t="shared" si="3"/>
        <v>233544.28411764756</v>
      </c>
      <c r="G47" s="226">
        <f t="shared" si="4"/>
        <v>36279.90046460928</v>
      </c>
      <c r="H47" s="171">
        <f t="shared" si="1"/>
        <v>35206.955089913878</v>
      </c>
    </row>
    <row r="48" spans="2:8" x14ac:dyDescent="0.35">
      <c r="B48" s="127">
        <v>2049</v>
      </c>
      <c r="C48" s="227">
        <f t="shared" si="2"/>
        <v>184456.13985294197</v>
      </c>
      <c r="D48" s="227">
        <f t="shared" si="2"/>
        <v>42158.442794117611</v>
      </c>
      <c r="E48" s="227">
        <f t="shared" si="2"/>
        <v>10820.41088235291</v>
      </c>
      <c r="F48" s="128">
        <f t="shared" si="3"/>
        <v>237434.99352941249</v>
      </c>
      <c r="G48" s="226">
        <f t="shared" si="4"/>
        <v>36780.08580505065</v>
      </c>
      <c r="H48" s="171">
        <f t="shared" si="1"/>
        <v>35689.26579607161</v>
      </c>
    </row>
    <row r="49" spans="2:8" x14ac:dyDescent="0.35">
      <c r="B49" s="127">
        <v>2050</v>
      </c>
      <c r="C49" s="227">
        <f t="shared" si="2"/>
        <v>187464.12279411778</v>
      </c>
      <c r="D49" s="227">
        <f t="shared" si="2"/>
        <v>42892.266911764629</v>
      </c>
      <c r="E49" s="227">
        <f t="shared" si="2"/>
        <v>10969.313235294074</v>
      </c>
      <c r="F49" s="128">
        <f t="shared" si="3"/>
        <v>241325.70294117648</v>
      </c>
      <c r="G49" s="226">
        <f t="shared" si="4"/>
        <v>37280.271145491897</v>
      </c>
      <c r="H49" s="171">
        <f t="shared" si="1"/>
        <v>36171.576502229225</v>
      </c>
    </row>
  </sheetData>
  <mergeCells count="4">
    <mergeCell ref="C2:F2"/>
    <mergeCell ref="G2:H2"/>
    <mergeCell ref="J6:J8"/>
    <mergeCell ref="J9:J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B2:K49"/>
  <sheetViews>
    <sheetView showGridLines="0" zoomScale="80" zoomScaleNormal="80" workbookViewId="0">
      <selection activeCell="F18" sqref="F18"/>
    </sheetView>
  </sheetViews>
  <sheetFormatPr defaultRowHeight="14.5" x14ac:dyDescent="0.35"/>
  <cols>
    <col min="2" max="2" width="13" customWidth="1"/>
    <col min="3" max="6" width="16.81640625" customWidth="1"/>
    <col min="7" max="7" width="16.81640625" style="4" customWidth="1"/>
    <col min="8" max="8" width="16.81640625" customWidth="1"/>
    <col min="11" max="11" width="18.54296875" customWidth="1"/>
  </cols>
  <sheetData>
    <row r="2" spans="2:11" x14ac:dyDescent="0.35">
      <c r="B2" s="22"/>
      <c r="C2" s="326" t="s">
        <v>53</v>
      </c>
      <c r="D2" s="326"/>
      <c r="E2" s="326"/>
      <c r="F2" s="326"/>
      <c r="G2" s="326" t="s">
        <v>60</v>
      </c>
      <c r="H2" s="326"/>
    </row>
    <row r="3" spans="2:11" s="3" customFormat="1" ht="116.5" thickBot="1" x14ac:dyDescent="0.4">
      <c r="B3" s="135" t="s">
        <v>6</v>
      </c>
      <c r="C3" s="136" t="s">
        <v>61</v>
      </c>
      <c r="D3" s="136" t="s">
        <v>62</v>
      </c>
      <c r="E3" s="136" t="s">
        <v>63</v>
      </c>
      <c r="F3" s="136" t="s">
        <v>64</v>
      </c>
      <c r="G3" s="137" t="s">
        <v>65</v>
      </c>
      <c r="H3" s="137" t="s">
        <v>66</v>
      </c>
    </row>
    <row r="4" spans="2:11" x14ac:dyDescent="0.35">
      <c r="B4" s="130">
        <v>2005</v>
      </c>
      <c r="C4" s="131">
        <v>57152.5</v>
      </c>
      <c r="D4" s="131">
        <v>44014.3</v>
      </c>
      <c r="E4" s="131">
        <v>51111.5</v>
      </c>
      <c r="F4" s="132">
        <v>152552</v>
      </c>
      <c r="G4" s="133">
        <v>14275.618249000001</v>
      </c>
      <c r="H4" s="134"/>
    </row>
    <row r="5" spans="2:11" x14ac:dyDescent="0.35">
      <c r="B5" s="48">
        <v>2006</v>
      </c>
      <c r="C5" s="124">
        <v>62132.7</v>
      </c>
      <c r="D5" s="124">
        <v>48656.9</v>
      </c>
      <c r="E5" s="124">
        <v>53725.599999999999</v>
      </c>
      <c r="F5" s="68">
        <v>165127.29999999999</v>
      </c>
      <c r="G5" s="125">
        <v>15031.114292399998</v>
      </c>
      <c r="H5" s="126"/>
      <c r="J5" s="1"/>
      <c r="K5" s="209" t="s">
        <v>25</v>
      </c>
    </row>
    <row r="6" spans="2:11" x14ac:dyDescent="0.35">
      <c r="B6" s="48">
        <v>2007</v>
      </c>
      <c r="C6" s="124">
        <v>67072.399999999994</v>
      </c>
      <c r="D6" s="124">
        <v>55819.9</v>
      </c>
      <c r="E6" s="124">
        <v>57440.5</v>
      </c>
      <c r="F6" s="68">
        <v>181144.5</v>
      </c>
      <c r="G6" s="125">
        <v>15820.738804100001</v>
      </c>
      <c r="H6" s="126"/>
      <c r="J6" s="320" t="s">
        <v>26</v>
      </c>
      <c r="K6" s="217" t="s">
        <v>27</v>
      </c>
    </row>
    <row r="7" spans="2:11" x14ac:dyDescent="0.35">
      <c r="B7" s="48">
        <v>2008</v>
      </c>
      <c r="C7" s="124">
        <v>69667.600000000006</v>
      </c>
      <c r="D7" s="124">
        <v>58120.800000000003</v>
      </c>
      <c r="E7" s="124">
        <v>61213.599999999999</v>
      </c>
      <c r="F7" s="68">
        <v>189579.1</v>
      </c>
      <c r="G7" s="125">
        <v>16404.464580600001</v>
      </c>
      <c r="H7" s="126"/>
      <c r="J7" s="320"/>
      <c r="K7" s="222" t="s">
        <v>28</v>
      </c>
    </row>
    <row r="8" spans="2:11" x14ac:dyDescent="0.35">
      <c r="B8" s="48">
        <v>2009</v>
      </c>
      <c r="C8" s="124">
        <v>65708.800000000003</v>
      </c>
      <c r="D8" s="124">
        <v>59522.8</v>
      </c>
      <c r="E8" s="124">
        <v>63922.400000000001</v>
      </c>
      <c r="F8" s="68">
        <v>189155.4</v>
      </c>
      <c r="G8" s="125">
        <v>16407.874312400003</v>
      </c>
      <c r="H8" s="126"/>
      <c r="J8" s="320"/>
      <c r="K8" s="214" t="s">
        <v>29</v>
      </c>
    </row>
    <row r="9" spans="2:11" x14ac:dyDescent="0.35">
      <c r="B9" s="48">
        <v>2010</v>
      </c>
      <c r="C9" s="124">
        <v>74517</v>
      </c>
      <c r="D9" s="124">
        <v>65092.2</v>
      </c>
      <c r="E9" s="124">
        <v>72412.2</v>
      </c>
      <c r="F9" s="68">
        <v>211966.7</v>
      </c>
      <c r="G9" s="125">
        <v>17568.402622199999</v>
      </c>
      <c r="H9" s="126"/>
      <c r="J9" s="319" t="s">
        <v>30</v>
      </c>
      <c r="K9" s="210" t="s">
        <v>31</v>
      </c>
    </row>
    <row r="10" spans="2:11" x14ac:dyDescent="0.35">
      <c r="B10" s="48">
        <v>2011</v>
      </c>
      <c r="C10" s="124">
        <v>79841.899999999994</v>
      </c>
      <c r="D10" s="124">
        <v>68939</v>
      </c>
      <c r="E10" s="124">
        <v>78272</v>
      </c>
      <c r="F10" s="68">
        <v>226916.9</v>
      </c>
      <c r="G10" s="125">
        <v>18100.4223385</v>
      </c>
      <c r="H10" s="126"/>
      <c r="J10" s="319"/>
      <c r="K10" s="211" t="s">
        <v>32</v>
      </c>
    </row>
    <row r="11" spans="2:11" x14ac:dyDescent="0.35">
      <c r="B11" s="48">
        <v>2012</v>
      </c>
      <c r="C11" s="124">
        <v>84978.9</v>
      </c>
      <c r="D11" s="124">
        <v>73096.899999999994</v>
      </c>
      <c r="E11" s="124">
        <v>81174.399999999994</v>
      </c>
      <c r="F11" s="68">
        <v>239322.2</v>
      </c>
      <c r="G11" s="125">
        <v>18694.678114300001</v>
      </c>
      <c r="H11" s="126"/>
      <c r="J11" s="319"/>
      <c r="K11" s="212" t="s">
        <v>33</v>
      </c>
    </row>
    <row r="12" spans="2:11" x14ac:dyDescent="0.35">
      <c r="B12" s="48">
        <v>2013</v>
      </c>
      <c r="C12" s="124">
        <v>89534.7</v>
      </c>
      <c r="D12" s="124">
        <v>80943.199999999997</v>
      </c>
      <c r="E12" s="124">
        <v>85223.4</v>
      </c>
      <c r="F12" s="68">
        <v>255756.9</v>
      </c>
      <c r="G12" s="125">
        <v>19087.70264</v>
      </c>
      <c r="H12" s="126"/>
      <c r="J12" s="319"/>
      <c r="K12" s="213" t="s">
        <v>34</v>
      </c>
    </row>
    <row r="13" spans="2:11" x14ac:dyDescent="0.35">
      <c r="B13" s="48">
        <v>2014</v>
      </c>
      <c r="C13" s="124">
        <v>92452.3</v>
      </c>
      <c r="D13" s="124">
        <v>86090.6</v>
      </c>
      <c r="E13" s="124">
        <v>88268</v>
      </c>
      <c r="F13" s="68">
        <v>266816.90000000002</v>
      </c>
      <c r="G13" s="125">
        <v>19487.659328599999</v>
      </c>
      <c r="H13" s="126"/>
    </row>
    <row r="14" spans="2:11" x14ac:dyDescent="0.35">
      <c r="B14" s="48">
        <v>2015</v>
      </c>
      <c r="C14" s="124">
        <v>95599</v>
      </c>
      <c r="D14" s="124">
        <v>89871.8</v>
      </c>
      <c r="E14" s="124">
        <v>92630.399999999994</v>
      </c>
      <c r="F14" s="68">
        <v>278101.3</v>
      </c>
      <c r="G14" s="125">
        <v>19925.871674299997</v>
      </c>
      <c r="H14" s="126"/>
    </row>
    <row r="15" spans="2:11" x14ac:dyDescent="0.35">
      <c r="B15" s="48">
        <v>2016</v>
      </c>
      <c r="C15" s="124">
        <v>96444.7</v>
      </c>
      <c r="D15" s="124">
        <v>91748.2</v>
      </c>
      <c r="E15" s="124">
        <v>97134.5</v>
      </c>
      <c r="F15" s="68">
        <v>285327.40000000002</v>
      </c>
      <c r="G15" s="125">
        <v>20338.691053099999</v>
      </c>
      <c r="H15" s="126"/>
    </row>
    <row r="16" spans="2:11" x14ac:dyDescent="0.35">
      <c r="B16" s="48">
        <v>2017</v>
      </c>
      <c r="C16" s="124">
        <v>98878</v>
      </c>
      <c r="D16" s="124">
        <v>97802.7</v>
      </c>
      <c r="E16" s="124">
        <v>98701.4</v>
      </c>
      <c r="F16" s="68">
        <v>295376</v>
      </c>
      <c r="G16" s="125">
        <v>20555.026396699999</v>
      </c>
      <c r="H16" s="126"/>
    </row>
    <row r="17" spans="2:8" x14ac:dyDescent="0.35">
      <c r="B17" s="48">
        <v>2018</v>
      </c>
      <c r="C17" s="124">
        <v>100714.2</v>
      </c>
      <c r="D17" s="124">
        <v>103061.3</v>
      </c>
      <c r="E17" s="124">
        <v>100977.60000000001</v>
      </c>
      <c r="F17" s="68">
        <v>304618.2</v>
      </c>
      <c r="G17" s="125">
        <v>21506.032864999997</v>
      </c>
      <c r="H17" s="126"/>
    </row>
    <row r="18" spans="2:8" x14ac:dyDescent="0.35">
      <c r="B18" s="48">
        <v>2019</v>
      </c>
      <c r="C18" s="124">
        <v>100046.39999999999</v>
      </c>
      <c r="D18" s="124">
        <v>111272.1</v>
      </c>
      <c r="E18" s="124">
        <v>99853.3</v>
      </c>
      <c r="F18" s="68">
        <v>310786</v>
      </c>
      <c r="G18" s="125">
        <v>22335.898471799999</v>
      </c>
      <c r="H18" s="126"/>
    </row>
    <row r="19" spans="2:8" x14ac:dyDescent="0.35">
      <c r="B19" s="48">
        <v>2020</v>
      </c>
      <c r="C19" s="124">
        <v>90537.1</v>
      </c>
      <c r="D19" s="124">
        <v>112267.7</v>
      </c>
      <c r="E19" s="124">
        <v>87028.2</v>
      </c>
      <c r="F19" s="68">
        <v>289345.5</v>
      </c>
      <c r="G19" s="125">
        <v>21324.9</v>
      </c>
      <c r="H19" s="126"/>
    </row>
    <row r="20" spans="2:8" x14ac:dyDescent="0.35">
      <c r="B20" s="127">
        <v>2021</v>
      </c>
      <c r="C20" s="227">
        <f>_xlfn.FORECAST.LINEAR($B20,C$4:C$19,$B$4:$B$19)</f>
        <v>107699.24749999959</v>
      </c>
      <c r="D20" s="227">
        <f>_xlfn.FORECAST.LINEAR($B20,D$4:D$19,$B$4:$B$19)</f>
        <v>116937.125</v>
      </c>
      <c r="E20" s="227">
        <f>_xlfn.FORECAST.LINEAR($B20,E$4:E$19,$B$4:$B$19)</f>
        <v>108347.08250000048</v>
      </c>
      <c r="F20" s="128">
        <f>SUM(C20:E20)</f>
        <v>332983.45500000007</v>
      </c>
      <c r="G20" s="228">
        <f>_xlfn.FORECAST.LINEAR(F20,$G$4:$G$18,$F$4:$F$18)</f>
        <v>22707.777313151149</v>
      </c>
      <c r="H20" s="129">
        <f t="shared" ref="H20:H49" si="0">INTERCEPT($G$4:$G$18,$F$4:$F$18)+F20*($G$19-INTERCEPT($G$4:$G$18,$F$4:$F$18))/$F$19</f>
        <v>23382.378208277845</v>
      </c>
    </row>
    <row r="21" spans="2:8" x14ac:dyDescent="0.35">
      <c r="B21" s="127">
        <v>2022</v>
      </c>
      <c r="C21" s="227">
        <f t="shared" ref="C21:E49" si="1">_xlfn.FORECAST.LINEAR($B21,C$4:C$19,$B$4:$B$19)</f>
        <v>110625.05455882289</v>
      </c>
      <c r="D21" s="227">
        <f t="shared" si="1"/>
        <v>121530.31323529407</v>
      </c>
      <c r="E21" s="227">
        <f t="shared" si="1"/>
        <v>111762.2613235293</v>
      </c>
      <c r="F21" s="128">
        <f t="shared" ref="F21:F49" si="2">SUM(C21:E21)</f>
        <v>343917.62911764625</v>
      </c>
      <c r="G21" s="228">
        <f t="shared" ref="G21:G49" si="3">_xlfn.FORECAST.LINEAR(F21,$G$4:$G$18,$F$4:$F$18)</f>
        <v>23201.158888934166</v>
      </c>
      <c r="H21" s="129">
        <f t="shared" si="0"/>
        <v>23897.911646372566</v>
      </c>
    </row>
    <row r="22" spans="2:8" x14ac:dyDescent="0.35">
      <c r="B22" s="127">
        <v>2023</v>
      </c>
      <c r="C22" s="227">
        <f t="shared" si="1"/>
        <v>113550.86161764711</v>
      </c>
      <c r="D22" s="227">
        <f t="shared" si="1"/>
        <v>126123.50147058815</v>
      </c>
      <c r="E22" s="227">
        <f t="shared" si="1"/>
        <v>115177.44014705904</v>
      </c>
      <c r="F22" s="128">
        <f t="shared" si="2"/>
        <v>354851.8032352943</v>
      </c>
      <c r="G22" s="228">
        <f t="shared" si="3"/>
        <v>23694.540464717265</v>
      </c>
      <c r="H22" s="129">
        <f t="shared" si="0"/>
        <v>24413.44508446737</v>
      </c>
    </row>
    <row r="23" spans="2:8" x14ac:dyDescent="0.35">
      <c r="B23" s="127">
        <v>2024</v>
      </c>
      <c r="C23" s="227">
        <f t="shared" si="1"/>
        <v>116476.66867647041</v>
      </c>
      <c r="D23" s="227">
        <f t="shared" si="1"/>
        <v>130716.68970588222</v>
      </c>
      <c r="E23" s="227">
        <f t="shared" si="1"/>
        <v>118592.61897058878</v>
      </c>
      <c r="F23" s="128">
        <f t="shared" si="2"/>
        <v>365785.97735294141</v>
      </c>
      <c r="G23" s="228">
        <f t="shared" si="3"/>
        <v>24187.922040500322</v>
      </c>
      <c r="H23" s="129">
        <f t="shared" si="0"/>
        <v>24928.978522562134</v>
      </c>
    </row>
    <row r="24" spans="2:8" x14ac:dyDescent="0.35">
      <c r="B24" s="127">
        <v>2025</v>
      </c>
      <c r="C24" s="227">
        <f t="shared" si="1"/>
        <v>119402.4757352937</v>
      </c>
      <c r="D24" s="227">
        <f t="shared" si="1"/>
        <v>135309.8779411763</v>
      </c>
      <c r="E24" s="227">
        <f t="shared" si="1"/>
        <v>122007.79779411759</v>
      </c>
      <c r="F24" s="128">
        <f t="shared" si="2"/>
        <v>376720.15147058759</v>
      </c>
      <c r="G24" s="228">
        <f t="shared" si="3"/>
        <v>24681.303616283338</v>
      </c>
      <c r="H24" s="129">
        <f t="shared" si="0"/>
        <v>25444.511960656851</v>
      </c>
    </row>
    <row r="25" spans="2:8" x14ac:dyDescent="0.35">
      <c r="B25" s="127">
        <v>2026</v>
      </c>
      <c r="C25" s="227">
        <f t="shared" si="1"/>
        <v>122328.282794117</v>
      </c>
      <c r="D25" s="227">
        <f t="shared" si="1"/>
        <v>139903.06617647037</v>
      </c>
      <c r="E25" s="227">
        <f t="shared" si="1"/>
        <v>125422.97661764733</v>
      </c>
      <c r="F25" s="128">
        <f t="shared" si="2"/>
        <v>387654.3255882347</v>
      </c>
      <c r="G25" s="228">
        <f t="shared" si="3"/>
        <v>25174.685192066398</v>
      </c>
      <c r="H25" s="129">
        <f t="shared" si="0"/>
        <v>25960.045398751616</v>
      </c>
    </row>
    <row r="26" spans="2:8" x14ac:dyDescent="0.35">
      <c r="B26" s="127">
        <v>2027</v>
      </c>
      <c r="C26" s="227">
        <f t="shared" si="1"/>
        <v>125254.08985294122</v>
      </c>
      <c r="D26" s="227">
        <f t="shared" si="1"/>
        <v>144496.25441176631</v>
      </c>
      <c r="E26" s="227">
        <f t="shared" si="1"/>
        <v>128838.15544117615</v>
      </c>
      <c r="F26" s="128">
        <f t="shared" si="2"/>
        <v>398588.49970588367</v>
      </c>
      <c r="G26" s="228">
        <f t="shared" si="3"/>
        <v>25668.066767849537</v>
      </c>
      <c r="H26" s="129">
        <f t="shared" si="0"/>
        <v>26475.578836846464</v>
      </c>
    </row>
    <row r="27" spans="2:8" x14ac:dyDescent="0.35">
      <c r="B27" s="127">
        <v>2028</v>
      </c>
      <c r="C27" s="227">
        <f t="shared" si="1"/>
        <v>128179.89691176452</v>
      </c>
      <c r="D27" s="227">
        <f t="shared" si="1"/>
        <v>149089.44264706038</v>
      </c>
      <c r="E27" s="227">
        <f t="shared" si="1"/>
        <v>132253.33426470589</v>
      </c>
      <c r="F27" s="128">
        <f t="shared" si="2"/>
        <v>409522.67382353079</v>
      </c>
      <c r="G27" s="228">
        <f t="shared" si="3"/>
        <v>26161.448343632594</v>
      </c>
      <c r="H27" s="129">
        <f t="shared" si="0"/>
        <v>26991.112274941228</v>
      </c>
    </row>
    <row r="28" spans="2:8" x14ac:dyDescent="0.35">
      <c r="B28" s="127">
        <v>2029</v>
      </c>
      <c r="C28" s="227">
        <f t="shared" si="1"/>
        <v>131105.70397058781</v>
      </c>
      <c r="D28" s="227">
        <f t="shared" si="1"/>
        <v>153682.63088235445</v>
      </c>
      <c r="E28" s="227">
        <f t="shared" si="1"/>
        <v>135668.51308823563</v>
      </c>
      <c r="F28" s="128">
        <f t="shared" si="2"/>
        <v>420456.8479411779</v>
      </c>
      <c r="G28" s="228">
        <f t="shared" si="3"/>
        <v>26654.82991941565</v>
      </c>
      <c r="H28" s="129">
        <f t="shared" si="0"/>
        <v>27506.645713035989</v>
      </c>
    </row>
    <row r="29" spans="2:8" x14ac:dyDescent="0.35">
      <c r="B29" s="127">
        <v>2030</v>
      </c>
      <c r="C29" s="227">
        <f t="shared" si="1"/>
        <v>134031.51102941111</v>
      </c>
      <c r="D29" s="227">
        <f t="shared" si="1"/>
        <v>158275.81911764853</v>
      </c>
      <c r="E29" s="227">
        <f t="shared" si="1"/>
        <v>139083.69191176444</v>
      </c>
      <c r="F29" s="128">
        <f t="shared" si="2"/>
        <v>431391.02205882408</v>
      </c>
      <c r="G29" s="228">
        <f t="shared" si="3"/>
        <v>27148.211495198666</v>
      </c>
      <c r="H29" s="129">
        <f t="shared" si="0"/>
        <v>28022.179151130706</v>
      </c>
    </row>
    <row r="30" spans="2:8" x14ac:dyDescent="0.35">
      <c r="B30" s="127">
        <v>2031</v>
      </c>
      <c r="C30" s="227">
        <f t="shared" si="1"/>
        <v>136957.31808823533</v>
      </c>
      <c r="D30" s="227">
        <f t="shared" si="1"/>
        <v>162869.0073529426</v>
      </c>
      <c r="E30" s="227">
        <f t="shared" si="1"/>
        <v>142498.87073529419</v>
      </c>
      <c r="F30" s="128">
        <f t="shared" si="2"/>
        <v>442325.19617647212</v>
      </c>
      <c r="G30" s="228">
        <f t="shared" si="3"/>
        <v>27641.593070981766</v>
      </c>
      <c r="H30" s="129">
        <f t="shared" si="0"/>
        <v>28537.712589225514</v>
      </c>
    </row>
    <row r="31" spans="2:8" x14ac:dyDescent="0.35">
      <c r="B31" s="127">
        <v>2032</v>
      </c>
      <c r="C31" s="227">
        <f t="shared" si="1"/>
        <v>139883.12514705863</v>
      </c>
      <c r="D31" s="227">
        <f t="shared" si="1"/>
        <v>167462.19558823667</v>
      </c>
      <c r="E31" s="227">
        <f t="shared" si="1"/>
        <v>145914.04955882393</v>
      </c>
      <c r="F31" s="128">
        <f t="shared" si="2"/>
        <v>453259.37029411923</v>
      </c>
      <c r="G31" s="228">
        <f t="shared" si="3"/>
        <v>28134.974646764822</v>
      </c>
      <c r="H31" s="129">
        <f t="shared" si="0"/>
        <v>29053.246027320274</v>
      </c>
    </row>
    <row r="32" spans="2:8" x14ac:dyDescent="0.35">
      <c r="B32" s="127">
        <v>2033</v>
      </c>
      <c r="C32" s="227">
        <f t="shared" si="1"/>
        <v>142808.93220588192</v>
      </c>
      <c r="D32" s="227">
        <f t="shared" si="1"/>
        <v>172055.38382353075</v>
      </c>
      <c r="E32" s="227">
        <f t="shared" si="1"/>
        <v>149329.22838235274</v>
      </c>
      <c r="F32" s="128">
        <f t="shared" si="2"/>
        <v>464193.54441176541</v>
      </c>
      <c r="G32" s="228">
        <f t="shared" si="3"/>
        <v>28628.356222547838</v>
      </c>
      <c r="H32" s="129">
        <f t="shared" si="0"/>
        <v>29568.779465414995</v>
      </c>
    </row>
    <row r="33" spans="2:8" x14ac:dyDescent="0.35">
      <c r="B33" s="127">
        <v>2034</v>
      </c>
      <c r="C33" s="227">
        <f t="shared" si="1"/>
        <v>145734.73926470522</v>
      </c>
      <c r="D33" s="227">
        <f t="shared" si="1"/>
        <v>176648.57205882482</v>
      </c>
      <c r="E33" s="227">
        <f t="shared" si="1"/>
        <v>152744.40720588248</v>
      </c>
      <c r="F33" s="128">
        <f t="shared" si="2"/>
        <v>475127.71852941252</v>
      </c>
      <c r="G33" s="228">
        <f t="shared" si="3"/>
        <v>29121.737798330894</v>
      </c>
      <c r="H33" s="129">
        <f t="shared" si="0"/>
        <v>30084.312903509759</v>
      </c>
    </row>
    <row r="34" spans="2:8" x14ac:dyDescent="0.35">
      <c r="B34" s="127">
        <v>2035</v>
      </c>
      <c r="C34" s="227">
        <f t="shared" si="1"/>
        <v>148660.54632352944</v>
      </c>
      <c r="D34" s="227">
        <f t="shared" si="1"/>
        <v>181241.7602941189</v>
      </c>
      <c r="E34" s="227">
        <f t="shared" si="1"/>
        <v>156159.58602941222</v>
      </c>
      <c r="F34" s="128">
        <f t="shared" si="2"/>
        <v>486061.89264706057</v>
      </c>
      <c r="G34" s="228">
        <f t="shared" si="3"/>
        <v>29615.119374113994</v>
      </c>
      <c r="H34" s="129">
        <f t="shared" si="0"/>
        <v>30599.846341604563</v>
      </c>
    </row>
    <row r="35" spans="2:8" x14ac:dyDescent="0.35">
      <c r="B35" s="127">
        <v>2036</v>
      </c>
      <c r="C35" s="227">
        <f t="shared" si="1"/>
        <v>151586.35338235274</v>
      </c>
      <c r="D35" s="227">
        <f t="shared" si="1"/>
        <v>185834.94852941297</v>
      </c>
      <c r="E35" s="227">
        <f t="shared" si="1"/>
        <v>159574.76485294104</v>
      </c>
      <c r="F35" s="128">
        <f t="shared" si="2"/>
        <v>496996.06676470675</v>
      </c>
      <c r="G35" s="228">
        <f t="shared" si="3"/>
        <v>30108.50094989701</v>
      </c>
      <c r="H35" s="129">
        <f t="shared" si="0"/>
        <v>31115.379779699284</v>
      </c>
    </row>
    <row r="36" spans="2:8" x14ac:dyDescent="0.35">
      <c r="B36" s="127">
        <v>2037</v>
      </c>
      <c r="C36" s="227">
        <f t="shared" si="1"/>
        <v>154512.16044117603</v>
      </c>
      <c r="D36" s="227">
        <f t="shared" si="1"/>
        <v>190428.13676470704</v>
      </c>
      <c r="E36" s="227">
        <f t="shared" si="1"/>
        <v>162989.94367647078</v>
      </c>
      <c r="F36" s="128">
        <f t="shared" si="2"/>
        <v>507930.24088235386</v>
      </c>
      <c r="G36" s="228">
        <f t="shared" si="3"/>
        <v>30601.882525680066</v>
      </c>
      <c r="H36" s="129">
        <f t="shared" si="0"/>
        <v>31630.913217794045</v>
      </c>
    </row>
    <row r="37" spans="2:8" x14ac:dyDescent="0.35">
      <c r="B37" s="127">
        <v>2038</v>
      </c>
      <c r="C37" s="227">
        <f t="shared" si="1"/>
        <v>157437.96749999933</v>
      </c>
      <c r="D37" s="227">
        <f t="shared" si="1"/>
        <v>195021.32500000112</v>
      </c>
      <c r="E37" s="227">
        <f t="shared" si="1"/>
        <v>166405.12250000052</v>
      </c>
      <c r="F37" s="128">
        <f t="shared" si="2"/>
        <v>518864.41500000097</v>
      </c>
      <c r="G37" s="228">
        <f t="shared" si="3"/>
        <v>31095.264101463123</v>
      </c>
      <c r="H37" s="129">
        <f t="shared" si="0"/>
        <v>32146.446655888809</v>
      </c>
    </row>
    <row r="38" spans="2:8" x14ac:dyDescent="0.35">
      <c r="B38" s="127">
        <v>2039</v>
      </c>
      <c r="C38" s="227">
        <f t="shared" si="1"/>
        <v>160363.77455882356</v>
      </c>
      <c r="D38" s="227">
        <f t="shared" si="1"/>
        <v>199614.51323529519</v>
      </c>
      <c r="E38" s="227">
        <f t="shared" si="1"/>
        <v>169820.30132352933</v>
      </c>
      <c r="F38" s="128">
        <f t="shared" si="2"/>
        <v>529798.58911764808</v>
      </c>
      <c r="G38" s="228">
        <f t="shared" si="3"/>
        <v>31588.645677246182</v>
      </c>
      <c r="H38" s="129">
        <f t="shared" si="0"/>
        <v>32661.98009398357</v>
      </c>
    </row>
    <row r="39" spans="2:8" x14ac:dyDescent="0.35">
      <c r="B39" s="127">
        <v>2040</v>
      </c>
      <c r="C39" s="227">
        <f t="shared" si="1"/>
        <v>163289.58161764685</v>
      </c>
      <c r="D39" s="227">
        <f t="shared" si="1"/>
        <v>204207.70147058927</v>
      </c>
      <c r="E39" s="227">
        <f t="shared" si="1"/>
        <v>173235.48014705908</v>
      </c>
      <c r="F39" s="128">
        <f t="shared" si="2"/>
        <v>540732.76323529519</v>
      </c>
      <c r="G39" s="228">
        <f t="shared" si="3"/>
        <v>32082.027253029239</v>
      </c>
      <c r="H39" s="129">
        <f t="shared" si="0"/>
        <v>33177.51353207833</v>
      </c>
    </row>
    <row r="40" spans="2:8" x14ac:dyDescent="0.35">
      <c r="B40" s="127">
        <v>2041</v>
      </c>
      <c r="C40" s="227">
        <f t="shared" si="1"/>
        <v>166215.38867647015</v>
      </c>
      <c r="D40" s="227">
        <f t="shared" si="1"/>
        <v>208800.88970588334</v>
      </c>
      <c r="E40" s="227">
        <f t="shared" si="1"/>
        <v>176650.65897058789</v>
      </c>
      <c r="F40" s="128">
        <f t="shared" si="2"/>
        <v>551666.93735294137</v>
      </c>
      <c r="G40" s="228">
        <f t="shared" si="3"/>
        <v>32575.408828812255</v>
      </c>
      <c r="H40" s="129">
        <f t="shared" si="0"/>
        <v>33693.046970173047</v>
      </c>
    </row>
    <row r="41" spans="2:8" x14ac:dyDescent="0.35">
      <c r="B41" s="127">
        <v>2042</v>
      </c>
      <c r="C41" s="227">
        <f t="shared" si="1"/>
        <v>169141.19573529344</v>
      </c>
      <c r="D41" s="227">
        <f t="shared" si="1"/>
        <v>213394.07794117741</v>
      </c>
      <c r="E41" s="227">
        <f t="shared" si="1"/>
        <v>180065.83779411763</v>
      </c>
      <c r="F41" s="128">
        <f t="shared" si="2"/>
        <v>562601.11147058848</v>
      </c>
      <c r="G41" s="228">
        <f t="shared" si="3"/>
        <v>33068.790404595311</v>
      </c>
      <c r="H41" s="129">
        <f t="shared" si="0"/>
        <v>34208.580408267808</v>
      </c>
    </row>
    <row r="42" spans="2:8" x14ac:dyDescent="0.35">
      <c r="B42" s="127">
        <v>2043</v>
      </c>
      <c r="C42" s="227">
        <f t="shared" si="1"/>
        <v>172067.00279411767</v>
      </c>
      <c r="D42" s="227">
        <f t="shared" si="1"/>
        <v>217987.26617647149</v>
      </c>
      <c r="E42" s="227">
        <f t="shared" si="1"/>
        <v>183481.01661764737</v>
      </c>
      <c r="F42" s="128">
        <f t="shared" si="2"/>
        <v>573535.28558823653</v>
      </c>
      <c r="G42" s="228">
        <f t="shared" si="3"/>
        <v>33562.171980378407</v>
      </c>
      <c r="H42" s="129">
        <f t="shared" si="0"/>
        <v>34724.113846362619</v>
      </c>
    </row>
    <row r="43" spans="2:8" x14ac:dyDescent="0.35">
      <c r="B43" s="127">
        <v>2044</v>
      </c>
      <c r="C43" s="227">
        <f t="shared" si="1"/>
        <v>174992.80985294096</v>
      </c>
      <c r="D43" s="227">
        <f t="shared" si="1"/>
        <v>222580.45441176556</v>
      </c>
      <c r="E43" s="227">
        <f t="shared" si="1"/>
        <v>186896.19544117618</v>
      </c>
      <c r="F43" s="128">
        <f t="shared" si="2"/>
        <v>584469.45970588271</v>
      </c>
      <c r="G43" s="228">
        <f t="shared" si="3"/>
        <v>34055.553556161423</v>
      </c>
      <c r="H43" s="129">
        <f t="shared" si="0"/>
        <v>35239.647284457336</v>
      </c>
    </row>
    <row r="44" spans="2:8" x14ac:dyDescent="0.35">
      <c r="B44" s="127">
        <v>2045</v>
      </c>
      <c r="C44" s="227">
        <f t="shared" si="1"/>
        <v>177918.61691176426</v>
      </c>
      <c r="D44" s="227">
        <f t="shared" si="1"/>
        <v>227173.64264705963</v>
      </c>
      <c r="E44" s="227">
        <f t="shared" si="1"/>
        <v>190311.37426470593</v>
      </c>
      <c r="F44" s="128">
        <f t="shared" si="2"/>
        <v>595403.63382352982</v>
      </c>
      <c r="G44" s="228">
        <f t="shared" si="3"/>
        <v>34548.935131944483</v>
      </c>
      <c r="H44" s="129">
        <f t="shared" si="0"/>
        <v>35755.180722552097</v>
      </c>
    </row>
    <row r="45" spans="2:8" x14ac:dyDescent="0.35">
      <c r="B45" s="127">
        <v>2046</v>
      </c>
      <c r="C45" s="227">
        <f t="shared" si="1"/>
        <v>180844.42397058755</v>
      </c>
      <c r="D45" s="227">
        <f t="shared" si="1"/>
        <v>231766.83088235371</v>
      </c>
      <c r="E45" s="227">
        <f t="shared" si="1"/>
        <v>193726.55308823567</v>
      </c>
      <c r="F45" s="128">
        <f t="shared" si="2"/>
        <v>606337.80794117693</v>
      </c>
      <c r="G45" s="228">
        <f t="shared" si="3"/>
        <v>35042.316707727543</v>
      </c>
      <c r="H45" s="129">
        <f t="shared" si="0"/>
        <v>36270.714160646865</v>
      </c>
    </row>
    <row r="46" spans="2:8" x14ac:dyDescent="0.35">
      <c r="B46" s="127">
        <v>2047</v>
      </c>
      <c r="C46" s="227">
        <f t="shared" si="1"/>
        <v>183770.23102941178</v>
      </c>
      <c r="D46" s="227">
        <f t="shared" si="1"/>
        <v>236360.01911764778</v>
      </c>
      <c r="E46" s="227">
        <f t="shared" si="1"/>
        <v>197141.73191176448</v>
      </c>
      <c r="F46" s="128">
        <f t="shared" si="2"/>
        <v>617271.98205882404</v>
      </c>
      <c r="G46" s="228">
        <f t="shared" si="3"/>
        <v>35535.698283510596</v>
      </c>
      <c r="H46" s="129">
        <f t="shared" si="0"/>
        <v>36786.247598741626</v>
      </c>
    </row>
    <row r="47" spans="2:8" x14ac:dyDescent="0.35">
      <c r="B47" s="127">
        <v>2048</v>
      </c>
      <c r="C47" s="227">
        <f t="shared" si="1"/>
        <v>186696.03808823507</v>
      </c>
      <c r="D47" s="227">
        <f t="shared" si="1"/>
        <v>240953.20735294186</v>
      </c>
      <c r="E47" s="227">
        <f t="shared" si="1"/>
        <v>200556.91073529422</v>
      </c>
      <c r="F47" s="128">
        <f t="shared" si="2"/>
        <v>628206.15617647115</v>
      </c>
      <c r="G47" s="228">
        <f t="shared" si="3"/>
        <v>36029.079859293655</v>
      </c>
      <c r="H47" s="129">
        <f t="shared" si="0"/>
        <v>37301.781036836386</v>
      </c>
    </row>
    <row r="48" spans="2:8" x14ac:dyDescent="0.35">
      <c r="B48" s="127">
        <v>2049</v>
      </c>
      <c r="C48" s="227">
        <f t="shared" si="1"/>
        <v>189621.84514705837</v>
      </c>
      <c r="D48" s="227">
        <f t="shared" si="1"/>
        <v>245546.39558823593</v>
      </c>
      <c r="E48" s="227">
        <f t="shared" si="1"/>
        <v>203972.08955882397</v>
      </c>
      <c r="F48" s="128">
        <f t="shared" si="2"/>
        <v>639140.33029411826</v>
      </c>
      <c r="G48" s="228">
        <f t="shared" si="3"/>
        <v>36522.461435076708</v>
      </c>
      <c r="H48" s="129">
        <f t="shared" si="0"/>
        <v>37817.314474931147</v>
      </c>
    </row>
    <row r="49" spans="2:8" x14ac:dyDescent="0.35">
      <c r="B49" s="127">
        <v>2050</v>
      </c>
      <c r="C49" s="227">
        <f t="shared" si="1"/>
        <v>192547.65220588259</v>
      </c>
      <c r="D49" s="227">
        <f t="shared" si="1"/>
        <v>250139.58382353</v>
      </c>
      <c r="E49" s="227">
        <f t="shared" si="1"/>
        <v>207387.26838235278</v>
      </c>
      <c r="F49" s="128">
        <f t="shared" si="2"/>
        <v>650074.50441176537</v>
      </c>
      <c r="G49" s="228">
        <f t="shared" si="3"/>
        <v>37015.843010859768</v>
      </c>
      <c r="H49" s="129">
        <f t="shared" si="0"/>
        <v>38332.847913025915</v>
      </c>
    </row>
  </sheetData>
  <mergeCells count="4">
    <mergeCell ref="G2:H2"/>
    <mergeCell ref="C2:F2"/>
    <mergeCell ref="J6:J8"/>
    <mergeCell ref="J9:J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B2:L48"/>
  <sheetViews>
    <sheetView showGridLines="0" zoomScale="80" zoomScaleNormal="80" workbookViewId="0">
      <selection activeCell="I7" sqref="I7"/>
    </sheetView>
  </sheetViews>
  <sheetFormatPr defaultRowHeight="14.5" x14ac:dyDescent="0.35"/>
  <cols>
    <col min="2" max="2" width="13.1796875" customWidth="1"/>
    <col min="3" max="7" width="16.1796875" customWidth="1"/>
    <col min="8" max="9" width="16.7265625" customWidth="1"/>
    <col min="10" max="11" width="11.453125" customWidth="1"/>
    <col min="12" max="12" width="16.1796875" customWidth="1"/>
  </cols>
  <sheetData>
    <row r="2" spans="2:12" ht="58.5" thickBot="1" x14ac:dyDescent="0.4">
      <c r="B2" s="136" t="s">
        <v>6</v>
      </c>
      <c r="C2" s="136" t="s">
        <v>67</v>
      </c>
      <c r="D2" s="136" t="s">
        <v>68</v>
      </c>
      <c r="E2" s="136" t="s">
        <v>69</v>
      </c>
      <c r="F2" s="136" t="s">
        <v>70</v>
      </c>
      <c r="G2" s="136" t="s">
        <v>71</v>
      </c>
      <c r="H2" s="136" t="s">
        <v>72</v>
      </c>
      <c r="I2" s="136" t="s">
        <v>59</v>
      </c>
    </row>
    <row r="3" spans="2:12" ht="14.9" customHeight="1" x14ac:dyDescent="0.35">
      <c r="B3" s="144">
        <v>2005</v>
      </c>
      <c r="C3" s="144">
        <v>10.863</v>
      </c>
      <c r="D3" s="144">
        <v>4.24</v>
      </c>
      <c r="E3" s="144">
        <v>14.967000000000001</v>
      </c>
      <c r="F3" s="145">
        <f t="shared" ref="F3:F48" si="0">C3-D3+E3</f>
        <v>21.59</v>
      </c>
      <c r="G3" s="146">
        <v>4265687</v>
      </c>
      <c r="H3" s="147">
        <v>6092.46</v>
      </c>
      <c r="I3" s="148"/>
    </row>
    <row r="4" spans="2:12" ht="14.9" customHeight="1" x14ac:dyDescent="0.35">
      <c r="B4" s="119">
        <v>2006</v>
      </c>
      <c r="C4" s="119">
        <v>10.611000000000001</v>
      </c>
      <c r="D4" s="119">
        <v>4.1509999999999998</v>
      </c>
      <c r="E4" s="140">
        <v>20.213000000000001</v>
      </c>
      <c r="F4" s="120">
        <f t="shared" si="0"/>
        <v>26.673000000000002</v>
      </c>
      <c r="G4" s="141">
        <v>4402331</v>
      </c>
      <c r="H4" s="120">
        <v>6109.13</v>
      </c>
      <c r="I4" s="22"/>
      <c r="K4" s="1"/>
      <c r="L4" s="209" t="s">
        <v>25</v>
      </c>
    </row>
    <row r="5" spans="2:12" ht="14.9" customHeight="1" x14ac:dyDescent="0.35">
      <c r="B5" s="119">
        <v>2007</v>
      </c>
      <c r="C5" s="119">
        <v>10.359</v>
      </c>
      <c r="D5" s="119">
        <v>4.0609999999999999</v>
      </c>
      <c r="E5" s="140">
        <v>25.46</v>
      </c>
      <c r="F5" s="120">
        <f t="shared" si="0"/>
        <v>31.758000000000003</v>
      </c>
      <c r="G5" s="141">
        <v>4578630</v>
      </c>
      <c r="H5" s="120">
        <v>6163.74</v>
      </c>
      <c r="I5" s="22"/>
      <c r="K5" s="320" t="s">
        <v>26</v>
      </c>
      <c r="L5" s="217" t="s">
        <v>27</v>
      </c>
    </row>
    <row r="6" spans="2:12" x14ac:dyDescent="0.35">
      <c r="B6" s="119">
        <v>2008</v>
      </c>
      <c r="C6" s="119">
        <v>10.106999999999999</v>
      </c>
      <c r="D6" s="119">
        <v>3.9710000000000001</v>
      </c>
      <c r="E6" s="140">
        <v>30.706</v>
      </c>
      <c r="F6" s="120">
        <f t="shared" si="0"/>
        <v>36.841999999999999</v>
      </c>
      <c r="G6" s="141">
        <v>4775804</v>
      </c>
      <c r="H6" s="120">
        <v>6094.03</v>
      </c>
      <c r="I6" s="22"/>
      <c r="K6" s="320"/>
      <c r="L6" s="222" t="s">
        <v>28</v>
      </c>
    </row>
    <row r="7" spans="2:12" x14ac:dyDescent="0.35">
      <c r="B7" s="119">
        <v>2009</v>
      </c>
      <c r="C7" s="119">
        <v>9.99</v>
      </c>
      <c r="D7" s="119">
        <v>4.008</v>
      </c>
      <c r="E7" s="140">
        <v>26.93</v>
      </c>
      <c r="F7" s="120">
        <f t="shared" si="0"/>
        <v>32.911999999999999</v>
      </c>
      <c r="G7" s="141">
        <v>4966614</v>
      </c>
      <c r="H7" s="120">
        <v>6430.8</v>
      </c>
      <c r="I7" s="22"/>
      <c r="K7" s="320"/>
      <c r="L7" s="214" t="s">
        <v>29</v>
      </c>
    </row>
    <row r="8" spans="2:12" x14ac:dyDescent="0.35">
      <c r="B8" s="119">
        <v>2010</v>
      </c>
      <c r="C8" s="119">
        <v>9.8729999999999993</v>
      </c>
      <c r="D8" s="119">
        <v>4.0439999999999996</v>
      </c>
      <c r="E8" s="140">
        <v>23.154</v>
      </c>
      <c r="F8" s="120">
        <f t="shared" si="0"/>
        <v>28.983000000000001</v>
      </c>
      <c r="G8" s="141">
        <v>5131172</v>
      </c>
      <c r="H8" s="120">
        <v>6635.97</v>
      </c>
      <c r="I8" s="22"/>
      <c r="K8" s="319" t="s">
        <v>30</v>
      </c>
      <c r="L8" s="210" t="s">
        <v>31</v>
      </c>
    </row>
    <row r="9" spans="2:12" x14ac:dyDescent="0.35">
      <c r="B9" s="119">
        <v>2011</v>
      </c>
      <c r="C9" s="119">
        <v>9.7569999999999997</v>
      </c>
      <c r="D9" s="119">
        <v>4.0810000000000004</v>
      </c>
      <c r="E9" s="140">
        <v>19.378</v>
      </c>
      <c r="F9" s="120">
        <f t="shared" si="0"/>
        <v>25.053999999999998</v>
      </c>
      <c r="G9" s="141">
        <v>5263636</v>
      </c>
      <c r="H9" s="120">
        <v>6482.7</v>
      </c>
      <c r="I9" s="22"/>
      <c r="K9" s="319"/>
      <c r="L9" s="211" t="s">
        <v>32</v>
      </c>
    </row>
    <row r="10" spans="2:12" x14ac:dyDescent="0.35">
      <c r="B10" s="119">
        <v>2012</v>
      </c>
      <c r="C10" s="119">
        <v>9.64</v>
      </c>
      <c r="D10" s="119">
        <v>4.117</v>
      </c>
      <c r="E10" s="140">
        <v>15.602</v>
      </c>
      <c r="F10" s="120">
        <f t="shared" si="0"/>
        <v>21.125</v>
      </c>
      <c r="G10" s="141">
        <v>5369476</v>
      </c>
      <c r="H10" s="120">
        <v>6629.53</v>
      </c>
      <c r="I10" s="22"/>
      <c r="K10" s="319"/>
      <c r="L10" s="212" t="s">
        <v>33</v>
      </c>
    </row>
    <row r="11" spans="2:12" x14ac:dyDescent="0.35">
      <c r="B11" s="119">
        <v>2013</v>
      </c>
      <c r="C11" s="119">
        <v>9.5229999999999997</v>
      </c>
      <c r="D11" s="119">
        <v>4.1539999999999999</v>
      </c>
      <c r="E11" s="140">
        <v>11.826000000000001</v>
      </c>
      <c r="F11" s="120">
        <f t="shared" si="0"/>
        <v>17.195</v>
      </c>
      <c r="G11" s="141">
        <v>5453737</v>
      </c>
      <c r="H11" s="120">
        <v>6754.91</v>
      </c>
      <c r="I11" s="22"/>
      <c r="K11" s="319"/>
      <c r="L11" s="213" t="s">
        <v>34</v>
      </c>
    </row>
    <row r="12" spans="2:12" x14ac:dyDescent="0.35">
      <c r="B12" s="119">
        <v>2014</v>
      </c>
      <c r="C12" s="119">
        <v>9.3680000000000003</v>
      </c>
      <c r="D12" s="119">
        <v>4.2130000000000001</v>
      </c>
      <c r="E12" s="140">
        <v>10.406000000000001</v>
      </c>
      <c r="F12" s="120">
        <f t="shared" si="0"/>
        <v>15.561</v>
      </c>
      <c r="G12" s="141">
        <v>5525626</v>
      </c>
      <c r="H12" s="120">
        <v>6924.39</v>
      </c>
      <c r="I12" s="22"/>
    </row>
    <row r="13" spans="2:12" x14ac:dyDescent="0.35">
      <c r="B13" s="119">
        <v>2015</v>
      </c>
      <c r="C13" s="119">
        <v>9.2140000000000004</v>
      </c>
      <c r="D13" s="119">
        <v>4.2720000000000002</v>
      </c>
      <c r="E13" s="140">
        <v>8.9849999999999994</v>
      </c>
      <c r="F13" s="120">
        <f t="shared" si="0"/>
        <v>13.927</v>
      </c>
      <c r="G13" s="141">
        <v>5592152</v>
      </c>
      <c r="H13" s="120">
        <v>7220.93</v>
      </c>
      <c r="I13" s="22"/>
    </row>
    <row r="14" spans="2:12" x14ac:dyDescent="0.35">
      <c r="B14" s="119">
        <v>2016</v>
      </c>
      <c r="C14" s="119">
        <v>9.0589999999999993</v>
      </c>
      <c r="D14" s="119">
        <v>4.33</v>
      </c>
      <c r="E14" s="140">
        <v>7.5650000000000004</v>
      </c>
      <c r="F14" s="120">
        <f t="shared" si="0"/>
        <v>12.294</v>
      </c>
      <c r="G14" s="141">
        <v>5653634</v>
      </c>
      <c r="H14" s="120">
        <v>7589.44</v>
      </c>
      <c r="I14" s="22"/>
    </row>
    <row r="15" spans="2:12" x14ac:dyDescent="0.35">
      <c r="B15" s="119">
        <v>2017</v>
      </c>
      <c r="C15" s="119">
        <v>8.9049999999999994</v>
      </c>
      <c r="D15" s="119">
        <v>4.3890000000000002</v>
      </c>
      <c r="E15" s="140">
        <v>6.1440000000000001</v>
      </c>
      <c r="F15" s="120">
        <f t="shared" si="0"/>
        <v>10.66</v>
      </c>
      <c r="G15" s="141">
        <v>5708041</v>
      </c>
      <c r="H15" s="120">
        <v>7295.82</v>
      </c>
      <c r="I15" s="22"/>
    </row>
    <row r="16" spans="2:12" x14ac:dyDescent="0.35">
      <c r="B16" s="119">
        <v>2018</v>
      </c>
      <c r="C16" s="119">
        <v>8.75</v>
      </c>
      <c r="D16" s="119">
        <v>4.4480000000000004</v>
      </c>
      <c r="E16" s="140">
        <v>4.7240000000000002</v>
      </c>
      <c r="F16" s="120">
        <f t="shared" si="0"/>
        <v>9.0259999999999998</v>
      </c>
      <c r="G16" s="141">
        <v>5757499</v>
      </c>
      <c r="H16" s="120">
        <v>7221.43</v>
      </c>
      <c r="I16" s="22"/>
    </row>
    <row r="17" spans="2:9" x14ac:dyDescent="0.35">
      <c r="B17" s="119">
        <v>2019</v>
      </c>
      <c r="C17" s="119">
        <v>8.6669999999999998</v>
      </c>
      <c r="D17" s="119">
        <v>4.5999999999999996</v>
      </c>
      <c r="E17" s="140">
        <v>4.6859999999999999</v>
      </c>
      <c r="F17" s="120">
        <f t="shared" si="0"/>
        <v>8.7530000000000001</v>
      </c>
      <c r="G17" s="141">
        <v>5804337</v>
      </c>
      <c r="H17" s="120">
        <v>7688.01</v>
      </c>
      <c r="I17" s="22"/>
    </row>
    <row r="18" spans="2:9" x14ac:dyDescent="0.35">
      <c r="B18" s="119">
        <v>2020</v>
      </c>
      <c r="C18" s="119">
        <v>8.5839999999999996</v>
      </c>
      <c r="D18" s="119">
        <v>4.7519999999999998</v>
      </c>
      <c r="E18" s="119">
        <v>4.6470000000000002</v>
      </c>
      <c r="F18" s="120">
        <f t="shared" si="0"/>
        <v>8.4789999999999992</v>
      </c>
      <c r="G18" s="141">
        <v>5850342</v>
      </c>
      <c r="H18" s="120">
        <v>8244.5</v>
      </c>
      <c r="I18" s="22"/>
    </row>
    <row r="19" spans="2:9" x14ac:dyDescent="0.35">
      <c r="B19" s="119">
        <v>2021</v>
      </c>
      <c r="C19" s="119">
        <v>8.5020000000000007</v>
      </c>
      <c r="D19" s="119">
        <v>4.9039999999999999</v>
      </c>
      <c r="E19" s="142">
        <v>4.609</v>
      </c>
      <c r="F19" s="120">
        <f t="shared" si="0"/>
        <v>8.2070000000000007</v>
      </c>
      <c r="G19" s="141">
        <v>5896686</v>
      </c>
      <c r="H19" s="229">
        <f t="shared" ref="H19:H48" si="1">_xlfn.FORECAST.LINEAR(G19,$H$3:$H$17,$G$3:$G$17)</f>
        <v>7419.7225511039451</v>
      </c>
      <c r="I19" s="129">
        <f t="shared" ref="I19:I48" si="2">INTERCEPT($H$3:$H$17,$G$3:$G$17)+G19*($H$18-INTERCEPT($H$3:$H$17,$G$3:$G$17))/$G$18</f>
        <v>8296.6486905299098</v>
      </c>
    </row>
    <row r="20" spans="2:9" x14ac:dyDescent="0.35">
      <c r="B20" s="23">
        <v>2022</v>
      </c>
      <c r="C20" s="230">
        <f t="shared" ref="C20:C48" si="3">_xlfn.FORECAST.LINEAR(B20,$C$3:$C$19,$B$3:$B$19)</f>
        <v>8.2331911764705978</v>
      </c>
      <c r="D20" s="230">
        <f t="shared" ref="D20:D48" si="4">_xlfn.FORECAST.LINEAR(B20,$D$3:$D$19,$B$3:$B$19)</f>
        <v>4.675544117647064</v>
      </c>
      <c r="E20" s="230">
        <f>_xlfn.FORECAST.ETS(B20,$E$3:$E$19,$B$3:$B$19)</f>
        <v>4.6153147626815292</v>
      </c>
      <c r="F20" s="65">
        <f t="shared" si="0"/>
        <v>8.1729618215050621</v>
      </c>
      <c r="G20" s="143">
        <f t="shared" ref="G20:G48" si="5">G19+(G19/1000)*(F20)</f>
        <v>5944879.389551403</v>
      </c>
      <c r="H20" s="229">
        <f t="shared" si="1"/>
        <v>7466.785187540102</v>
      </c>
      <c r="I20" s="129">
        <f t="shared" si="2"/>
        <v>8350.878410823876</v>
      </c>
    </row>
    <row r="21" spans="2:9" x14ac:dyDescent="0.35">
      <c r="B21" s="23">
        <v>2023</v>
      </c>
      <c r="C21" s="230">
        <f t="shared" si="3"/>
        <v>8.0906568627451634</v>
      </c>
      <c r="D21" s="230">
        <f t="shared" si="4"/>
        <v>4.7196568627450972</v>
      </c>
      <c r="E21" s="230">
        <f t="shared" ref="E21:E48" si="6">_xlfn.FORECAST.ETS(B21,$E$3:$E$19,$B$3:$B$19)</f>
        <v>4.6134290552823467</v>
      </c>
      <c r="F21" s="65">
        <f t="shared" si="0"/>
        <v>7.9844290552824129</v>
      </c>
      <c r="G21" s="143">
        <f t="shared" si="5"/>
        <v>5992345.857279487</v>
      </c>
      <c r="H21" s="229">
        <f t="shared" si="1"/>
        <v>7513.1379577932248</v>
      </c>
      <c r="I21" s="129">
        <f t="shared" si="2"/>
        <v>8404.2901606965643</v>
      </c>
    </row>
    <row r="22" spans="2:9" x14ac:dyDescent="0.35">
      <c r="B22" s="23">
        <v>2024</v>
      </c>
      <c r="C22" s="230">
        <f t="shared" si="3"/>
        <v>7.9481225490196721</v>
      </c>
      <c r="D22" s="230">
        <f t="shared" si="4"/>
        <v>4.7637696078431446</v>
      </c>
      <c r="E22" s="230">
        <f t="shared" si="6"/>
        <v>4.6115433478831704</v>
      </c>
      <c r="F22" s="65">
        <f t="shared" si="0"/>
        <v>7.7958962890596979</v>
      </c>
      <c r="G22" s="143">
        <f t="shared" si="5"/>
        <v>6039061.5641110148</v>
      </c>
      <c r="H22" s="229">
        <f t="shared" si="1"/>
        <v>7558.7575821221026</v>
      </c>
      <c r="I22" s="129">
        <f t="shared" si="2"/>
        <v>8456.8571151770429</v>
      </c>
    </row>
    <row r="23" spans="2:9" x14ac:dyDescent="0.35">
      <c r="B23" s="23">
        <v>2025</v>
      </c>
      <c r="C23" s="230">
        <f t="shared" si="3"/>
        <v>7.8055882352941808</v>
      </c>
      <c r="D23" s="230">
        <f t="shared" si="4"/>
        <v>4.8078823529411778</v>
      </c>
      <c r="E23" s="230">
        <f t="shared" si="6"/>
        <v>4.609657640483988</v>
      </c>
      <c r="F23" s="65">
        <f t="shared" si="0"/>
        <v>7.6073635228369909</v>
      </c>
      <c r="G23" s="143">
        <f t="shared" si="5"/>
        <v>6085002.9007660002</v>
      </c>
      <c r="H23" s="229">
        <f t="shared" si="1"/>
        <v>7603.6210051871803</v>
      </c>
      <c r="I23" s="129">
        <f t="shared" si="2"/>
        <v>8508.5527078697596</v>
      </c>
    </row>
    <row r="24" spans="2:9" x14ac:dyDescent="0.35">
      <c r="B24" s="23">
        <v>2026</v>
      </c>
      <c r="C24" s="230">
        <f t="shared" si="3"/>
        <v>7.6630539215686895</v>
      </c>
      <c r="D24" s="230">
        <f t="shared" si="4"/>
        <v>4.8519950980392252</v>
      </c>
      <c r="E24" s="230">
        <f t="shared" si="6"/>
        <v>4.6077719330848117</v>
      </c>
      <c r="F24" s="65">
        <f t="shared" si="0"/>
        <v>7.4188307566142759</v>
      </c>
      <c r="G24" s="143">
        <f t="shared" si="5"/>
        <v>6130146.5074402904</v>
      </c>
      <c r="H24" s="229">
        <f t="shared" si="1"/>
        <v>7647.7054152713254</v>
      </c>
      <c r="I24" s="129">
        <f t="shared" si="2"/>
        <v>8559.3506531024032</v>
      </c>
    </row>
    <row r="25" spans="2:9" x14ac:dyDescent="0.35">
      <c r="B25" s="23">
        <v>2027</v>
      </c>
      <c r="C25" s="230">
        <f t="shared" si="3"/>
        <v>7.5205196078431982</v>
      </c>
      <c r="D25" s="230">
        <f t="shared" si="4"/>
        <v>4.8961078431372584</v>
      </c>
      <c r="E25" s="230">
        <f t="shared" si="6"/>
        <v>4.6058862256856292</v>
      </c>
      <c r="F25" s="65">
        <f t="shared" si="0"/>
        <v>7.230297990391569</v>
      </c>
      <c r="G25" s="143">
        <f t="shared" si="5"/>
        <v>6174469.2934138421</v>
      </c>
      <c r="H25" s="229">
        <f t="shared" si="1"/>
        <v>7690.988263428042</v>
      </c>
      <c r="I25" s="129">
        <f t="shared" si="2"/>
        <v>8609.2249679901579</v>
      </c>
    </row>
    <row r="26" spans="2:9" x14ac:dyDescent="0.35">
      <c r="B26" s="23">
        <v>2028</v>
      </c>
      <c r="C26" s="230">
        <f t="shared" si="3"/>
        <v>7.3779852941177069</v>
      </c>
      <c r="D26" s="230">
        <f t="shared" si="4"/>
        <v>4.9402205882353059</v>
      </c>
      <c r="E26" s="230">
        <f t="shared" si="6"/>
        <v>4.604000518286453</v>
      </c>
      <c r="F26" s="65">
        <f t="shared" si="0"/>
        <v>7.041765224168854</v>
      </c>
      <c r="G26" s="143">
        <f t="shared" si="5"/>
        <v>6217948.4565619025</v>
      </c>
      <c r="H26" s="229">
        <f t="shared" si="1"/>
        <v>7733.4472825348639</v>
      </c>
      <c r="I26" s="129">
        <f t="shared" si="2"/>
        <v>8658.149994390722</v>
      </c>
    </row>
    <row r="27" spans="2:9" x14ac:dyDescent="0.35">
      <c r="B27" s="23">
        <v>2029</v>
      </c>
      <c r="C27" s="230">
        <f t="shared" si="3"/>
        <v>7.2354509803922156</v>
      </c>
      <c r="D27" s="230">
        <f t="shared" si="4"/>
        <v>4.9843333333333391</v>
      </c>
      <c r="E27" s="230">
        <f t="shared" si="6"/>
        <v>4.6021148108872705</v>
      </c>
      <c r="F27" s="65">
        <f t="shared" si="0"/>
        <v>6.853232457946147</v>
      </c>
      <c r="G27" s="143">
        <f t="shared" si="5"/>
        <v>6260561.5027462486</v>
      </c>
      <c r="H27" s="229">
        <f t="shared" si="1"/>
        <v>7775.0605062296199</v>
      </c>
      <c r="I27" s="129">
        <f t="shared" si="2"/>
        <v>8706.1004207243186</v>
      </c>
    </row>
    <row r="28" spans="2:9" x14ac:dyDescent="0.35">
      <c r="B28" s="23">
        <v>2030</v>
      </c>
      <c r="C28" s="230">
        <f t="shared" si="3"/>
        <v>7.0929166666667243</v>
      </c>
      <c r="D28" s="230">
        <f t="shared" si="4"/>
        <v>5.0284460784313723</v>
      </c>
      <c r="E28" s="230">
        <f t="shared" si="6"/>
        <v>4.6002291034880942</v>
      </c>
      <c r="F28" s="65">
        <f t="shared" si="0"/>
        <v>6.6646996917234462</v>
      </c>
      <c r="G28" s="143">
        <f t="shared" si="5"/>
        <v>6302286.2650636174</v>
      </c>
      <c r="H28" s="229">
        <f t="shared" si="1"/>
        <v>7815.8062877072425</v>
      </c>
      <c r="I28" s="129">
        <f t="shared" si="2"/>
        <v>8753.0513036330558</v>
      </c>
    </row>
    <row r="29" spans="2:9" x14ac:dyDescent="0.35">
      <c r="B29" s="23">
        <v>2031</v>
      </c>
      <c r="C29" s="230">
        <f t="shared" si="3"/>
        <v>6.950382352941233</v>
      </c>
      <c r="D29" s="230">
        <f t="shared" si="4"/>
        <v>5.0725588235294197</v>
      </c>
      <c r="E29" s="230">
        <f t="shared" si="6"/>
        <v>4.5983433960889117</v>
      </c>
      <c r="F29" s="65">
        <f t="shared" si="0"/>
        <v>6.476166925500725</v>
      </c>
      <c r="G29" s="143">
        <f t="shared" si="5"/>
        <v>6343100.9229284599</v>
      </c>
      <c r="H29" s="229">
        <f t="shared" si="1"/>
        <v>7855.6633183547847</v>
      </c>
      <c r="I29" s="129">
        <f t="shared" si="2"/>
        <v>8798.9780894538271</v>
      </c>
    </row>
    <row r="30" spans="2:9" x14ac:dyDescent="0.35">
      <c r="B30" s="23">
        <v>2032</v>
      </c>
      <c r="C30" s="230">
        <f t="shared" si="3"/>
        <v>6.8078480392157417</v>
      </c>
      <c r="D30" s="230">
        <f t="shared" si="4"/>
        <v>5.1166715686274529</v>
      </c>
      <c r="E30" s="230">
        <f t="shared" si="6"/>
        <v>4.5964576886897355</v>
      </c>
      <c r="F30" s="65">
        <f t="shared" si="0"/>
        <v>6.2876341592780243</v>
      </c>
      <c r="G30" s="143">
        <f t="shared" si="5"/>
        <v>6382984.0209672125</v>
      </c>
      <c r="H30" s="229">
        <f t="shared" si="1"/>
        <v>7894.6106462023808</v>
      </c>
      <c r="I30" s="129">
        <f t="shared" si="2"/>
        <v>8843.8566354791365</v>
      </c>
    </row>
    <row r="31" spans="2:9" x14ac:dyDescent="0.35">
      <c r="B31" s="23">
        <v>2033</v>
      </c>
      <c r="C31" s="230">
        <f t="shared" si="3"/>
        <v>6.6653137254902504</v>
      </c>
      <c r="D31" s="230">
        <f t="shared" si="4"/>
        <v>5.1607843137255003</v>
      </c>
      <c r="E31" s="230">
        <f t="shared" si="6"/>
        <v>4.594571981290553</v>
      </c>
      <c r="F31" s="65">
        <f t="shared" si="0"/>
        <v>6.0991013930553031</v>
      </c>
      <c r="G31" s="143">
        <f t="shared" si="5"/>
        <v>6421914.4877013434</v>
      </c>
      <c r="H31" s="229">
        <f t="shared" si="1"/>
        <v>7932.6276941679353</v>
      </c>
      <c r="I31" s="129">
        <f t="shared" si="2"/>
        <v>8887.6632309802426</v>
      </c>
    </row>
    <row r="32" spans="2:9" x14ac:dyDescent="0.35">
      <c r="B32" s="23">
        <v>2034</v>
      </c>
      <c r="C32" s="230">
        <f t="shared" si="3"/>
        <v>6.5227794117647591</v>
      </c>
      <c r="D32" s="230">
        <f t="shared" si="4"/>
        <v>5.2048970588235335</v>
      </c>
      <c r="E32" s="230">
        <f t="shared" si="6"/>
        <v>4.5926862738913767</v>
      </c>
      <c r="F32" s="65">
        <f t="shared" si="0"/>
        <v>5.9105686268326023</v>
      </c>
      <c r="G32" s="143">
        <f t="shared" si="5"/>
        <v>6459871.6539965523</v>
      </c>
      <c r="H32" s="229">
        <f t="shared" si="1"/>
        <v>7969.6942780734489</v>
      </c>
      <c r="I32" s="129">
        <f t="shared" si="2"/>
        <v>8930.3746179671471</v>
      </c>
    </row>
    <row r="33" spans="2:9" x14ac:dyDescent="0.35">
      <c r="B33" s="23">
        <v>2035</v>
      </c>
      <c r="C33" s="230">
        <f t="shared" si="3"/>
        <v>6.3802450980392678</v>
      </c>
      <c r="D33" s="230">
        <f t="shared" si="4"/>
        <v>5.2490098039215809</v>
      </c>
      <c r="E33" s="230">
        <f t="shared" si="6"/>
        <v>4.5908005664921943</v>
      </c>
      <c r="F33" s="65">
        <f t="shared" si="0"/>
        <v>5.7220358606098811</v>
      </c>
      <c r="G33" s="143">
        <f t="shared" si="5"/>
        <v>6496835.271255658</v>
      </c>
      <c r="H33" s="229">
        <f t="shared" si="1"/>
        <v>8005.7906244110536</v>
      </c>
      <c r="I33" s="129">
        <f t="shared" si="2"/>
        <v>8971.9680116602067</v>
      </c>
    </row>
    <row r="34" spans="2:9" x14ac:dyDescent="0.35">
      <c r="B34" s="23">
        <v>2036</v>
      </c>
      <c r="C34" s="230">
        <f t="shared" si="3"/>
        <v>6.2377107843137765</v>
      </c>
      <c r="D34" s="230">
        <f t="shared" si="4"/>
        <v>5.2931225490196141</v>
      </c>
      <c r="E34" s="230">
        <f t="shared" si="6"/>
        <v>4.588914859093018</v>
      </c>
      <c r="F34" s="65">
        <f t="shared" si="0"/>
        <v>5.5335030943871804</v>
      </c>
      <c r="G34" s="143">
        <f t="shared" si="5"/>
        <v>6532785.5293328753</v>
      </c>
      <c r="H34" s="229">
        <f t="shared" si="1"/>
        <v>8040.8973878369688</v>
      </c>
      <c r="I34" s="129">
        <f t="shared" si="2"/>
        <v>9012.4211206481941</v>
      </c>
    </row>
    <row r="35" spans="2:9" x14ac:dyDescent="0.35">
      <c r="B35" s="23">
        <v>2037</v>
      </c>
      <c r="C35" s="230">
        <f t="shared" si="3"/>
        <v>6.0951764705882852</v>
      </c>
      <c r="D35" s="230">
        <f t="shared" si="4"/>
        <v>5.3372352941176473</v>
      </c>
      <c r="E35" s="230">
        <f t="shared" si="6"/>
        <v>4.5870291516938355</v>
      </c>
      <c r="F35" s="65">
        <f t="shared" si="0"/>
        <v>5.3449703281644734</v>
      </c>
      <c r="G35" s="143">
        <f t="shared" si="5"/>
        <v>6567703.0741474219</v>
      </c>
      <c r="H35" s="229">
        <f t="shared" si="1"/>
        <v>8074.9956683718437</v>
      </c>
      <c r="I35" s="129">
        <f t="shared" si="2"/>
        <v>9051.7121667080519</v>
      </c>
    </row>
    <row r="36" spans="2:9" x14ac:dyDescent="0.35">
      <c r="B36" s="23">
        <v>2038</v>
      </c>
      <c r="C36" s="230">
        <f t="shared" si="3"/>
        <v>5.9526421568627939</v>
      </c>
      <c r="D36" s="230">
        <f t="shared" si="4"/>
        <v>5.3813480392156947</v>
      </c>
      <c r="E36" s="230">
        <f t="shared" si="6"/>
        <v>4.5851434442946593</v>
      </c>
      <c r="F36" s="65">
        <f t="shared" si="0"/>
        <v>5.1564375619417584</v>
      </c>
      <c r="G36" s="143">
        <f t="shared" si="5"/>
        <v>6601569.0249746358</v>
      </c>
      <c r="H36" s="229">
        <f t="shared" si="1"/>
        <v>8108.0670282861738</v>
      </c>
      <c r="I36" s="129">
        <f t="shared" si="2"/>
        <v>9089.8199042617707</v>
      </c>
    </row>
    <row r="37" spans="2:9" x14ac:dyDescent="0.35">
      <c r="B37" s="23">
        <v>2039</v>
      </c>
      <c r="C37" s="230">
        <f t="shared" si="3"/>
        <v>5.8101078431373026</v>
      </c>
      <c r="D37" s="230">
        <f t="shared" si="4"/>
        <v>5.4254607843137279</v>
      </c>
      <c r="E37" s="230">
        <f t="shared" si="6"/>
        <v>4.5832577368954768</v>
      </c>
      <c r="F37" s="65">
        <f t="shared" si="0"/>
        <v>4.9679047957190514</v>
      </c>
      <c r="G37" s="143">
        <f t="shared" si="5"/>
        <v>6634364.9913930772</v>
      </c>
      <c r="H37" s="229">
        <f t="shared" si="1"/>
        <v>8140.0935086497775</v>
      </c>
      <c r="I37" s="129">
        <f t="shared" si="2"/>
        <v>9126.7236394461452</v>
      </c>
    </row>
    <row r="38" spans="2:9" x14ac:dyDescent="0.35">
      <c r="B38" s="23">
        <v>2040</v>
      </c>
      <c r="C38" s="230">
        <f t="shared" si="3"/>
        <v>5.6675735294118113</v>
      </c>
      <c r="D38" s="230">
        <f t="shared" si="4"/>
        <v>5.4695735294117753</v>
      </c>
      <c r="E38" s="230">
        <f t="shared" si="6"/>
        <v>4.5813720294963005</v>
      </c>
      <c r="F38" s="65">
        <f t="shared" si="0"/>
        <v>4.7793720294963364</v>
      </c>
      <c r="G38" s="143">
        <f t="shared" si="5"/>
        <v>6666073.0898664109</v>
      </c>
      <c r="H38" s="229">
        <f t="shared" si="1"/>
        <v>8171.0576455246228</v>
      </c>
      <c r="I38" s="129">
        <f t="shared" si="2"/>
        <v>9162.4032487715776</v>
      </c>
    </row>
    <row r="39" spans="2:9" x14ac:dyDescent="0.35">
      <c r="B39" s="23">
        <v>2041</v>
      </c>
      <c r="C39" s="230">
        <f t="shared" si="3"/>
        <v>5.5250392156863199</v>
      </c>
      <c r="D39" s="230">
        <f t="shared" si="4"/>
        <v>5.5136862745098085</v>
      </c>
      <c r="E39" s="230">
        <f t="shared" si="6"/>
        <v>4.579486322097118</v>
      </c>
      <c r="F39" s="65">
        <f t="shared" si="0"/>
        <v>4.5908392632736295</v>
      </c>
      <c r="G39" s="143">
        <f t="shared" si="5"/>
        <v>6696675.9599392219</v>
      </c>
      <c r="H39" s="229">
        <f t="shared" si="1"/>
        <v>8200.9424857806389</v>
      </c>
      <c r="I39" s="129">
        <f t="shared" si="2"/>
        <v>9196.8391973464531</v>
      </c>
    </row>
    <row r="40" spans="2:9" x14ac:dyDescent="0.35">
      <c r="B40" s="23">
        <v>2042</v>
      </c>
      <c r="C40" s="230">
        <f t="shared" si="3"/>
        <v>5.3825049019608286</v>
      </c>
      <c r="D40" s="230">
        <f t="shared" si="4"/>
        <v>5.5577990196078417</v>
      </c>
      <c r="E40" s="230">
        <f t="shared" si="6"/>
        <v>4.5776006146979418</v>
      </c>
      <c r="F40" s="65">
        <f t="shared" si="0"/>
        <v>4.4023064970509287</v>
      </c>
      <c r="G40" s="143">
        <f t="shared" si="5"/>
        <v>6726156.7800263073</v>
      </c>
      <c r="H40" s="229">
        <f t="shared" si="1"/>
        <v>8229.7316025145519</v>
      </c>
      <c r="I40" s="129">
        <f t="shared" si="2"/>
        <v>9230.0125566440838</v>
      </c>
    </row>
    <row r="41" spans="2:9" x14ac:dyDescent="0.35">
      <c r="B41" s="23">
        <v>2043</v>
      </c>
      <c r="C41" s="230">
        <f t="shared" si="3"/>
        <v>5.2399705882353373</v>
      </c>
      <c r="D41" s="230">
        <f t="shared" si="4"/>
        <v>5.6019117647058891</v>
      </c>
      <c r="E41" s="230">
        <f t="shared" si="6"/>
        <v>4.5757149072987593</v>
      </c>
      <c r="F41" s="65">
        <f t="shared" si="0"/>
        <v>4.2137737308282075</v>
      </c>
      <c r="G41" s="143">
        <f t="shared" si="5"/>
        <v>6754499.2827754142</v>
      </c>
      <c r="H41" s="229">
        <f t="shared" si="1"/>
        <v>8257.4091100521619</v>
      </c>
      <c r="I41" s="129">
        <f t="shared" si="2"/>
        <v>9261.9050217896547</v>
      </c>
    </row>
    <row r="42" spans="2:9" x14ac:dyDescent="0.35">
      <c r="B42" s="23">
        <v>2044</v>
      </c>
      <c r="C42" s="230">
        <f t="shared" si="3"/>
        <v>5.097436274509846</v>
      </c>
      <c r="D42" s="230">
        <f t="shared" si="4"/>
        <v>5.6460245098039223</v>
      </c>
      <c r="E42" s="230">
        <f t="shared" si="6"/>
        <v>4.573829199899583</v>
      </c>
      <c r="F42" s="65">
        <f t="shared" si="0"/>
        <v>4.0252409646055067</v>
      </c>
      <c r="G42" s="143">
        <f t="shared" si="5"/>
        <v>6781687.7699838402</v>
      </c>
      <c r="H42" s="229">
        <f t="shared" si="1"/>
        <v>8283.9596785149697</v>
      </c>
      <c r="I42" s="129">
        <f t="shared" si="2"/>
        <v>9292.498928345165</v>
      </c>
    </row>
    <row r="43" spans="2:9" x14ac:dyDescent="0.35">
      <c r="B43" s="23">
        <v>2045</v>
      </c>
      <c r="C43" s="230">
        <f t="shared" si="3"/>
        <v>4.9549019607843547</v>
      </c>
      <c r="D43" s="230">
        <f t="shared" si="4"/>
        <v>5.6901372549019698</v>
      </c>
      <c r="E43" s="230">
        <f t="shared" si="6"/>
        <v>4.5719434925004006</v>
      </c>
      <c r="F43" s="65">
        <f t="shared" si="0"/>
        <v>3.8367081983827855</v>
      </c>
      <c r="G43" s="143">
        <f t="shared" si="5"/>
        <v>6807707.1270498093</v>
      </c>
      <c r="H43" s="229">
        <f t="shared" si="1"/>
        <v>8309.3685479324704</v>
      </c>
      <c r="I43" s="129">
        <f t="shared" si="2"/>
        <v>9321.7772685708769</v>
      </c>
    </row>
    <row r="44" spans="2:9" x14ac:dyDescent="0.35">
      <c r="B44" s="23">
        <v>2046</v>
      </c>
      <c r="C44" s="230">
        <f t="shared" si="3"/>
        <v>4.8123676470588634</v>
      </c>
      <c r="D44" s="230">
        <f t="shared" si="4"/>
        <v>5.734250000000003</v>
      </c>
      <c r="E44" s="230">
        <f t="shared" si="6"/>
        <v>4.5700577851012243</v>
      </c>
      <c r="F44" s="65">
        <f t="shared" si="0"/>
        <v>3.6481754321600848</v>
      </c>
      <c r="G44" s="143">
        <f t="shared" si="5"/>
        <v>6832542.8369400539</v>
      </c>
      <c r="H44" s="229">
        <f t="shared" si="1"/>
        <v>8333.6215418820175</v>
      </c>
      <c r="I44" s="129">
        <f t="shared" si="2"/>
        <v>9349.723707142366</v>
      </c>
    </row>
    <row r="45" spans="2:9" x14ac:dyDescent="0.35">
      <c r="B45" s="23">
        <v>2047</v>
      </c>
      <c r="C45" s="230">
        <f t="shared" si="3"/>
        <v>4.6698333333333721</v>
      </c>
      <c r="D45" s="230">
        <f t="shared" si="4"/>
        <v>5.7783627450980504</v>
      </c>
      <c r="E45" s="230">
        <f t="shared" si="6"/>
        <v>4.5681720777020418</v>
      </c>
      <c r="F45" s="65">
        <f t="shared" si="0"/>
        <v>3.4596426659373636</v>
      </c>
      <c r="G45" s="143">
        <f t="shared" si="5"/>
        <v>6856180.9936555764</v>
      </c>
      <c r="H45" s="229">
        <f t="shared" si="1"/>
        <v>8356.705080638656</v>
      </c>
      <c r="I45" s="129">
        <f t="shared" si="2"/>
        <v>9376.322596302889</v>
      </c>
    </row>
    <row r="46" spans="2:9" x14ac:dyDescent="0.35">
      <c r="B46" s="23">
        <v>2048</v>
      </c>
      <c r="C46" s="230">
        <f t="shared" si="3"/>
        <v>4.5272990196078808</v>
      </c>
      <c r="D46" s="230">
        <f t="shared" si="4"/>
        <v>5.8224754901960836</v>
      </c>
      <c r="E46" s="230">
        <f t="shared" si="6"/>
        <v>4.5662863703028655</v>
      </c>
      <c r="F46" s="65">
        <f t="shared" si="0"/>
        <v>3.2711098997146628</v>
      </c>
      <c r="G46" s="143">
        <f t="shared" si="5"/>
        <v>6878608.3151781587</v>
      </c>
      <c r="H46" s="229">
        <f t="shared" si="1"/>
        <v>8378.6061938178464</v>
      </c>
      <c r="I46" s="129">
        <f t="shared" si="2"/>
        <v>9401.5589904314911</v>
      </c>
    </row>
    <row r="47" spans="2:9" x14ac:dyDescent="0.35">
      <c r="B47" s="23">
        <v>2049</v>
      </c>
      <c r="C47" s="230">
        <f t="shared" si="3"/>
        <v>4.3847647058823895</v>
      </c>
      <c r="D47" s="230">
        <f t="shared" si="4"/>
        <v>5.8665882352941168</v>
      </c>
      <c r="E47" s="230">
        <f t="shared" si="6"/>
        <v>4.5644006629036831</v>
      </c>
      <c r="F47" s="65">
        <f t="shared" si="0"/>
        <v>3.0825771334919558</v>
      </c>
      <c r="G47" s="143">
        <f t="shared" si="5"/>
        <v>6899812.1558807744</v>
      </c>
      <c r="H47" s="229">
        <f t="shared" si="1"/>
        <v>8399.3125324947105</v>
      </c>
      <c r="I47" s="129">
        <f t="shared" si="2"/>
        <v>9425.4186600078374</v>
      </c>
    </row>
    <row r="48" spans="2:9" x14ac:dyDescent="0.35">
      <c r="B48" s="23">
        <v>2050</v>
      </c>
      <c r="C48" s="230">
        <f t="shared" si="3"/>
        <v>4.2422303921568982</v>
      </c>
      <c r="D48" s="230">
        <f t="shared" si="4"/>
        <v>5.9107009803921642</v>
      </c>
      <c r="E48" s="230">
        <f t="shared" si="6"/>
        <v>4.5625149555045068</v>
      </c>
      <c r="F48" s="65">
        <f t="shared" si="0"/>
        <v>2.8940443672692409</v>
      </c>
      <c r="G48" s="143">
        <f t="shared" si="5"/>
        <v>6919780.5183857167</v>
      </c>
      <c r="H48" s="229">
        <f t="shared" si="1"/>
        <v>8418.8123807839274</v>
      </c>
      <c r="I48" s="129">
        <f t="shared" si="2"/>
        <v>9447.8881049556057</v>
      </c>
    </row>
  </sheetData>
  <mergeCells count="2">
    <mergeCell ref="K5:K7"/>
    <mergeCell ref="K8:K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D769A-AF95-4D5B-95D4-32061722B8B2}">
  <sheetPr>
    <tabColor rgb="FF7030A0"/>
  </sheetPr>
  <dimension ref="B1:S42"/>
  <sheetViews>
    <sheetView showGridLines="0" zoomScale="80" zoomScaleNormal="80" workbookViewId="0">
      <selection activeCell="R22" sqref="R22"/>
    </sheetView>
  </sheetViews>
  <sheetFormatPr defaultRowHeight="14.5" x14ac:dyDescent="0.35"/>
  <cols>
    <col min="1" max="1" width="2.54296875" customWidth="1"/>
    <col min="2" max="2" width="12.1796875" customWidth="1"/>
    <col min="3" max="3" width="12.453125" customWidth="1"/>
    <col min="4" max="7" width="9.1796875" customWidth="1"/>
    <col min="8" max="8" width="11" customWidth="1"/>
    <col min="9" max="11" width="9.1796875" customWidth="1"/>
    <col min="12" max="12" width="12.26953125" customWidth="1"/>
    <col min="13" max="18" width="9.1796875" customWidth="1"/>
  </cols>
  <sheetData>
    <row r="1" spans="2:19" ht="18.5" x14ac:dyDescent="0.35">
      <c r="B1" s="283" t="s">
        <v>73</v>
      </c>
    </row>
    <row r="3" spans="2:19" x14ac:dyDescent="0.35">
      <c r="D3" s="3" t="s">
        <v>74</v>
      </c>
      <c r="Q3" t="str">
        <f>_xlfn.CONCAT(I4," Forecast")</f>
        <v>2025 Forecast</v>
      </c>
    </row>
    <row r="4" spans="2:19" x14ac:dyDescent="0.35">
      <c r="C4" s="21" t="s">
        <v>67</v>
      </c>
      <c r="D4" s="276">
        <v>8</v>
      </c>
      <c r="G4" s="21"/>
      <c r="H4" s="21" t="s">
        <v>6</v>
      </c>
      <c r="I4" s="276">
        <v>2025</v>
      </c>
      <c r="L4" s="21" t="s">
        <v>75</v>
      </c>
      <c r="M4" s="257">
        <f>SLOPE('Household Model'!H3:H17,'Household Model'!G3:G17)</f>
        <v>9.7653717396159077E-4</v>
      </c>
      <c r="P4" s="21" t="s">
        <v>71</v>
      </c>
      <c r="Q4" s="275">
        <f>I5+I5/1000*D7</f>
        <v>6090393.5874059582</v>
      </c>
    </row>
    <row r="5" spans="2:19" x14ac:dyDescent="0.35">
      <c r="C5" s="21" t="s">
        <v>68</v>
      </c>
      <c r="D5" s="276">
        <v>4.5</v>
      </c>
      <c r="H5" s="21" t="str">
        <f>_xlfn.CONCAT("Population in Year ",I4-1)</f>
        <v>Population in Year 2024</v>
      </c>
      <c r="I5" s="275">
        <f>VLOOKUP(I4-1,'Household Model'!$B$18:$G$48,6,FALSE)</f>
        <v>6039061.5641110148</v>
      </c>
      <c r="L5" s="21" t="s">
        <v>76</v>
      </c>
      <c r="M5" s="257">
        <f>INTERCEPT('Household Model'!H3:H17,'Household Model'!G3:G17)</f>
        <v>1661.3894689250683</v>
      </c>
      <c r="P5" s="21" t="s">
        <v>77</v>
      </c>
      <c r="Q5" s="274">
        <f>Q4*M4+M5</f>
        <v>7608.8852110842772</v>
      </c>
    </row>
    <row r="6" spans="2:19" x14ac:dyDescent="0.35">
      <c r="C6" s="21" t="s">
        <v>78</v>
      </c>
      <c r="D6" s="276">
        <v>5</v>
      </c>
      <c r="H6" s="21"/>
      <c r="I6" s="101"/>
      <c r="M6" s="21"/>
    </row>
    <row r="7" spans="2:19" x14ac:dyDescent="0.35">
      <c r="C7" s="21" t="s">
        <v>79</v>
      </c>
      <c r="D7" s="22">
        <f>D4-D5+D6</f>
        <v>8.5</v>
      </c>
    </row>
    <row r="8" spans="2:19" x14ac:dyDescent="0.35">
      <c r="C8" s="21"/>
    </row>
    <row r="11" spans="2:19" x14ac:dyDescent="0.35">
      <c r="C11" t="s">
        <v>6</v>
      </c>
      <c r="D11" t="s">
        <v>71</v>
      </c>
      <c r="E11" t="s">
        <v>80</v>
      </c>
    </row>
    <row r="12" spans="2:19" x14ac:dyDescent="0.35">
      <c r="B12" s="21" t="s">
        <v>81</v>
      </c>
      <c r="C12" s="22"/>
      <c r="D12" s="273">
        <f>Q5</f>
        <v>7608.8852110842772</v>
      </c>
      <c r="E12" s="127">
        <v>-5</v>
      </c>
      <c r="F12" s="127">
        <v>-4</v>
      </c>
      <c r="G12" s="127">
        <v>-3</v>
      </c>
      <c r="H12" s="127">
        <v>-2</v>
      </c>
      <c r="I12" s="127">
        <v>-1</v>
      </c>
      <c r="J12" s="127">
        <v>0</v>
      </c>
      <c r="K12" s="127">
        <v>1</v>
      </c>
      <c r="L12" s="127">
        <v>2</v>
      </c>
      <c r="M12" s="127">
        <v>3</v>
      </c>
      <c r="N12" s="127">
        <v>4</v>
      </c>
      <c r="O12" s="127">
        <v>5</v>
      </c>
      <c r="P12" s="127">
        <v>6</v>
      </c>
      <c r="Q12" s="127">
        <v>7</v>
      </c>
      <c r="R12" s="127">
        <v>8</v>
      </c>
      <c r="S12" s="127">
        <v>9</v>
      </c>
    </row>
    <row r="13" spans="2:19" x14ac:dyDescent="0.35">
      <c r="C13" s="22">
        <v>2021</v>
      </c>
      <c r="D13" s="272">
        <f>VLOOKUP(C13-1,'Household Model'!$B$18:$G$48,6,FALSE)</f>
        <v>5850342</v>
      </c>
      <c r="E13" s="256">
        <f t="dataTable" ref="E13:S42" dt2D="1" dtr="1" r1="D7" r2="I5"/>
        <v>7345.9005300969247</v>
      </c>
      <c r="F13" s="256">
        <v>7351.6136065403143</v>
      </c>
      <c r="G13" s="256">
        <v>7357.326682983703</v>
      </c>
      <c r="H13" s="256">
        <v>7363.0397594270908</v>
      </c>
      <c r="I13" s="256">
        <v>7368.7528358704803</v>
      </c>
      <c r="J13" s="256">
        <v>7374.465912313869</v>
      </c>
      <c r="K13" s="256">
        <v>7380.1789887572577</v>
      </c>
      <c r="L13" s="256">
        <v>7385.8920652006473</v>
      </c>
      <c r="M13" s="256">
        <v>7391.605141644035</v>
      </c>
      <c r="N13" s="256">
        <v>7397.3182180874237</v>
      </c>
      <c r="O13" s="256">
        <v>7403.0312945308133</v>
      </c>
      <c r="P13" s="256">
        <v>7408.744370974202</v>
      </c>
      <c r="Q13" s="256">
        <v>7414.4574474175906</v>
      </c>
      <c r="R13" s="256">
        <v>7420.1705238609793</v>
      </c>
      <c r="S13" s="256">
        <v>7425.883600304368</v>
      </c>
    </row>
    <row r="14" spans="2:19" x14ac:dyDescent="0.35">
      <c r="C14" s="22">
        <v>2022</v>
      </c>
      <c r="D14" s="272">
        <f>VLOOKUP(C14-1,'Household Model'!$B$18:$G$48,6,FALSE)</f>
        <v>5896686</v>
      </c>
      <c r="E14" s="256">
        <v>7390.9308856930511</v>
      </c>
      <c r="F14" s="256">
        <v>7396.6892187752301</v>
      </c>
      <c r="G14" s="256">
        <v>7402.4475518574081</v>
      </c>
      <c r="H14" s="256">
        <v>7408.2058849395871</v>
      </c>
      <c r="I14" s="256">
        <v>7413.9642180217661</v>
      </c>
      <c r="J14" s="256">
        <v>7419.7225511039451</v>
      </c>
      <c r="K14" s="256">
        <v>7425.4808841861241</v>
      </c>
      <c r="L14" s="256">
        <v>7431.239217268303</v>
      </c>
      <c r="M14" s="256">
        <v>7436.997550350482</v>
      </c>
      <c r="N14" s="256">
        <v>7442.755883432661</v>
      </c>
      <c r="O14" s="256">
        <v>7448.5142165148391</v>
      </c>
      <c r="P14" s="256">
        <v>7454.272549597019</v>
      </c>
      <c r="Q14" s="256">
        <v>7460.030882679197</v>
      </c>
      <c r="R14" s="256">
        <v>7465.789215761376</v>
      </c>
      <c r="S14" s="256">
        <v>7471.547548843555</v>
      </c>
    </row>
    <row r="15" spans="2:19" x14ac:dyDescent="0.35">
      <c r="C15" s="22">
        <v>2023</v>
      </c>
      <c r="D15" s="272">
        <f>VLOOKUP(C15-1,'Household Model'!$B$18:$G$48,6,FALSE)</f>
        <v>5944879.389551403</v>
      </c>
      <c r="E15" s="256">
        <v>7437.758208947027</v>
      </c>
      <c r="F15" s="256">
        <v>7443.5636046656418</v>
      </c>
      <c r="G15" s="256">
        <v>7449.3690003842567</v>
      </c>
      <c r="H15" s="256">
        <v>7455.1743961028724</v>
      </c>
      <c r="I15" s="256">
        <v>7460.9797918214872</v>
      </c>
      <c r="J15" s="256">
        <v>7466.785187540102</v>
      </c>
      <c r="K15" s="256">
        <v>7472.5905832587177</v>
      </c>
      <c r="L15" s="256">
        <v>7478.3959789773326</v>
      </c>
      <c r="M15" s="256">
        <v>7484.2013746959474</v>
      </c>
      <c r="N15" s="256">
        <v>7490.0067704145622</v>
      </c>
      <c r="O15" s="256">
        <v>7495.8121661331779</v>
      </c>
      <c r="P15" s="256">
        <v>7501.6175618517927</v>
      </c>
      <c r="Q15" s="256">
        <v>7507.4229575704076</v>
      </c>
      <c r="R15" s="256">
        <v>7513.2283532890224</v>
      </c>
      <c r="S15" s="256">
        <v>7519.0337490076372</v>
      </c>
    </row>
    <row r="16" spans="2:19" x14ac:dyDescent="0.35">
      <c r="C16" s="22">
        <v>2024</v>
      </c>
      <c r="D16" s="272">
        <f>VLOOKUP(C16-1,'Household Model'!$B$18:$G$48,6,FALSE)</f>
        <v>5992345.857279487</v>
      </c>
      <c r="E16" s="256">
        <v>7483.879215348883</v>
      </c>
      <c r="F16" s="256">
        <v>7489.7309638377519</v>
      </c>
      <c r="G16" s="256">
        <v>7495.5827123266199</v>
      </c>
      <c r="H16" s="256">
        <v>7501.4344608154879</v>
      </c>
      <c r="I16" s="256">
        <v>7507.2862093043568</v>
      </c>
      <c r="J16" s="256">
        <v>7513.1379577932248</v>
      </c>
      <c r="K16" s="256">
        <v>7518.9897062820928</v>
      </c>
      <c r="L16" s="256">
        <v>7524.8414547709608</v>
      </c>
      <c r="M16" s="256">
        <v>7530.6932032598288</v>
      </c>
      <c r="N16" s="256">
        <v>7536.5449517486968</v>
      </c>
      <c r="O16" s="256">
        <v>7542.3967002375657</v>
      </c>
      <c r="P16" s="256">
        <v>7548.2484487264337</v>
      </c>
      <c r="Q16" s="256">
        <v>7554.1001972153017</v>
      </c>
      <c r="R16" s="256">
        <v>7559.9519457041697</v>
      </c>
      <c r="S16" s="256">
        <v>7565.8036941930377</v>
      </c>
    </row>
    <row r="17" spans="3:19" x14ac:dyDescent="0.35">
      <c r="C17" s="22">
        <v>2025</v>
      </c>
      <c r="D17" s="272">
        <f>VLOOKUP(C17-1,'Household Model'!$B$18:$G$48,6,FALSE)</f>
        <v>6039061.5641110148</v>
      </c>
      <c r="E17" s="256">
        <v>7529.2707415561181</v>
      </c>
      <c r="F17" s="256">
        <v>7535.1681096693146</v>
      </c>
      <c r="G17" s="256">
        <v>7541.0654777825112</v>
      </c>
      <c r="H17" s="256">
        <v>7546.9628458957086</v>
      </c>
      <c r="I17" s="256">
        <v>7552.860214008906</v>
      </c>
      <c r="J17" s="256">
        <v>7558.7575821221026</v>
      </c>
      <c r="K17" s="256">
        <v>7564.6549502353</v>
      </c>
      <c r="L17" s="256">
        <v>7570.5523183484975</v>
      </c>
      <c r="M17" s="256">
        <v>7576.449686461694</v>
      </c>
      <c r="N17" s="256">
        <v>7582.3470545748905</v>
      </c>
      <c r="O17" s="256">
        <v>7588.244422688088</v>
      </c>
      <c r="P17" s="256">
        <v>7594.1417908012845</v>
      </c>
      <c r="Q17" s="256">
        <v>7600.039158914482</v>
      </c>
      <c r="R17" s="256">
        <v>7605.9365270276794</v>
      </c>
      <c r="S17" s="256">
        <v>7611.8338951408768</v>
      </c>
    </row>
    <row r="18" spans="3:19" x14ac:dyDescent="0.35">
      <c r="C18" s="22">
        <v>2026</v>
      </c>
      <c r="D18" s="272">
        <f>VLOOKUP(C18-1,'Household Model'!$B$18:$G$48,6,FALSE)</f>
        <v>6085002.9007660002</v>
      </c>
      <c r="E18" s="256">
        <v>7573.9098475058699</v>
      </c>
      <c r="F18" s="256">
        <v>7579.8520790421317</v>
      </c>
      <c r="G18" s="256">
        <v>7585.7943105783943</v>
      </c>
      <c r="H18" s="256">
        <v>7591.736542114656</v>
      </c>
      <c r="I18" s="256">
        <v>7597.6787736509177</v>
      </c>
      <c r="J18" s="256">
        <v>7603.6210051871803</v>
      </c>
      <c r="K18" s="256">
        <v>7609.563236723443</v>
      </c>
      <c r="L18" s="256">
        <v>7615.5054682597047</v>
      </c>
      <c r="M18" s="256">
        <v>7621.4476997959664</v>
      </c>
      <c r="N18" s="256">
        <v>7627.389931332229</v>
      </c>
      <c r="O18" s="256">
        <v>7633.3321628684907</v>
      </c>
      <c r="P18" s="256">
        <v>7639.2743944047534</v>
      </c>
      <c r="Q18" s="256">
        <v>7645.2166259410142</v>
      </c>
      <c r="R18" s="256">
        <v>7651.1588574772768</v>
      </c>
      <c r="S18" s="256">
        <v>7657.1010890135394</v>
      </c>
    </row>
    <row r="19" spans="3:19" x14ac:dyDescent="0.35">
      <c r="C19" s="22">
        <v>2027</v>
      </c>
      <c r="D19" s="272">
        <f>VLOOKUP(C19-1,'Household Model'!$B$18:$G$48,6,FALSE)</f>
        <v>6130146.5074402904</v>
      </c>
      <c r="E19" s="256">
        <v>7617.7738355395941</v>
      </c>
      <c r="F19" s="256">
        <v>7623.7601514859398</v>
      </c>
      <c r="G19" s="256">
        <v>7629.7464674322864</v>
      </c>
      <c r="H19" s="256">
        <v>7635.732783378633</v>
      </c>
      <c r="I19" s="256">
        <v>7641.7190993249787</v>
      </c>
      <c r="J19" s="256">
        <v>7647.7054152713254</v>
      </c>
      <c r="K19" s="256">
        <v>7653.6917312176711</v>
      </c>
      <c r="L19" s="256">
        <v>7659.6780471640177</v>
      </c>
      <c r="M19" s="256">
        <v>7665.6643631103643</v>
      </c>
      <c r="N19" s="256">
        <v>7671.6506790567109</v>
      </c>
      <c r="O19" s="256">
        <v>7677.6369950030567</v>
      </c>
      <c r="P19" s="256">
        <v>7683.6233109494024</v>
      </c>
      <c r="Q19" s="256">
        <v>7689.609626895749</v>
      </c>
      <c r="R19" s="256">
        <v>7695.5959428420947</v>
      </c>
      <c r="S19" s="256">
        <v>7701.5822587884413</v>
      </c>
    </row>
    <row r="20" spans="3:19" x14ac:dyDescent="0.35">
      <c r="C20" s="22">
        <v>2028</v>
      </c>
      <c r="D20" s="272">
        <f>VLOOKUP(C20-1,'Household Model'!$B$18:$G$48,6,FALSE)</f>
        <v>6174469.2934138421</v>
      </c>
      <c r="E20" s="256">
        <v>7660.8402694555271</v>
      </c>
      <c r="F20" s="256">
        <v>7666.8698682500299</v>
      </c>
      <c r="G20" s="256">
        <v>7672.8994670445327</v>
      </c>
      <c r="H20" s="256">
        <v>7678.9290658390364</v>
      </c>
      <c r="I20" s="256">
        <v>7684.9586646335392</v>
      </c>
      <c r="J20" s="256">
        <v>7690.988263428042</v>
      </c>
      <c r="K20" s="256">
        <v>7697.0178622225449</v>
      </c>
      <c r="L20" s="256">
        <v>7703.0474610170477</v>
      </c>
      <c r="M20" s="256">
        <v>7709.0770598115514</v>
      </c>
      <c r="N20" s="256">
        <v>7715.1066586060542</v>
      </c>
      <c r="O20" s="256">
        <v>7721.136257400557</v>
      </c>
      <c r="P20" s="256">
        <v>7727.1658561950599</v>
      </c>
      <c r="Q20" s="256">
        <v>7733.1954549895627</v>
      </c>
      <c r="R20" s="256">
        <v>7739.2250537840655</v>
      </c>
      <c r="S20" s="256">
        <v>7745.2546525785692</v>
      </c>
    </row>
    <row r="21" spans="3:19" x14ac:dyDescent="0.35">
      <c r="C21" s="22">
        <v>2029</v>
      </c>
      <c r="D21" s="272">
        <f>VLOOKUP(C21-1,'Household Model'!$B$18:$G$48,6,FALSE)</f>
        <v>6217948.4565619025</v>
      </c>
      <c r="E21" s="256">
        <v>7703.0869934668144</v>
      </c>
      <c r="F21" s="256">
        <v>7709.159051280425</v>
      </c>
      <c r="G21" s="256">
        <v>7715.2311090940348</v>
      </c>
      <c r="H21" s="256">
        <v>7721.3031669076436</v>
      </c>
      <c r="I21" s="256">
        <v>7727.3752247212533</v>
      </c>
      <c r="J21" s="256">
        <v>7733.4472825348639</v>
      </c>
      <c r="K21" s="256">
        <v>7739.5193403484736</v>
      </c>
      <c r="L21" s="256">
        <v>7745.5913981620834</v>
      </c>
      <c r="M21" s="256">
        <v>7751.6634559756931</v>
      </c>
      <c r="N21" s="256">
        <v>7757.7355137893028</v>
      </c>
      <c r="O21" s="256">
        <v>7763.8075716029125</v>
      </c>
      <c r="P21" s="256">
        <v>7769.8796294165231</v>
      </c>
      <c r="Q21" s="256">
        <v>7775.9516872301319</v>
      </c>
      <c r="R21" s="256">
        <v>7782.0237450437417</v>
      </c>
      <c r="S21" s="256">
        <v>7788.0958028573523</v>
      </c>
    </row>
    <row r="22" spans="3:19" x14ac:dyDescent="0.35">
      <c r="C22" s="22">
        <v>2030</v>
      </c>
      <c r="D22" s="272">
        <f>VLOOKUP(C22-1,'Household Model'!$B$18:$G$48,6,FALSE)</f>
        <v>6260561.5027462486</v>
      </c>
      <c r="E22" s="256">
        <v>7744.4921510430968</v>
      </c>
      <c r="F22" s="256">
        <v>7750.6058220804016</v>
      </c>
      <c r="G22" s="256">
        <v>7756.7194931177064</v>
      </c>
      <c r="H22" s="256">
        <v>7762.8331641550103</v>
      </c>
      <c r="I22" s="256">
        <v>7768.9468351923151</v>
      </c>
      <c r="J22" s="256">
        <v>7775.0605062296199</v>
      </c>
      <c r="K22" s="256">
        <v>7781.1741772669247</v>
      </c>
      <c r="L22" s="256">
        <v>7787.2878483042286</v>
      </c>
      <c r="M22" s="256">
        <v>7793.4015193415335</v>
      </c>
      <c r="N22" s="256">
        <v>7799.5151903788383</v>
      </c>
      <c r="O22" s="256">
        <v>7805.6288614161431</v>
      </c>
      <c r="P22" s="256">
        <v>7811.7425324534479</v>
      </c>
      <c r="Q22" s="256">
        <v>7817.8562034907518</v>
      </c>
      <c r="R22" s="256">
        <v>7823.9698745280566</v>
      </c>
      <c r="S22" s="256">
        <v>7830.0835455653605</v>
      </c>
    </row>
    <row r="23" spans="3:19" x14ac:dyDescent="0.35">
      <c r="C23" s="22">
        <v>2031</v>
      </c>
      <c r="D23" s="272">
        <f>VLOOKUP(C23-1,'Household Model'!$B$18:$G$48,6,FALSE)</f>
        <v>6302286.2650636174</v>
      </c>
      <c r="E23" s="256">
        <v>7785.0342036133306</v>
      </c>
      <c r="F23" s="256">
        <v>7791.1886204321136</v>
      </c>
      <c r="G23" s="256">
        <v>7797.3430372508956</v>
      </c>
      <c r="H23" s="256">
        <v>7803.4974540696776</v>
      </c>
      <c r="I23" s="256">
        <v>7809.6518708884596</v>
      </c>
      <c r="J23" s="256">
        <v>7815.8062877072425</v>
      </c>
      <c r="K23" s="256">
        <v>7821.9607045260245</v>
      </c>
      <c r="L23" s="256">
        <v>7828.1151213448065</v>
      </c>
      <c r="M23" s="256">
        <v>7834.2695381635885</v>
      </c>
      <c r="N23" s="256">
        <v>7840.4239549823706</v>
      </c>
      <c r="O23" s="256">
        <v>7846.5783718011535</v>
      </c>
      <c r="P23" s="256">
        <v>7852.7327886199346</v>
      </c>
      <c r="Q23" s="256">
        <v>7858.8872054387175</v>
      </c>
      <c r="R23" s="256">
        <v>7865.0416222574995</v>
      </c>
      <c r="S23" s="256">
        <v>7871.1960390762815</v>
      </c>
    </row>
    <row r="24" spans="3:19" x14ac:dyDescent="0.35">
      <c r="C24" s="22">
        <v>2032</v>
      </c>
      <c r="D24" s="272">
        <f>VLOOKUP(C24-1,'Household Model'!$B$18:$G$48,6,FALSE)</f>
        <v>6343100.9229284599</v>
      </c>
      <c r="E24" s="256">
        <v>7824.6919491076369</v>
      </c>
      <c r="F24" s="256">
        <v>7830.8862229570659</v>
      </c>
      <c r="G24" s="256">
        <v>7837.0804968064958</v>
      </c>
      <c r="H24" s="256">
        <v>7843.2747706559248</v>
      </c>
      <c r="I24" s="256">
        <v>7849.4690445053557</v>
      </c>
      <c r="J24" s="256">
        <v>7855.6633183547847</v>
      </c>
      <c r="K24" s="256">
        <v>7861.8575922042146</v>
      </c>
      <c r="L24" s="256">
        <v>7868.0518660536445</v>
      </c>
      <c r="M24" s="256">
        <v>7874.2461399030744</v>
      </c>
      <c r="N24" s="256">
        <v>7880.4404137525034</v>
      </c>
      <c r="O24" s="256">
        <v>7886.6346876019334</v>
      </c>
      <c r="P24" s="256">
        <v>7892.8289614513633</v>
      </c>
      <c r="Q24" s="256">
        <v>7899.0232353007923</v>
      </c>
      <c r="R24" s="256">
        <v>7905.2175091502222</v>
      </c>
      <c r="S24" s="256">
        <v>7911.4117829996521</v>
      </c>
    </row>
    <row r="25" spans="3:19" x14ac:dyDescent="0.35">
      <c r="C25" s="22">
        <v>2033</v>
      </c>
      <c r="D25" s="272">
        <f>VLOOKUP(C25-1,'Household Model'!$B$18:$G$48,6,FALSE)</f>
        <v>6382984.0209672125</v>
      </c>
      <c r="E25" s="256">
        <v>7863.4445403159943</v>
      </c>
      <c r="F25" s="256">
        <v>7869.6777614932716</v>
      </c>
      <c r="G25" s="256">
        <v>7875.9109826705489</v>
      </c>
      <c r="H25" s="256">
        <v>7882.1442038478272</v>
      </c>
      <c r="I25" s="256">
        <v>7888.3774250251045</v>
      </c>
      <c r="J25" s="256">
        <v>7894.6106462023808</v>
      </c>
      <c r="K25" s="256">
        <v>7900.8438673796581</v>
      </c>
      <c r="L25" s="256">
        <v>7907.0770885569355</v>
      </c>
      <c r="M25" s="256">
        <v>7913.3103097342137</v>
      </c>
      <c r="N25" s="256">
        <v>7919.543530911491</v>
      </c>
      <c r="O25" s="256">
        <v>7925.7767520887683</v>
      </c>
      <c r="P25" s="256">
        <v>7932.0099732660447</v>
      </c>
      <c r="Q25" s="256">
        <v>7938.243194443322</v>
      </c>
      <c r="R25" s="256">
        <v>7944.4764156206002</v>
      </c>
      <c r="S25" s="256">
        <v>7950.7096367978775</v>
      </c>
    </row>
    <row r="26" spans="3:19" x14ac:dyDescent="0.35">
      <c r="C26" s="22">
        <v>2034</v>
      </c>
      <c r="D26" s="272">
        <f>VLOOKUP(C26-1,'Household Model'!$B$18:$G$48,6,FALSE)</f>
        <v>6421914.4877013434</v>
      </c>
      <c r="E26" s="256">
        <v>7901.2715030417212</v>
      </c>
      <c r="F26" s="256">
        <v>7907.5427412669633</v>
      </c>
      <c r="G26" s="256">
        <v>7913.8139794922072</v>
      </c>
      <c r="H26" s="256">
        <v>7920.0852177174493</v>
      </c>
      <c r="I26" s="256">
        <v>7926.3564559426923</v>
      </c>
      <c r="J26" s="256">
        <v>7932.6276941679353</v>
      </c>
      <c r="K26" s="256">
        <v>7938.8989323931773</v>
      </c>
      <c r="L26" s="256">
        <v>7945.1701706184213</v>
      </c>
      <c r="M26" s="256">
        <v>7951.4414088436633</v>
      </c>
      <c r="N26" s="256">
        <v>7957.7126470689063</v>
      </c>
      <c r="O26" s="256">
        <v>7963.9838852941493</v>
      </c>
      <c r="P26" s="256">
        <v>7970.2551235193923</v>
      </c>
      <c r="Q26" s="256">
        <v>7976.5263617446353</v>
      </c>
      <c r="R26" s="256">
        <v>7982.7975999698783</v>
      </c>
      <c r="S26" s="256">
        <v>7989.0688381951204</v>
      </c>
    </row>
    <row r="27" spans="3:19" x14ac:dyDescent="0.35">
      <c r="C27" s="22">
        <v>2035</v>
      </c>
      <c r="D27" s="272">
        <f>VLOOKUP(C27-1,'Household Model'!$B$18:$G$48,6,FALSE)</f>
        <v>6459871.6539965523</v>
      </c>
      <c r="E27" s="256">
        <v>7938.1527540277066</v>
      </c>
      <c r="F27" s="256">
        <v>7944.461058836855</v>
      </c>
      <c r="G27" s="256">
        <v>7950.7693636460035</v>
      </c>
      <c r="H27" s="256">
        <v>7957.077668455152</v>
      </c>
      <c r="I27" s="256">
        <v>7963.3859732643004</v>
      </c>
      <c r="J27" s="256">
        <v>7969.6942780734489</v>
      </c>
      <c r="K27" s="256">
        <v>7976.0025828825965</v>
      </c>
      <c r="L27" s="256">
        <v>7982.3108876917449</v>
      </c>
      <c r="M27" s="256">
        <v>7988.6191925008934</v>
      </c>
      <c r="N27" s="256">
        <v>7994.9274973100428</v>
      </c>
      <c r="O27" s="256">
        <v>8001.2358021191903</v>
      </c>
      <c r="P27" s="256">
        <v>8007.5441069283388</v>
      </c>
      <c r="Q27" s="256">
        <v>8013.8524117374873</v>
      </c>
      <c r="R27" s="256">
        <v>8020.1607165466357</v>
      </c>
      <c r="S27" s="256">
        <v>8026.4690213557833</v>
      </c>
    </row>
    <row r="28" spans="3:19" x14ac:dyDescent="0.35">
      <c r="C28" s="22">
        <v>2036</v>
      </c>
      <c r="D28" s="272">
        <f>VLOOKUP(C28-1,'Household Model'!$B$18:$G$48,6,FALSE)</f>
        <v>6496835.271255658</v>
      </c>
      <c r="E28" s="256">
        <v>7974.0686186336234</v>
      </c>
      <c r="F28" s="256">
        <v>7980.41301978911</v>
      </c>
      <c r="G28" s="256">
        <v>7986.7574209445957</v>
      </c>
      <c r="H28" s="256">
        <v>7993.1018221000813</v>
      </c>
      <c r="I28" s="256">
        <v>7999.446223255567</v>
      </c>
      <c r="J28" s="256">
        <v>8005.7906244110536</v>
      </c>
      <c r="K28" s="256">
        <v>8012.1350255665402</v>
      </c>
      <c r="L28" s="256">
        <v>8018.479426722025</v>
      </c>
      <c r="M28" s="256">
        <v>8024.8238278775116</v>
      </c>
      <c r="N28" s="256">
        <v>8031.1682290329973</v>
      </c>
      <c r="O28" s="256">
        <v>8037.5126301884839</v>
      </c>
      <c r="P28" s="256">
        <v>8043.8570313439695</v>
      </c>
      <c r="Q28" s="256">
        <v>8050.2014324994552</v>
      </c>
      <c r="R28" s="256">
        <v>8056.5458336549418</v>
      </c>
      <c r="S28" s="256">
        <v>8062.8902348104275</v>
      </c>
    </row>
    <row r="29" spans="3:19" x14ac:dyDescent="0.35">
      <c r="C29" s="22">
        <v>2037</v>
      </c>
      <c r="D29" s="272">
        <f>VLOOKUP(C29-1,'Household Model'!$B$18:$G$48,6,FALSE)</f>
        <v>6532785.5293328753</v>
      </c>
      <c r="E29" s="256">
        <v>8008.9998482424098</v>
      </c>
      <c r="F29" s="256">
        <v>8015.3793561613211</v>
      </c>
      <c r="G29" s="256">
        <v>8021.7588640802333</v>
      </c>
      <c r="H29" s="256">
        <v>8028.1383719991454</v>
      </c>
      <c r="I29" s="256">
        <v>8034.5178799180567</v>
      </c>
      <c r="J29" s="256">
        <v>8040.8973878369688</v>
      </c>
      <c r="K29" s="256">
        <v>8047.276895755881</v>
      </c>
      <c r="L29" s="256">
        <v>8053.6564036747923</v>
      </c>
      <c r="M29" s="256">
        <v>8060.0359115937044</v>
      </c>
      <c r="N29" s="256">
        <v>8066.4154195126166</v>
      </c>
      <c r="O29" s="256">
        <v>8072.7949274315279</v>
      </c>
      <c r="P29" s="256">
        <v>8079.17443535044</v>
      </c>
      <c r="Q29" s="256">
        <v>8085.5539432693522</v>
      </c>
      <c r="R29" s="256">
        <v>8091.9334511882635</v>
      </c>
      <c r="S29" s="256">
        <v>8098.3129591071765</v>
      </c>
    </row>
    <row r="30" spans="3:19" x14ac:dyDescent="0.35">
      <c r="C30" s="22">
        <v>2038</v>
      </c>
      <c r="D30" s="272">
        <f>VLOOKUP(C30-1,'Household Model'!$B$18:$G$48,6,FALSE)</f>
        <v>6567703.0741474219</v>
      </c>
      <c r="E30" s="256">
        <v>8042.9276373746097</v>
      </c>
      <c r="F30" s="256">
        <v>8049.3412435740565</v>
      </c>
      <c r="G30" s="256">
        <v>8055.7548497735033</v>
      </c>
      <c r="H30" s="256">
        <v>8062.1684559729501</v>
      </c>
      <c r="I30" s="256">
        <v>8068.5820621723969</v>
      </c>
      <c r="J30" s="256">
        <v>8074.9956683718437</v>
      </c>
      <c r="K30" s="256">
        <v>8081.4092745712896</v>
      </c>
      <c r="L30" s="256">
        <v>8087.8228807707374</v>
      </c>
      <c r="M30" s="256">
        <v>8094.2364869701833</v>
      </c>
      <c r="N30" s="256">
        <v>8100.650093169631</v>
      </c>
      <c r="O30" s="256">
        <v>8107.0636993690769</v>
      </c>
      <c r="P30" s="256">
        <v>8113.4773055685246</v>
      </c>
      <c r="Q30" s="256">
        <v>8119.8909117679705</v>
      </c>
      <c r="R30" s="256">
        <v>8126.3045179674182</v>
      </c>
      <c r="S30" s="256">
        <v>8132.718124166865</v>
      </c>
    </row>
    <row r="31" spans="3:19" x14ac:dyDescent="0.35">
      <c r="C31" s="22">
        <v>2039</v>
      </c>
      <c r="D31" s="272">
        <f>VLOOKUP(C31-1,'Household Model'!$B$18:$G$48,6,FALSE)</f>
        <v>6601569.0249746358</v>
      </c>
      <c r="E31" s="256">
        <v>8075.833640489368</v>
      </c>
      <c r="F31" s="256">
        <v>8082.280318048729</v>
      </c>
      <c r="G31" s="256">
        <v>8088.72699560809</v>
      </c>
      <c r="H31" s="256">
        <v>8095.1736731674519</v>
      </c>
      <c r="I31" s="256">
        <v>8101.6203507268128</v>
      </c>
      <c r="J31" s="256">
        <v>8108.0670282861738</v>
      </c>
      <c r="K31" s="256">
        <v>8114.5137058455339</v>
      </c>
      <c r="L31" s="256">
        <v>8120.9603834048949</v>
      </c>
      <c r="M31" s="256">
        <v>8127.4070609642567</v>
      </c>
      <c r="N31" s="256">
        <v>8133.8537385236177</v>
      </c>
      <c r="O31" s="256">
        <v>8140.3004160829787</v>
      </c>
      <c r="P31" s="256">
        <v>8146.7470936423397</v>
      </c>
      <c r="Q31" s="256">
        <v>8153.1937712017007</v>
      </c>
      <c r="R31" s="256">
        <v>8159.6404487610616</v>
      </c>
      <c r="S31" s="256">
        <v>8166.0871263204226</v>
      </c>
    </row>
    <row r="32" spans="3:19" x14ac:dyDescent="0.35">
      <c r="C32" s="22">
        <v>2040</v>
      </c>
      <c r="D32" s="272">
        <f>VLOOKUP(C32-1,'Household Model'!$B$18:$G$48,6,FALSE)</f>
        <v>6634364.9913930772</v>
      </c>
      <c r="E32" s="256">
        <v>8107.6999884511533</v>
      </c>
      <c r="F32" s="256">
        <v>8114.1786924908783</v>
      </c>
      <c r="G32" s="256">
        <v>8120.6573965306034</v>
      </c>
      <c r="H32" s="256">
        <v>8127.1361005703284</v>
      </c>
      <c r="I32" s="256">
        <v>8133.6148046100525</v>
      </c>
      <c r="J32" s="256">
        <v>8140.0935086497775</v>
      </c>
      <c r="K32" s="256">
        <v>8146.5722126895016</v>
      </c>
      <c r="L32" s="256">
        <v>8153.0509167292266</v>
      </c>
      <c r="M32" s="256">
        <v>8159.5296207689507</v>
      </c>
      <c r="N32" s="256">
        <v>8166.0083248086767</v>
      </c>
      <c r="O32" s="256">
        <v>8172.4870288484008</v>
      </c>
      <c r="P32" s="256">
        <v>8178.9657328881258</v>
      </c>
      <c r="Q32" s="256">
        <v>8185.4444369278499</v>
      </c>
      <c r="R32" s="256">
        <v>8191.9231409675749</v>
      </c>
      <c r="S32" s="256">
        <v>8198.4018450072981</v>
      </c>
    </row>
    <row r="33" spans="3:19" x14ac:dyDescent="0.35">
      <c r="C33" s="22">
        <v>2041</v>
      </c>
      <c r="D33" s="272">
        <f>VLOOKUP(C33-1,'Household Model'!$B$18:$G$48,6,FALSE)</f>
        <v>6666073.0898664109</v>
      </c>
      <c r="E33" s="256">
        <v>8138.509304641625</v>
      </c>
      <c r="F33" s="256">
        <v>8145.018972818224</v>
      </c>
      <c r="G33" s="256">
        <v>8151.5286409948239</v>
      </c>
      <c r="H33" s="256">
        <v>8158.038309171423</v>
      </c>
      <c r="I33" s="256">
        <v>8164.5479773480238</v>
      </c>
      <c r="J33" s="256">
        <v>8171.0576455246228</v>
      </c>
      <c r="K33" s="256">
        <v>8177.5673137012218</v>
      </c>
      <c r="L33" s="256">
        <v>8184.0769818778217</v>
      </c>
      <c r="M33" s="256">
        <v>8190.5866500544207</v>
      </c>
      <c r="N33" s="256">
        <v>8197.0963182310206</v>
      </c>
      <c r="O33" s="256">
        <v>8203.6059864076196</v>
      </c>
      <c r="P33" s="256">
        <v>8210.1156545842205</v>
      </c>
      <c r="Q33" s="256">
        <v>8216.6253227608195</v>
      </c>
      <c r="R33" s="256">
        <v>8223.1349909374185</v>
      </c>
      <c r="S33" s="256">
        <v>8229.6446591140193</v>
      </c>
    </row>
    <row r="34" spans="3:19" x14ac:dyDescent="0.35">
      <c r="C34" s="22">
        <v>2042</v>
      </c>
      <c r="D34" s="272">
        <f>VLOOKUP(C34-1,'Household Model'!$B$18:$G$48,6,FALSE)</f>
        <v>6696675.9599392219</v>
      </c>
      <c r="E34" s="256">
        <v>8168.2447206963616</v>
      </c>
      <c r="F34" s="256">
        <v>8174.7842737132169</v>
      </c>
      <c r="G34" s="256">
        <v>8181.3238267300721</v>
      </c>
      <c r="H34" s="256">
        <v>8187.8633797469283</v>
      </c>
      <c r="I34" s="256">
        <v>8194.4029327637836</v>
      </c>
      <c r="J34" s="256">
        <v>8200.9424857806389</v>
      </c>
      <c r="K34" s="256">
        <v>8207.4820387974942</v>
      </c>
      <c r="L34" s="256">
        <v>8214.0215918143513</v>
      </c>
      <c r="M34" s="256">
        <v>8220.5611448312047</v>
      </c>
      <c r="N34" s="256">
        <v>8227.1006978480618</v>
      </c>
      <c r="O34" s="256">
        <v>8233.6402508649153</v>
      </c>
      <c r="P34" s="256">
        <v>8240.1798038817724</v>
      </c>
      <c r="Q34" s="256">
        <v>8246.7193568986295</v>
      </c>
      <c r="R34" s="256">
        <v>8253.2589099154829</v>
      </c>
      <c r="S34" s="256">
        <v>8259.79846293234</v>
      </c>
    </row>
    <row r="35" spans="3:19" x14ac:dyDescent="0.35">
      <c r="C35" s="22">
        <v>2043</v>
      </c>
      <c r="D35" s="272">
        <f>VLOOKUP(C35-1,'Household Model'!$B$18:$G$48,6,FALSE)</f>
        <v>6726156.7800263073</v>
      </c>
      <c r="E35" s="256">
        <v>8196.8898918466039</v>
      </c>
      <c r="F35" s="256">
        <v>8203.4582339801927</v>
      </c>
      <c r="G35" s="256">
        <v>8210.0265761137834</v>
      </c>
      <c r="H35" s="256">
        <v>8216.5949182473723</v>
      </c>
      <c r="I35" s="256">
        <v>8223.163260380963</v>
      </c>
      <c r="J35" s="256">
        <v>8229.7316025145519</v>
      </c>
      <c r="K35" s="256">
        <v>8236.2999446481408</v>
      </c>
      <c r="L35" s="256">
        <v>8242.8682867817297</v>
      </c>
      <c r="M35" s="256">
        <v>8249.4366289153186</v>
      </c>
      <c r="N35" s="256">
        <v>8256.0049710489111</v>
      </c>
      <c r="O35" s="256">
        <v>8262.5733131825</v>
      </c>
      <c r="P35" s="256">
        <v>8269.1416553160889</v>
      </c>
      <c r="Q35" s="256">
        <v>8275.7099974496778</v>
      </c>
      <c r="R35" s="256">
        <v>8282.2783395832666</v>
      </c>
      <c r="S35" s="256">
        <v>8288.8466817168573</v>
      </c>
    </row>
    <row r="36" spans="3:19" x14ac:dyDescent="0.35">
      <c r="C36" s="22">
        <v>2044</v>
      </c>
      <c r="D36" s="272">
        <f>VLOOKUP(C36-1,'Household Model'!$B$18:$G$48,6,FALSE)</f>
        <v>6754499.2827754142</v>
      </c>
      <c r="E36" s="256">
        <v>8224.4290118465287</v>
      </c>
      <c r="F36" s="256">
        <v>8231.0250314876539</v>
      </c>
      <c r="G36" s="256">
        <v>8237.6210511287827</v>
      </c>
      <c r="H36" s="256">
        <v>8244.2170707699079</v>
      </c>
      <c r="I36" s="256">
        <v>8250.8130904110367</v>
      </c>
      <c r="J36" s="256">
        <v>8257.4091100521619</v>
      </c>
      <c r="K36" s="256">
        <v>8264.0051296932907</v>
      </c>
      <c r="L36" s="256">
        <v>8270.6011493344176</v>
      </c>
      <c r="M36" s="256">
        <v>8277.1971689755446</v>
      </c>
      <c r="N36" s="256">
        <v>8283.7931886166716</v>
      </c>
      <c r="O36" s="256">
        <v>8290.3892082577986</v>
      </c>
      <c r="P36" s="256">
        <v>8296.9852278989256</v>
      </c>
      <c r="Q36" s="256">
        <v>8303.5812475400526</v>
      </c>
      <c r="R36" s="256">
        <v>8310.1772671811814</v>
      </c>
      <c r="S36" s="256">
        <v>8316.7732868223065</v>
      </c>
    </row>
    <row r="37" spans="3:19" x14ac:dyDescent="0.35">
      <c r="C37" s="22">
        <v>2045</v>
      </c>
      <c r="D37" s="272">
        <f>VLOOKUP(C37-1,'Household Model'!$B$18:$G$48,6,FALSE)</f>
        <v>6781687.7699838402</v>
      </c>
      <c r="E37" s="256">
        <v>8250.8468274670195</v>
      </c>
      <c r="F37" s="256">
        <v>8257.4693976766102</v>
      </c>
      <c r="G37" s="256">
        <v>8264.091967886201</v>
      </c>
      <c r="H37" s="256">
        <v>8270.71453809579</v>
      </c>
      <c r="I37" s="256">
        <v>8277.3371083053789</v>
      </c>
      <c r="J37" s="256">
        <v>8283.9596785149697</v>
      </c>
      <c r="K37" s="256">
        <v>8290.5822487245605</v>
      </c>
      <c r="L37" s="256">
        <v>8297.2048189341513</v>
      </c>
      <c r="M37" s="256">
        <v>8303.8273891437402</v>
      </c>
      <c r="N37" s="256">
        <v>8310.4499593533292</v>
      </c>
      <c r="O37" s="256">
        <v>8317.07252956292</v>
      </c>
      <c r="P37" s="256">
        <v>8323.6950997725107</v>
      </c>
      <c r="Q37" s="256">
        <v>8330.3176699820997</v>
      </c>
      <c r="R37" s="256">
        <v>8336.9402401916886</v>
      </c>
      <c r="S37" s="256">
        <v>8343.5628104012794</v>
      </c>
    </row>
    <row r="38" spans="3:19" x14ac:dyDescent="0.35">
      <c r="C38" s="22">
        <v>2046</v>
      </c>
      <c r="D38" s="272">
        <f>VLOOKUP(C38-1,'Household Model'!$B$18:$G$48,6,FALSE)</f>
        <v>6807707.1270498093</v>
      </c>
      <c r="E38" s="256">
        <v>8276.1286525374326</v>
      </c>
      <c r="F38" s="256">
        <v>8282.7766316164398</v>
      </c>
      <c r="G38" s="256">
        <v>8289.424610695447</v>
      </c>
      <c r="H38" s="256">
        <v>8296.0725897744542</v>
      </c>
      <c r="I38" s="256">
        <v>8302.7205688534632</v>
      </c>
      <c r="J38" s="256">
        <v>8309.3685479324704</v>
      </c>
      <c r="K38" s="256">
        <v>8316.0165270114776</v>
      </c>
      <c r="L38" s="256">
        <v>8322.6645060904848</v>
      </c>
      <c r="M38" s="256">
        <v>8329.312485169492</v>
      </c>
      <c r="N38" s="256">
        <v>8335.9604642484992</v>
      </c>
      <c r="O38" s="256">
        <v>8342.6084433275064</v>
      </c>
      <c r="P38" s="256">
        <v>8349.2564224065136</v>
      </c>
      <c r="Q38" s="256">
        <v>8355.9044014855208</v>
      </c>
      <c r="R38" s="256">
        <v>8362.552380564528</v>
      </c>
      <c r="S38" s="256">
        <v>8369.2003596435352</v>
      </c>
    </row>
    <row r="39" spans="3:19" x14ac:dyDescent="0.35">
      <c r="C39" s="22">
        <v>2047</v>
      </c>
      <c r="D39" s="272">
        <f>VLOOKUP(C39-1,'Household Model'!$B$18:$G$48,6,FALSE)</f>
        <v>6832542.8369400539</v>
      </c>
      <c r="E39" s="256">
        <v>8300.2603815172333</v>
      </c>
      <c r="F39" s="256">
        <v>8306.9326135901902</v>
      </c>
      <c r="G39" s="256">
        <v>8313.604845663147</v>
      </c>
      <c r="H39" s="256">
        <v>8320.2770777361038</v>
      </c>
      <c r="I39" s="256">
        <v>8326.9493098090607</v>
      </c>
      <c r="J39" s="256">
        <v>8333.6215418820175</v>
      </c>
      <c r="K39" s="256">
        <v>8340.2937739549743</v>
      </c>
      <c r="L39" s="256">
        <v>8346.9660060279311</v>
      </c>
      <c r="M39" s="256">
        <v>8353.638238100888</v>
      </c>
      <c r="N39" s="256">
        <v>8360.3104701738466</v>
      </c>
      <c r="O39" s="256">
        <v>8366.9827022468035</v>
      </c>
      <c r="P39" s="256">
        <v>8373.6549343197603</v>
      </c>
      <c r="Q39" s="256">
        <v>8380.3271663927171</v>
      </c>
      <c r="R39" s="256">
        <v>8386.9993984656739</v>
      </c>
      <c r="S39" s="256">
        <v>8393.6716305386308</v>
      </c>
    </row>
    <row r="40" spans="3:19" x14ac:dyDescent="0.35">
      <c r="C40" s="22">
        <v>2048</v>
      </c>
      <c r="D40" s="272">
        <f>VLOOKUP(C40-1,'Household Model'!$B$18:$G$48,6,FALSE)</f>
        <v>6856180.9936555764</v>
      </c>
      <c r="E40" s="256">
        <v>8323.2285025800884</v>
      </c>
      <c r="F40" s="256">
        <v>8329.9238181918026</v>
      </c>
      <c r="G40" s="256">
        <v>8336.6191338035151</v>
      </c>
      <c r="H40" s="256">
        <v>8343.3144494152293</v>
      </c>
      <c r="I40" s="256">
        <v>8350.0097650269417</v>
      </c>
      <c r="J40" s="256">
        <v>8356.705080638656</v>
      </c>
      <c r="K40" s="256">
        <v>8363.4003962503702</v>
      </c>
      <c r="L40" s="256">
        <v>8370.0957118620827</v>
      </c>
      <c r="M40" s="256">
        <v>8376.7910274737969</v>
      </c>
      <c r="N40" s="256">
        <v>8383.4863430855112</v>
      </c>
      <c r="O40" s="256">
        <v>8390.1816586972236</v>
      </c>
      <c r="P40" s="256">
        <v>8396.8769743089379</v>
      </c>
      <c r="Q40" s="256">
        <v>8403.5722899206521</v>
      </c>
      <c r="R40" s="256">
        <v>8410.2676055323645</v>
      </c>
      <c r="S40" s="256">
        <v>8416.9629211440788</v>
      </c>
    </row>
    <row r="41" spans="3:19" x14ac:dyDescent="0.35">
      <c r="C41" s="22">
        <v>2049</v>
      </c>
      <c r="D41" s="272">
        <f>VLOOKUP(C41-1,'Household Model'!$B$18:$G$48,6,FALSE)</f>
        <v>6878608.3151781587</v>
      </c>
      <c r="E41" s="256">
        <v>8345.0201101933817</v>
      </c>
      <c r="F41" s="256">
        <v>8351.7373269182754</v>
      </c>
      <c r="G41" s="256">
        <v>8358.454543643169</v>
      </c>
      <c r="H41" s="256">
        <v>8365.1717603680609</v>
      </c>
      <c r="I41" s="256">
        <v>8371.8889770929527</v>
      </c>
      <c r="J41" s="256">
        <v>8378.6061938178464</v>
      </c>
      <c r="K41" s="256">
        <v>8385.32341054274</v>
      </c>
      <c r="L41" s="256">
        <v>8392.0406272676319</v>
      </c>
      <c r="M41" s="256">
        <v>8398.7578439925255</v>
      </c>
      <c r="N41" s="256">
        <v>8405.4750607174174</v>
      </c>
      <c r="O41" s="256">
        <v>8412.192277442311</v>
      </c>
      <c r="P41" s="256">
        <v>8418.9094941672047</v>
      </c>
      <c r="Q41" s="256">
        <v>8425.6267108920965</v>
      </c>
      <c r="R41" s="256">
        <v>8432.3439276169884</v>
      </c>
      <c r="S41" s="256">
        <v>8439.061144341882</v>
      </c>
    </row>
    <row r="42" spans="3:19" x14ac:dyDescent="0.35">
      <c r="C42" s="22">
        <v>2050</v>
      </c>
      <c r="D42" s="272">
        <f>VLOOKUP(C42-1,'Household Model'!$B$18:$G$48,6,FALSE)</f>
        <v>6899812.1558807744</v>
      </c>
      <c r="E42" s="256">
        <v>8365.6229171768628</v>
      </c>
      <c r="F42" s="256">
        <v>8372.3608402404316</v>
      </c>
      <c r="G42" s="256">
        <v>8379.0987633040022</v>
      </c>
      <c r="H42" s="256">
        <v>8385.836686367571</v>
      </c>
      <c r="I42" s="256">
        <v>8392.5746094311398</v>
      </c>
      <c r="J42" s="256">
        <v>8399.3125324947105</v>
      </c>
      <c r="K42" s="256">
        <v>8406.0504555582811</v>
      </c>
      <c r="L42" s="256">
        <v>8412.7883786218499</v>
      </c>
      <c r="M42" s="256">
        <v>8419.5263016854187</v>
      </c>
      <c r="N42" s="256">
        <v>8426.2642247489894</v>
      </c>
      <c r="O42" s="256">
        <v>8433.00214781256</v>
      </c>
      <c r="P42" s="256">
        <v>8439.7400708761288</v>
      </c>
      <c r="Q42" s="256">
        <v>8446.4779939396976</v>
      </c>
      <c r="R42" s="256">
        <v>8453.2159170032683</v>
      </c>
      <c r="S42" s="256">
        <v>8459.9538400668371</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8628C-55FB-45EB-BB6E-361B6DEE9D5C}">
  <sheetPr>
    <tabColor rgb="FF7030A0"/>
  </sheetPr>
  <dimension ref="A1:P125"/>
  <sheetViews>
    <sheetView showGridLines="0" zoomScale="80" zoomScaleNormal="80" workbookViewId="0">
      <selection activeCell="E7" sqref="E7"/>
    </sheetView>
  </sheetViews>
  <sheetFormatPr defaultColWidth="9.26953125" defaultRowHeight="14.5" x14ac:dyDescent="0.35"/>
  <cols>
    <col min="1" max="1" width="9.26953125" style="3"/>
    <col min="2" max="2" width="32.7265625" style="3" customWidth="1"/>
    <col min="3" max="3" width="24.81640625" style="3" customWidth="1"/>
    <col min="4" max="4" width="21.1796875" style="3" customWidth="1"/>
    <col min="5" max="5" width="20.26953125" style="3" customWidth="1"/>
    <col min="6" max="6" width="22.1796875" style="3" customWidth="1"/>
    <col min="7" max="7" width="15.1796875" style="3" customWidth="1"/>
    <col min="8" max="8" width="15.453125" style="3" customWidth="1"/>
    <col min="9" max="9" width="13.54296875" style="3" customWidth="1"/>
    <col min="10" max="10" width="16.26953125" style="3" customWidth="1"/>
    <col min="11" max="11" width="17.54296875" style="3" customWidth="1"/>
    <col min="12" max="12" width="16.7265625" style="3" customWidth="1"/>
    <col min="13" max="13" width="17.81640625" style="3" customWidth="1"/>
    <col min="14" max="14" width="16.81640625" style="3" customWidth="1"/>
    <col min="15" max="15" width="16.7265625" style="3" customWidth="1"/>
    <col min="16" max="16" width="19.54296875" style="3" customWidth="1"/>
    <col min="17" max="16384" width="9.26953125" style="3"/>
  </cols>
  <sheetData>
    <row r="1" spans="1:16" ht="18.5" x14ac:dyDescent="0.35">
      <c r="B1" s="59" t="s">
        <v>82</v>
      </c>
    </row>
    <row r="3" spans="1:16" x14ac:dyDescent="0.35">
      <c r="B3" s="60" t="s">
        <v>83</v>
      </c>
    </row>
    <row r="4" spans="1:16" x14ac:dyDescent="0.35">
      <c r="B4" s="60"/>
    </row>
    <row r="5" spans="1:16" x14ac:dyDescent="0.35">
      <c r="B5" s="85" t="s">
        <v>84</v>
      </c>
      <c r="C5" s="23">
        <f>SLOPE(D48:D62,C48:C62)</f>
        <v>4.5122893642855794E-2</v>
      </c>
    </row>
    <row r="6" spans="1:16" x14ac:dyDescent="0.35">
      <c r="B6" s="85" t="s">
        <v>85</v>
      </c>
      <c r="C6" s="23">
        <f>INTERCEPT(D48:D62,C48:C62)</f>
        <v>7682.6002883554902</v>
      </c>
    </row>
    <row r="7" spans="1:16" x14ac:dyDescent="0.35">
      <c r="H7" s="61"/>
    </row>
    <row r="8" spans="1:16" x14ac:dyDescent="0.35">
      <c r="B8" s="85" t="s">
        <v>42</v>
      </c>
      <c r="C8" s="23" t="s">
        <v>86</v>
      </c>
      <c r="D8" s="260" t="s">
        <v>87</v>
      </c>
    </row>
    <row r="9" spans="1:16" x14ac:dyDescent="0.35">
      <c r="B9" s="85">
        <v>2019</v>
      </c>
      <c r="C9" s="62">
        <v>310786</v>
      </c>
      <c r="D9" s="63">
        <v>5.2999999999999999E-2</v>
      </c>
    </row>
    <row r="10" spans="1:16" x14ac:dyDescent="0.35">
      <c r="B10" s="85">
        <v>2020</v>
      </c>
      <c r="C10" s="64">
        <f>C9*(1+D9)</f>
        <v>327257.658</v>
      </c>
    </row>
    <row r="11" spans="1:16" x14ac:dyDescent="0.35">
      <c r="B11" s="85" t="s">
        <v>88</v>
      </c>
      <c r="C11" s="65">
        <f>C10*C5+C6</f>
        <v>22449.412784099564</v>
      </c>
      <c r="H11" s="20"/>
      <c r="I11" s="61"/>
      <c r="J11" s="61"/>
      <c r="K11" s="61"/>
    </row>
    <row r="12" spans="1:16" x14ac:dyDescent="0.35">
      <c r="B12" s="66"/>
      <c r="G12" s="20"/>
    </row>
    <row r="13" spans="1:16" x14ac:dyDescent="0.35">
      <c r="A13" s="3" t="s">
        <v>89</v>
      </c>
      <c r="B13" s="23" t="s">
        <v>6</v>
      </c>
      <c r="C13" s="65">
        <f>C11</f>
        <v>22449.412784099564</v>
      </c>
      <c r="D13" s="67">
        <v>-3.5000000000000003E-2</v>
      </c>
      <c r="E13" s="67">
        <v>-2.5000000000000001E-2</v>
      </c>
      <c r="F13" s="67">
        <v>-1.4999999999999999E-2</v>
      </c>
      <c r="G13" s="67">
        <v>-5.0000000000000001E-3</v>
      </c>
      <c r="H13" s="67">
        <v>0</v>
      </c>
      <c r="I13" s="67">
        <v>5.0000000000000001E-4</v>
      </c>
      <c r="J13" s="67">
        <v>2.5000000000000001E-2</v>
      </c>
      <c r="K13" s="67">
        <v>3.5000000000000003E-2</v>
      </c>
      <c r="L13" s="67">
        <v>4.4999999999999998E-2</v>
      </c>
      <c r="M13" s="67">
        <v>5.5E-2</v>
      </c>
      <c r="N13" s="67">
        <v>6.5000000000000002E-2</v>
      </c>
      <c r="O13" s="67">
        <v>7.4999999999999997E-2</v>
      </c>
      <c r="P13" s="67">
        <v>8.5000000000000006E-2</v>
      </c>
    </row>
    <row r="14" spans="1:16" x14ac:dyDescent="0.35">
      <c r="B14" s="23">
        <v>2020</v>
      </c>
      <c r="C14" s="264">
        <f>'Services Model'!F19</f>
        <v>289345.5</v>
      </c>
      <c r="D14" s="69">
        <f t="dataTable" ref="D14:P43" dt2D="1" dtr="1" r1="D9" r2="C9"/>
        <v>20281.742793105557</v>
      </c>
      <c r="E14" s="69">
        <v>20412.303855330945</v>
      </c>
      <c r="F14" s="69">
        <v>20542.864917556337</v>
      </c>
      <c r="G14" s="69">
        <v>20673.425979781729</v>
      </c>
      <c r="H14" s="70">
        <v>20738.706510894423</v>
      </c>
      <c r="I14" s="69">
        <v>20745.234564005688</v>
      </c>
      <c r="J14" s="69">
        <v>21065.109166457893</v>
      </c>
      <c r="K14" s="69">
        <v>21195.670228683281</v>
      </c>
      <c r="L14" s="69">
        <v>21326.231290908672</v>
      </c>
      <c r="M14" s="69">
        <v>21456.792353134064</v>
      </c>
      <c r="N14" s="69">
        <v>21587.353415359452</v>
      </c>
      <c r="O14" s="69">
        <v>21717.91447758484</v>
      </c>
      <c r="P14" s="69">
        <v>21848.475539810228</v>
      </c>
    </row>
    <row r="15" spans="1:16" x14ac:dyDescent="0.35">
      <c r="B15" s="23">
        <v>2021</v>
      </c>
      <c r="C15" s="264">
        <f>'Services Model'!F20</f>
        <v>332983.45500000007</v>
      </c>
      <c r="D15" s="69">
        <v>22181.896117283304</v>
      </c>
      <c r="E15" s="69">
        <v>22332.14788753126</v>
      </c>
      <c r="F15" s="69">
        <v>22482.399657779217</v>
      </c>
      <c r="G15" s="69">
        <v>22632.651428027173</v>
      </c>
      <c r="H15" s="70">
        <v>22707.777313151149</v>
      </c>
      <c r="I15" s="69">
        <v>22715.289901663549</v>
      </c>
      <c r="J15" s="69">
        <v>23083.406738771042</v>
      </c>
      <c r="K15" s="69">
        <v>23233.658509018998</v>
      </c>
      <c r="L15" s="69">
        <v>23383.910279266955</v>
      </c>
      <c r="M15" s="69">
        <v>23534.162049514911</v>
      </c>
      <c r="N15" s="69">
        <v>23684.413819762871</v>
      </c>
      <c r="O15" s="69">
        <v>23834.665590010824</v>
      </c>
      <c r="P15" s="69">
        <v>23984.917360258783</v>
      </c>
    </row>
    <row r="16" spans="1:16" x14ac:dyDescent="0.35">
      <c r="B16" s="292">
        <v>2022</v>
      </c>
      <c r="C16" s="264">
        <f>'Services Model'!F21</f>
        <v>343917.62911764625</v>
      </c>
      <c r="D16" s="69">
        <v>22658.009337913914</v>
      </c>
      <c r="E16" s="69">
        <v>22813.194923919698</v>
      </c>
      <c r="F16" s="69">
        <v>22968.380509925486</v>
      </c>
      <c r="G16" s="69">
        <v>23123.566095931274</v>
      </c>
      <c r="H16" s="70">
        <v>23201.158888934166</v>
      </c>
      <c r="I16" s="69">
        <v>23208.918168234457</v>
      </c>
      <c r="J16" s="69">
        <v>23589.122853948633</v>
      </c>
      <c r="K16" s="69">
        <v>23744.308439954417</v>
      </c>
      <c r="L16" s="69">
        <v>23899.494025960208</v>
      </c>
      <c r="M16" s="69">
        <v>24054.679611965992</v>
      </c>
      <c r="N16" s="69">
        <v>24209.86519797178</v>
      </c>
      <c r="O16" s="69">
        <v>24365.050783977567</v>
      </c>
      <c r="P16" s="69">
        <v>24520.236369983355</v>
      </c>
    </row>
    <row r="17" spans="2:16" x14ac:dyDescent="0.35">
      <c r="B17" s="292">
        <v>2023</v>
      </c>
      <c r="C17" s="264">
        <f>'Services Model'!F22</f>
        <v>354851.8032352943</v>
      </c>
      <c r="D17" s="69">
        <v>23134.122558544605</v>
      </c>
      <c r="E17" s="69">
        <v>23294.24196030822</v>
      </c>
      <c r="F17" s="69">
        <v>23454.361362071839</v>
      </c>
      <c r="G17" s="69">
        <v>23614.480763835458</v>
      </c>
      <c r="H17" s="70">
        <v>23694.540464717265</v>
      </c>
      <c r="I17" s="69">
        <v>23702.546434805445</v>
      </c>
      <c r="J17" s="69">
        <v>24094.838969126307</v>
      </c>
      <c r="K17" s="69">
        <v>24254.958370889926</v>
      </c>
      <c r="L17" s="69">
        <v>24415.077772653545</v>
      </c>
      <c r="M17" s="69">
        <v>24575.197174417164</v>
      </c>
      <c r="N17" s="69">
        <v>24735.31657618078</v>
      </c>
      <c r="O17" s="69">
        <v>24895.435977944398</v>
      </c>
      <c r="P17" s="69">
        <v>25055.555379708017</v>
      </c>
    </row>
    <row r="18" spans="2:16" x14ac:dyDescent="0.35">
      <c r="B18" s="292">
        <v>2024</v>
      </c>
      <c r="C18" s="264">
        <f>'Services Model'!F23</f>
        <v>365785.97735294141</v>
      </c>
      <c r="D18" s="69">
        <v>23610.235779175255</v>
      </c>
      <c r="E18" s="69">
        <v>23775.288996696705</v>
      </c>
      <c r="F18" s="69">
        <v>23940.342214218152</v>
      </c>
      <c r="G18" s="69">
        <v>24105.395431739598</v>
      </c>
      <c r="H18" s="70">
        <v>24187.922040500322</v>
      </c>
      <c r="I18" s="69">
        <v>24196.174701376396</v>
      </c>
      <c r="J18" s="69">
        <v>24600.555084303942</v>
      </c>
      <c r="K18" s="69">
        <v>24765.608301825392</v>
      </c>
      <c r="L18" s="69">
        <v>24930.661519346839</v>
      </c>
      <c r="M18" s="69">
        <v>25095.714736868289</v>
      </c>
      <c r="N18" s="69">
        <v>25260.767954389736</v>
      </c>
      <c r="O18" s="69">
        <v>25425.821171911186</v>
      </c>
      <c r="P18" s="69">
        <v>25590.874389432633</v>
      </c>
    </row>
    <row r="19" spans="2:16" x14ac:dyDescent="0.35">
      <c r="B19" s="292">
        <v>2025</v>
      </c>
      <c r="C19" s="264">
        <f>'Services Model'!F24</f>
        <v>376720.15147058759</v>
      </c>
      <c r="D19" s="69">
        <v>24086.348999805861</v>
      </c>
      <c r="E19" s="69">
        <v>24256.336033085143</v>
      </c>
      <c r="F19" s="69">
        <v>24426.323066364421</v>
      </c>
      <c r="G19" s="69">
        <v>24596.310099643699</v>
      </c>
      <c r="H19" s="70">
        <v>24681.303616283338</v>
      </c>
      <c r="I19" s="69">
        <v>24689.8029679473</v>
      </c>
      <c r="J19" s="69">
        <v>25106.271199481533</v>
      </c>
      <c r="K19" s="69">
        <v>25276.258232760811</v>
      </c>
      <c r="L19" s="69">
        <v>25446.245266040092</v>
      </c>
      <c r="M19" s="69">
        <v>25616.232299319367</v>
      </c>
      <c r="N19" s="69">
        <v>25786.219332598648</v>
      </c>
      <c r="O19" s="69">
        <v>25956.206365877926</v>
      </c>
      <c r="P19" s="69">
        <v>26126.193399157204</v>
      </c>
    </row>
    <row r="20" spans="2:16" x14ac:dyDescent="0.35">
      <c r="B20" s="292">
        <v>2026</v>
      </c>
      <c r="C20" s="264">
        <f>'Services Model'!F25</f>
        <v>387654.3255882347</v>
      </c>
      <c r="D20" s="69">
        <v>24562.462220436511</v>
      </c>
      <c r="E20" s="69">
        <v>24737.383069473621</v>
      </c>
      <c r="F20" s="69">
        <v>24912.303918510734</v>
      </c>
      <c r="G20" s="69">
        <v>25087.224767547843</v>
      </c>
      <c r="H20" s="70">
        <v>25174.685192066398</v>
      </c>
      <c r="I20" s="69">
        <v>25183.431234518248</v>
      </c>
      <c r="J20" s="69">
        <v>25611.987314659167</v>
      </c>
      <c r="K20" s="69">
        <v>25786.908163696276</v>
      </c>
      <c r="L20" s="69">
        <v>25961.829012733386</v>
      </c>
      <c r="M20" s="69">
        <v>26136.749861770495</v>
      </c>
      <c r="N20" s="69">
        <v>26311.670710807604</v>
      </c>
      <c r="O20" s="69">
        <v>26486.591559844714</v>
      </c>
      <c r="P20" s="69">
        <v>26661.512408881823</v>
      </c>
    </row>
    <row r="21" spans="2:16" x14ac:dyDescent="0.35">
      <c r="B21" s="292">
        <v>2027</v>
      </c>
      <c r="C21" s="264">
        <f>'Services Model'!F26</f>
        <v>398588.49970588367</v>
      </c>
      <c r="D21" s="69">
        <v>25038.575441067245</v>
      </c>
      <c r="E21" s="69">
        <v>25218.430105862186</v>
      </c>
      <c r="F21" s="69">
        <v>25398.284770657127</v>
      </c>
      <c r="G21" s="69">
        <v>25578.139435452067</v>
      </c>
      <c r="H21" s="70">
        <v>25668.066767849537</v>
      </c>
      <c r="I21" s="69">
        <v>25677.059501089283</v>
      </c>
      <c r="J21" s="69">
        <v>26117.703429836885</v>
      </c>
      <c r="K21" s="69">
        <v>26297.558094631826</v>
      </c>
      <c r="L21" s="69">
        <v>26477.412759426767</v>
      </c>
      <c r="M21" s="69">
        <v>26657.267424221707</v>
      </c>
      <c r="N21" s="69">
        <v>26837.122089016648</v>
      </c>
      <c r="O21" s="69">
        <v>27016.976753811588</v>
      </c>
      <c r="P21" s="69">
        <v>27196.831418606533</v>
      </c>
    </row>
    <row r="22" spans="2:16" x14ac:dyDescent="0.35">
      <c r="B22" s="292">
        <v>2028</v>
      </c>
      <c r="C22" s="264">
        <f>'Services Model'!F27</f>
        <v>409522.67382353079</v>
      </c>
      <c r="D22" s="69">
        <v>25514.688661697895</v>
      </c>
      <c r="E22" s="69">
        <v>25699.477142250667</v>
      </c>
      <c r="F22" s="69">
        <v>25884.265622803439</v>
      </c>
      <c r="G22" s="69">
        <v>26069.054103356208</v>
      </c>
      <c r="H22" s="70">
        <v>26161.448343632594</v>
      </c>
      <c r="I22" s="69">
        <v>26170.687767660231</v>
      </c>
      <c r="J22" s="69">
        <v>26623.41954501452</v>
      </c>
      <c r="K22" s="69">
        <v>26808.208025567292</v>
      </c>
      <c r="L22" s="69">
        <v>26992.996506120064</v>
      </c>
      <c r="M22" s="69">
        <v>27177.784986672832</v>
      </c>
      <c r="N22" s="69">
        <v>27362.573467225604</v>
      </c>
      <c r="O22" s="69">
        <v>27547.361947778376</v>
      </c>
      <c r="P22" s="69">
        <v>27732.150428331148</v>
      </c>
    </row>
    <row r="23" spans="2:16" x14ac:dyDescent="0.35">
      <c r="B23" s="292">
        <v>2029</v>
      </c>
      <c r="C23" s="264">
        <f>'Services Model'!F28</f>
        <v>420456.8479411779</v>
      </c>
      <c r="D23" s="69">
        <v>25990.801882328546</v>
      </c>
      <c r="E23" s="69">
        <v>26180.524178639145</v>
      </c>
      <c r="F23" s="69">
        <v>26370.246474949749</v>
      </c>
      <c r="G23" s="69">
        <v>26559.968771260352</v>
      </c>
      <c r="H23" s="70">
        <v>26654.82991941565</v>
      </c>
      <c r="I23" s="69">
        <v>26664.316034231182</v>
      </c>
      <c r="J23" s="69">
        <v>27129.135660192154</v>
      </c>
      <c r="K23" s="69">
        <v>27318.857956502754</v>
      </c>
      <c r="L23" s="69">
        <v>27508.580252813357</v>
      </c>
      <c r="M23" s="69">
        <v>27698.302549123957</v>
      </c>
      <c r="N23" s="69">
        <v>27888.02484543456</v>
      </c>
      <c r="O23" s="69">
        <v>28077.747141745163</v>
      </c>
      <c r="P23" s="69">
        <v>28267.469438055763</v>
      </c>
    </row>
    <row r="24" spans="2:16" x14ac:dyDescent="0.35">
      <c r="B24" s="292">
        <v>2030</v>
      </c>
      <c r="C24" s="264">
        <f>'Services Model'!F29</f>
        <v>431391.02205882408</v>
      </c>
      <c r="D24" s="69">
        <v>26466.915102959156</v>
      </c>
      <c r="E24" s="69">
        <v>26661.571215027587</v>
      </c>
      <c r="F24" s="69">
        <v>26856.227327096018</v>
      </c>
      <c r="G24" s="69">
        <v>27050.883439164452</v>
      </c>
      <c r="H24" s="70">
        <v>27148.211495198666</v>
      </c>
      <c r="I24" s="69">
        <v>27157.944300802086</v>
      </c>
      <c r="J24" s="69">
        <v>27634.851775369745</v>
      </c>
      <c r="K24" s="69">
        <v>27829.507887438176</v>
      </c>
      <c r="L24" s="69">
        <v>28024.163999506607</v>
      </c>
      <c r="M24" s="69">
        <v>28218.820111575042</v>
      </c>
      <c r="N24" s="69">
        <v>28413.476223643473</v>
      </c>
      <c r="O24" s="69">
        <v>28608.132335711904</v>
      </c>
      <c r="P24" s="69">
        <v>28802.788447780335</v>
      </c>
    </row>
    <row r="25" spans="2:16" x14ac:dyDescent="0.35">
      <c r="B25" s="292">
        <v>2031</v>
      </c>
      <c r="C25" s="264">
        <f>'Services Model'!F30</f>
        <v>442325.19617647212</v>
      </c>
      <c r="D25" s="69">
        <v>26943.028323589846</v>
      </c>
      <c r="E25" s="69">
        <v>27142.618251416108</v>
      </c>
      <c r="F25" s="69">
        <v>27342.208179242371</v>
      </c>
      <c r="G25" s="69">
        <v>27541.798107068633</v>
      </c>
      <c r="H25" s="70">
        <v>27641.593070981766</v>
      </c>
      <c r="I25" s="69">
        <v>27651.572567373078</v>
      </c>
      <c r="J25" s="69">
        <v>28140.567890547423</v>
      </c>
      <c r="K25" s="69">
        <v>28340.157818373686</v>
      </c>
      <c r="L25" s="69">
        <v>28539.747746199948</v>
      </c>
      <c r="M25" s="69">
        <v>28739.33767402621</v>
      </c>
      <c r="N25" s="69">
        <v>28938.927601852472</v>
      </c>
      <c r="O25" s="69">
        <v>29138.517529678735</v>
      </c>
      <c r="P25" s="69">
        <v>29338.107457505001</v>
      </c>
    </row>
    <row r="26" spans="2:16" x14ac:dyDescent="0.35">
      <c r="B26" s="292">
        <v>2032</v>
      </c>
      <c r="C26" s="264">
        <f>'Services Model'!F31</f>
        <v>453259.37029411923</v>
      </c>
      <c r="D26" s="69">
        <v>27419.141544220496</v>
      </c>
      <c r="E26" s="69">
        <v>27623.66528780459</v>
      </c>
      <c r="F26" s="69">
        <v>27828.189031388683</v>
      </c>
      <c r="G26" s="69">
        <v>28032.712774972777</v>
      </c>
      <c r="H26" s="70">
        <v>28134.974646764822</v>
      </c>
      <c r="I26" s="69">
        <v>28145.200833944025</v>
      </c>
      <c r="J26" s="69">
        <v>28646.284005725054</v>
      </c>
      <c r="K26" s="69">
        <v>28850.807749309148</v>
      </c>
      <c r="L26" s="69">
        <v>29055.331492893241</v>
      </c>
      <c r="M26" s="69">
        <v>29259.855236477335</v>
      </c>
      <c r="N26" s="69">
        <v>29464.378980061429</v>
      </c>
      <c r="O26" s="69">
        <v>29668.902723645522</v>
      </c>
      <c r="P26" s="69">
        <v>29873.426467229616</v>
      </c>
    </row>
    <row r="27" spans="2:16" x14ac:dyDescent="0.35">
      <c r="B27" s="292">
        <v>2033</v>
      </c>
      <c r="C27" s="264">
        <f>'Services Model'!F32</f>
        <v>464193.54441176541</v>
      </c>
      <c r="D27" s="69">
        <v>27895.254764851106</v>
      </c>
      <c r="E27" s="69">
        <v>28104.712324193028</v>
      </c>
      <c r="F27" s="69">
        <v>28314.169883534953</v>
      </c>
      <c r="G27" s="69">
        <v>28523.627442876877</v>
      </c>
      <c r="H27" s="70">
        <v>28628.356222547838</v>
      </c>
      <c r="I27" s="69">
        <v>28638.829100514933</v>
      </c>
      <c r="J27" s="69">
        <v>29152.000120902645</v>
      </c>
      <c r="K27" s="69">
        <v>29361.45768024457</v>
      </c>
      <c r="L27" s="69">
        <v>29570.915239586495</v>
      </c>
      <c r="M27" s="69">
        <v>29780.372798928416</v>
      </c>
      <c r="N27" s="69">
        <v>29989.830358270341</v>
      </c>
      <c r="O27" s="69">
        <v>30199.287917612262</v>
      </c>
      <c r="P27" s="69">
        <v>30408.745476954187</v>
      </c>
    </row>
    <row r="28" spans="2:16" x14ac:dyDescent="0.35">
      <c r="B28" s="292">
        <v>2034</v>
      </c>
      <c r="C28" s="264">
        <f>'Services Model'!F33</f>
        <v>475127.71852941252</v>
      </c>
      <c r="D28" s="69">
        <v>28371.367985481756</v>
      </c>
      <c r="E28" s="69">
        <v>28585.759360581509</v>
      </c>
      <c r="F28" s="69">
        <v>28800.150735681265</v>
      </c>
      <c r="G28" s="69">
        <v>29014.542110781018</v>
      </c>
      <c r="H28" s="70">
        <v>29121.737798330894</v>
      </c>
      <c r="I28" s="69">
        <v>29132.457367085881</v>
      </c>
      <c r="J28" s="69">
        <v>29657.716236080279</v>
      </c>
      <c r="K28" s="69">
        <v>29872.107611180032</v>
      </c>
      <c r="L28" s="69">
        <v>30086.498986279788</v>
      </c>
      <c r="M28" s="69">
        <v>30300.890361379541</v>
      </c>
      <c r="N28" s="69">
        <v>30515.281736479297</v>
      </c>
      <c r="O28" s="69">
        <v>30729.67311157905</v>
      </c>
      <c r="P28" s="69">
        <v>30944.064486678806</v>
      </c>
    </row>
    <row r="29" spans="2:16" x14ac:dyDescent="0.35">
      <c r="B29" s="292">
        <v>2035</v>
      </c>
      <c r="C29" s="264">
        <f>'Services Model'!F34</f>
        <v>486061.89264706057</v>
      </c>
      <c r="D29" s="69">
        <v>28847.481206112447</v>
      </c>
      <c r="E29" s="69">
        <v>29066.806396970031</v>
      </c>
      <c r="F29" s="69">
        <v>29286.131587827618</v>
      </c>
      <c r="G29" s="69">
        <v>29505.456778685202</v>
      </c>
      <c r="H29" s="70">
        <v>29615.119374113994</v>
      </c>
      <c r="I29" s="69">
        <v>29626.085633656872</v>
      </c>
      <c r="J29" s="69">
        <v>30163.432351257954</v>
      </c>
      <c r="K29" s="69">
        <v>30382.757542115542</v>
      </c>
      <c r="L29" s="69">
        <v>30602.082732973126</v>
      </c>
      <c r="M29" s="69">
        <v>30821.407923830713</v>
      </c>
      <c r="N29" s="69">
        <v>31040.733114688293</v>
      </c>
      <c r="O29" s="69">
        <v>31260.058305545881</v>
      </c>
      <c r="P29" s="69">
        <v>31479.383496403469</v>
      </c>
    </row>
    <row r="30" spans="2:16" x14ac:dyDescent="0.35">
      <c r="B30" s="292">
        <v>2036</v>
      </c>
      <c r="C30" s="264">
        <f>'Services Model'!F35</f>
        <v>496996.06676470675</v>
      </c>
      <c r="D30" s="69">
        <v>29323.594426743057</v>
      </c>
      <c r="E30" s="69">
        <v>29547.853433358472</v>
      </c>
      <c r="F30" s="69">
        <v>29772.112439973887</v>
      </c>
      <c r="G30" s="69">
        <v>29996.371446589303</v>
      </c>
      <c r="H30" s="70">
        <v>30108.50094989701</v>
      </c>
      <c r="I30" s="69">
        <v>30119.71390022778</v>
      </c>
      <c r="J30" s="69">
        <v>30669.148466435545</v>
      </c>
      <c r="K30" s="69">
        <v>30893.40747305096</v>
      </c>
      <c r="L30" s="69">
        <v>31117.666479666375</v>
      </c>
      <c r="M30" s="69">
        <v>31341.925486281791</v>
      </c>
      <c r="N30" s="69">
        <v>31566.184492897206</v>
      </c>
      <c r="O30" s="69">
        <v>31790.443499512621</v>
      </c>
      <c r="P30" s="69">
        <v>32014.702506128036</v>
      </c>
    </row>
    <row r="31" spans="2:16" x14ac:dyDescent="0.35">
      <c r="B31" s="292">
        <v>2037</v>
      </c>
      <c r="C31" s="264">
        <f>'Services Model'!F36</f>
        <v>507930.24088235386</v>
      </c>
      <c r="D31" s="69">
        <v>29799.707647373707</v>
      </c>
      <c r="E31" s="69">
        <v>30028.900469746954</v>
      </c>
      <c r="F31" s="69">
        <v>30258.093292120197</v>
      </c>
      <c r="G31" s="69">
        <v>30487.286114493443</v>
      </c>
      <c r="H31" s="70">
        <v>30601.882525680066</v>
      </c>
      <c r="I31" s="69">
        <v>30613.342166798728</v>
      </c>
      <c r="J31" s="69">
        <v>31174.864581613179</v>
      </c>
      <c r="K31" s="69">
        <v>31404.057403986422</v>
      </c>
      <c r="L31" s="69">
        <v>31633.250226359673</v>
      </c>
      <c r="M31" s="69">
        <v>31862.443048732915</v>
      </c>
      <c r="N31" s="69">
        <v>32091.635871106162</v>
      </c>
      <c r="O31" s="69">
        <v>32320.828693479412</v>
      </c>
      <c r="P31" s="69">
        <v>32550.021515852655</v>
      </c>
    </row>
    <row r="32" spans="2:16" x14ac:dyDescent="0.35">
      <c r="B32" s="292">
        <v>2038</v>
      </c>
      <c r="C32" s="264">
        <f>'Services Model'!F37</f>
        <v>518864.41500000097</v>
      </c>
      <c r="D32" s="69">
        <v>30275.820868004357</v>
      </c>
      <c r="E32" s="69">
        <v>30509.947506135431</v>
      </c>
      <c r="F32" s="69">
        <v>30744.074144266509</v>
      </c>
      <c r="G32" s="69">
        <v>30978.200782397584</v>
      </c>
      <c r="H32" s="70">
        <v>31095.264101463123</v>
      </c>
      <c r="I32" s="69">
        <v>31106.970433369675</v>
      </c>
      <c r="J32" s="69">
        <v>31680.58069679081</v>
      </c>
      <c r="K32" s="69">
        <v>31914.707334921888</v>
      </c>
      <c r="L32" s="69">
        <v>32148.83397305297</v>
      </c>
      <c r="M32" s="69">
        <v>32382.960611184044</v>
      </c>
      <c r="N32" s="69">
        <v>32617.087249315122</v>
      </c>
      <c r="O32" s="69">
        <v>32851.213887446196</v>
      </c>
      <c r="P32" s="69">
        <v>33085.340525577274</v>
      </c>
    </row>
    <row r="33" spans="2:16" x14ac:dyDescent="0.35">
      <c r="B33" s="292">
        <v>2039</v>
      </c>
      <c r="C33" s="264">
        <f>'Services Model'!F38</f>
        <v>529798.58911764808</v>
      </c>
      <c r="D33" s="69">
        <v>30751.934088635007</v>
      </c>
      <c r="E33" s="69">
        <v>30990.994542523913</v>
      </c>
      <c r="F33" s="69">
        <v>31230.054996412819</v>
      </c>
      <c r="G33" s="69">
        <v>31469.115450301731</v>
      </c>
      <c r="H33" s="70">
        <v>31588.645677246182</v>
      </c>
      <c r="I33" s="69">
        <v>31600.598699940627</v>
      </c>
      <c r="J33" s="69">
        <v>32186.296811968448</v>
      </c>
      <c r="K33" s="69">
        <v>32425.35726585735</v>
      </c>
      <c r="L33" s="69">
        <v>32664.41771974626</v>
      </c>
      <c r="M33" s="69">
        <v>32903.478173635172</v>
      </c>
      <c r="N33" s="69">
        <v>33142.538627524074</v>
      </c>
      <c r="O33" s="69">
        <v>33381.599081412984</v>
      </c>
      <c r="P33" s="69">
        <v>33620.659535301893</v>
      </c>
    </row>
    <row r="34" spans="2:16" x14ac:dyDescent="0.35">
      <c r="B34" s="292">
        <v>2040</v>
      </c>
      <c r="C34" s="264">
        <f>'Services Model'!F39</f>
        <v>540732.76323529519</v>
      </c>
      <c r="D34" s="69">
        <v>31228.047309265658</v>
      </c>
      <c r="E34" s="69">
        <v>31472.041578912394</v>
      </c>
      <c r="F34" s="69">
        <v>31716.035848559131</v>
      </c>
      <c r="G34" s="69">
        <v>31960.030118205868</v>
      </c>
      <c r="H34" s="70">
        <v>32082.027253029239</v>
      </c>
      <c r="I34" s="69">
        <v>32094.226966511575</v>
      </c>
      <c r="J34" s="69">
        <v>32692.012927146083</v>
      </c>
      <c r="K34" s="69">
        <v>32936.007196792823</v>
      </c>
      <c r="L34" s="69">
        <v>33180.001466439557</v>
      </c>
      <c r="M34" s="69">
        <v>33423.99573608629</v>
      </c>
      <c r="N34" s="69">
        <v>33667.990005733031</v>
      </c>
      <c r="O34" s="69">
        <v>33911.984275379771</v>
      </c>
      <c r="P34" s="69">
        <v>34155.978545026504</v>
      </c>
    </row>
    <row r="35" spans="2:16" x14ac:dyDescent="0.35">
      <c r="B35" s="292">
        <v>2041</v>
      </c>
      <c r="C35" s="264">
        <f>'Services Model'!F40</f>
        <v>551666.93735294137</v>
      </c>
      <c r="D35" s="69">
        <v>31704.160529896264</v>
      </c>
      <c r="E35" s="69">
        <v>31953.088615300836</v>
      </c>
      <c r="F35" s="69">
        <v>32202.016700705401</v>
      </c>
      <c r="G35" s="69">
        <v>32450.944786109969</v>
      </c>
      <c r="H35" s="70">
        <v>32575.408828812255</v>
      </c>
      <c r="I35" s="69">
        <v>32587.855233082479</v>
      </c>
      <c r="J35" s="69">
        <v>33197.72904232367</v>
      </c>
      <c r="K35" s="69">
        <v>33446.657127728235</v>
      </c>
      <c r="L35" s="69">
        <v>33695.585213132799</v>
      </c>
      <c r="M35" s="69">
        <v>33944.513298537378</v>
      </c>
      <c r="N35" s="69">
        <v>34193.441383941943</v>
      </c>
      <c r="O35" s="69">
        <v>34442.369469346508</v>
      </c>
      <c r="P35" s="69">
        <v>34691.29755475108</v>
      </c>
    </row>
    <row r="36" spans="2:16" x14ac:dyDescent="0.35">
      <c r="B36" s="292">
        <v>2042</v>
      </c>
      <c r="C36" s="264">
        <f>'Services Model'!F41</f>
        <v>562601.11147058848</v>
      </c>
      <c r="D36" s="69">
        <v>32180.273750526918</v>
      </c>
      <c r="E36" s="69">
        <v>32434.135651689314</v>
      </c>
      <c r="F36" s="69">
        <v>32687.997552851713</v>
      </c>
      <c r="G36" s="69">
        <v>32941.859454014113</v>
      </c>
      <c r="H36" s="70">
        <v>33068.790404595311</v>
      </c>
      <c r="I36" s="69">
        <v>33081.483499653434</v>
      </c>
      <c r="J36" s="69">
        <v>33703.445157501308</v>
      </c>
      <c r="K36" s="69">
        <v>33957.307058663704</v>
      </c>
      <c r="L36" s="69">
        <v>34211.1689598261</v>
      </c>
      <c r="M36" s="69">
        <v>34465.030860988496</v>
      </c>
      <c r="N36" s="69">
        <v>34718.892762150892</v>
      </c>
      <c r="O36" s="69">
        <v>34972.754663313295</v>
      </c>
      <c r="P36" s="69">
        <v>35226.616564475698</v>
      </c>
    </row>
    <row r="37" spans="2:16" x14ac:dyDescent="0.35">
      <c r="B37" s="292">
        <v>2043</v>
      </c>
      <c r="C37" s="264">
        <f>'Services Model'!F42</f>
        <v>573535.28558823653</v>
      </c>
      <c r="D37" s="69">
        <v>32656.386971157608</v>
      </c>
      <c r="E37" s="69">
        <v>32915.182688077839</v>
      </c>
      <c r="F37" s="69">
        <v>33173.978404998066</v>
      </c>
      <c r="G37" s="69">
        <v>33432.774121918294</v>
      </c>
      <c r="H37" s="70">
        <v>33562.171980378407</v>
      </c>
      <c r="I37" s="69">
        <v>33575.111766224421</v>
      </c>
      <c r="J37" s="69">
        <v>34209.161272678975</v>
      </c>
      <c r="K37" s="69">
        <v>34467.95698959921</v>
      </c>
      <c r="L37" s="69">
        <v>34726.752706519437</v>
      </c>
      <c r="M37" s="69">
        <v>34985.548423439672</v>
      </c>
      <c r="N37" s="69">
        <v>35244.344140359899</v>
      </c>
      <c r="O37" s="69">
        <v>35503.139857280126</v>
      </c>
      <c r="P37" s="69">
        <v>35761.935574200354</v>
      </c>
    </row>
    <row r="38" spans="2:16" x14ac:dyDescent="0.35">
      <c r="B38" s="292">
        <v>2044</v>
      </c>
      <c r="C38" s="264">
        <f>'Services Model'!F43</f>
        <v>584469.45970588271</v>
      </c>
      <c r="D38" s="69">
        <v>33132.500191788218</v>
      </c>
      <c r="E38" s="69">
        <v>33396.229724466277</v>
      </c>
      <c r="F38" s="69">
        <v>33659.959257144335</v>
      </c>
      <c r="G38" s="69">
        <v>33923.688789822394</v>
      </c>
      <c r="H38" s="70">
        <v>34055.553556161423</v>
      </c>
      <c r="I38" s="69">
        <v>34068.740032795322</v>
      </c>
      <c r="J38" s="69">
        <v>34714.87738785657</v>
      </c>
      <c r="K38" s="69">
        <v>34978.606920534628</v>
      </c>
      <c r="L38" s="69">
        <v>35242.336453212687</v>
      </c>
      <c r="M38" s="69">
        <v>35506.065985890746</v>
      </c>
      <c r="N38" s="69">
        <v>35769.795518568804</v>
      </c>
      <c r="O38" s="69">
        <v>36033.52505124687</v>
      </c>
      <c r="P38" s="69">
        <v>36297.254583924929</v>
      </c>
    </row>
    <row r="39" spans="2:16" x14ac:dyDescent="0.35">
      <c r="B39" s="292">
        <v>2045</v>
      </c>
      <c r="C39" s="264">
        <f>'Services Model'!F44</f>
        <v>595403.63382352982</v>
      </c>
      <c r="D39" s="69">
        <v>33608.613412418868</v>
      </c>
      <c r="E39" s="69">
        <v>33877.276760854758</v>
      </c>
      <c r="F39" s="69">
        <v>34145.940109290648</v>
      </c>
      <c r="G39" s="69">
        <v>34414.603457726538</v>
      </c>
      <c r="H39" s="70">
        <v>34548.935131944483</v>
      </c>
      <c r="I39" s="69">
        <v>34562.368299366273</v>
      </c>
      <c r="J39" s="69">
        <v>35220.593503034208</v>
      </c>
      <c r="K39" s="69">
        <v>35489.256851470098</v>
      </c>
      <c r="L39" s="69">
        <v>35757.920199905988</v>
      </c>
      <c r="M39" s="69">
        <v>36026.583548341878</v>
      </c>
      <c r="N39" s="69">
        <v>36295.246896777768</v>
      </c>
      <c r="O39" s="69">
        <v>36563.910245213658</v>
      </c>
      <c r="P39" s="69">
        <v>36832.573593649548</v>
      </c>
    </row>
    <row r="40" spans="2:16" x14ac:dyDescent="0.35">
      <c r="B40" s="292">
        <v>2046</v>
      </c>
      <c r="C40" s="264">
        <f>'Services Model'!F45</f>
        <v>606337.80794117693</v>
      </c>
      <c r="D40" s="69">
        <v>34084.726633049519</v>
      </c>
      <c r="E40" s="69">
        <v>34358.32379724324</v>
      </c>
      <c r="F40" s="69">
        <v>34631.920961436961</v>
      </c>
      <c r="G40" s="69">
        <v>34905.518125630682</v>
      </c>
      <c r="H40" s="70">
        <v>35042.316707727543</v>
      </c>
      <c r="I40" s="69">
        <v>35055.996565937225</v>
      </c>
      <c r="J40" s="69">
        <v>35726.309618211839</v>
      </c>
      <c r="K40" s="69">
        <v>35999.906782405553</v>
      </c>
      <c r="L40" s="69">
        <v>36273.503946599274</v>
      </c>
      <c r="M40" s="69">
        <v>36547.101110793003</v>
      </c>
      <c r="N40" s="69">
        <v>36820.698274986724</v>
      </c>
      <c r="O40" s="69">
        <v>37094.295439180438</v>
      </c>
      <c r="P40" s="69">
        <v>37367.892603374159</v>
      </c>
    </row>
    <row r="41" spans="2:16" x14ac:dyDescent="0.35">
      <c r="B41" s="292">
        <v>2047</v>
      </c>
      <c r="C41" s="264">
        <f>'Services Model'!F46</f>
        <v>617271.98205882404</v>
      </c>
      <c r="D41" s="69">
        <v>34560.839853680169</v>
      </c>
      <c r="E41" s="69">
        <v>34839.370833631721</v>
      </c>
      <c r="F41" s="69">
        <v>35117.901813583267</v>
      </c>
      <c r="G41" s="69">
        <v>35396.432793534819</v>
      </c>
      <c r="H41" s="70">
        <v>35535.698283510596</v>
      </c>
      <c r="I41" s="69">
        <v>35549.624832508169</v>
      </c>
      <c r="J41" s="69">
        <v>36232.02573338947</v>
      </c>
      <c r="K41" s="69">
        <v>36510.556713341022</v>
      </c>
      <c r="L41" s="69">
        <v>36789.087693292575</v>
      </c>
      <c r="M41" s="69">
        <v>37067.618673244127</v>
      </c>
      <c r="N41" s="69">
        <v>37346.14965319568</v>
      </c>
      <c r="O41" s="69">
        <v>37624.680633147233</v>
      </c>
      <c r="P41" s="69">
        <v>37903.211613098785</v>
      </c>
    </row>
    <row r="42" spans="2:16" x14ac:dyDescent="0.35">
      <c r="B42" s="292">
        <v>2048</v>
      </c>
      <c r="C42" s="264">
        <f>'Services Model'!F47</f>
        <v>628206.15617647115</v>
      </c>
      <c r="D42" s="69">
        <v>35036.953074310819</v>
      </c>
      <c r="E42" s="69">
        <v>35320.417870020203</v>
      </c>
      <c r="F42" s="69">
        <v>35603.882665729587</v>
      </c>
      <c r="G42" s="69">
        <v>35887.347461438963</v>
      </c>
      <c r="H42" s="70">
        <v>36029.079859293655</v>
      </c>
      <c r="I42" s="69">
        <v>36043.253099079127</v>
      </c>
      <c r="J42" s="69">
        <v>36737.741848567108</v>
      </c>
      <c r="K42" s="69">
        <v>37021.206644276484</v>
      </c>
      <c r="L42" s="69">
        <v>37304.671439985876</v>
      </c>
      <c r="M42" s="69">
        <v>37588.136235695252</v>
      </c>
      <c r="N42" s="69">
        <v>37871.601031404629</v>
      </c>
      <c r="O42" s="69">
        <v>38155.065827114013</v>
      </c>
      <c r="P42" s="69">
        <v>38438.530622823397</v>
      </c>
    </row>
    <row r="43" spans="2:16" x14ac:dyDescent="0.35">
      <c r="B43" s="292">
        <v>2049</v>
      </c>
      <c r="C43" s="264">
        <f>'Services Model'!F48</f>
        <v>639140.33029411826</v>
      </c>
      <c r="D43" s="69">
        <v>35513.066294941469</v>
      </c>
      <c r="E43" s="69">
        <v>35801.464906408684</v>
      </c>
      <c r="F43" s="69">
        <v>36089.8635178759</v>
      </c>
      <c r="G43" s="69">
        <v>36378.2621293431</v>
      </c>
      <c r="H43" s="70">
        <v>36522.461435076708</v>
      </c>
      <c r="I43" s="69">
        <v>36536.881365650072</v>
      </c>
      <c r="J43" s="69">
        <v>37243.457963744739</v>
      </c>
      <c r="K43" s="69">
        <v>37531.856575211954</v>
      </c>
      <c r="L43" s="69">
        <v>37820.255186679162</v>
      </c>
      <c r="M43" s="69">
        <v>38108.653798146377</v>
      </c>
      <c r="N43" s="69">
        <v>38397.052409613592</v>
      </c>
      <c r="O43" s="69">
        <v>38685.4510210808</v>
      </c>
      <c r="P43" s="69">
        <v>38973.849632548016</v>
      </c>
    </row>
    <row r="44" spans="2:16" x14ac:dyDescent="0.35">
      <c r="B44" s="292">
        <v>2050</v>
      </c>
      <c r="C44" s="264">
        <f>'Services Model'!F49</f>
        <v>650074.50441176537</v>
      </c>
      <c r="D44" s="69">
        <v>35513.066294941469</v>
      </c>
      <c r="E44" s="69">
        <v>35801.464906408684</v>
      </c>
      <c r="F44" s="69">
        <v>36089.8635178759</v>
      </c>
      <c r="G44" s="69">
        <v>36378.2621293431</v>
      </c>
      <c r="H44" s="70">
        <v>36522.461435076708</v>
      </c>
      <c r="I44" s="69">
        <v>36536.881365650072</v>
      </c>
      <c r="J44" s="69">
        <v>37243.457963744739</v>
      </c>
      <c r="K44" s="69">
        <v>37531.856575211954</v>
      </c>
      <c r="L44" s="69">
        <v>37820.255186679162</v>
      </c>
      <c r="M44" s="69">
        <v>38108.653798146377</v>
      </c>
      <c r="N44" s="69">
        <v>38397.052409613592</v>
      </c>
      <c r="O44" s="69">
        <v>38685.4510210808</v>
      </c>
      <c r="P44" s="69">
        <v>38973.849632548016</v>
      </c>
    </row>
    <row r="46" spans="2:16" x14ac:dyDescent="0.35">
      <c r="B46" s="23"/>
      <c r="C46" s="23" t="s">
        <v>90</v>
      </c>
      <c r="D46" s="162" t="s">
        <v>60</v>
      </c>
      <c r="E46" s="23"/>
    </row>
    <row r="47" spans="2:16" ht="43.5" x14ac:dyDescent="0.35">
      <c r="B47" s="23" t="s">
        <v>6</v>
      </c>
      <c r="C47" s="5" t="s">
        <v>91</v>
      </c>
      <c r="D47" s="6" t="s">
        <v>65</v>
      </c>
      <c r="E47" s="23" t="s">
        <v>92</v>
      </c>
    </row>
    <row r="48" spans="2:16" x14ac:dyDescent="0.35">
      <c r="B48" s="232">
        <v>2005</v>
      </c>
      <c r="C48" s="261">
        <v>152552</v>
      </c>
      <c r="D48" s="262">
        <v>14275.618249000001</v>
      </c>
      <c r="E48" s="23"/>
    </row>
    <row r="49" spans="2:5" x14ac:dyDescent="0.35">
      <c r="B49" s="232">
        <v>2006</v>
      </c>
      <c r="C49" s="261">
        <v>165127.29999999999</v>
      </c>
      <c r="D49" s="262">
        <v>15031.114292399998</v>
      </c>
      <c r="E49" s="67">
        <f>(C49-C48)/C48</f>
        <v>8.2432875347422441E-2</v>
      </c>
    </row>
    <row r="50" spans="2:5" x14ac:dyDescent="0.35">
      <c r="B50" s="232">
        <v>2007</v>
      </c>
      <c r="C50" s="261">
        <v>181144.5</v>
      </c>
      <c r="D50" s="262">
        <v>15820.738804100001</v>
      </c>
      <c r="E50" s="67">
        <f>(C50-C49)/C49</f>
        <v>9.699910311620194E-2</v>
      </c>
    </row>
    <row r="51" spans="2:5" x14ac:dyDescent="0.35">
      <c r="B51" s="232">
        <v>2008</v>
      </c>
      <c r="C51" s="261">
        <v>189579.1</v>
      </c>
      <c r="D51" s="262">
        <v>16404.464580600001</v>
      </c>
      <c r="E51" s="67">
        <f t="shared" ref="E51:E62" si="0">(C51-C50)/C50</f>
        <v>4.6562826914424704E-2</v>
      </c>
    </row>
    <row r="52" spans="2:5" x14ac:dyDescent="0.35">
      <c r="B52" s="232">
        <v>2009</v>
      </c>
      <c r="C52" s="261">
        <v>189155.4</v>
      </c>
      <c r="D52" s="262">
        <v>16407.874312400003</v>
      </c>
      <c r="E52" s="67">
        <f t="shared" si="0"/>
        <v>-2.2349510046202965E-3</v>
      </c>
    </row>
    <row r="53" spans="2:5" x14ac:dyDescent="0.35">
      <c r="B53" s="232">
        <v>2010</v>
      </c>
      <c r="C53" s="261">
        <v>211966.7</v>
      </c>
      <c r="D53" s="262">
        <v>17568.402622199999</v>
      </c>
      <c r="E53" s="67">
        <f t="shared" si="0"/>
        <v>0.12059555265141793</v>
      </c>
    </row>
    <row r="54" spans="2:5" x14ac:dyDescent="0.35">
      <c r="B54" s="232">
        <v>2011</v>
      </c>
      <c r="C54" s="261">
        <v>226916.9</v>
      </c>
      <c r="D54" s="262">
        <v>18100.4223385</v>
      </c>
      <c r="E54" s="67">
        <f t="shared" si="0"/>
        <v>7.0530889993569656E-2</v>
      </c>
    </row>
    <row r="55" spans="2:5" x14ac:dyDescent="0.35">
      <c r="B55" s="232">
        <v>2012</v>
      </c>
      <c r="C55" s="261">
        <v>239322.2</v>
      </c>
      <c r="D55" s="262">
        <v>18694.678114300001</v>
      </c>
      <c r="E55" s="67">
        <f t="shared" si="0"/>
        <v>5.4668911835125622E-2</v>
      </c>
    </row>
    <row r="56" spans="2:5" x14ac:dyDescent="0.35">
      <c r="B56" s="232">
        <v>2013</v>
      </c>
      <c r="C56" s="261">
        <v>255756.9</v>
      </c>
      <c r="D56" s="262">
        <v>19087.70264</v>
      </c>
      <c r="E56" s="67">
        <f t="shared" si="0"/>
        <v>6.8671857437379316E-2</v>
      </c>
    </row>
    <row r="57" spans="2:5" x14ac:dyDescent="0.35">
      <c r="B57" s="232">
        <v>2014</v>
      </c>
      <c r="C57" s="261">
        <v>266816.90000000002</v>
      </c>
      <c r="D57" s="262">
        <v>19487.659328599999</v>
      </c>
      <c r="E57" s="67">
        <f t="shared" si="0"/>
        <v>4.3244190088322268E-2</v>
      </c>
    </row>
    <row r="58" spans="2:5" x14ac:dyDescent="0.35">
      <c r="B58" s="232">
        <v>2015</v>
      </c>
      <c r="C58" s="261">
        <v>278101.3</v>
      </c>
      <c r="D58" s="262">
        <v>19925.871674299997</v>
      </c>
      <c r="E58" s="67">
        <f t="shared" si="0"/>
        <v>4.229267336514278E-2</v>
      </c>
    </row>
    <row r="59" spans="2:5" x14ac:dyDescent="0.35">
      <c r="B59" s="232">
        <v>2016</v>
      </c>
      <c r="C59" s="261">
        <v>285327.40000000002</v>
      </c>
      <c r="D59" s="262">
        <v>20338.691053099999</v>
      </c>
      <c r="E59" s="67">
        <f t="shared" si="0"/>
        <v>2.5983697307420121E-2</v>
      </c>
    </row>
    <row r="60" spans="2:5" x14ac:dyDescent="0.35">
      <c r="B60" s="232">
        <v>2017</v>
      </c>
      <c r="C60" s="261">
        <v>295376</v>
      </c>
      <c r="D60" s="262">
        <v>20555.026396699999</v>
      </c>
      <c r="E60" s="67">
        <f t="shared" si="0"/>
        <v>3.5217788407282215E-2</v>
      </c>
    </row>
    <row r="61" spans="2:5" x14ac:dyDescent="0.35">
      <c r="B61" s="232">
        <v>2018</v>
      </c>
      <c r="C61" s="261">
        <v>304618.2</v>
      </c>
      <c r="D61" s="262">
        <v>21506.032864999997</v>
      </c>
      <c r="E61" s="67">
        <f t="shared" si="0"/>
        <v>3.1289610530307176E-2</v>
      </c>
    </row>
    <row r="62" spans="2:5" x14ac:dyDescent="0.35">
      <c r="B62" s="232">
        <v>2019</v>
      </c>
      <c r="C62" s="261">
        <v>310786</v>
      </c>
      <c r="D62" s="262">
        <v>22335.898471799999</v>
      </c>
      <c r="E62" s="67">
        <f t="shared" si="0"/>
        <v>2.0247641145538869E-2</v>
      </c>
    </row>
    <row r="63" spans="2:5" x14ac:dyDescent="0.35">
      <c r="E63" s="121">
        <f>AVERAGE(E49:E62)</f>
        <v>5.2607333366781049E-2</v>
      </c>
    </row>
    <row r="65" spans="1:16" x14ac:dyDescent="0.35">
      <c r="B65" s="60" t="s">
        <v>94</v>
      </c>
    </row>
    <row r="66" spans="1:16" x14ac:dyDescent="0.35">
      <c r="B66" s="60"/>
    </row>
    <row r="67" spans="1:16" x14ac:dyDescent="0.35">
      <c r="B67" s="85" t="s">
        <v>84</v>
      </c>
      <c r="C67" s="23">
        <f>SLOPE(D110:D124,C110:C124)</f>
        <v>0.12855890468943335</v>
      </c>
    </row>
    <row r="68" spans="1:16" x14ac:dyDescent="0.35">
      <c r="B68" s="85" t="s">
        <v>85</v>
      </c>
      <c r="C68" s="23">
        <f>INTERCEPT(D110:D124,C110:C124)</f>
        <v>6255.7031019666847</v>
      </c>
    </row>
    <row r="70" spans="1:16" x14ac:dyDescent="0.35">
      <c r="B70" s="85" t="s">
        <v>95</v>
      </c>
      <c r="C70" s="23" t="s">
        <v>86</v>
      </c>
      <c r="D70" s="260" t="s">
        <v>87</v>
      </c>
    </row>
    <row r="71" spans="1:16" x14ac:dyDescent="0.35">
      <c r="B71" s="85">
        <v>2019</v>
      </c>
      <c r="C71" s="62">
        <v>118187.5</v>
      </c>
      <c r="D71" s="63">
        <v>4.8899999999999999E-2</v>
      </c>
    </row>
    <row r="72" spans="1:16" x14ac:dyDescent="0.35">
      <c r="B72" s="85">
        <v>2020</v>
      </c>
      <c r="C72" s="64">
        <f>C71*(1+D71)</f>
        <v>123966.86874999999</v>
      </c>
    </row>
    <row r="73" spans="1:16" x14ac:dyDescent="0.35">
      <c r="B73" s="85" t="s">
        <v>88</v>
      </c>
      <c r="C73" s="65">
        <f>C72*C67+C68</f>
        <v>22192.747966245428</v>
      </c>
    </row>
    <row r="75" spans="1:16" x14ac:dyDescent="0.35">
      <c r="A75" s="3" t="s">
        <v>89</v>
      </c>
      <c r="B75" s="23" t="s">
        <v>6</v>
      </c>
      <c r="C75" s="65">
        <f>C73</f>
        <v>22192.747966245428</v>
      </c>
      <c r="D75" s="67">
        <v>-3.5000000000000003E-2</v>
      </c>
      <c r="E75" s="67">
        <v>-2.5000000000000001E-2</v>
      </c>
      <c r="F75" s="67">
        <v>-1.4999999999999999E-2</v>
      </c>
      <c r="G75" s="67">
        <v>-5.0000000000000001E-3</v>
      </c>
      <c r="H75" s="67">
        <v>5.0000000000000001E-3</v>
      </c>
      <c r="I75" s="67">
        <v>1.4999999999999999E-2</v>
      </c>
      <c r="J75" s="67">
        <v>2.5000000000000001E-2</v>
      </c>
      <c r="K75" s="67">
        <v>3.5000000000000003E-2</v>
      </c>
      <c r="L75" s="67">
        <v>4.4999999999999998E-2</v>
      </c>
      <c r="M75" s="67">
        <v>5.5E-2</v>
      </c>
      <c r="N75" s="67">
        <v>6.5000000000000002E-2</v>
      </c>
      <c r="O75" s="67">
        <v>7.4999999999999997E-2</v>
      </c>
      <c r="P75" s="67">
        <v>8.5000000000000006E-2</v>
      </c>
    </row>
    <row r="76" spans="1:16" x14ac:dyDescent="0.35">
      <c r="B76" s="23">
        <v>2021</v>
      </c>
      <c r="C76" s="264">
        <f>'Goods Model'!F19</f>
        <v>118594.2</v>
      </c>
      <c r="D76" s="69">
        <f t="dataTable" ref="D76:P105" dt2D="1" dtr="1" r1="D71" r2="C71"/>
        <v>20968.421640578094</v>
      </c>
      <c r="E76" s="69">
        <v>21120.88504512329</v>
      </c>
      <c r="F76" s="69">
        <v>21273.348449668487</v>
      </c>
      <c r="G76" s="69">
        <v>21425.81185421368</v>
      </c>
      <c r="H76" s="70">
        <v>21578.275258758877</v>
      </c>
      <c r="I76" s="69">
        <v>21730.738663304073</v>
      </c>
      <c r="J76" s="69">
        <v>21883.20206784927</v>
      </c>
      <c r="K76" s="69">
        <v>22035.665472394467</v>
      </c>
      <c r="L76" s="69">
        <v>22188.12887693966</v>
      </c>
      <c r="M76" s="69">
        <v>22340.59228148486</v>
      </c>
      <c r="N76" s="69">
        <v>22493.055686030053</v>
      </c>
      <c r="O76" s="69">
        <v>22645.519090575246</v>
      </c>
      <c r="P76" s="69">
        <v>22797.982495120443</v>
      </c>
    </row>
    <row r="77" spans="1:16" x14ac:dyDescent="0.35">
      <c r="B77" s="23">
        <v>2022</v>
      </c>
      <c r="C77" s="264">
        <f>'Goods Model'!F20</f>
        <v>128495.13000000053</v>
      </c>
      <c r="D77" s="69">
        <v>22196.724511717675</v>
      </c>
      <c r="E77" s="69">
        <v>22361.91644342494</v>
      </c>
      <c r="F77" s="69">
        <v>22527.108375132204</v>
      </c>
      <c r="G77" s="69">
        <v>22692.300306839468</v>
      </c>
      <c r="H77" s="70">
        <v>22857.492238546729</v>
      </c>
      <c r="I77" s="69">
        <v>23022.684170253997</v>
      </c>
      <c r="J77" s="69">
        <v>23187.876101961258</v>
      </c>
      <c r="K77" s="69">
        <v>23353.068033668518</v>
      </c>
      <c r="L77" s="69">
        <v>23518.259965375786</v>
      </c>
      <c r="M77" s="69">
        <v>23683.451897083054</v>
      </c>
      <c r="N77" s="69">
        <v>23848.643828790315</v>
      </c>
      <c r="O77" s="69">
        <v>24013.835760497583</v>
      </c>
      <c r="P77" s="69">
        <v>24179.027692204843</v>
      </c>
    </row>
    <row r="78" spans="1:16" x14ac:dyDescent="0.35">
      <c r="B78" s="23">
        <v>2023</v>
      </c>
      <c r="C78" s="264">
        <f>'Goods Model'!F21</f>
        <v>132385.83941176551</v>
      </c>
      <c r="D78" s="69">
        <v>22679.403365243605</v>
      </c>
      <c r="E78" s="69">
        <v>22849.597150355279</v>
      </c>
      <c r="F78" s="69">
        <v>23019.790935466961</v>
      </c>
      <c r="G78" s="69">
        <v>23189.984720578635</v>
      </c>
      <c r="H78" s="70">
        <v>23360.17850569031</v>
      </c>
      <c r="I78" s="69">
        <v>23530.372290801992</v>
      </c>
      <c r="J78" s="69">
        <v>23700.566075913674</v>
      </c>
      <c r="K78" s="69">
        <v>23870.759861025348</v>
      </c>
      <c r="L78" s="69">
        <v>24040.953646137023</v>
      </c>
      <c r="M78" s="69">
        <v>24211.147431248704</v>
      </c>
      <c r="N78" s="69">
        <v>24381.341216360379</v>
      </c>
      <c r="O78" s="69">
        <v>24551.535001472061</v>
      </c>
      <c r="P78" s="69">
        <v>24721.728786583742</v>
      </c>
    </row>
    <row r="79" spans="1:16" x14ac:dyDescent="0.35">
      <c r="B79" s="23">
        <v>2024</v>
      </c>
      <c r="C79" s="264">
        <f>'Goods Model'!F22</f>
        <v>136276.54882352974</v>
      </c>
      <c r="D79" s="69">
        <v>23162.082218769436</v>
      </c>
      <c r="E79" s="69">
        <v>23337.277857285524</v>
      </c>
      <c r="F79" s="69">
        <v>23512.47349580162</v>
      </c>
      <c r="G79" s="69">
        <v>23687.669134317708</v>
      </c>
      <c r="H79" s="70">
        <v>23862.864772833796</v>
      </c>
      <c r="I79" s="69">
        <v>24038.060411349885</v>
      </c>
      <c r="J79" s="69">
        <v>24213.25604986598</v>
      </c>
      <c r="K79" s="69">
        <v>24388.451688382069</v>
      </c>
      <c r="L79" s="69">
        <v>24563.647326898157</v>
      </c>
      <c r="M79" s="69">
        <v>24738.842965414253</v>
      </c>
      <c r="N79" s="69">
        <v>24914.038603930341</v>
      </c>
      <c r="O79" s="69">
        <v>25089.23424244643</v>
      </c>
      <c r="P79" s="69">
        <v>25264.429880962525</v>
      </c>
    </row>
    <row r="80" spans="1:16" x14ac:dyDescent="0.35">
      <c r="B80" s="23">
        <v>2025</v>
      </c>
      <c r="C80" s="264">
        <f>'Goods Model'!F23</f>
        <v>140167.25823529466</v>
      </c>
      <c r="D80" s="69">
        <v>23644.761072295354</v>
      </c>
      <c r="E80" s="69">
        <v>23824.958564215856</v>
      </c>
      <c r="F80" s="69">
        <v>24005.156056136366</v>
      </c>
      <c r="G80" s="69">
        <v>24185.353548056868</v>
      </c>
      <c r="H80" s="70">
        <v>24365.551039977378</v>
      </c>
      <c r="I80" s="69">
        <v>24545.74853189788</v>
      </c>
      <c r="J80" s="69">
        <v>24725.946023818382</v>
      </c>
      <c r="K80" s="69">
        <v>24906.143515738884</v>
      </c>
      <c r="L80" s="69">
        <v>25086.341007659386</v>
      </c>
      <c r="M80" s="69">
        <v>25266.538499579896</v>
      </c>
      <c r="N80" s="69">
        <v>25446.735991500398</v>
      </c>
      <c r="O80" s="69">
        <v>25626.933483420908</v>
      </c>
      <c r="P80" s="69">
        <v>25807.13097534141</v>
      </c>
    </row>
    <row r="81" spans="2:16" x14ac:dyDescent="0.35">
      <c r="B81" s="23">
        <v>2026</v>
      </c>
      <c r="C81" s="264">
        <f>'Goods Model'!F24</f>
        <v>144057.96764705959</v>
      </c>
      <c r="D81" s="69">
        <v>24127.43992582128</v>
      </c>
      <c r="E81" s="69">
        <v>24312.639271146196</v>
      </c>
      <c r="F81" s="69">
        <v>24497.838616471112</v>
      </c>
      <c r="G81" s="69">
        <v>24683.037961796028</v>
      </c>
      <c r="H81" s="70">
        <v>24868.237307120944</v>
      </c>
      <c r="I81" s="69">
        <v>25053.436652445867</v>
      </c>
      <c r="J81" s="69">
        <v>25238.635997770783</v>
      </c>
      <c r="K81" s="69">
        <v>25423.835343095707</v>
      </c>
      <c r="L81" s="69">
        <v>25609.034688420623</v>
      </c>
      <c r="M81" s="69">
        <v>25794.234033745539</v>
      </c>
      <c r="N81" s="69">
        <v>25979.433379070455</v>
      </c>
      <c r="O81" s="69">
        <v>26164.632724395378</v>
      </c>
      <c r="P81" s="69">
        <v>26349.832069720294</v>
      </c>
    </row>
    <row r="82" spans="2:16" x14ac:dyDescent="0.35">
      <c r="B82" s="23">
        <v>2027</v>
      </c>
      <c r="C82" s="264">
        <f>'Goods Model'!F25</f>
        <v>147948.67705882358</v>
      </c>
      <c r="D82" s="69">
        <v>24610.118779347082</v>
      </c>
      <c r="E82" s="69">
        <v>24800.319978076412</v>
      </c>
      <c r="F82" s="69">
        <v>24990.521176805742</v>
      </c>
      <c r="G82" s="69">
        <v>25180.722375535071</v>
      </c>
      <c r="H82" s="70">
        <v>25370.923574264401</v>
      </c>
      <c r="I82" s="69">
        <v>25561.124772993731</v>
      </c>
      <c r="J82" s="69">
        <v>25751.325971723061</v>
      </c>
      <c r="K82" s="69">
        <v>25941.527170452391</v>
      </c>
      <c r="L82" s="69">
        <v>26131.728369181721</v>
      </c>
      <c r="M82" s="69">
        <v>26321.929567911058</v>
      </c>
      <c r="N82" s="69">
        <v>26512.130766640388</v>
      </c>
      <c r="O82" s="69">
        <v>26702.331965369718</v>
      </c>
      <c r="P82" s="69">
        <v>26892.533164099048</v>
      </c>
    </row>
    <row r="83" spans="2:16" x14ac:dyDescent="0.35">
      <c r="B83" s="23">
        <v>2028</v>
      </c>
      <c r="C83" s="264">
        <f>'Goods Model'!F26</f>
        <v>151839.38647058856</v>
      </c>
      <c r="D83" s="69">
        <v>25092.797632873007</v>
      </c>
      <c r="E83" s="69">
        <v>25288.000685006751</v>
      </c>
      <c r="F83" s="69">
        <v>25483.203737140495</v>
      </c>
      <c r="G83" s="69">
        <v>25678.406789274246</v>
      </c>
      <c r="H83" s="70">
        <v>25873.609841407982</v>
      </c>
      <c r="I83" s="69">
        <v>26068.812893541726</v>
      </c>
      <c r="J83" s="69">
        <v>26264.015945675477</v>
      </c>
      <c r="K83" s="69">
        <v>26459.218997809221</v>
      </c>
      <c r="L83" s="69">
        <v>26654.422049942965</v>
      </c>
      <c r="M83" s="69">
        <v>26849.625102076709</v>
      </c>
      <c r="N83" s="69">
        <v>27044.828154210452</v>
      </c>
      <c r="O83" s="69">
        <v>27240.031206344196</v>
      </c>
      <c r="P83" s="69">
        <v>27435.23425847794</v>
      </c>
    </row>
    <row r="84" spans="2:16" x14ac:dyDescent="0.35">
      <c r="B84" s="23">
        <v>2029</v>
      </c>
      <c r="C84" s="264">
        <f>'Goods Model'!F27</f>
        <v>155730.09588235372</v>
      </c>
      <c r="D84" s="69">
        <v>25575.476486398962</v>
      </c>
      <c r="E84" s="69">
        <v>25775.68139193712</v>
      </c>
      <c r="F84" s="69">
        <v>25975.886297475277</v>
      </c>
      <c r="G84" s="69">
        <v>26176.091203013435</v>
      </c>
      <c r="H84" s="70">
        <v>26376.296108551593</v>
      </c>
      <c r="I84" s="69">
        <v>26576.50101408975</v>
      </c>
      <c r="J84" s="69">
        <v>26776.705919627908</v>
      </c>
      <c r="K84" s="69">
        <v>26976.910825166065</v>
      </c>
      <c r="L84" s="69">
        <v>27177.115730704223</v>
      </c>
      <c r="M84" s="69">
        <v>27377.320636242381</v>
      </c>
      <c r="N84" s="69">
        <v>27577.525541780546</v>
      </c>
      <c r="O84" s="69">
        <v>27777.730447318703</v>
      </c>
      <c r="P84" s="69">
        <v>27977.935352856854</v>
      </c>
    </row>
    <row r="85" spans="2:16" x14ac:dyDescent="0.35">
      <c r="B85" s="23">
        <v>2030</v>
      </c>
      <c r="C85" s="264">
        <f>'Goods Model'!F28</f>
        <v>159620.80529411865</v>
      </c>
      <c r="D85" s="69">
        <v>26058.155339924881</v>
      </c>
      <c r="E85" s="69">
        <v>26263.362098867452</v>
      </c>
      <c r="F85" s="69">
        <v>26468.568857810023</v>
      </c>
      <c r="G85" s="69">
        <v>26673.775616752595</v>
      </c>
      <c r="H85" s="70">
        <v>26878.982375695166</v>
      </c>
      <c r="I85" s="69">
        <v>27084.189134637738</v>
      </c>
      <c r="J85" s="69">
        <v>27289.395893580309</v>
      </c>
      <c r="K85" s="69">
        <v>27494.602652522881</v>
      </c>
      <c r="L85" s="69">
        <v>27699.809411465452</v>
      </c>
      <c r="M85" s="69">
        <v>27905.016170408024</v>
      </c>
      <c r="N85" s="69">
        <v>28110.222929350595</v>
      </c>
      <c r="O85" s="69">
        <v>28315.429688293174</v>
      </c>
      <c r="P85" s="69">
        <v>28520.636447235745</v>
      </c>
    </row>
    <row r="86" spans="2:16" x14ac:dyDescent="0.35">
      <c r="B86" s="23">
        <v>2031</v>
      </c>
      <c r="C86" s="264">
        <f>'Goods Model'!F29</f>
        <v>163511.51470588264</v>
      </c>
      <c r="D86" s="69">
        <v>26540.834193450683</v>
      </c>
      <c r="E86" s="69">
        <v>26751.042805797668</v>
      </c>
      <c r="F86" s="69">
        <v>26961.251418144653</v>
      </c>
      <c r="G86" s="69">
        <v>27171.460030491638</v>
      </c>
      <c r="H86" s="70">
        <v>27381.668642838617</v>
      </c>
      <c r="I86" s="69">
        <v>27591.877255185602</v>
      </c>
      <c r="J86" s="69">
        <v>27802.085867532587</v>
      </c>
      <c r="K86" s="69">
        <v>28012.294479879572</v>
      </c>
      <c r="L86" s="69">
        <v>28222.503092226558</v>
      </c>
      <c r="M86" s="69">
        <v>28432.711704573543</v>
      </c>
      <c r="N86" s="69">
        <v>28642.920316920528</v>
      </c>
      <c r="O86" s="69">
        <v>28853.128929267514</v>
      </c>
      <c r="P86" s="69">
        <v>29063.337541614499</v>
      </c>
    </row>
    <row r="87" spans="2:16" x14ac:dyDescent="0.35">
      <c r="B87" s="23">
        <v>2032</v>
      </c>
      <c r="C87" s="264">
        <f>'Goods Model'!F30</f>
        <v>167402.22411764757</v>
      </c>
      <c r="D87" s="69">
        <v>27023.513046976601</v>
      </c>
      <c r="E87" s="69">
        <v>27238.723512728</v>
      </c>
      <c r="F87" s="69">
        <v>27453.933978479399</v>
      </c>
      <c r="G87" s="69">
        <v>27669.144444230798</v>
      </c>
      <c r="H87" s="70">
        <v>27884.354909982198</v>
      </c>
      <c r="I87" s="69">
        <v>28099.565375733589</v>
      </c>
      <c r="J87" s="69">
        <v>28314.775841484989</v>
      </c>
      <c r="K87" s="69">
        <v>28529.986307236388</v>
      </c>
      <c r="L87" s="69">
        <v>28745.196772987787</v>
      </c>
      <c r="M87" s="69">
        <v>28960.407238739186</v>
      </c>
      <c r="N87" s="69">
        <v>29175.617704490585</v>
      </c>
      <c r="O87" s="69">
        <v>29390.828170241984</v>
      </c>
      <c r="P87" s="69">
        <v>29606.038635993384</v>
      </c>
    </row>
    <row r="88" spans="2:16" x14ac:dyDescent="0.35">
      <c r="B88" s="23">
        <v>2033</v>
      </c>
      <c r="C88" s="264">
        <f>'Goods Model'!F31</f>
        <v>171292.93352941255</v>
      </c>
      <c r="D88" s="69">
        <v>27506.191900502534</v>
      </c>
      <c r="E88" s="69">
        <v>27726.404219658347</v>
      </c>
      <c r="F88" s="69">
        <v>27946.616538814153</v>
      </c>
      <c r="G88" s="69">
        <v>28166.828857969966</v>
      </c>
      <c r="H88" s="70">
        <v>28387.041177125779</v>
      </c>
      <c r="I88" s="69">
        <v>28607.253496281592</v>
      </c>
      <c r="J88" s="69">
        <v>28827.465815437397</v>
      </c>
      <c r="K88" s="69">
        <v>29047.678134593218</v>
      </c>
      <c r="L88" s="69">
        <v>29267.890453749023</v>
      </c>
      <c r="M88" s="69">
        <v>29488.102772904836</v>
      </c>
      <c r="N88" s="69">
        <v>29708.315092060649</v>
      </c>
      <c r="O88" s="69">
        <v>29928.527411216462</v>
      </c>
      <c r="P88" s="69">
        <v>30148.739730372276</v>
      </c>
    </row>
    <row r="89" spans="2:16" x14ac:dyDescent="0.35">
      <c r="B89" s="23">
        <v>2034</v>
      </c>
      <c r="C89" s="264">
        <f>'Goods Model'!F32</f>
        <v>175183.64294117654</v>
      </c>
      <c r="D89" s="69">
        <v>27988.870754028336</v>
      </c>
      <c r="E89" s="69">
        <v>28214.084926588563</v>
      </c>
      <c r="F89" s="69">
        <v>28439.29909914879</v>
      </c>
      <c r="G89" s="69">
        <v>28664.513271709009</v>
      </c>
      <c r="H89" s="70">
        <v>28889.727444269229</v>
      </c>
      <c r="I89" s="69">
        <v>29114.941616829456</v>
      </c>
      <c r="J89" s="69">
        <v>29340.155789389682</v>
      </c>
      <c r="K89" s="69">
        <v>29565.369961949909</v>
      </c>
      <c r="L89" s="69">
        <v>29790.584134510129</v>
      </c>
      <c r="M89" s="69">
        <v>30015.798307070356</v>
      </c>
      <c r="N89" s="69">
        <v>30241.012479630583</v>
      </c>
      <c r="O89" s="69">
        <v>30466.226652190802</v>
      </c>
      <c r="P89" s="69">
        <v>30691.440824751029</v>
      </c>
    </row>
    <row r="90" spans="2:16" x14ac:dyDescent="0.35">
      <c r="B90" s="23">
        <v>2035</v>
      </c>
      <c r="C90" s="264">
        <f>'Goods Model'!F33</f>
        <v>179074.3523529417</v>
      </c>
      <c r="D90" s="69">
        <v>28471.549607554291</v>
      </c>
      <c r="E90" s="69">
        <v>28701.765633518924</v>
      </c>
      <c r="F90" s="69">
        <v>28931.981659483565</v>
      </c>
      <c r="G90" s="69">
        <v>29162.197685448198</v>
      </c>
      <c r="H90" s="70">
        <v>29392.413711412839</v>
      </c>
      <c r="I90" s="69">
        <v>29622.629737377472</v>
      </c>
      <c r="J90" s="69">
        <v>29852.845763342113</v>
      </c>
      <c r="K90" s="69">
        <v>30083.061789306754</v>
      </c>
      <c r="L90" s="69">
        <v>30313.277815271395</v>
      </c>
      <c r="M90" s="69">
        <v>30543.493841236028</v>
      </c>
      <c r="N90" s="69">
        <v>30773.709867200669</v>
      </c>
      <c r="O90" s="69">
        <v>31003.925893165309</v>
      </c>
      <c r="P90" s="69">
        <v>31234.141919129943</v>
      </c>
    </row>
    <row r="91" spans="2:16" x14ac:dyDescent="0.35">
      <c r="B91" s="23">
        <v>2036</v>
      </c>
      <c r="C91" s="264">
        <f>'Goods Model'!F34</f>
        <v>182965.06176470662</v>
      </c>
      <c r="D91" s="69">
        <v>28954.228461080209</v>
      </c>
      <c r="E91" s="69">
        <v>29189.446340449256</v>
      </c>
      <c r="F91" s="69">
        <v>29424.664219818311</v>
      </c>
      <c r="G91" s="69">
        <v>29659.882099187365</v>
      </c>
      <c r="H91" s="70">
        <v>29895.099978556413</v>
      </c>
      <c r="I91" s="69">
        <v>30130.317857925467</v>
      </c>
      <c r="J91" s="69">
        <v>30365.535737294515</v>
      </c>
      <c r="K91" s="69">
        <v>30600.753616663569</v>
      </c>
      <c r="L91" s="69">
        <v>30835.971496032624</v>
      </c>
      <c r="M91" s="69">
        <v>31071.189375401671</v>
      </c>
      <c r="N91" s="69">
        <v>31306.407254770726</v>
      </c>
      <c r="O91" s="69">
        <v>31541.62513413978</v>
      </c>
      <c r="P91" s="69">
        <v>31776.843013508835</v>
      </c>
    </row>
    <row r="92" spans="2:16" x14ac:dyDescent="0.35">
      <c r="B92" s="23">
        <v>2037</v>
      </c>
      <c r="C92" s="264">
        <f>'Goods Model'!F35</f>
        <v>186855.77117647161</v>
      </c>
      <c r="D92" s="69">
        <v>29436.907314606135</v>
      </c>
      <c r="E92" s="69">
        <v>29677.127047379603</v>
      </c>
      <c r="F92" s="69">
        <v>29917.346780153064</v>
      </c>
      <c r="G92" s="69">
        <v>30157.566512926533</v>
      </c>
      <c r="H92" s="70">
        <v>30397.786245699994</v>
      </c>
      <c r="I92" s="69">
        <v>30638.005978473462</v>
      </c>
      <c r="J92" s="69">
        <v>30878.225711246923</v>
      </c>
      <c r="K92" s="69">
        <v>31118.445444020392</v>
      </c>
      <c r="L92" s="69">
        <v>31358.66517679386</v>
      </c>
      <c r="M92" s="69">
        <v>31598.884909567329</v>
      </c>
      <c r="N92" s="69">
        <v>31839.10464234079</v>
      </c>
      <c r="O92" s="69">
        <v>32079.324375114258</v>
      </c>
      <c r="P92" s="69">
        <v>32319.544107887719</v>
      </c>
    </row>
    <row r="93" spans="2:16" x14ac:dyDescent="0.35">
      <c r="B93" s="23">
        <v>2038</v>
      </c>
      <c r="C93" s="264">
        <f>'Goods Model'!F36</f>
        <v>190746.4805882356</v>
      </c>
      <c r="D93" s="69">
        <v>29919.586168131937</v>
      </c>
      <c r="E93" s="69">
        <v>30164.807754309819</v>
      </c>
      <c r="F93" s="69">
        <v>30410.029340487694</v>
      </c>
      <c r="G93" s="69">
        <v>30655.250926665576</v>
      </c>
      <c r="H93" s="70">
        <v>30900.472512843451</v>
      </c>
      <c r="I93" s="69">
        <v>31145.694099021326</v>
      </c>
      <c r="J93" s="69">
        <v>31390.915685199208</v>
      </c>
      <c r="K93" s="69">
        <v>31636.137271377083</v>
      </c>
      <c r="L93" s="69">
        <v>31881.358857554966</v>
      </c>
      <c r="M93" s="69">
        <v>32126.580443732841</v>
      </c>
      <c r="N93" s="69">
        <v>32371.802029910716</v>
      </c>
      <c r="O93" s="69">
        <v>32617.023616088598</v>
      </c>
      <c r="P93" s="69">
        <v>32862.24520226648</v>
      </c>
    </row>
    <row r="94" spans="2:16" x14ac:dyDescent="0.35">
      <c r="B94" s="23">
        <v>2039</v>
      </c>
      <c r="C94" s="264">
        <f>'Goods Model'!F37</f>
        <v>194637.19000000053</v>
      </c>
      <c r="D94" s="69">
        <v>30402.265021657855</v>
      </c>
      <c r="E94" s="69">
        <v>30652.488461240151</v>
      </c>
      <c r="F94" s="69">
        <v>30902.71190082244</v>
      </c>
      <c r="G94" s="69">
        <v>31152.935340404736</v>
      </c>
      <c r="H94" s="70">
        <v>31403.158779987025</v>
      </c>
      <c r="I94" s="69">
        <v>31653.382219569314</v>
      </c>
      <c r="J94" s="69">
        <v>31903.60565915161</v>
      </c>
      <c r="K94" s="69">
        <v>32153.829098733899</v>
      </c>
      <c r="L94" s="69">
        <v>32404.052538316195</v>
      </c>
      <c r="M94" s="69">
        <v>32654.275977898484</v>
      </c>
      <c r="N94" s="69">
        <v>32904.49941748078</v>
      </c>
      <c r="O94" s="69">
        <v>33154.722857063069</v>
      </c>
      <c r="P94" s="69">
        <v>33404.946296645358</v>
      </c>
    </row>
    <row r="95" spans="2:16" x14ac:dyDescent="0.35">
      <c r="B95" s="23">
        <v>2040</v>
      </c>
      <c r="C95" s="264">
        <f>'Goods Model'!F38</f>
        <v>198527.89941176545</v>
      </c>
      <c r="D95" s="69">
        <v>30884.943875183781</v>
      </c>
      <c r="E95" s="69">
        <v>31140.169168170483</v>
      </c>
      <c r="F95" s="69">
        <v>31395.394461157193</v>
      </c>
      <c r="G95" s="69">
        <v>31650.619754143896</v>
      </c>
      <c r="H95" s="70">
        <v>31905.845047130599</v>
      </c>
      <c r="I95" s="69">
        <v>32161.070340117309</v>
      </c>
      <c r="J95" s="69">
        <v>32416.295633104011</v>
      </c>
      <c r="K95" s="69">
        <v>32671.520926090714</v>
      </c>
      <c r="L95" s="69">
        <v>32926.746219077424</v>
      </c>
      <c r="M95" s="69">
        <v>33181.971512064127</v>
      </c>
      <c r="N95" s="69">
        <v>33437.196805050837</v>
      </c>
      <c r="O95" s="69">
        <v>33692.422098037539</v>
      </c>
      <c r="P95" s="69">
        <v>33947.647391024249</v>
      </c>
    </row>
    <row r="96" spans="2:16" x14ac:dyDescent="0.35">
      <c r="B96" s="23">
        <v>2041</v>
      </c>
      <c r="C96" s="264">
        <f>'Goods Model'!F39</f>
        <v>202418.60882352968</v>
      </c>
      <c r="D96" s="69">
        <v>31367.622728709612</v>
      </c>
      <c r="E96" s="69">
        <v>31627.849875100728</v>
      </c>
      <c r="F96" s="69">
        <v>31888.077021491852</v>
      </c>
      <c r="G96" s="69">
        <v>32148.304167882969</v>
      </c>
      <c r="H96" s="70">
        <v>32408.531314274085</v>
      </c>
      <c r="I96" s="69">
        <v>32668.758460665202</v>
      </c>
      <c r="J96" s="69">
        <v>32928.985607056326</v>
      </c>
      <c r="K96" s="69">
        <v>33189.212753447442</v>
      </c>
      <c r="L96" s="69">
        <v>33449.439899838559</v>
      </c>
      <c r="M96" s="69">
        <v>33709.667046229675</v>
      </c>
      <c r="N96" s="69">
        <v>33969.894192620799</v>
      </c>
      <c r="O96" s="69">
        <v>34230.121339011916</v>
      </c>
      <c r="P96" s="69">
        <v>34490.348485403032</v>
      </c>
    </row>
    <row r="97" spans="2:16" x14ac:dyDescent="0.35">
      <c r="B97" s="23">
        <v>2042</v>
      </c>
      <c r="C97" s="264">
        <f>'Goods Model'!F40</f>
        <v>206309.31823529466</v>
      </c>
      <c r="D97" s="69">
        <v>31850.301582235545</v>
      </c>
      <c r="E97" s="69">
        <v>32115.530582031068</v>
      </c>
      <c r="F97" s="69">
        <v>32380.759581826605</v>
      </c>
      <c r="G97" s="69">
        <v>32645.988581622136</v>
      </c>
      <c r="H97" s="70">
        <v>32911.217581417666</v>
      </c>
      <c r="I97" s="69">
        <v>33176.446581213197</v>
      </c>
      <c r="J97" s="69">
        <v>33441.675581008734</v>
      </c>
      <c r="K97" s="69">
        <v>33706.904580804265</v>
      </c>
      <c r="L97" s="69">
        <v>33972.133580599795</v>
      </c>
      <c r="M97" s="69">
        <v>34237.362580395325</v>
      </c>
      <c r="N97" s="69">
        <v>34502.591580190863</v>
      </c>
      <c r="O97" s="69">
        <v>34767.820579986394</v>
      </c>
      <c r="P97" s="69">
        <v>35033.049579781924</v>
      </c>
    </row>
    <row r="98" spans="2:16" x14ac:dyDescent="0.35">
      <c r="B98" s="23">
        <v>2043</v>
      </c>
      <c r="C98" s="264">
        <f>'Goods Model'!F41</f>
        <v>210200.02764705959</v>
      </c>
      <c r="D98" s="69">
        <v>32332.980435761463</v>
      </c>
      <c r="E98" s="69">
        <v>32603.211288961407</v>
      </c>
      <c r="F98" s="69">
        <v>32873.442142161352</v>
      </c>
      <c r="G98" s="69">
        <v>33143.672995361296</v>
      </c>
      <c r="H98" s="70">
        <v>33413.90384856124</v>
      </c>
      <c r="I98" s="69">
        <v>33684.134701761184</v>
      </c>
      <c r="J98" s="69">
        <v>33954.365554961136</v>
      </c>
      <c r="K98" s="69">
        <v>34224.59640816108</v>
      </c>
      <c r="L98" s="69">
        <v>34494.827261361032</v>
      </c>
      <c r="M98" s="69">
        <v>34765.058114560976</v>
      </c>
      <c r="N98" s="69">
        <v>35035.28896776092</v>
      </c>
      <c r="O98" s="69">
        <v>35305.519820960864</v>
      </c>
      <c r="P98" s="69">
        <v>35575.750674160809</v>
      </c>
    </row>
    <row r="99" spans="2:16" x14ac:dyDescent="0.35">
      <c r="B99" s="23">
        <v>2044</v>
      </c>
      <c r="C99" s="264">
        <f>'Goods Model'!F42</f>
        <v>214090.73705882358</v>
      </c>
      <c r="D99" s="69">
        <v>32815.659289287265</v>
      </c>
      <c r="E99" s="69">
        <v>33090.891995891623</v>
      </c>
      <c r="F99" s="69">
        <v>33366.124702495981</v>
      </c>
      <c r="G99" s="69">
        <v>33641.357409100339</v>
      </c>
      <c r="H99" s="70">
        <v>33916.590115704697</v>
      </c>
      <c r="I99" s="69">
        <v>34191.822822309055</v>
      </c>
      <c r="J99" s="69">
        <v>34467.055528913414</v>
      </c>
      <c r="K99" s="69">
        <v>34742.288235517772</v>
      </c>
      <c r="L99" s="69">
        <v>35017.52094212213</v>
      </c>
      <c r="M99" s="69">
        <v>35292.753648726488</v>
      </c>
      <c r="N99" s="69">
        <v>35567.986355330853</v>
      </c>
      <c r="O99" s="69">
        <v>35843.219061935204</v>
      </c>
      <c r="P99" s="69">
        <v>36118.451768539569</v>
      </c>
    </row>
    <row r="100" spans="2:16" x14ac:dyDescent="0.35">
      <c r="B100" s="23">
        <v>2045</v>
      </c>
      <c r="C100" s="264">
        <f>'Goods Model'!F43</f>
        <v>217981.4464705885</v>
      </c>
      <c r="D100" s="69">
        <v>33298.338142813183</v>
      </c>
      <c r="E100" s="69">
        <v>33578.572702821955</v>
      </c>
      <c r="F100" s="69">
        <v>33858.807262830735</v>
      </c>
      <c r="G100" s="69">
        <v>34139.041822839506</v>
      </c>
      <c r="H100" s="70">
        <v>34419.276382848271</v>
      </c>
      <c r="I100" s="69">
        <v>34699.510942857043</v>
      </c>
      <c r="J100" s="69">
        <v>34979.745502865815</v>
      </c>
      <c r="K100" s="69">
        <v>35259.980062874587</v>
      </c>
      <c r="L100" s="69">
        <v>35540.214622883359</v>
      </c>
      <c r="M100" s="69">
        <v>35820.449182892138</v>
      </c>
      <c r="N100" s="69">
        <v>36100.683742900903</v>
      </c>
      <c r="O100" s="69">
        <v>36380.918302909675</v>
      </c>
      <c r="P100" s="69">
        <v>36661.152862918447</v>
      </c>
    </row>
    <row r="101" spans="2:16" x14ac:dyDescent="0.35">
      <c r="B101" s="23">
        <v>2046</v>
      </c>
      <c r="C101" s="264">
        <f>'Goods Model'!F44</f>
        <v>221872.15588235343</v>
      </c>
      <c r="D101" s="69">
        <v>33781.016996339109</v>
      </c>
      <c r="E101" s="69">
        <v>34066.253409752288</v>
      </c>
      <c r="F101" s="69">
        <v>34351.489823165481</v>
      </c>
      <c r="G101" s="69">
        <v>34636.726236578666</v>
      </c>
      <c r="H101" s="70">
        <v>34921.962649991845</v>
      </c>
      <c r="I101" s="69">
        <v>35207.199063405031</v>
      </c>
      <c r="J101" s="69">
        <v>35492.435476818217</v>
      </c>
      <c r="K101" s="69">
        <v>35777.67189023141</v>
      </c>
      <c r="L101" s="69">
        <v>36062.908303644588</v>
      </c>
      <c r="M101" s="69">
        <v>36348.144717057774</v>
      </c>
      <c r="N101" s="69">
        <v>36633.38113047096</v>
      </c>
      <c r="O101" s="69">
        <v>36918.617543884153</v>
      </c>
      <c r="P101" s="69">
        <v>37203.853957297339</v>
      </c>
    </row>
    <row r="102" spans="2:16" x14ac:dyDescent="0.35">
      <c r="B102" s="23">
        <v>2047</v>
      </c>
      <c r="C102" s="264">
        <f>'Goods Model'!F45</f>
        <v>225762.86529411864</v>
      </c>
      <c r="D102" s="69">
        <v>34263.695849865064</v>
      </c>
      <c r="E102" s="69">
        <v>34553.934116682663</v>
      </c>
      <c r="F102" s="69">
        <v>34844.172383500263</v>
      </c>
      <c r="G102" s="69">
        <v>35134.410650317863</v>
      </c>
      <c r="H102" s="70">
        <v>35424.648917135462</v>
      </c>
      <c r="I102" s="69">
        <v>35714.887183953055</v>
      </c>
      <c r="J102" s="69">
        <v>36005.125450770662</v>
      </c>
      <c r="K102" s="69">
        <v>36295.363717588261</v>
      </c>
      <c r="L102" s="69">
        <v>36585.601984405861</v>
      </c>
      <c r="M102" s="69">
        <v>36875.840251223461</v>
      </c>
      <c r="N102" s="69">
        <v>37166.07851804106</v>
      </c>
      <c r="O102" s="69">
        <v>37456.31678485866</v>
      </c>
      <c r="P102" s="69">
        <v>37746.55505167626</v>
      </c>
    </row>
    <row r="103" spans="2:16" x14ac:dyDescent="0.35">
      <c r="B103" s="23">
        <v>2048</v>
      </c>
      <c r="C103" s="264">
        <f>'Goods Model'!F46</f>
        <v>229653.57470588264</v>
      </c>
      <c r="D103" s="69">
        <v>34746.374703390866</v>
      </c>
      <c r="E103" s="69">
        <v>35041.614823612879</v>
      </c>
      <c r="F103" s="69">
        <v>35336.854943834893</v>
      </c>
      <c r="G103" s="69">
        <v>35632.095064056906</v>
      </c>
      <c r="H103" s="70">
        <v>35927.335184278912</v>
      </c>
      <c r="I103" s="69">
        <v>36222.575304500926</v>
      </c>
      <c r="J103" s="69">
        <v>36517.815424722939</v>
      </c>
      <c r="K103" s="69">
        <v>36813.055544944953</v>
      </c>
      <c r="L103" s="69">
        <v>37108.295665166967</v>
      </c>
      <c r="M103" s="69">
        <v>37403.535785388973</v>
      </c>
      <c r="N103" s="69">
        <v>37698.775905610986</v>
      </c>
      <c r="O103" s="69">
        <v>37994.016025833</v>
      </c>
      <c r="P103" s="69">
        <v>38289.256146055013</v>
      </c>
    </row>
    <row r="104" spans="2:16" x14ac:dyDescent="0.35">
      <c r="B104" s="23">
        <v>2049</v>
      </c>
      <c r="C104" s="264">
        <f>'Goods Model'!F47</f>
        <v>233544.28411764756</v>
      </c>
      <c r="D104" s="69">
        <v>35229.053556916791</v>
      </c>
      <c r="E104" s="69">
        <v>35529.295530543211</v>
      </c>
      <c r="F104" s="69">
        <v>35829.537504169639</v>
      </c>
      <c r="G104" s="69">
        <v>36129.779477796066</v>
      </c>
      <c r="H104" s="70">
        <v>36430.021451422486</v>
      </c>
      <c r="I104" s="69">
        <v>36730.263425048914</v>
      </c>
      <c r="J104" s="69">
        <v>37030.505398675341</v>
      </c>
      <c r="K104" s="69">
        <v>37330.747372301768</v>
      </c>
      <c r="L104" s="69">
        <v>37630.989345928196</v>
      </c>
      <c r="M104" s="69">
        <v>37931.231319554623</v>
      </c>
      <c r="N104" s="69">
        <v>38231.473293181043</v>
      </c>
      <c r="O104" s="69">
        <v>38531.71526680747</v>
      </c>
      <c r="P104" s="69">
        <v>38831.957240433898</v>
      </c>
    </row>
    <row r="105" spans="2:16" x14ac:dyDescent="0.35">
      <c r="B105" s="23">
        <v>2050</v>
      </c>
      <c r="C105" s="264">
        <f>'Goods Model'!F48</f>
        <v>237434.99352941249</v>
      </c>
      <c r="D105" s="69">
        <v>35711.73241044271</v>
      </c>
      <c r="E105" s="69">
        <v>36016.976237473551</v>
      </c>
      <c r="F105" s="69">
        <v>36322.220064504385</v>
      </c>
      <c r="G105" s="69">
        <v>36627.463891535226</v>
      </c>
      <c r="H105" s="70">
        <v>36932.707718566067</v>
      </c>
      <c r="I105" s="69">
        <v>37237.951545596901</v>
      </c>
      <c r="J105" s="69">
        <v>37543.195372627742</v>
      </c>
      <c r="K105" s="69">
        <v>37848.439199658584</v>
      </c>
      <c r="L105" s="69">
        <v>38153.683026689425</v>
      </c>
      <c r="M105" s="69">
        <v>38458.926853720266</v>
      </c>
      <c r="N105" s="69">
        <v>38764.170680751107</v>
      </c>
      <c r="O105" s="69">
        <v>39069.414507781941</v>
      </c>
      <c r="P105" s="69">
        <v>39374.658334812782</v>
      </c>
    </row>
    <row r="108" spans="2:16" ht="14.5" customHeight="1" x14ac:dyDescent="0.35">
      <c r="B108" s="23"/>
      <c r="C108" s="23" t="s">
        <v>90</v>
      </c>
      <c r="D108" s="291" t="s">
        <v>54</v>
      </c>
      <c r="E108" s="23"/>
    </row>
    <row r="109" spans="2:16" ht="43.5" x14ac:dyDescent="0.35">
      <c r="B109" s="23" t="s">
        <v>6</v>
      </c>
      <c r="C109" s="5" t="s">
        <v>96</v>
      </c>
      <c r="D109" s="5" t="s">
        <v>54</v>
      </c>
      <c r="E109" s="5" t="s">
        <v>97</v>
      </c>
    </row>
    <row r="110" spans="2:16" x14ac:dyDescent="0.35">
      <c r="B110" s="232">
        <v>2005</v>
      </c>
      <c r="C110" s="261">
        <v>62068.7</v>
      </c>
      <c r="D110" s="263">
        <v>14509.03867398</v>
      </c>
      <c r="E110" s="23"/>
    </row>
    <row r="111" spans="2:16" x14ac:dyDescent="0.35">
      <c r="B111" s="232">
        <v>2006</v>
      </c>
      <c r="C111" s="261">
        <v>69083.199999999997</v>
      </c>
      <c r="D111" s="263">
        <v>15115.376742599998</v>
      </c>
      <c r="E111" s="122">
        <f>(C111-C110)/C110</f>
        <v>0.11301187232856497</v>
      </c>
    </row>
    <row r="112" spans="2:16" x14ac:dyDescent="0.35">
      <c r="B112" s="232">
        <v>2007</v>
      </c>
      <c r="C112" s="261">
        <v>74017.8</v>
      </c>
      <c r="D112" s="263">
        <v>15818.96501776</v>
      </c>
      <c r="E112" s="122">
        <f t="shared" ref="E112:E124" si="1">(C112-C111)/C111</f>
        <v>7.1429812168515738E-2</v>
      </c>
    </row>
    <row r="113" spans="2:5" x14ac:dyDescent="0.35">
      <c r="B113" s="232">
        <v>2008</v>
      </c>
      <c r="C113" s="261">
        <v>73427.600000000006</v>
      </c>
      <c r="D113" s="263">
        <v>16030.87601652</v>
      </c>
      <c r="E113" s="122">
        <f t="shared" si="1"/>
        <v>-7.973757663697071E-3</v>
      </c>
    </row>
    <row r="114" spans="2:5" x14ac:dyDescent="0.35">
      <c r="B114" s="232">
        <v>2009</v>
      </c>
      <c r="C114" s="261">
        <v>73823.100000000006</v>
      </c>
      <c r="D114" s="263">
        <v>15570.259369439998</v>
      </c>
      <c r="E114" s="122">
        <f t="shared" si="1"/>
        <v>5.3862580283163273E-3</v>
      </c>
    </row>
    <row r="115" spans="2:5" x14ac:dyDescent="0.35">
      <c r="B115" s="232">
        <v>2010</v>
      </c>
      <c r="C115" s="261">
        <v>91573.1</v>
      </c>
      <c r="D115" s="263">
        <v>17662.576234049997</v>
      </c>
      <c r="E115" s="122">
        <f t="shared" si="1"/>
        <v>0.24043964558518943</v>
      </c>
    </row>
    <row r="116" spans="2:5" x14ac:dyDescent="0.35">
      <c r="B116" s="232">
        <v>2011</v>
      </c>
      <c r="C116" s="261">
        <v>97776.4</v>
      </c>
      <c r="D116" s="263">
        <v>18077.506449780001</v>
      </c>
      <c r="E116" s="122">
        <f t="shared" si="1"/>
        <v>6.7741509242342873E-2</v>
      </c>
    </row>
    <row r="117" spans="2:5" x14ac:dyDescent="0.35">
      <c r="B117" s="232">
        <v>2012</v>
      </c>
      <c r="C117" s="261">
        <v>99895.7</v>
      </c>
      <c r="D117" s="263">
        <v>18572.531231070003</v>
      </c>
      <c r="E117" s="122">
        <f t="shared" si="1"/>
        <v>2.1674964510863592E-2</v>
      </c>
    </row>
    <row r="118" spans="2:5" x14ac:dyDescent="0.35">
      <c r="B118" s="232">
        <v>2013</v>
      </c>
      <c r="C118" s="261">
        <v>101759.8</v>
      </c>
      <c r="D118" s="263">
        <v>18842.820084520001</v>
      </c>
      <c r="E118" s="122">
        <f t="shared" si="1"/>
        <v>1.8660462862765924E-2</v>
      </c>
    </row>
    <row r="119" spans="2:5" x14ac:dyDescent="0.35">
      <c r="B119" s="232">
        <v>2014</v>
      </c>
      <c r="C119" s="261">
        <v>105645.2</v>
      </c>
      <c r="D119" s="263">
        <v>19753.195991640001</v>
      </c>
      <c r="E119" s="122">
        <f t="shared" si="1"/>
        <v>3.8182071898726161E-2</v>
      </c>
    </row>
    <row r="120" spans="2:5" x14ac:dyDescent="0.35">
      <c r="B120" s="232">
        <v>2015</v>
      </c>
      <c r="C120" s="261">
        <v>102986</v>
      </c>
      <c r="D120" s="263">
        <v>20088.001957660003</v>
      </c>
      <c r="E120" s="122">
        <f t="shared" si="1"/>
        <v>-2.5171044212136444E-2</v>
      </c>
    </row>
    <row r="121" spans="2:5" x14ac:dyDescent="0.35">
      <c r="B121" s="232">
        <v>2016</v>
      </c>
      <c r="C121" s="261">
        <v>105688.6</v>
      </c>
      <c r="D121" s="263">
        <v>20418.4394293</v>
      </c>
      <c r="E121" s="122">
        <f t="shared" si="1"/>
        <v>2.6242401879867223E-2</v>
      </c>
    </row>
    <row r="122" spans="2:5" x14ac:dyDescent="0.35">
      <c r="B122" s="232">
        <v>2017</v>
      </c>
      <c r="C122" s="261">
        <v>112975.5</v>
      </c>
      <c r="D122" s="263">
        <v>21516.323319549996</v>
      </c>
      <c r="E122" s="122">
        <f t="shared" si="1"/>
        <v>6.8946887365335469E-2</v>
      </c>
    </row>
    <row r="123" spans="2:5" x14ac:dyDescent="0.35">
      <c r="B123" s="232">
        <v>2018</v>
      </c>
      <c r="C123" s="261">
        <v>119283.2</v>
      </c>
      <c r="D123" s="263">
        <v>21450.730733389999</v>
      </c>
      <c r="E123" s="122">
        <f t="shared" si="1"/>
        <v>5.5832459250014357E-2</v>
      </c>
    </row>
    <row r="124" spans="2:5" x14ac:dyDescent="0.35">
      <c r="B124" s="232">
        <v>2019</v>
      </c>
      <c r="C124" s="261">
        <v>118187.5</v>
      </c>
      <c r="D124" s="263">
        <v>21444.449255319996</v>
      </c>
      <c r="E124" s="122">
        <f t="shared" si="1"/>
        <v>-9.1857025968451311E-3</v>
      </c>
    </row>
    <row r="125" spans="2:5" x14ac:dyDescent="0.35">
      <c r="D125" s="69" t="s">
        <v>93</v>
      </c>
      <c r="E125" s="121">
        <f>AVERAGE(E111:E124)</f>
        <v>4.8944131474844534E-2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29A2B-A29E-4CA1-8F9F-14D14B2D3D9D}">
  <sheetPr>
    <tabColor rgb="FF7030A0"/>
  </sheetPr>
  <dimension ref="B2:Q84"/>
  <sheetViews>
    <sheetView showGridLines="0" zoomScale="80" zoomScaleNormal="80" workbookViewId="0">
      <selection activeCell="C24" sqref="C24"/>
    </sheetView>
  </sheetViews>
  <sheetFormatPr defaultColWidth="14.1796875" defaultRowHeight="14.5" x14ac:dyDescent="0.35"/>
  <cols>
    <col min="8" max="8" width="17.1796875" customWidth="1"/>
  </cols>
  <sheetData>
    <row r="2" spans="2:10" ht="18.5" x14ac:dyDescent="0.35">
      <c r="B2" s="283" t="s">
        <v>98</v>
      </c>
      <c r="C2" s="3"/>
      <c r="D2" s="3"/>
      <c r="E2" s="3"/>
    </row>
    <row r="4" spans="2:10" ht="87" x14ac:dyDescent="0.35">
      <c r="B4" s="5" t="s">
        <v>6</v>
      </c>
      <c r="C4" s="5" t="s">
        <v>99</v>
      </c>
      <c r="D4" s="5" t="s">
        <v>100</v>
      </c>
      <c r="E4" s="5" t="s">
        <v>101</v>
      </c>
      <c r="F4" s="5" t="s">
        <v>102</v>
      </c>
      <c r="G4" s="5" t="s">
        <v>103</v>
      </c>
    </row>
    <row r="5" spans="2:10" hidden="1" x14ac:dyDescent="0.35">
      <c r="B5" s="138">
        <v>2005</v>
      </c>
      <c r="C5" s="22"/>
      <c r="D5" s="22"/>
      <c r="E5" s="22"/>
      <c r="F5" s="22"/>
      <c r="G5" s="254">
        <f>'Base Model'!J8</f>
        <v>35489.256682580002</v>
      </c>
    </row>
    <row r="6" spans="2:10" hidden="1" x14ac:dyDescent="0.35">
      <c r="B6" s="119">
        <v>2006</v>
      </c>
      <c r="C6" s="22"/>
      <c r="D6" s="22"/>
      <c r="E6" s="22"/>
      <c r="F6" s="22"/>
      <c r="G6" s="254">
        <f>'Base Model'!J9</f>
        <v>36801.807691399998</v>
      </c>
      <c r="J6" s="149"/>
    </row>
    <row r="7" spans="2:10" hidden="1" x14ac:dyDescent="0.35">
      <c r="B7" s="119">
        <v>2007</v>
      </c>
      <c r="C7" s="22"/>
      <c r="D7" s="22"/>
      <c r="E7" s="22"/>
      <c r="F7" s="22"/>
      <c r="G7" s="254">
        <f>'Base Model'!J10</f>
        <v>38304.913148959997</v>
      </c>
      <c r="J7" s="149"/>
    </row>
    <row r="8" spans="2:10" hidden="1" x14ac:dyDescent="0.35">
      <c r="B8" s="119">
        <v>2008</v>
      </c>
      <c r="C8" s="22"/>
      <c r="D8" s="22"/>
      <c r="E8" s="22"/>
      <c r="F8" s="22"/>
      <c r="G8" s="254">
        <f>'Base Model'!J11</f>
        <v>38986.956093520006</v>
      </c>
      <c r="J8" s="149"/>
    </row>
    <row r="9" spans="2:10" hidden="1" x14ac:dyDescent="0.35">
      <c r="B9" s="119">
        <v>2009</v>
      </c>
      <c r="C9" s="22"/>
      <c r="D9" s="22"/>
      <c r="E9" s="22"/>
      <c r="F9" s="22"/>
      <c r="G9" s="254">
        <f>'Base Model'!J12</f>
        <v>38822.874245740008</v>
      </c>
      <c r="J9" s="149"/>
    </row>
    <row r="10" spans="2:10" hidden="1" x14ac:dyDescent="0.35">
      <c r="B10" s="119">
        <v>2010</v>
      </c>
      <c r="C10" s="22"/>
      <c r="D10" s="22"/>
      <c r="E10" s="22"/>
      <c r="F10" s="22"/>
      <c r="G10" s="254">
        <f>'Base Model'!J13</f>
        <v>42251.754561449998</v>
      </c>
      <c r="J10" s="149"/>
    </row>
    <row r="11" spans="2:10" hidden="1" x14ac:dyDescent="0.35">
      <c r="B11" s="119">
        <v>2011</v>
      </c>
      <c r="C11" s="22"/>
      <c r="D11" s="22"/>
      <c r="E11" s="22"/>
      <c r="F11" s="22"/>
      <c r="G11" s="254">
        <f>'Base Model'!J14</f>
        <v>43007.136492679994</v>
      </c>
      <c r="J11" s="149"/>
    </row>
    <row r="12" spans="2:10" hidden="1" x14ac:dyDescent="0.35">
      <c r="B12" s="119">
        <v>2012</v>
      </c>
      <c r="C12" s="22"/>
      <c r="D12" s="22"/>
      <c r="E12" s="22"/>
      <c r="F12" s="22"/>
      <c r="G12" s="254">
        <f>'Base Model'!J15</f>
        <v>44200.708214070008</v>
      </c>
      <c r="J12" s="149"/>
    </row>
    <row r="13" spans="2:10" hidden="1" x14ac:dyDescent="0.35">
      <c r="B13" s="119">
        <v>2013</v>
      </c>
      <c r="C13" s="22"/>
      <c r="D13" s="22"/>
      <c r="E13" s="22"/>
      <c r="F13" s="22"/>
      <c r="G13" s="254">
        <f>'Base Model'!J16</f>
        <v>44948.815456919998</v>
      </c>
      <c r="J13" s="149"/>
    </row>
    <row r="14" spans="2:10" hidden="1" x14ac:dyDescent="0.35">
      <c r="B14" s="119">
        <v>2014</v>
      </c>
      <c r="C14" s="22"/>
      <c r="D14" s="22"/>
      <c r="E14" s="22"/>
      <c r="F14" s="22"/>
      <c r="G14" s="254">
        <f>'Base Model'!J17</f>
        <v>46402.945983739999</v>
      </c>
      <c r="J14" s="149"/>
    </row>
    <row r="15" spans="2:10" hidden="1" x14ac:dyDescent="0.35">
      <c r="B15" s="119">
        <v>2015</v>
      </c>
      <c r="C15" s="22"/>
      <c r="D15" s="22"/>
      <c r="E15" s="22"/>
      <c r="F15" s="22"/>
      <c r="G15" s="254">
        <f>'Base Model'!J18</f>
        <v>47513.942689659998</v>
      </c>
      <c r="J15" s="149"/>
    </row>
    <row r="16" spans="2:10" hidden="1" x14ac:dyDescent="0.35">
      <c r="B16" s="119">
        <v>2016</v>
      </c>
      <c r="C16" s="22"/>
      <c r="D16" s="22"/>
      <c r="E16" s="22"/>
      <c r="F16" s="22"/>
      <c r="G16" s="254">
        <f>'Base Model'!J19</f>
        <v>48626.636447099998</v>
      </c>
      <c r="J16" s="149"/>
    </row>
    <row r="17" spans="2:10" hidden="1" x14ac:dyDescent="0.35">
      <c r="B17" s="119">
        <v>2017</v>
      </c>
      <c r="C17" s="22"/>
      <c r="D17" s="22"/>
      <c r="E17" s="22"/>
      <c r="F17" s="22"/>
      <c r="G17" s="254">
        <f>'Base Model'!J20</f>
        <v>49643.651990849998</v>
      </c>
      <c r="J17" s="149"/>
    </row>
    <row r="18" spans="2:10" hidden="1" x14ac:dyDescent="0.35">
      <c r="B18" s="119">
        <v>2018</v>
      </c>
      <c r="C18" s="22"/>
      <c r="D18" s="22"/>
      <c r="E18" s="22"/>
      <c r="F18" s="22"/>
      <c r="G18" s="254">
        <f>'Base Model'!J21</f>
        <v>50448.897246589993</v>
      </c>
      <c r="J18" s="149"/>
    </row>
    <row r="19" spans="2:10" hidden="1" x14ac:dyDescent="0.35">
      <c r="B19" s="119">
        <v>2019</v>
      </c>
      <c r="C19" s="22"/>
      <c r="D19" s="22"/>
      <c r="E19" s="22"/>
      <c r="F19" s="22"/>
      <c r="G19" s="254">
        <f>'Base Model'!J22</f>
        <v>51720.028003719999</v>
      </c>
      <c r="J19" s="149"/>
    </row>
    <row r="20" spans="2:10" hidden="1" x14ac:dyDescent="0.35">
      <c r="B20" s="119">
        <v>2020</v>
      </c>
      <c r="C20" s="22"/>
      <c r="D20" s="22"/>
      <c r="E20" s="22"/>
      <c r="F20" s="22">
        <v>30091.919999999998</v>
      </c>
      <c r="G20" s="254">
        <f>'Base Model'!J23</f>
        <v>50656.465103100003</v>
      </c>
      <c r="J20" s="149"/>
    </row>
    <row r="21" spans="2:10" x14ac:dyDescent="0.35">
      <c r="B21" s="23">
        <v>2021</v>
      </c>
      <c r="C21" s="180">
        <f>'Household Model'!I19</f>
        <v>8296.6486905299098</v>
      </c>
      <c r="D21" s="180">
        <f>'Goods Model'!H20</f>
        <v>22184.566023655905</v>
      </c>
      <c r="E21" s="180">
        <f>'Services Model'!H20</f>
        <v>23382.378208277845</v>
      </c>
      <c r="F21" s="255">
        <f>SUM(C21:E21)</f>
        <v>53863.592922463664</v>
      </c>
      <c r="G21" s="265">
        <f>'Base Model'!J24</f>
        <v>53158.890369894623</v>
      </c>
      <c r="J21" s="149"/>
    </row>
    <row r="22" spans="2:10" x14ac:dyDescent="0.35">
      <c r="B22" s="23">
        <v>2022</v>
      </c>
      <c r="C22" s="180">
        <f>'Household Model'!I20</f>
        <v>8350.878410823876</v>
      </c>
      <c r="D22" s="180">
        <f>'Goods Model'!H21</f>
        <v>22666.876729813637</v>
      </c>
      <c r="E22" s="180">
        <f>'Services Model'!H21</f>
        <v>23897.911646372566</v>
      </c>
      <c r="F22" s="255">
        <f t="shared" ref="F22:F50" si="0">SUM(C22:E22)</f>
        <v>54915.666787010079</v>
      </c>
      <c r="G22" s="265">
        <f>'Base Model'!J25</f>
        <v>54196.993567490885</v>
      </c>
      <c r="H22" s="150"/>
      <c r="J22" s="149"/>
    </row>
    <row r="23" spans="2:10" x14ac:dyDescent="0.35">
      <c r="B23" s="23">
        <v>2023</v>
      </c>
      <c r="C23" s="180">
        <f>'Household Model'!I21</f>
        <v>8404.2901606965643</v>
      </c>
      <c r="D23" s="180">
        <f>'Goods Model'!H22</f>
        <v>23149.187435971282</v>
      </c>
      <c r="E23" s="180">
        <f>'Services Model'!H22</f>
        <v>24413.44508446737</v>
      </c>
      <c r="F23" s="255">
        <f t="shared" si="0"/>
        <v>55966.922681135213</v>
      </c>
      <c r="G23" s="265">
        <f>'Base Model'!J26</f>
        <v>55234.386898904093</v>
      </c>
      <c r="J23" s="149"/>
    </row>
    <row r="24" spans="2:10" x14ac:dyDescent="0.35">
      <c r="B24" s="23">
        <v>2024</v>
      </c>
      <c r="C24" s="180">
        <f>'Household Model'!I22</f>
        <v>8456.8571151770429</v>
      </c>
      <c r="D24" s="180">
        <f>'Goods Model'!H23</f>
        <v>23631.498142129014</v>
      </c>
      <c r="E24" s="180">
        <f>'Services Model'!H23</f>
        <v>24928.978522562134</v>
      </c>
      <c r="F24" s="255">
        <f t="shared" si="0"/>
        <v>57017.33377986819</v>
      </c>
      <c r="G24" s="265">
        <f>'Base Model'!J27</f>
        <v>56271.047084393118</v>
      </c>
      <c r="J24" s="149"/>
    </row>
    <row r="25" spans="2:10" x14ac:dyDescent="0.35">
      <c r="B25" s="23">
        <v>2025</v>
      </c>
      <c r="C25" s="180">
        <f>'Household Model'!I23</f>
        <v>8508.5527078697596</v>
      </c>
      <c r="D25" s="180">
        <f>'Goods Model'!H24</f>
        <v>24113.808848286746</v>
      </c>
      <c r="E25" s="180">
        <f>'Services Model'!H24</f>
        <v>25444.511960656851</v>
      </c>
      <c r="F25" s="255">
        <f t="shared" si="0"/>
        <v>58066.873516813357</v>
      </c>
      <c r="G25" s="265">
        <f>'Base Model'!J28</f>
        <v>57306.951068618298</v>
      </c>
      <c r="J25" s="149"/>
    </row>
    <row r="26" spans="2:10" x14ac:dyDescent="0.35">
      <c r="B26" s="23">
        <v>2026</v>
      </c>
      <c r="C26" s="180">
        <f>'Household Model'!I24</f>
        <v>8559.3506531024032</v>
      </c>
      <c r="D26" s="180">
        <f>'Goods Model'!H25</f>
        <v>24596.119554444362</v>
      </c>
      <c r="E26" s="180">
        <f>'Services Model'!H25</f>
        <v>25960.045398751616</v>
      </c>
      <c r="F26" s="255">
        <f t="shared" si="0"/>
        <v>59115.515606298381</v>
      </c>
      <c r="G26" s="265">
        <f>'Base Model'!J29</f>
        <v>58342.076039862462</v>
      </c>
      <c r="J26" s="149"/>
    </row>
    <row r="27" spans="2:10" x14ac:dyDescent="0.35">
      <c r="B27" s="23">
        <v>2027</v>
      </c>
      <c r="C27" s="180">
        <f>'Household Model'!I25</f>
        <v>8609.2249679901579</v>
      </c>
      <c r="D27" s="180">
        <f>'Goods Model'!H26</f>
        <v>25078.430260602094</v>
      </c>
      <c r="E27" s="180">
        <f>'Services Model'!H26</f>
        <v>26475.578836846464</v>
      </c>
      <c r="F27" s="255">
        <f t="shared" si="0"/>
        <v>60163.234065438715</v>
      </c>
      <c r="G27" s="265">
        <f>'Base Model'!J30</f>
        <v>59376.399449179415</v>
      </c>
      <c r="J27" s="149"/>
    </row>
    <row r="28" spans="2:10" x14ac:dyDescent="0.35">
      <c r="B28" s="23">
        <v>2028</v>
      </c>
      <c r="C28" s="180">
        <f>'Household Model'!I26</f>
        <v>8658.149994390722</v>
      </c>
      <c r="D28" s="180">
        <f>'Goods Model'!H27</f>
        <v>25560.740966759855</v>
      </c>
      <c r="E28" s="180">
        <f>'Services Model'!H27</f>
        <v>26991.112274941228</v>
      </c>
      <c r="F28" s="255">
        <f t="shared" si="0"/>
        <v>61210.003236091812</v>
      </c>
      <c r="G28" s="265">
        <f>'Base Model'!J31</f>
        <v>60409.899029446402</v>
      </c>
      <c r="J28" s="149"/>
    </row>
    <row r="29" spans="2:10" x14ac:dyDescent="0.35">
      <c r="B29" s="23">
        <v>2029</v>
      </c>
      <c r="C29" s="180">
        <f>'Household Model'!I27</f>
        <v>8706.1004207243186</v>
      </c>
      <c r="D29" s="180">
        <f>'Goods Model'!H28</f>
        <v>26043.05167291758</v>
      </c>
      <c r="E29" s="180">
        <f>'Services Model'!H28</f>
        <v>27506.645713035989</v>
      </c>
      <c r="F29" s="255">
        <f t="shared" si="0"/>
        <v>62255.797806677889</v>
      </c>
      <c r="G29" s="265">
        <f>'Base Model'!J32</f>
        <v>61442.552814301293</v>
      </c>
      <c r="J29" s="149"/>
    </row>
    <row r="30" spans="2:10" x14ac:dyDescent="0.35">
      <c r="B30" s="23">
        <v>2030</v>
      </c>
      <c r="C30" s="180">
        <f>'Household Model'!I28</f>
        <v>8753.0513036330558</v>
      </c>
      <c r="D30" s="180">
        <f>'Goods Model'!H29</f>
        <v>26525.362379075195</v>
      </c>
      <c r="E30" s="180">
        <f>'Services Model'!H29</f>
        <v>28022.179151130706</v>
      </c>
      <c r="F30" s="255">
        <f t="shared" si="0"/>
        <v>63300.592833838964</v>
      </c>
      <c r="G30" s="265">
        <f>'Base Model'!J33</f>
        <v>62474.339156938891</v>
      </c>
      <c r="J30" s="149"/>
    </row>
    <row r="31" spans="2:10" x14ac:dyDescent="0.35">
      <c r="B31" s="23">
        <v>2031</v>
      </c>
      <c r="C31" s="180">
        <f>'Household Model'!I29</f>
        <v>8798.9780894538271</v>
      </c>
      <c r="D31" s="180">
        <f>'Goods Model'!H30</f>
        <v>27007.673085232927</v>
      </c>
      <c r="E31" s="180">
        <f>'Services Model'!H30</f>
        <v>28537.712589225514</v>
      </c>
      <c r="F31" s="255">
        <f t="shared" si="0"/>
        <v>64344.363763912268</v>
      </c>
      <c r="G31" s="265">
        <f>'Base Model'!J34</f>
        <v>63505.236748746618</v>
      </c>
      <c r="J31" s="149"/>
    </row>
    <row r="32" spans="2:10" x14ac:dyDescent="0.35">
      <c r="B32" s="23">
        <v>2032</v>
      </c>
      <c r="C32" s="180">
        <f>'Household Model'!I30</f>
        <v>8843.8566354791365</v>
      </c>
      <c r="D32" s="180">
        <f>'Goods Model'!H31</f>
        <v>27489.983791390667</v>
      </c>
      <c r="E32" s="180">
        <f>'Services Model'!H31</f>
        <v>29053.246027320274</v>
      </c>
      <c r="F32" s="255">
        <f t="shared" si="0"/>
        <v>65387.086454190081</v>
      </c>
      <c r="G32" s="265">
        <f>'Base Model'!J35</f>
        <v>64535.224637754363</v>
      </c>
      <c r="J32" s="149"/>
    </row>
    <row r="33" spans="2:10" x14ac:dyDescent="0.35">
      <c r="B33" s="23">
        <v>2033</v>
      </c>
      <c r="C33" s="180">
        <f>'Household Model'!I31</f>
        <v>8887.6632309802426</v>
      </c>
      <c r="D33" s="180">
        <f>'Goods Model'!H32</f>
        <v>27972.294497548282</v>
      </c>
      <c r="E33" s="180">
        <f>'Services Model'!H32</f>
        <v>29568.779465414995</v>
      </c>
      <c r="F33" s="255">
        <f t="shared" si="0"/>
        <v>66428.737193943525</v>
      </c>
      <c r="G33" s="265">
        <f>'Base Model'!J36</f>
        <v>65564.282246879899</v>
      </c>
      <c r="J33" s="149"/>
    </row>
    <row r="34" spans="2:10" x14ac:dyDescent="0.35">
      <c r="B34" s="23">
        <v>2034</v>
      </c>
      <c r="C34" s="180">
        <f>'Household Model'!I32</f>
        <v>8930.3746179671471</v>
      </c>
      <c r="D34" s="180">
        <f>'Goods Model'!H33</f>
        <v>28454.605203706044</v>
      </c>
      <c r="E34" s="180">
        <f>'Services Model'!H33</f>
        <v>30084.312903509759</v>
      </c>
      <c r="F34" s="255">
        <f t="shared" si="0"/>
        <v>67469.292725182953</v>
      </c>
      <c r="G34" s="265">
        <f>'Base Model'!J37</f>
        <v>66592.389391945588</v>
      </c>
      <c r="J34" s="149"/>
    </row>
    <row r="35" spans="2:10" x14ac:dyDescent="0.35">
      <c r="B35" s="23">
        <v>2035</v>
      </c>
      <c r="C35" s="180">
        <f>'Household Model'!I33</f>
        <v>8971.9680116602067</v>
      </c>
      <c r="D35" s="180">
        <f>'Goods Model'!H34</f>
        <v>28936.915909863768</v>
      </c>
      <c r="E35" s="180">
        <f>'Services Model'!H34</f>
        <v>30599.846341604563</v>
      </c>
      <c r="F35" s="255">
        <f t="shared" si="0"/>
        <v>68508.730263128527</v>
      </c>
      <c r="G35" s="265">
        <f>'Base Model'!J38</f>
        <v>67619.526299443358</v>
      </c>
      <c r="J35" s="149"/>
    </row>
    <row r="36" spans="2:10" x14ac:dyDescent="0.35">
      <c r="B36" s="23">
        <v>2036</v>
      </c>
      <c r="C36" s="180">
        <f>'Household Model'!I34</f>
        <v>9012.4211206481941</v>
      </c>
      <c r="D36" s="180">
        <f>'Goods Model'!H35</f>
        <v>29419.226616021508</v>
      </c>
      <c r="E36" s="180">
        <f>'Services Model'!H35</f>
        <v>31115.379779699284</v>
      </c>
      <c r="F36" s="255">
        <f t="shared" si="0"/>
        <v>69547.02751636898</v>
      </c>
      <c r="G36" s="265">
        <f>'Base Model'!J39</f>
        <v>68645.673624029383</v>
      </c>
      <c r="J36" s="149"/>
    </row>
    <row r="37" spans="2:10" x14ac:dyDescent="0.35">
      <c r="B37" s="23">
        <v>2037</v>
      </c>
      <c r="C37" s="180">
        <f>'Household Model'!I35</f>
        <v>9051.7121667080519</v>
      </c>
      <c r="D37" s="180">
        <f>'Goods Model'!H36</f>
        <v>29901.537322179123</v>
      </c>
      <c r="E37" s="180">
        <f>'Services Model'!H36</f>
        <v>31630.913217794045</v>
      </c>
      <c r="F37" s="255">
        <f t="shared" si="0"/>
        <v>70584.162706681222</v>
      </c>
      <c r="G37" s="265">
        <f>'Base Model'!J40</f>
        <v>69670.812465724273</v>
      </c>
      <c r="J37" s="149"/>
    </row>
    <row r="38" spans="2:10" x14ac:dyDescent="0.35">
      <c r="B38" s="23">
        <v>2038</v>
      </c>
      <c r="C38" s="180">
        <f>'Household Model'!I36</f>
        <v>9089.8199042617707</v>
      </c>
      <c r="D38" s="180">
        <f>'Goods Model'!H37</f>
        <v>30383.848028336855</v>
      </c>
      <c r="E38" s="180">
        <f>'Services Model'!H37</f>
        <v>32146.446655888809</v>
      </c>
      <c r="F38" s="255">
        <f t="shared" si="0"/>
        <v>71620.114588487428</v>
      </c>
      <c r="G38" s="265">
        <f>'Base Model'!J41</f>
        <v>70694.924386798739</v>
      </c>
      <c r="J38" s="149"/>
    </row>
    <row r="39" spans="2:10" x14ac:dyDescent="0.35">
      <c r="B39" s="23">
        <v>2039</v>
      </c>
      <c r="C39" s="180">
        <f>'Household Model'!I37</f>
        <v>9126.7236394461452</v>
      </c>
      <c r="D39" s="180">
        <f>'Goods Model'!H38</f>
        <v>30866.158734494587</v>
      </c>
      <c r="E39" s="180">
        <f>'Services Model'!H38</f>
        <v>32661.98009398357</v>
      </c>
      <c r="F39" s="255">
        <f t="shared" si="0"/>
        <v>72654.862467924308</v>
      </c>
      <c r="G39" s="265">
        <f>'Base Model'!J42</f>
        <v>71717.991428322493</v>
      </c>
      <c r="J39" s="149"/>
    </row>
    <row r="40" spans="2:10" x14ac:dyDescent="0.35">
      <c r="B40" s="23">
        <v>2040</v>
      </c>
      <c r="C40" s="180">
        <f>'Household Model'!I38</f>
        <v>9162.4032487715776</v>
      </c>
      <c r="D40" s="180">
        <f>'Goods Model'!H39</f>
        <v>31348.469440652225</v>
      </c>
      <c r="E40" s="180">
        <f>'Services Model'!H39</f>
        <v>33177.51353207833</v>
      </c>
      <c r="F40" s="255">
        <f t="shared" si="0"/>
        <v>73688.386221502136</v>
      </c>
      <c r="G40" s="265">
        <f>'Base Model'!J43</f>
        <v>72739.996126357379</v>
      </c>
      <c r="J40" s="149"/>
    </row>
    <row r="41" spans="2:10" x14ac:dyDescent="0.35">
      <c r="B41" s="23">
        <v>2041</v>
      </c>
      <c r="C41" s="180">
        <f>'Household Model'!I39</f>
        <v>9196.8391973464531</v>
      </c>
      <c r="D41" s="180">
        <f>'Goods Model'!H40</f>
        <v>31830.780146809964</v>
      </c>
      <c r="E41" s="180">
        <f>'Services Model'!H40</f>
        <v>33693.046970173047</v>
      </c>
      <c r="F41" s="255">
        <f t="shared" si="0"/>
        <v>74720.666314329457</v>
      </c>
      <c r="G41" s="265">
        <f>'Base Model'!J44</f>
        <v>73760.92152777352</v>
      </c>
      <c r="J41" s="149"/>
    </row>
    <row r="42" spans="2:10" x14ac:dyDescent="0.35">
      <c r="B42" s="23">
        <v>2042</v>
      </c>
      <c r="C42" s="180">
        <f>'Household Model'!I40</f>
        <v>9230.0125566440838</v>
      </c>
      <c r="D42" s="180">
        <f>'Goods Model'!H41</f>
        <v>32313.090852967689</v>
      </c>
      <c r="E42" s="180">
        <f>'Services Model'!H41</f>
        <v>34208.580408267808</v>
      </c>
      <c r="F42" s="255">
        <f t="shared" si="0"/>
        <v>75751.683817879588</v>
      </c>
      <c r="G42" s="265">
        <f>'Base Model'!J45</f>
        <v>74780.751205667577</v>
      </c>
      <c r="J42" s="149"/>
    </row>
    <row r="43" spans="2:10" x14ac:dyDescent="0.35">
      <c r="B43" s="23">
        <v>2043</v>
      </c>
      <c r="C43" s="180">
        <f>'Household Model'!I41</f>
        <v>9261.9050217896547</v>
      </c>
      <c r="D43" s="180">
        <f>'Goods Model'!H42</f>
        <v>32795.401559125305</v>
      </c>
      <c r="E43" s="180">
        <f>'Services Model'!H42</f>
        <v>34724.113846362619</v>
      </c>
      <c r="F43" s="255">
        <f t="shared" si="0"/>
        <v>76781.420427277568</v>
      </c>
      <c r="G43" s="265">
        <f>'Base Model'!J46</f>
        <v>75799.469274365241</v>
      </c>
      <c r="J43" s="149"/>
    </row>
    <row r="44" spans="2:10" x14ac:dyDescent="0.35">
      <c r="B44" s="23">
        <v>2044</v>
      </c>
      <c r="C44" s="180">
        <f>'Household Model'!I42</f>
        <v>9292.498928345165</v>
      </c>
      <c r="D44" s="180">
        <f>'Goods Model'!H43</f>
        <v>33277.712265283037</v>
      </c>
      <c r="E44" s="180">
        <f>'Services Model'!H43</f>
        <v>35239.647284457336</v>
      </c>
      <c r="F44" s="255">
        <f t="shared" si="0"/>
        <v>77809.858478085545</v>
      </c>
      <c r="G44" s="265">
        <f>'Base Model'!J47</f>
        <v>76817.060403988144</v>
      </c>
      <c r="J44" s="149"/>
    </row>
    <row r="45" spans="2:10" x14ac:dyDescent="0.35">
      <c r="B45" s="23">
        <v>2045</v>
      </c>
      <c r="C45" s="180">
        <f>'Household Model'!I43</f>
        <v>9321.7772685708769</v>
      </c>
      <c r="D45" s="180">
        <f>'Goods Model'!H44</f>
        <v>33760.022971440769</v>
      </c>
      <c r="E45" s="180">
        <f>'Services Model'!H44</f>
        <v>35755.180722552097</v>
      </c>
      <c r="F45" s="255">
        <f t="shared" si="0"/>
        <v>78836.980962563743</v>
      </c>
      <c r="G45" s="265">
        <f>'Base Model'!J48</f>
        <v>77833.50983456579</v>
      </c>
      <c r="J45" s="149"/>
    </row>
    <row r="46" spans="2:10" x14ac:dyDescent="0.35">
      <c r="B46" s="23">
        <v>2046</v>
      </c>
      <c r="C46" s="180">
        <f>'Household Model'!I44</f>
        <v>9349.723707142366</v>
      </c>
      <c r="D46" s="180">
        <f>'Goods Model'!H45</f>
        <v>34242.333677598537</v>
      </c>
      <c r="E46" s="180">
        <f>'Services Model'!H45</f>
        <v>36270.714160646865</v>
      </c>
      <c r="F46" s="255">
        <f t="shared" si="0"/>
        <v>79862.771545387775</v>
      </c>
      <c r="G46" s="265">
        <f>'Base Model'!J49</f>
        <v>78848.803389675508</v>
      </c>
      <c r="J46" s="149"/>
    </row>
    <row r="47" spans="2:10" x14ac:dyDescent="0.35">
      <c r="B47" s="23">
        <v>2047</v>
      </c>
      <c r="C47" s="180">
        <f>'Household Model'!I45</f>
        <v>9376.322596302889</v>
      </c>
      <c r="D47" s="180">
        <f>'Goods Model'!H46</f>
        <v>34724.644383756153</v>
      </c>
      <c r="E47" s="180">
        <f>'Services Model'!H46</f>
        <v>36786.247598741626</v>
      </c>
      <c r="F47" s="255">
        <f t="shared" si="0"/>
        <v>80887.21457880066</v>
      </c>
      <c r="G47" s="265">
        <f>'Base Model'!J50</f>
        <v>79862.92748959217</v>
      </c>
      <c r="J47" s="149"/>
    </row>
    <row r="48" spans="2:10" x14ac:dyDescent="0.35">
      <c r="B48" s="23">
        <v>2048</v>
      </c>
      <c r="C48" s="180">
        <f>'Household Model'!I46</f>
        <v>9401.5589904314911</v>
      </c>
      <c r="D48" s="180">
        <f>'Goods Model'!H47</f>
        <v>35206.955089913878</v>
      </c>
      <c r="E48" s="180">
        <f>'Services Model'!H47</f>
        <v>37301.781036836386</v>
      </c>
      <c r="F48" s="255">
        <f t="shared" si="0"/>
        <v>81910.295117181755</v>
      </c>
      <c r="G48" s="265">
        <f>'Base Model'!J51</f>
        <v>80875.869163931508</v>
      </c>
      <c r="J48" s="149"/>
    </row>
    <row r="49" spans="2:17" x14ac:dyDescent="0.35">
      <c r="B49" s="23">
        <v>2049</v>
      </c>
      <c r="C49" s="180">
        <f>'Household Model'!I47</f>
        <v>9425.4186600078374</v>
      </c>
      <c r="D49" s="180">
        <f>'Goods Model'!H48</f>
        <v>35689.26579607161</v>
      </c>
      <c r="E49" s="180">
        <f>'Services Model'!H48</f>
        <v>37817.314474931147</v>
      </c>
      <c r="F49" s="255">
        <f t="shared" si="0"/>
        <v>82931.998931010603</v>
      </c>
      <c r="G49" s="265">
        <f>'Base Model'!J52</f>
        <v>81887.616063768495</v>
      </c>
      <c r="J49" s="149"/>
    </row>
    <row r="50" spans="2:17" x14ac:dyDescent="0.35">
      <c r="B50" s="23">
        <v>2050</v>
      </c>
      <c r="C50" s="180">
        <f>'Household Model'!I48</f>
        <v>9447.8881049556057</v>
      </c>
      <c r="D50" s="180">
        <f>'Goods Model'!H49</f>
        <v>36171.576502229225</v>
      </c>
      <c r="E50" s="180">
        <f>'Services Model'!H49</f>
        <v>38332.847913025915</v>
      </c>
      <c r="F50" s="255">
        <f t="shared" si="0"/>
        <v>83952.312520210748</v>
      </c>
      <c r="G50" s="265">
        <f>'Base Model'!J53</f>
        <v>82898.156473217736</v>
      </c>
      <c r="J50" s="149"/>
    </row>
    <row r="53" spans="2:17" x14ac:dyDescent="0.35">
      <c r="B53" s="253" t="s">
        <v>104</v>
      </c>
      <c r="C53" s="253">
        <v>1</v>
      </c>
      <c r="D53" s="246">
        <v>2</v>
      </c>
      <c r="E53" s="246">
        <v>3</v>
      </c>
      <c r="F53" s="246">
        <v>4</v>
      </c>
      <c r="G53" s="246">
        <v>5</v>
      </c>
      <c r="H53" s="246">
        <v>6</v>
      </c>
      <c r="I53" s="246">
        <v>7</v>
      </c>
      <c r="J53" s="246">
        <v>8</v>
      </c>
      <c r="K53" s="246">
        <v>9</v>
      </c>
      <c r="L53" s="246">
        <v>10</v>
      </c>
      <c r="M53" s="246">
        <v>11</v>
      </c>
      <c r="N53" s="246">
        <v>12</v>
      </c>
      <c r="O53" s="246">
        <v>13</v>
      </c>
      <c r="P53" s="246">
        <v>14</v>
      </c>
      <c r="Q53" s="247">
        <v>15</v>
      </c>
    </row>
    <row r="54" spans="2:17" x14ac:dyDescent="0.35">
      <c r="B54" s="248">
        <v>2021</v>
      </c>
      <c r="C54" s="249">
        <f t="shared" ref="C54:Q63" si="1">IF($B54&gt;(2020+C$53),LOOKUP($B54,$B$20:$B$50,$G$20:$G$50),LOOKUP($B54,$B$20:$B$50,$F$20:$F$50))</f>
        <v>53863.592922463664</v>
      </c>
      <c r="D54" s="249">
        <f t="shared" si="1"/>
        <v>53863.592922463664</v>
      </c>
      <c r="E54" s="249">
        <f t="shared" si="1"/>
        <v>53863.592922463664</v>
      </c>
      <c r="F54" s="249">
        <f t="shared" si="1"/>
        <v>53863.592922463664</v>
      </c>
      <c r="G54" s="249">
        <f t="shared" si="1"/>
        <v>53863.592922463664</v>
      </c>
      <c r="H54" s="249">
        <f t="shared" si="1"/>
        <v>53863.592922463664</v>
      </c>
      <c r="I54" s="249">
        <f t="shared" si="1"/>
        <v>53863.592922463664</v>
      </c>
      <c r="J54" s="249">
        <f t="shared" si="1"/>
        <v>53863.592922463664</v>
      </c>
      <c r="K54" s="249">
        <f t="shared" si="1"/>
        <v>53863.592922463664</v>
      </c>
      <c r="L54" s="249">
        <f t="shared" si="1"/>
        <v>53863.592922463664</v>
      </c>
      <c r="M54" s="249">
        <f t="shared" si="1"/>
        <v>53863.592922463664</v>
      </c>
      <c r="N54" s="249">
        <f t="shared" si="1"/>
        <v>53863.592922463664</v>
      </c>
      <c r="O54" s="249">
        <f t="shared" si="1"/>
        <v>53863.592922463664</v>
      </c>
      <c r="P54" s="249">
        <f t="shared" si="1"/>
        <v>53863.592922463664</v>
      </c>
      <c r="Q54" s="250">
        <f t="shared" si="1"/>
        <v>53863.592922463664</v>
      </c>
    </row>
    <row r="55" spans="2:17" x14ac:dyDescent="0.35">
      <c r="B55" s="248">
        <v>2022</v>
      </c>
      <c r="C55" s="249">
        <f t="shared" si="1"/>
        <v>54196.993567490885</v>
      </c>
      <c r="D55" s="249">
        <f t="shared" si="1"/>
        <v>54915.666787010079</v>
      </c>
      <c r="E55" s="249">
        <f t="shared" si="1"/>
        <v>54915.666787010079</v>
      </c>
      <c r="F55" s="249">
        <f t="shared" si="1"/>
        <v>54915.666787010079</v>
      </c>
      <c r="G55" s="249">
        <f t="shared" si="1"/>
        <v>54915.666787010079</v>
      </c>
      <c r="H55" s="249">
        <f t="shared" si="1"/>
        <v>54915.666787010079</v>
      </c>
      <c r="I55" s="249">
        <f t="shared" si="1"/>
        <v>54915.666787010079</v>
      </c>
      <c r="J55" s="249">
        <f t="shared" si="1"/>
        <v>54915.666787010079</v>
      </c>
      <c r="K55" s="249">
        <f t="shared" si="1"/>
        <v>54915.666787010079</v>
      </c>
      <c r="L55" s="249">
        <f t="shared" si="1"/>
        <v>54915.666787010079</v>
      </c>
      <c r="M55" s="249">
        <f t="shared" si="1"/>
        <v>54915.666787010079</v>
      </c>
      <c r="N55" s="249">
        <f t="shared" si="1"/>
        <v>54915.666787010079</v>
      </c>
      <c r="O55" s="249">
        <f t="shared" si="1"/>
        <v>54915.666787010079</v>
      </c>
      <c r="P55" s="249">
        <f t="shared" si="1"/>
        <v>54915.666787010079</v>
      </c>
      <c r="Q55" s="250">
        <f t="shared" si="1"/>
        <v>54915.666787010079</v>
      </c>
    </row>
    <row r="56" spans="2:17" x14ac:dyDescent="0.35">
      <c r="B56" s="248">
        <v>2023</v>
      </c>
      <c r="C56" s="249">
        <f t="shared" si="1"/>
        <v>55234.386898904093</v>
      </c>
      <c r="D56" s="249">
        <f t="shared" si="1"/>
        <v>55234.386898904093</v>
      </c>
      <c r="E56" s="249">
        <f t="shared" si="1"/>
        <v>55966.922681135213</v>
      </c>
      <c r="F56" s="249">
        <f t="shared" si="1"/>
        <v>55966.922681135213</v>
      </c>
      <c r="G56" s="249">
        <f t="shared" si="1"/>
        <v>55966.922681135213</v>
      </c>
      <c r="H56" s="249">
        <f t="shared" si="1"/>
        <v>55966.922681135213</v>
      </c>
      <c r="I56" s="249">
        <f t="shared" si="1"/>
        <v>55966.922681135213</v>
      </c>
      <c r="J56" s="249">
        <f t="shared" si="1"/>
        <v>55966.922681135213</v>
      </c>
      <c r="K56" s="249">
        <f t="shared" si="1"/>
        <v>55966.922681135213</v>
      </c>
      <c r="L56" s="249">
        <f t="shared" si="1"/>
        <v>55966.922681135213</v>
      </c>
      <c r="M56" s="249">
        <f t="shared" si="1"/>
        <v>55966.922681135213</v>
      </c>
      <c r="N56" s="249">
        <f t="shared" si="1"/>
        <v>55966.922681135213</v>
      </c>
      <c r="O56" s="249">
        <f t="shared" si="1"/>
        <v>55966.922681135213</v>
      </c>
      <c r="P56" s="249">
        <f t="shared" si="1"/>
        <v>55966.922681135213</v>
      </c>
      <c r="Q56" s="250">
        <f t="shared" si="1"/>
        <v>55966.922681135213</v>
      </c>
    </row>
    <row r="57" spans="2:17" x14ac:dyDescent="0.35">
      <c r="B57" s="248">
        <v>2024</v>
      </c>
      <c r="C57" s="249">
        <f t="shared" si="1"/>
        <v>56271.047084393118</v>
      </c>
      <c r="D57" s="249">
        <f t="shared" si="1"/>
        <v>56271.047084393118</v>
      </c>
      <c r="E57" s="249">
        <f t="shared" si="1"/>
        <v>56271.047084393118</v>
      </c>
      <c r="F57" s="249">
        <f t="shared" si="1"/>
        <v>57017.33377986819</v>
      </c>
      <c r="G57" s="249">
        <f t="shared" si="1"/>
        <v>57017.33377986819</v>
      </c>
      <c r="H57" s="249">
        <f t="shared" si="1"/>
        <v>57017.33377986819</v>
      </c>
      <c r="I57" s="249">
        <f t="shared" si="1"/>
        <v>57017.33377986819</v>
      </c>
      <c r="J57" s="249">
        <f t="shared" si="1"/>
        <v>57017.33377986819</v>
      </c>
      <c r="K57" s="249">
        <f t="shared" si="1"/>
        <v>57017.33377986819</v>
      </c>
      <c r="L57" s="249">
        <f t="shared" si="1"/>
        <v>57017.33377986819</v>
      </c>
      <c r="M57" s="249">
        <f t="shared" si="1"/>
        <v>57017.33377986819</v>
      </c>
      <c r="N57" s="249">
        <f t="shared" si="1"/>
        <v>57017.33377986819</v>
      </c>
      <c r="O57" s="249">
        <f t="shared" si="1"/>
        <v>57017.33377986819</v>
      </c>
      <c r="P57" s="249">
        <f t="shared" si="1"/>
        <v>57017.33377986819</v>
      </c>
      <c r="Q57" s="250">
        <f t="shared" si="1"/>
        <v>57017.33377986819</v>
      </c>
    </row>
    <row r="58" spans="2:17" x14ac:dyDescent="0.35">
      <c r="B58" s="248">
        <v>2025</v>
      </c>
      <c r="C58" s="249">
        <f t="shared" si="1"/>
        <v>57306.951068618298</v>
      </c>
      <c r="D58" s="249">
        <f t="shared" si="1"/>
        <v>57306.951068618298</v>
      </c>
      <c r="E58" s="249">
        <f t="shared" si="1"/>
        <v>57306.951068618298</v>
      </c>
      <c r="F58" s="249">
        <f t="shared" si="1"/>
        <v>57306.951068618298</v>
      </c>
      <c r="G58" s="249">
        <f t="shared" si="1"/>
        <v>58066.873516813357</v>
      </c>
      <c r="H58" s="249">
        <f t="shared" si="1"/>
        <v>58066.873516813357</v>
      </c>
      <c r="I58" s="249">
        <f t="shared" si="1"/>
        <v>58066.873516813357</v>
      </c>
      <c r="J58" s="249">
        <f t="shared" si="1"/>
        <v>58066.873516813357</v>
      </c>
      <c r="K58" s="249">
        <f t="shared" si="1"/>
        <v>58066.873516813357</v>
      </c>
      <c r="L58" s="249">
        <f t="shared" si="1"/>
        <v>58066.873516813357</v>
      </c>
      <c r="M58" s="249">
        <f t="shared" si="1"/>
        <v>58066.873516813357</v>
      </c>
      <c r="N58" s="249">
        <f t="shared" si="1"/>
        <v>58066.873516813357</v>
      </c>
      <c r="O58" s="249">
        <f t="shared" si="1"/>
        <v>58066.873516813357</v>
      </c>
      <c r="P58" s="249">
        <f t="shared" si="1"/>
        <v>58066.873516813357</v>
      </c>
      <c r="Q58" s="250">
        <f t="shared" si="1"/>
        <v>58066.873516813357</v>
      </c>
    </row>
    <row r="59" spans="2:17" x14ac:dyDescent="0.35">
      <c r="B59" s="248">
        <v>2026</v>
      </c>
      <c r="C59" s="249">
        <f t="shared" si="1"/>
        <v>58342.076039862462</v>
      </c>
      <c r="D59" s="249">
        <f t="shared" si="1"/>
        <v>58342.076039862462</v>
      </c>
      <c r="E59" s="249">
        <f t="shared" si="1"/>
        <v>58342.076039862462</v>
      </c>
      <c r="F59" s="249">
        <f t="shared" si="1"/>
        <v>58342.076039862462</v>
      </c>
      <c r="G59" s="249">
        <f t="shared" si="1"/>
        <v>58342.076039862462</v>
      </c>
      <c r="H59" s="249">
        <f t="shared" si="1"/>
        <v>59115.515606298381</v>
      </c>
      <c r="I59" s="249">
        <f t="shared" si="1"/>
        <v>59115.515606298381</v>
      </c>
      <c r="J59" s="249">
        <f t="shared" si="1"/>
        <v>59115.515606298381</v>
      </c>
      <c r="K59" s="249">
        <f t="shared" si="1"/>
        <v>59115.515606298381</v>
      </c>
      <c r="L59" s="249">
        <f t="shared" si="1"/>
        <v>59115.515606298381</v>
      </c>
      <c r="M59" s="249">
        <f t="shared" si="1"/>
        <v>59115.515606298381</v>
      </c>
      <c r="N59" s="249">
        <f t="shared" si="1"/>
        <v>59115.515606298381</v>
      </c>
      <c r="O59" s="249">
        <f t="shared" si="1"/>
        <v>59115.515606298381</v>
      </c>
      <c r="P59" s="249">
        <f t="shared" si="1"/>
        <v>59115.515606298381</v>
      </c>
      <c r="Q59" s="250">
        <f t="shared" si="1"/>
        <v>59115.515606298381</v>
      </c>
    </row>
    <row r="60" spans="2:17" x14ac:dyDescent="0.35">
      <c r="B60" s="248">
        <v>2027</v>
      </c>
      <c r="C60" s="249">
        <f t="shared" si="1"/>
        <v>59376.399449179415</v>
      </c>
      <c r="D60" s="249">
        <f t="shared" si="1"/>
        <v>59376.399449179415</v>
      </c>
      <c r="E60" s="249">
        <f t="shared" si="1"/>
        <v>59376.399449179415</v>
      </c>
      <c r="F60" s="249">
        <f t="shared" si="1"/>
        <v>59376.399449179415</v>
      </c>
      <c r="G60" s="249">
        <f t="shared" si="1"/>
        <v>59376.399449179415</v>
      </c>
      <c r="H60" s="249">
        <f t="shared" si="1"/>
        <v>59376.399449179415</v>
      </c>
      <c r="I60" s="249">
        <f t="shared" si="1"/>
        <v>60163.234065438715</v>
      </c>
      <c r="J60" s="249">
        <f t="shared" si="1"/>
        <v>60163.234065438715</v>
      </c>
      <c r="K60" s="249">
        <f t="shared" si="1"/>
        <v>60163.234065438715</v>
      </c>
      <c r="L60" s="249">
        <f t="shared" si="1"/>
        <v>60163.234065438715</v>
      </c>
      <c r="M60" s="249">
        <f t="shared" si="1"/>
        <v>60163.234065438715</v>
      </c>
      <c r="N60" s="249">
        <f t="shared" si="1"/>
        <v>60163.234065438715</v>
      </c>
      <c r="O60" s="249">
        <f t="shared" si="1"/>
        <v>60163.234065438715</v>
      </c>
      <c r="P60" s="249">
        <f t="shared" si="1"/>
        <v>60163.234065438715</v>
      </c>
      <c r="Q60" s="250">
        <f t="shared" si="1"/>
        <v>60163.234065438715</v>
      </c>
    </row>
    <row r="61" spans="2:17" x14ac:dyDescent="0.35">
      <c r="B61" s="248">
        <v>2028</v>
      </c>
      <c r="C61" s="249">
        <f t="shared" si="1"/>
        <v>60409.899029446402</v>
      </c>
      <c r="D61" s="249">
        <f t="shared" si="1"/>
        <v>60409.899029446402</v>
      </c>
      <c r="E61" s="249">
        <f t="shared" si="1"/>
        <v>60409.899029446402</v>
      </c>
      <c r="F61" s="249">
        <f t="shared" si="1"/>
        <v>60409.899029446402</v>
      </c>
      <c r="G61" s="249">
        <f t="shared" si="1"/>
        <v>60409.899029446402</v>
      </c>
      <c r="H61" s="249">
        <f t="shared" si="1"/>
        <v>60409.899029446402</v>
      </c>
      <c r="I61" s="249">
        <f t="shared" si="1"/>
        <v>60409.899029446402</v>
      </c>
      <c r="J61" s="249">
        <f t="shared" si="1"/>
        <v>61210.003236091812</v>
      </c>
      <c r="K61" s="249">
        <f t="shared" si="1"/>
        <v>61210.003236091812</v>
      </c>
      <c r="L61" s="249">
        <f t="shared" si="1"/>
        <v>61210.003236091812</v>
      </c>
      <c r="M61" s="249">
        <f t="shared" si="1"/>
        <v>61210.003236091812</v>
      </c>
      <c r="N61" s="249">
        <f t="shared" si="1"/>
        <v>61210.003236091812</v>
      </c>
      <c r="O61" s="249">
        <f t="shared" si="1"/>
        <v>61210.003236091812</v>
      </c>
      <c r="P61" s="249">
        <f t="shared" si="1"/>
        <v>61210.003236091812</v>
      </c>
      <c r="Q61" s="250">
        <f t="shared" si="1"/>
        <v>61210.003236091812</v>
      </c>
    </row>
    <row r="62" spans="2:17" x14ac:dyDescent="0.35">
      <c r="B62" s="248">
        <v>2029</v>
      </c>
      <c r="C62" s="249">
        <f t="shared" si="1"/>
        <v>61442.552814301293</v>
      </c>
      <c r="D62" s="249">
        <f t="shared" si="1"/>
        <v>61442.552814301293</v>
      </c>
      <c r="E62" s="249">
        <f t="shared" si="1"/>
        <v>61442.552814301293</v>
      </c>
      <c r="F62" s="249">
        <f t="shared" si="1"/>
        <v>61442.552814301293</v>
      </c>
      <c r="G62" s="249">
        <f t="shared" si="1"/>
        <v>61442.552814301293</v>
      </c>
      <c r="H62" s="249">
        <f t="shared" si="1"/>
        <v>61442.552814301293</v>
      </c>
      <c r="I62" s="249">
        <f t="shared" si="1"/>
        <v>61442.552814301293</v>
      </c>
      <c r="J62" s="249">
        <f t="shared" si="1"/>
        <v>61442.552814301293</v>
      </c>
      <c r="K62" s="249">
        <f t="shared" si="1"/>
        <v>62255.797806677889</v>
      </c>
      <c r="L62" s="249">
        <f t="shared" si="1"/>
        <v>62255.797806677889</v>
      </c>
      <c r="M62" s="249">
        <f t="shared" si="1"/>
        <v>62255.797806677889</v>
      </c>
      <c r="N62" s="249">
        <f t="shared" si="1"/>
        <v>62255.797806677889</v>
      </c>
      <c r="O62" s="249">
        <f t="shared" si="1"/>
        <v>62255.797806677889</v>
      </c>
      <c r="P62" s="249">
        <f t="shared" si="1"/>
        <v>62255.797806677889</v>
      </c>
      <c r="Q62" s="250">
        <f t="shared" si="1"/>
        <v>62255.797806677889</v>
      </c>
    </row>
    <row r="63" spans="2:17" x14ac:dyDescent="0.35">
      <c r="B63" s="248">
        <v>2030</v>
      </c>
      <c r="C63" s="249">
        <f t="shared" si="1"/>
        <v>62474.339156938891</v>
      </c>
      <c r="D63" s="249">
        <f t="shared" si="1"/>
        <v>62474.339156938891</v>
      </c>
      <c r="E63" s="249">
        <f t="shared" si="1"/>
        <v>62474.339156938891</v>
      </c>
      <c r="F63" s="249">
        <f t="shared" si="1"/>
        <v>62474.339156938891</v>
      </c>
      <c r="G63" s="249">
        <f t="shared" si="1"/>
        <v>62474.339156938891</v>
      </c>
      <c r="H63" s="249">
        <f t="shared" si="1"/>
        <v>62474.339156938891</v>
      </c>
      <c r="I63" s="249">
        <f t="shared" si="1"/>
        <v>62474.339156938891</v>
      </c>
      <c r="J63" s="249">
        <f t="shared" si="1"/>
        <v>62474.339156938891</v>
      </c>
      <c r="K63" s="249">
        <f t="shared" si="1"/>
        <v>62474.339156938891</v>
      </c>
      <c r="L63" s="249">
        <f t="shared" si="1"/>
        <v>63300.592833838964</v>
      </c>
      <c r="M63" s="249">
        <f t="shared" si="1"/>
        <v>63300.592833838964</v>
      </c>
      <c r="N63" s="249">
        <f t="shared" si="1"/>
        <v>63300.592833838964</v>
      </c>
      <c r="O63" s="249">
        <f t="shared" si="1"/>
        <v>63300.592833838964</v>
      </c>
      <c r="P63" s="249">
        <f t="shared" si="1"/>
        <v>63300.592833838964</v>
      </c>
      <c r="Q63" s="250">
        <f t="shared" si="1"/>
        <v>63300.592833838964</v>
      </c>
    </row>
    <row r="64" spans="2:17" x14ac:dyDescent="0.35">
      <c r="B64" s="248">
        <v>2031</v>
      </c>
      <c r="C64" s="249">
        <f t="shared" ref="C64:Q73" si="2">IF($B64&gt;(2020+C$53),LOOKUP($B64,$B$20:$B$50,$G$20:$G$50),LOOKUP($B64,$B$20:$B$50,$F$20:$F$50))</f>
        <v>63505.236748746618</v>
      </c>
      <c r="D64" s="249">
        <f t="shared" si="2"/>
        <v>63505.236748746618</v>
      </c>
      <c r="E64" s="249">
        <f t="shared" si="2"/>
        <v>63505.236748746618</v>
      </c>
      <c r="F64" s="249">
        <f t="shared" si="2"/>
        <v>63505.236748746618</v>
      </c>
      <c r="G64" s="249">
        <f t="shared" si="2"/>
        <v>63505.236748746618</v>
      </c>
      <c r="H64" s="249">
        <f t="shared" si="2"/>
        <v>63505.236748746618</v>
      </c>
      <c r="I64" s="249">
        <f t="shared" si="2"/>
        <v>63505.236748746618</v>
      </c>
      <c r="J64" s="249">
        <f t="shared" si="2"/>
        <v>63505.236748746618</v>
      </c>
      <c r="K64" s="249">
        <f t="shared" si="2"/>
        <v>63505.236748746618</v>
      </c>
      <c r="L64" s="249">
        <f t="shared" si="2"/>
        <v>63505.236748746618</v>
      </c>
      <c r="M64" s="249">
        <f t="shared" si="2"/>
        <v>64344.363763912268</v>
      </c>
      <c r="N64" s="249">
        <f t="shared" si="2"/>
        <v>64344.363763912268</v>
      </c>
      <c r="O64" s="249">
        <f t="shared" si="2"/>
        <v>64344.363763912268</v>
      </c>
      <c r="P64" s="249">
        <f t="shared" si="2"/>
        <v>64344.363763912268</v>
      </c>
      <c r="Q64" s="250">
        <f t="shared" si="2"/>
        <v>64344.363763912268</v>
      </c>
    </row>
    <row r="65" spans="2:17" x14ac:dyDescent="0.35">
      <c r="B65" s="248">
        <v>2032</v>
      </c>
      <c r="C65" s="249">
        <f t="shared" si="2"/>
        <v>64535.224637754363</v>
      </c>
      <c r="D65" s="249">
        <f t="shared" si="2"/>
        <v>64535.224637754363</v>
      </c>
      <c r="E65" s="249">
        <f t="shared" si="2"/>
        <v>64535.224637754363</v>
      </c>
      <c r="F65" s="249">
        <f t="shared" si="2"/>
        <v>64535.224637754363</v>
      </c>
      <c r="G65" s="249">
        <f t="shared" si="2"/>
        <v>64535.224637754363</v>
      </c>
      <c r="H65" s="249">
        <f t="shared" si="2"/>
        <v>64535.224637754363</v>
      </c>
      <c r="I65" s="249">
        <f t="shared" si="2"/>
        <v>64535.224637754363</v>
      </c>
      <c r="J65" s="249">
        <f t="shared" si="2"/>
        <v>64535.224637754363</v>
      </c>
      <c r="K65" s="249">
        <f t="shared" si="2"/>
        <v>64535.224637754363</v>
      </c>
      <c r="L65" s="249">
        <f t="shared" si="2"/>
        <v>64535.224637754363</v>
      </c>
      <c r="M65" s="249">
        <f t="shared" si="2"/>
        <v>64535.224637754363</v>
      </c>
      <c r="N65" s="249">
        <f t="shared" si="2"/>
        <v>65387.086454190081</v>
      </c>
      <c r="O65" s="249">
        <f t="shared" si="2"/>
        <v>65387.086454190081</v>
      </c>
      <c r="P65" s="249">
        <f t="shared" si="2"/>
        <v>65387.086454190081</v>
      </c>
      <c r="Q65" s="250">
        <f t="shared" si="2"/>
        <v>65387.086454190081</v>
      </c>
    </row>
    <row r="66" spans="2:17" x14ac:dyDescent="0.35">
      <c r="B66" s="248">
        <v>2033</v>
      </c>
      <c r="C66" s="249">
        <f t="shared" si="2"/>
        <v>65564.282246879899</v>
      </c>
      <c r="D66" s="249">
        <f t="shared" si="2"/>
        <v>65564.282246879899</v>
      </c>
      <c r="E66" s="249">
        <f t="shared" si="2"/>
        <v>65564.282246879899</v>
      </c>
      <c r="F66" s="249">
        <f t="shared" si="2"/>
        <v>65564.282246879899</v>
      </c>
      <c r="G66" s="249">
        <f t="shared" si="2"/>
        <v>65564.282246879899</v>
      </c>
      <c r="H66" s="249">
        <f t="shared" si="2"/>
        <v>65564.282246879899</v>
      </c>
      <c r="I66" s="249">
        <f t="shared" si="2"/>
        <v>65564.282246879899</v>
      </c>
      <c r="J66" s="249">
        <f t="shared" si="2"/>
        <v>65564.282246879899</v>
      </c>
      <c r="K66" s="249">
        <f t="shared" si="2"/>
        <v>65564.282246879899</v>
      </c>
      <c r="L66" s="249">
        <f t="shared" si="2"/>
        <v>65564.282246879899</v>
      </c>
      <c r="M66" s="249">
        <f t="shared" si="2"/>
        <v>65564.282246879899</v>
      </c>
      <c r="N66" s="249">
        <f t="shared" si="2"/>
        <v>65564.282246879899</v>
      </c>
      <c r="O66" s="249">
        <f t="shared" si="2"/>
        <v>66428.737193943525</v>
      </c>
      <c r="P66" s="249">
        <f t="shared" si="2"/>
        <v>66428.737193943525</v>
      </c>
      <c r="Q66" s="250">
        <f t="shared" si="2"/>
        <v>66428.737193943525</v>
      </c>
    </row>
    <row r="67" spans="2:17" x14ac:dyDescent="0.35">
      <c r="B67" s="248">
        <v>2034</v>
      </c>
      <c r="C67" s="249">
        <f t="shared" si="2"/>
        <v>66592.389391945588</v>
      </c>
      <c r="D67" s="249">
        <f t="shared" si="2"/>
        <v>66592.389391945588</v>
      </c>
      <c r="E67" s="249">
        <f t="shared" si="2"/>
        <v>66592.389391945588</v>
      </c>
      <c r="F67" s="249">
        <f t="shared" si="2"/>
        <v>66592.389391945588</v>
      </c>
      <c r="G67" s="249">
        <f t="shared" si="2"/>
        <v>66592.389391945588</v>
      </c>
      <c r="H67" s="249">
        <f t="shared" si="2"/>
        <v>66592.389391945588</v>
      </c>
      <c r="I67" s="249">
        <f t="shared" si="2"/>
        <v>66592.389391945588</v>
      </c>
      <c r="J67" s="249">
        <f t="shared" si="2"/>
        <v>66592.389391945588</v>
      </c>
      <c r="K67" s="249">
        <f t="shared" si="2"/>
        <v>66592.389391945588</v>
      </c>
      <c r="L67" s="249">
        <f t="shared" si="2"/>
        <v>66592.389391945588</v>
      </c>
      <c r="M67" s="249">
        <f t="shared" si="2"/>
        <v>66592.389391945588</v>
      </c>
      <c r="N67" s="249">
        <f t="shared" si="2"/>
        <v>66592.389391945588</v>
      </c>
      <c r="O67" s="249">
        <f t="shared" si="2"/>
        <v>66592.389391945588</v>
      </c>
      <c r="P67" s="249">
        <f t="shared" si="2"/>
        <v>67469.292725182953</v>
      </c>
      <c r="Q67" s="250">
        <f t="shared" si="2"/>
        <v>67469.292725182953</v>
      </c>
    </row>
    <row r="68" spans="2:17" x14ac:dyDescent="0.35">
      <c r="B68" s="248">
        <v>2035</v>
      </c>
      <c r="C68" s="249">
        <f t="shared" si="2"/>
        <v>67619.526299443358</v>
      </c>
      <c r="D68" s="249">
        <f t="shared" si="2"/>
        <v>67619.526299443358</v>
      </c>
      <c r="E68" s="249">
        <f t="shared" si="2"/>
        <v>67619.526299443358</v>
      </c>
      <c r="F68" s="249">
        <f t="shared" si="2"/>
        <v>67619.526299443358</v>
      </c>
      <c r="G68" s="249">
        <f t="shared" si="2"/>
        <v>67619.526299443358</v>
      </c>
      <c r="H68" s="249">
        <f t="shared" si="2"/>
        <v>67619.526299443358</v>
      </c>
      <c r="I68" s="249">
        <f t="shared" si="2"/>
        <v>67619.526299443358</v>
      </c>
      <c r="J68" s="249">
        <f t="shared" si="2"/>
        <v>67619.526299443358</v>
      </c>
      <c r="K68" s="249">
        <f t="shared" si="2"/>
        <v>67619.526299443358</v>
      </c>
      <c r="L68" s="249">
        <f t="shared" si="2"/>
        <v>67619.526299443358</v>
      </c>
      <c r="M68" s="249">
        <f t="shared" si="2"/>
        <v>67619.526299443358</v>
      </c>
      <c r="N68" s="249">
        <f t="shared" si="2"/>
        <v>67619.526299443358</v>
      </c>
      <c r="O68" s="249">
        <f t="shared" si="2"/>
        <v>67619.526299443358</v>
      </c>
      <c r="P68" s="249">
        <f t="shared" si="2"/>
        <v>67619.526299443358</v>
      </c>
      <c r="Q68" s="250">
        <f t="shared" si="2"/>
        <v>68508.730263128527</v>
      </c>
    </row>
    <row r="69" spans="2:17" x14ac:dyDescent="0.35">
      <c r="B69" s="248">
        <v>2036</v>
      </c>
      <c r="C69" s="249">
        <f t="shared" si="2"/>
        <v>68645.673624029383</v>
      </c>
      <c r="D69" s="249">
        <f t="shared" si="2"/>
        <v>68645.673624029383</v>
      </c>
      <c r="E69" s="249">
        <f t="shared" si="2"/>
        <v>68645.673624029383</v>
      </c>
      <c r="F69" s="249">
        <f t="shared" si="2"/>
        <v>68645.673624029383</v>
      </c>
      <c r="G69" s="249">
        <f t="shared" si="2"/>
        <v>68645.673624029383</v>
      </c>
      <c r="H69" s="249">
        <f t="shared" si="2"/>
        <v>68645.673624029383</v>
      </c>
      <c r="I69" s="249">
        <f t="shared" si="2"/>
        <v>68645.673624029383</v>
      </c>
      <c r="J69" s="249">
        <f t="shared" si="2"/>
        <v>68645.673624029383</v>
      </c>
      <c r="K69" s="249">
        <f t="shared" si="2"/>
        <v>68645.673624029383</v>
      </c>
      <c r="L69" s="249">
        <f t="shared" si="2"/>
        <v>68645.673624029383</v>
      </c>
      <c r="M69" s="249">
        <f t="shared" si="2"/>
        <v>68645.673624029383</v>
      </c>
      <c r="N69" s="249">
        <f t="shared" si="2"/>
        <v>68645.673624029383</v>
      </c>
      <c r="O69" s="249">
        <f t="shared" si="2"/>
        <v>68645.673624029383</v>
      </c>
      <c r="P69" s="249">
        <f t="shared" si="2"/>
        <v>68645.673624029383</v>
      </c>
      <c r="Q69" s="250">
        <f t="shared" si="2"/>
        <v>68645.673624029383</v>
      </c>
    </row>
    <row r="70" spans="2:17" x14ac:dyDescent="0.35">
      <c r="B70" s="248">
        <v>2037</v>
      </c>
      <c r="C70" s="249">
        <f t="shared" si="2"/>
        <v>69670.812465724273</v>
      </c>
      <c r="D70" s="249">
        <f t="shared" si="2"/>
        <v>69670.812465724273</v>
      </c>
      <c r="E70" s="249">
        <f t="shared" si="2"/>
        <v>69670.812465724273</v>
      </c>
      <c r="F70" s="249">
        <f t="shared" si="2"/>
        <v>69670.812465724273</v>
      </c>
      <c r="G70" s="249">
        <f t="shared" si="2"/>
        <v>69670.812465724273</v>
      </c>
      <c r="H70" s="249">
        <f t="shared" si="2"/>
        <v>69670.812465724273</v>
      </c>
      <c r="I70" s="249">
        <f t="shared" si="2"/>
        <v>69670.812465724273</v>
      </c>
      <c r="J70" s="249">
        <f t="shared" si="2"/>
        <v>69670.812465724273</v>
      </c>
      <c r="K70" s="249">
        <f t="shared" si="2"/>
        <v>69670.812465724273</v>
      </c>
      <c r="L70" s="249">
        <f t="shared" si="2"/>
        <v>69670.812465724273</v>
      </c>
      <c r="M70" s="249">
        <f t="shared" si="2"/>
        <v>69670.812465724273</v>
      </c>
      <c r="N70" s="249">
        <f t="shared" si="2"/>
        <v>69670.812465724273</v>
      </c>
      <c r="O70" s="249">
        <f t="shared" si="2"/>
        <v>69670.812465724273</v>
      </c>
      <c r="P70" s="249">
        <f t="shared" si="2"/>
        <v>69670.812465724273</v>
      </c>
      <c r="Q70" s="250">
        <f t="shared" si="2"/>
        <v>69670.812465724273</v>
      </c>
    </row>
    <row r="71" spans="2:17" x14ac:dyDescent="0.35">
      <c r="B71" s="248">
        <v>2038</v>
      </c>
      <c r="C71" s="249">
        <f t="shared" si="2"/>
        <v>70694.924386798739</v>
      </c>
      <c r="D71" s="249">
        <f t="shared" si="2"/>
        <v>70694.924386798739</v>
      </c>
      <c r="E71" s="249">
        <f t="shared" si="2"/>
        <v>70694.924386798739</v>
      </c>
      <c r="F71" s="249">
        <f t="shared" si="2"/>
        <v>70694.924386798739</v>
      </c>
      <c r="G71" s="249">
        <f t="shared" si="2"/>
        <v>70694.924386798739</v>
      </c>
      <c r="H71" s="249">
        <f t="shared" si="2"/>
        <v>70694.924386798739</v>
      </c>
      <c r="I71" s="249">
        <f t="shared" si="2"/>
        <v>70694.924386798739</v>
      </c>
      <c r="J71" s="249">
        <f t="shared" si="2"/>
        <v>70694.924386798739</v>
      </c>
      <c r="K71" s="249">
        <f t="shared" si="2"/>
        <v>70694.924386798739</v>
      </c>
      <c r="L71" s="249">
        <f t="shared" si="2"/>
        <v>70694.924386798739</v>
      </c>
      <c r="M71" s="249">
        <f t="shared" si="2"/>
        <v>70694.924386798739</v>
      </c>
      <c r="N71" s="249">
        <f t="shared" si="2"/>
        <v>70694.924386798739</v>
      </c>
      <c r="O71" s="249">
        <f t="shared" si="2"/>
        <v>70694.924386798739</v>
      </c>
      <c r="P71" s="249">
        <f t="shared" si="2"/>
        <v>70694.924386798739</v>
      </c>
      <c r="Q71" s="250">
        <f t="shared" si="2"/>
        <v>70694.924386798739</v>
      </c>
    </row>
    <row r="72" spans="2:17" x14ac:dyDescent="0.35">
      <c r="B72" s="248">
        <v>2039</v>
      </c>
      <c r="C72" s="249">
        <f t="shared" si="2"/>
        <v>71717.991428322493</v>
      </c>
      <c r="D72" s="249">
        <f t="shared" si="2"/>
        <v>71717.991428322493</v>
      </c>
      <c r="E72" s="249">
        <f t="shared" si="2"/>
        <v>71717.991428322493</v>
      </c>
      <c r="F72" s="249">
        <f t="shared" si="2"/>
        <v>71717.991428322493</v>
      </c>
      <c r="G72" s="249">
        <f t="shared" si="2"/>
        <v>71717.991428322493</v>
      </c>
      <c r="H72" s="249">
        <f t="shared" si="2"/>
        <v>71717.991428322493</v>
      </c>
      <c r="I72" s="249">
        <f t="shared" si="2"/>
        <v>71717.991428322493</v>
      </c>
      <c r="J72" s="249">
        <f t="shared" si="2"/>
        <v>71717.991428322493</v>
      </c>
      <c r="K72" s="249">
        <f t="shared" si="2"/>
        <v>71717.991428322493</v>
      </c>
      <c r="L72" s="249">
        <f t="shared" si="2"/>
        <v>71717.991428322493</v>
      </c>
      <c r="M72" s="249">
        <f t="shared" si="2"/>
        <v>71717.991428322493</v>
      </c>
      <c r="N72" s="249">
        <f t="shared" si="2"/>
        <v>71717.991428322493</v>
      </c>
      <c r="O72" s="249">
        <f t="shared" si="2"/>
        <v>71717.991428322493</v>
      </c>
      <c r="P72" s="249">
        <f t="shared" si="2"/>
        <v>71717.991428322493</v>
      </c>
      <c r="Q72" s="250">
        <f t="shared" si="2"/>
        <v>71717.991428322493</v>
      </c>
    </row>
    <row r="73" spans="2:17" x14ac:dyDescent="0.35">
      <c r="B73" s="248">
        <v>2040</v>
      </c>
      <c r="C73" s="249">
        <f t="shared" si="2"/>
        <v>72739.996126357379</v>
      </c>
      <c r="D73" s="249">
        <f t="shared" si="2"/>
        <v>72739.996126357379</v>
      </c>
      <c r="E73" s="249">
        <f t="shared" si="2"/>
        <v>72739.996126357379</v>
      </c>
      <c r="F73" s="249">
        <f t="shared" si="2"/>
        <v>72739.996126357379</v>
      </c>
      <c r="G73" s="249">
        <f t="shared" si="2"/>
        <v>72739.996126357379</v>
      </c>
      <c r="H73" s="249">
        <f t="shared" si="2"/>
        <v>72739.996126357379</v>
      </c>
      <c r="I73" s="249">
        <f t="shared" si="2"/>
        <v>72739.996126357379</v>
      </c>
      <c r="J73" s="249">
        <f t="shared" si="2"/>
        <v>72739.996126357379</v>
      </c>
      <c r="K73" s="249">
        <f t="shared" si="2"/>
        <v>72739.996126357379</v>
      </c>
      <c r="L73" s="249">
        <f t="shared" si="2"/>
        <v>72739.996126357379</v>
      </c>
      <c r="M73" s="249">
        <f t="shared" si="2"/>
        <v>72739.996126357379</v>
      </c>
      <c r="N73" s="249">
        <f t="shared" si="2"/>
        <v>72739.996126357379</v>
      </c>
      <c r="O73" s="249">
        <f t="shared" si="2"/>
        <v>72739.996126357379</v>
      </c>
      <c r="P73" s="249">
        <f t="shared" si="2"/>
        <v>72739.996126357379</v>
      </c>
      <c r="Q73" s="250">
        <f t="shared" si="2"/>
        <v>72739.996126357379</v>
      </c>
    </row>
    <row r="74" spans="2:17" x14ac:dyDescent="0.35">
      <c r="B74" s="248">
        <v>2041</v>
      </c>
      <c r="C74" s="249">
        <f t="shared" ref="C74:Q83" si="3">IF($B74&gt;(2020+C$53),LOOKUP($B74,$B$20:$B$50,$G$20:$G$50),LOOKUP($B74,$B$20:$B$50,$F$20:$F$50))</f>
        <v>73760.92152777352</v>
      </c>
      <c r="D74" s="249">
        <f t="shared" si="3"/>
        <v>73760.92152777352</v>
      </c>
      <c r="E74" s="249">
        <f t="shared" si="3"/>
        <v>73760.92152777352</v>
      </c>
      <c r="F74" s="249">
        <f t="shared" si="3"/>
        <v>73760.92152777352</v>
      </c>
      <c r="G74" s="249">
        <f t="shared" si="3"/>
        <v>73760.92152777352</v>
      </c>
      <c r="H74" s="249">
        <f t="shared" si="3"/>
        <v>73760.92152777352</v>
      </c>
      <c r="I74" s="249">
        <f t="shared" si="3"/>
        <v>73760.92152777352</v>
      </c>
      <c r="J74" s="249">
        <f t="shared" si="3"/>
        <v>73760.92152777352</v>
      </c>
      <c r="K74" s="249">
        <f t="shared" si="3"/>
        <v>73760.92152777352</v>
      </c>
      <c r="L74" s="249">
        <f t="shared" si="3"/>
        <v>73760.92152777352</v>
      </c>
      <c r="M74" s="249">
        <f t="shared" si="3"/>
        <v>73760.92152777352</v>
      </c>
      <c r="N74" s="249">
        <f t="shared" si="3"/>
        <v>73760.92152777352</v>
      </c>
      <c r="O74" s="249">
        <f t="shared" si="3"/>
        <v>73760.92152777352</v>
      </c>
      <c r="P74" s="249">
        <f t="shared" si="3"/>
        <v>73760.92152777352</v>
      </c>
      <c r="Q74" s="250">
        <f t="shared" si="3"/>
        <v>73760.92152777352</v>
      </c>
    </row>
    <row r="75" spans="2:17" x14ac:dyDescent="0.35">
      <c r="B75" s="248">
        <v>2042</v>
      </c>
      <c r="C75" s="249">
        <f t="shared" si="3"/>
        <v>74780.751205667577</v>
      </c>
      <c r="D75" s="249">
        <f t="shared" si="3"/>
        <v>74780.751205667577</v>
      </c>
      <c r="E75" s="249">
        <f t="shared" si="3"/>
        <v>74780.751205667577</v>
      </c>
      <c r="F75" s="249">
        <f t="shared" si="3"/>
        <v>74780.751205667577</v>
      </c>
      <c r="G75" s="249">
        <f t="shared" si="3"/>
        <v>74780.751205667577</v>
      </c>
      <c r="H75" s="249">
        <f t="shared" si="3"/>
        <v>74780.751205667577</v>
      </c>
      <c r="I75" s="249">
        <f t="shared" si="3"/>
        <v>74780.751205667577</v>
      </c>
      <c r="J75" s="249">
        <f t="shared" si="3"/>
        <v>74780.751205667577</v>
      </c>
      <c r="K75" s="249">
        <f t="shared" si="3"/>
        <v>74780.751205667577</v>
      </c>
      <c r="L75" s="249">
        <f t="shared" si="3"/>
        <v>74780.751205667577</v>
      </c>
      <c r="M75" s="249">
        <f t="shared" si="3"/>
        <v>74780.751205667577</v>
      </c>
      <c r="N75" s="249">
        <f t="shared" si="3"/>
        <v>74780.751205667577</v>
      </c>
      <c r="O75" s="249">
        <f t="shared" si="3"/>
        <v>74780.751205667577</v>
      </c>
      <c r="P75" s="249">
        <f t="shared" si="3"/>
        <v>74780.751205667577</v>
      </c>
      <c r="Q75" s="250">
        <f t="shared" si="3"/>
        <v>74780.751205667577</v>
      </c>
    </row>
    <row r="76" spans="2:17" x14ac:dyDescent="0.35">
      <c r="B76" s="248">
        <v>2043</v>
      </c>
      <c r="C76" s="249">
        <f t="shared" si="3"/>
        <v>75799.469274365241</v>
      </c>
      <c r="D76" s="249">
        <f t="shared" si="3"/>
        <v>75799.469274365241</v>
      </c>
      <c r="E76" s="249">
        <f t="shared" si="3"/>
        <v>75799.469274365241</v>
      </c>
      <c r="F76" s="249">
        <f t="shared" si="3"/>
        <v>75799.469274365241</v>
      </c>
      <c r="G76" s="249">
        <f t="shared" si="3"/>
        <v>75799.469274365241</v>
      </c>
      <c r="H76" s="249">
        <f t="shared" si="3"/>
        <v>75799.469274365241</v>
      </c>
      <c r="I76" s="249">
        <f t="shared" si="3"/>
        <v>75799.469274365241</v>
      </c>
      <c r="J76" s="249">
        <f t="shared" si="3"/>
        <v>75799.469274365241</v>
      </c>
      <c r="K76" s="249">
        <f t="shared" si="3"/>
        <v>75799.469274365241</v>
      </c>
      <c r="L76" s="249">
        <f t="shared" si="3"/>
        <v>75799.469274365241</v>
      </c>
      <c r="M76" s="249">
        <f t="shared" si="3"/>
        <v>75799.469274365241</v>
      </c>
      <c r="N76" s="249">
        <f t="shared" si="3"/>
        <v>75799.469274365241</v>
      </c>
      <c r="O76" s="249">
        <f t="shared" si="3"/>
        <v>75799.469274365241</v>
      </c>
      <c r="P76" s="249">
        <f t="shared" si="3"/>
        <v>75799.469274365241</v>
      </c>
      <c r="Q76" s="250">
        <f t="shared" si="3"/>
        <v>75799.469274365241</v>
      </c>
    </row>
    <row r="77" spans="2:17" x14ac:dyDescent="0.35">
      <c r="B77" s="248">
        <v>2044</v>
      </c>
      <c r="C77" s="249">
        <f t="shared" si="3"/>
        <v>76817.060403988144</v>
      </c>
      <c r="D77" s="249">
        <f t="shared" si="3"/>
        <v>76817.060403988144</v>
      </c>
      <c r="E77" s="249">
        <f t="shared" si="3"/>
        <v>76817.060403988144</v>
      </c>
      <c r="F77" s="249">
        <f t="shared" si="3"/>
        <v>76817.060403988144</v>
      </c>
      <c r="G77" s="249">
        <f t="shared" si="3"/>
        <v>76817.060403988144</v>
      </c>
      <c r="H77" s="249">
        <f t="shared" si="3"/>
        <v>76817.060403988144</v>
      </c>
      <c r="I77" s="249">
        <f t="shared" si="3"/>
        <v>76817.060403988144</v>
      </c>
      <c r="J77" s="249">
        <f t="shared" si="3"/>
        <v>76817.060403988144</v>
      </c>
      <c r="K77" s="249">
        <f t="shared" si="3"/>
        <v>76817.060403988144</v>
      </c>
      <c r="L77" s="249">
        <f t="shared" si="3"/>
        <v>76817.060403988144</v>
      </c>
      <c r="M77" s="249">
        <f t="shared" si="3"/>
        <v>76817.060403988144</v>
      </c>
      <c r="N77" s="249">
        <f t="shared" si="3"/>
        <v>76817.060403988144</v>
      </c>
      <c r="O77" s="249">
        <f t="shared" si="3"/>
        <v>76817.060403988144</v>
      </c>
      <c r="P77" s="249">
        <f t="shared" si="3"/>
        <v>76817.060403988144</v>
      </c>
      <c r="Q77" s="250">
        <f t="shared" si="3"/>
        <v>76817.060403988144</v>
      </c>
    </row>
    <row r="78" spans="2:17" x14ac:dyDescent="0.35">
      <c r="B78" s="248">
        <v>2045</v>
      </c>
      <c r="C78" s="249">
        <f t="shared" si="3"/>
        <v>77833.50983456579</v>
      </c>
      <c r="D78" s="249">
        <f t="shared" si="3"/>
        <v>77833.50983456579</v>
      </c>
      <c r="E78" s="249">
        <f t="shared" si="3"/>
        <v>77833.50983456579</v>
      </c>
      <c r="F78" s="249">
        <f t="shared" si="3"/>
        <v>77833.50983456579</v>
      </c>
      <c r="G78" s="249">
        <f t="shared" si="3"/>
        <v>77833.50983456579</v>
      </c>
      <c r="H78" s="249">
        <f t="shared" si="3"/>
        <v>77833.50983456579</v>
      </c>
      <c r="I78" s="249">
        <f t="shared" si="3"/>
        <v>77833.50983456579</v>
      </c>
      <c r="J78" s="249">
        <f t="shared" si="3"/>
        <v>77833.50983456579</v>
      </c>
      <c r="K78" s="249">
        <f t="shared" si="3"/>
        <v>77833.50983456579</v>
      </c>
      <c r="L78" s="249">
        <f t="shared" si="3"/>
        <v>77833.50983456579</v>
      </c>
      <c r="M78" s="249">
        <f t="shared" si="3"/>
        <v>77833.50983456579</v>
      </c>
      <c r="N78" s="249">
        <f t="shared" si="3"/>
        <v>77833.50983456579</v>
      </c>
      <c r="O78" s="249">
        <f t="shared" si="3"/>
        <v>77833.50983456579</v>
      </c>
      <c r="P78" s="249">
        <f t="shared" si="3"/>
        <v>77833.50983456579</v>
      </c>
      <c r="Q78" s="250">
        <f t="shared" si="3"/>
        <v>77833.50983456579</v>
      </c>
    </row>
    <row r="79" spans="2:17" x14ac:dyDescent="0.35">
      <c r="B79" s="248">
        <v>2046</v>
      </c>
      <c r="C79" s="249">
        <f t="shared" si="3"/>
        <v>78848.803389675508</v>
      </c>
      <c r="D79" s="249">
        <f t="shared" si="3"/>
        <v>78848.803389675508</v>
      </c>
      <c r="E79" s="249">
        <f t="shared" si="3"/>
        <v>78848.803389675508</v>
      </c>
      <c r="F79" s="249">
        <f t="shared" si="3"/>
        <v>78848.803389675508</v>
      </c>
      <c r="G79" s="249">
        <f t="shared" si="3"/>
        <v>78848.803389675508</v>
      </c>
      <c r="H79" s="249">
        <f t="shared" si="3"/>
        <v>78848.803389675508</v>
      </c>
      <c r="I79" s="249">
        <f t="shared" si="3"/>
        <v>78848.803389675508</v>
      </c>
      <c r="J79" s="249">
        <f t="shared" si="3"/>
        <v>78848.803389675508</v>
      </c>
      <c r="K79" s="249">
        <f t="shared" si="3"/>
        <v>78848.803389675508</v>
      </c>
      <c r="L79" s="249">
        <f t="shared" si="3"/>
        <v>78848.803389675508</v>
      </c>
      <c r="M79" s="249">
        <f t="shared" si="3"/>
        <v>78848.803389675508</v>
      </c>
      <c r="N79" s="249">
        <f t="shared" si="3"/>
        <v>78848.803389675508</v>
      </c>
      <c r="O79" s="249">
        <f t="shared" si="3"/>
        <v>78848.803389675508</v>
      </c>
      <c r="P79" s="249">
        <f t="shared" si="3"/>
        <v>78848.803389675508</v>
      </c>
      <c r="Q79" s="250">
        <f t="shared" si="3"/>
        <v>78848.803389675508</v>
      </c>
    </row>
    <row r="80" spans="2:17" x14ac:dyDescent="0.35">
      <c r="B80" s="248">
        <v>2047</v>
      </c>
      <c r="C80" s="249">
        <f t="shared" si="3"/>
        <v>79862.92748959217</v>
      </c>
      <c r="D80" s="249">
        <f t="shared" si="3"/>
        <v>79862.92748959217</v>
      </c>
      <c r="E80" s="249">
        <f t="shared" si="3"/>
        <v>79862.92748959217</v>
      </c>
      <c r="F80" s="249">
        <f t="shared" si="3"/>
        <v>79862.92748959217</v>
      </c>
      <c r="G80" s="249">
        <f t="shared" si="3"/>
        <v>79862.92748959217</v>
      </c>
      <c r="H80" s="249">
        <f t="shared" si="3"/>
        <v>79862.92748959217</v>
      </c>
      <c r="I80" s="249">
        <f t="shared" si="3"/>
        <v>79862.92748959217</v>
      </c>
      <c r="J80" s="249">
        <f t="shared" si="3"/>
        <v>79862.92748959217</v>
      </c>
      <c r="K80" s="249">
        <f t="shared" si="3"/>
        <v>79862.92748959217</v>
      </c>
      <c r="L80" s="249">
        <f t="shared" si="3"/>
        <v>79862.92748959217</v>
      </c>
      <c r="M80" s="249">
        <f t="shared" si="3"/>
        <v>79862.92748959217</v>
      </c>
      <c r="N80" s="249">
        <f t="shared" si="3"/>
        <v>79862.92748959217</v>
      </c>
      <c r="O80" s="249">
        <f t="shared" si="3"/>
        <v>79862.92748959217</v>
      </c>
      <c r="P80" s="249">
        <f t="shared" si="3"/>
        <v>79862.92748959217</v>
      </c>
      <c r="Q80" s="250">
        <f t="shared" si="3"/>
        <v>79862.92748959217</v>
      </c>
    </row>
    <row r="81" spans="2:17" x14ac:dyDescent="0.35">
      <c r="B81" s="248">
        <v>2048</v>
      </c>
      <c r="C81" s="249">
        <f t="shared" si="3"/>
        <v>80875.869163931508</v>
      </c>
      <c r="D81" s="249">
        <f t="shared" si="3"/>
        <v>80875.869163931508</v>
      </c>
      <c r="E81" s="249">
        <f t="shared" si="3"/>
        <v>80875.869163931508</v>
      </c>
      <c r="F81" s="249">
        <f t="shared" si="3"/>
        <v>80875.869163931508</v>
      </c>
      <c r="G81" s="249">
        <f t="shared" si="3"/>
        <v>80875.869163931508</v>
      </c>
      <c r="H81" s="249">
        <f t="shared" si="3"/>
        <v>80875.869163931508</v>
      </c>
      <c r="I81" s="249">
        <f t="shared" si="3"/>
        <v>80875.869163931508</v>
      </c>
      <c r="J81" s="249">
        <f t="shared" si="3"/>
        <v>80875.869163931508</v>
      </c>
      <c r="K81" s="249">
        <f t="shared" si="3"/>
        <v>80875.869163931508</v>
      </c>
      <c r="L81" s="249">
        <f t="shared" si="3"/>
        <v>80875.869163931508</v>
      </c>
      <c r="M81" s="249">
        <f t="shared" si="3"/>
        <v>80875.869163931508</v>
      </c>
      <c r="N81" s="249">
        <f t="shared" si="3"/>
        <v>80875.869163931508</v>
      </c>
      <c r="O81" s="249">
        <f t="shared" si="3"/>
        <v>80875.869163931508</v>
      </c>
      <c r="P81" s="249">
        <f t="shared" si="3"/>
        <v>80875.869163931508</v>
      </c>
      <c r="Q81" s="250">
        <f t="shared" si="3"/>
        <v>80875.869163931508</v>
      </c>
    </row>
    <row r="82" spans="2:17" x14ac:dyDescent="0.35">
      <c r="B82" s="248">
        <v>2049</v>
      </c>
      <c r="C82" s="249">
        <f t="shared" si="3"/>
        <v>81887.616063768495</v>
      </c>
      <c r="D82" s="249">
        <f t="shared" si="3"/>
        <v>81887.616063768495</v>
      </c>
      <c r="E82" s="249">
        <f t="shared" si="3"/>
        <v>81887.616063768495</v>
      </c>
      <c r="F82" s="249">
        <f t="shared" si="3"/>
        <v>81887.616063768495</v>
      </c>
      <c r="G82" s="249">
        <f t="shared" si="3"/>
        <v>81887.616063768495</v>
      </c>
      <c r="H82" s="249">
        <f t="shared" si="3"/>
        <v>81887.616063768495</v>
      </c>
      <c r="I82" s="249">
        <f t="shared" si="3"/>
        <v>81887.616063768495</v>
      </c>
      <c r="J82" s="249">
        <f t="shared" si="3"/>
        <v>81887.616063768495</v>
      </c>
      <c r="K82" s="249">
        <f t="shared" si="3"/>
        <v>81887.616063768495</v>
      </c>
      <c r="L82" s="249">
        <f t="shared" si="3"/>
        <v>81887.616063768495</v>
      </c>
      <c r="M82" s="249">
        <f t="shared" si="3"/>
        <v>81887.616063768495</v>
      </c>
      <c r="N82" s="249">
        <f t="shared" si="3"/>
        <v>81887.616063768495</v>
      </c>
      <c r="O82" s="249">
        <f t="shared" si="3"/>
        <v>81887.616063768495</v>
      </c>
      <c r="P82" s="249">
        <f t="shared" si="3"/>
        <v>81887.616063768495</v>
      </c>
      <c r="Q82" s="250">
        <f t="shared" si="3"/>
        <v>81887.616063768495</v>
      </c>
    </row>
    <row r="83" spans="2:17" x14ac:dyDescent="0.35">
      <c r="B83" s="248">
        <v>2050</v>
      </c>
      <c r="C83" s="251">
        <f t="shared" si="3"/>
        <v>82898.156473217736</v>
      </c>
      <c r="D83" s="251">
        <f t="shared" si="3"/>
        <v>82898.156473217736</v>
      </c>
      <c r="E83" s="251">
        <f t="shared" si="3"/>
        <v>82898.156473217736</v>
      </c>
      <c r="F83" s="251">
        <f t="shared" si="3"/>
        <v>82898.156473217736</v>
      </c>
      <c r="G83" s="251">
        <f t="shared" si="3"/>
        <v>82898.156473217736</v>
      </c>
      <c r="H83" s="251">
        <f t="shared" si="3"/>
        <v>82898.156473217736</v>
      </c>
      <c r="I83" s="251">
        <f t="shared" si="3"/>
        <v>82898.156473217736</v>
      </c>
      <c r="J83" s="251">
        <f t="shared" si="3"/>
        <v>82898.156473217736</v>
      </c>
      <c r="K83" s="251">
        <f t="shared" si="3"/>
        <v>82898.156473217736</v>
      </c>
      <c r="L83" s="251">
        <f t="shared" si="3"/>
        <v>82898.156473217736</v>
      </c>
      <c r="M83" s="251">
        <f t="shared" si="3"/>
        <v>82898.156473217736</v>
      </c>
      <c r="N83" s="251">
        <f t="shared" si="3"/>
        <v>82898.156473217736</v>
      </c>
      <c r="O83" s="251">
        <f t="shared" si="3"/>
        <v>82898.156473217736</v>
      </c>
      <c r="P83" s="251">
        <f t="shared" si="3"/>
        <v>82898.156473217736</v>
      </c>
      <c r="Q83" s="252">
        <f t="shared" si="3"/>
        <v>82898.156473217736</v>
      </c>
    </row>
    <row r="84" spans="2:17" x14ac:dyDescent="0.35">
      <c r="B84" s="22" t="s">
        <v>5</v>
      </c>
      <c r="C84" s="258">
        <f t="shared" ref="C84:Q84" si="4">SUM(C54:C83)</f>
        <v>2043569.3802141466</v>
      </c>
      <c r="D84" s="258">
        <f t="shared" si="4"/>
        <v>2044288.0534336658</v>
      </c>
      <c r="E84" s="258">
        <f t="shared" si="4"/>
        <v>2045020.5892158968</v>
      </c>
      <c r="F84" s="258">
        <f t="shared" si="4"/>
        <v>2045766.875911372</v>
      </c>
      <c r="G84" s="258">
        <f t="shared" si="4"/>
        <v>2046526.7983595671</v>
      </c>
      <c r="H84" s="258">
        <f t="shared" si="4"/>
        <v>2047300.2379260028</v>
      </c>
      <c r="I84" s="258">
        <f t="shared" si="4"/>
        <v>2048087.072542262</v>
      </c>
      <c r="J84" s="258">
        <f t="shared" si="4"/>
        <v>2048887.1767489074</v>
      </c>
      <c r="K84" s="258">
        <f t="shared" si="4"/>
        <v>2049700.4217412842</v>
      </c>
      <c r="L84" s="258">
        <f t="shared" si="4"/>
        <v>2050526.6754181841</v>
      </c>
      <c r="M84" s="258">
        <f t="shared" si="4"/>
        <v>2051365.8024333499</v>
      </c>
      <c r="N84" s="258">
        <f t="shared" si="4"/>
        <v>2052217.6642497855</v>
      </c>
      <c r="O84" s="258">
        <f t="shared" si="4"/>
        <v>2053082.1191968492</v>
      </c>
      <c r="P84" s="258">
        <f t="shared" si="4"/>
        <v>2053959.0225300866</v>
      </c>
      <c r="Q84" s="259">
        <f t="shared" si="4"/>
        <v>2054848.2264937719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05F65-05AD-456D-8E4D-2F91189F9692}">
  <sheetPr>
    <tabColor rgb="FF7030A0"/>
  </sheetPr>
  <dimension ref="B2:P22"/>
  <sheetViews>
    <sheetView showGridLines="0" workbookViewId="0">
      <selection activeCell="D32" sqref="D32"/>
    </sheetView>
  </sheetViews>
  <sheetFormatPr defaultRowHeight="14.5" x14ac:dyDescent="0.35"/>
  <cols>
    <col min="1" max="1" width="2.81640625" customWidth="1"/>
    <col min="2" max="2" width="17.453125" customWidth="1"/>
    <col min="4" max="4" width="17.54296875" bestFit="1" customWidth="1"/>
    <col min="5" max="5" width="14.81640625" customWidth="1"/>
  </cols>
  <sheetData>
    <row r="2" spans="2:16" ht="18.5" x14ac:dyDescent="0.35">
      <c r="B2" s="283" t="s">
        <v>105</v>
      </c>
    </row>
    <row r="3" spans="2:16" ht="18.5" x14ac:dyDescent="0.35">
      <c r="B3" s="283"/>
    </row>
    <row r="4" spans="2:16" ht="18.5" x14ac:dyDescent="0.35">
      <c r="B4" s="283"/>
    </row>
    <row r="5" spans="2:16" x14ac:dyDescent="0.35">
      <c r="H5" t="s">
        <v>3</v>
      </c>
      <c r="L5" t="s">
        <v>20</v>
      </c>
      <c r="P5" t="s">
        <v>21</v>
      </c>
    </row>
    <row r="6" spans="2:16" x14ac:dyDescent="0.35">
      <c r="C6" t="s">
        <v>106</v>
      </c>
      <c r="D6">
        <v>2020</v>
      </c>
      <c r="G6" t="s">
        <v>107</v>
      </c>
      <c r="H6">
        <f>SLOPE('Household Model'!H3:H17,'Household Model'!G3:G17)</f>
        <v>9.7653717396159077E-4</v>
      </c>
      <c r="K6" t="s">
        <v>107</v>
      </c>
      <c r="L6">
        <f>SLOPE('Goods Model'!G4:G18,'Goods Model'!F4:F18)</f>
        <v>0.12855890468943335</v>
      </c>
      <c r="O6" t="s">
        <v>107</v>
      </c>
      <c r="P6">
        <f>SLOPE('Services Model'!G4:G18,'Services Model'!F4:F18)</f>
        <v>4.5122893642855794E-2</v>
      </c>
    </row>
    <row r="7" spans="2:16" x14ac:dyDescent="0.35">
      <c r="G7" t="s">
        <v>108</v>
      </c>
      <c r="H7">
        <f>INTERCEPT('Household Model'!H3:H17,'Household Model'!G3:G17)</f>
        <v>1661.3894689250683</v>
      </c>
      <c r="K7" t="s">
        <v>108</v>
      </c>
      <c r="L7">
        <f>INTERCEPT('Goods Model'!G4:G18,'Goods Model'!F4:F18)</f>
        <v>6255.7031019666847</v>
      </c>
      <c r="O7" t="s">
        <v>108</v>
      </c>
      <c r="P7">
        <f>INTERCEPT('Services Model'!G4:G18,'Services Model'!F4:F18)</f>
        <v>7682.6002883554902</v>
      </c>
    </row>
    <row r="9" spans="2:16" x14ac:dyDescent="0.35">
      <c r="C9" t="s">
        <v>6</v>
      </c>
      <c r="D9" t="s">
        <v>109</v>
      </c>
    </row>
    <row r="11" spans="2:16" x14ac:dyDescent="0.35">
      <c r="B11" t="s">
        <v>110</v>
      </c>
      <c r="C11" s="328"/>
      <c r="D11" s="178">
        <v>0.1</v>
      </c>
      <c r="E11" s="178">
        <v>0.1</v>
      </c>
      <c r="F11" s="178">
        <v>0.1</v>
      </c>
      <c r="G11" s="178">
        <v>0.09</v>
      </c>
      <c r="H11" s="178">
        <v>0.09</v>
      </c>
      <c r="I11" s="178">
        <v>0.09</v>
      </c>
      <c r="J11" s="178">
        <v>0.08</v>
      </c>
      <c r="K11" s="178">
        <v>0.08</v>
      </c>
      <c r="L11" s="178">
        <v>0.08</v>
      </c>
    </row>
    <row r="12" spans="2:16" x14ac:dyDescent="0.35">
      <c r="B12" t="s">
        <v>111</v>
      </c>
      <c r="C12" s="329"/>
      <c r="D12" s="178">
        <v>-0.04</v>
      </c>
      <c r="E12" s="178">
        <v>-0.03</v>
      </c>
      <c r="F12" s="178">
        <v>-0.02</v>
      </c>
      <c r="G12" s="178">
        <v>-0.04</v>
      </c>
      <c r="H12" s="178">
        <v>-0.03</v>
      </c>
      <c r="I12" s="178">
        <v>-0.02</v>
      </c>
      <c r="J12" s="178">
        <v>-0.04</v>
      </c>
      <c r="K12" s="178">
        <v>-0.03</v>
      </c>
      <c r="L12" s="178">
        <v>-0.02</v>
      </c>
    </row>
    <row r="13" spans="2:16" x14ac:dyDescent="0.35">
      <c r="B13" s="177"/>
      <c r="C13" s="179">
        <v>2021</v>
      </c>
      <c r="D13" s="180">
        <f>VLOOKUP($C13,'Goods Model'!$B$4:$G$49,5)*$L$6*(1+D$12)^($C13-$D$6)+$L$7+VLOOKUP($C13,'Services Model'!$B$4:$G$49,5)*$P$6*(1+D$12)^($C13-$D$6)+$P$7+VLOOKUP($C13,'Household Model'!$B$3:$H$48,6)*$H$6*(1+D$11)^($C13-$D$6)+$H$7</f>
        <v>52216.454637345196</v>
      </c>
      <c r="E13" s="180">
        <f>VLOOKUP($C13,'Goods Model'!$B$4:$G$49,5)*$L$6*(1+E$12)^($C13-$D$6)+$L$7+VLOOKUP($C13,'Services Model'!$B$4:$G$49,5)*$P$6*(1+E$12)^($C13-$D$6)+$P$7+VLOOKUP($C13,'Household Model'!$B$3:$H$48,6)*$H$6*(1+E$11)^($C13-$D$6)+$H$7</f>
        <v>52531.898339300416</v>
      </c>
      <c r="F13" s="180">
        <f>VLOOKUP($C13,'Goods Model'!$B$4:$G$49,5)*$L$6*(1+F$12)^($C13-$D$6)+$L$7+VLOOKUP($C13,'Services Model'!$B$4:$G$49,5)*$P$6*(1+F$12)^($C13-$D$6)+$P$7+VLOOKUP($C13,'Household Model'!$B$3:$H$48,6)*$H$6*(1+F$11)^($C13-$D$6)+$H$7</f>
        <v>52847.342041255637</v>
      </c>
      <c r="G13" s="180">
        <f>VLOOKUP($C13,'Goods Model'!$B$4:$G$49,5)*$L$6*(1+G$12)^($C13-$D$6)+$L$7+VLOOKUP($C13,'Services Model'!$B$4:$G$49,5)*$P$6*(1+G$12)^($C13-$D$6)+$P$7+VLOOKUP($C13,'Household Model'!$B$3:$H$48,6)*$H$6*(1+G$11)^($C13-$D$6)+$H$7</f>
        <v>52158.871306523411</v>
      </c>
      <c r="H13" s="180">
        <f>VLOOKUP($C13,'Goods Model'!$B$4:$G$49,5)*$L$6*(1+H$12)^($C13-$D$6)+$L$7+VLOOKUP($C13,'Services Model'!$B$4:$G$49,5)*$P$6*(1+H$12)^($C13-$D$6)+$P$7+VLOOKUP($C13,'Household Model'!$B$3:$H$48,6)*$H$6*(1+H$11)^($C13-$D$6)+$H$7</f>
        <v>52474.315008478625</v>
      </c>
      <c r="I13" s="180">
        <f>VLOOKUP($C13,'Goods Model'!$B$4:$G$49,5)*$L$6*(1+I$12)^($C13-$D$6)+$L$7+VLOOKUP($C13,'Services Model'!$B$4:$G$49,5)*$P$6*(1+I$12)^($C13-$D$6)+$P$7+VLOOKUP($C13,'Household Model'!$B$3:$H$48,6)*$H$6*(1+I$11)^($C13-$D$6)+$H$7</f>
        <v>52789.758710433853</v>
      </c>
      <c r="J13" s="180">
        <f>VLOOKUP($C13,'Goods Model'!$B$4:$G$49,5)*$L$6*(1+J$12)^($C13-$D$6)+$L$7+VLOOKUP($C13,'Services Model'!$B$4:$G$49,5)*$P$6*(1+J$12)^($C13-$D$6)+$P$7+VLOOKUP($C13,'Household Model'!$B$3:$H$48,6)*$H$6*(1+J$11)^($C13-$D$6)+$H$7</f>
        <v>52101.28797570162</v>
      </c>
      <c r="K13" s="180">
        <f>VLOOKUP($C13,'Goods Model'!$B$4:$G$49,5)*$L$6*(1+K$12)^($C13-$D$6)+$L$7+VLOOKUP($C13,'Services Model'!$B$4:$G$49,5)*$P$6*(1+K$12)^($C13-$D$6)+$P$7+VLOOKUP($C13,'Household Model'!$B$3:$H$48,6)*$H$6*(1+K$11)^($C13-$D$6)+$H$7</f>
        <v>52416.73167765684</v>
      </c>
      <c r="L13" s="180">
        <f>VLOOKUP($C13,'Goods Model'!$B$4:$G$49,5)*$L$6*(1+L$12)^($C13-$D$6)+$L$7+VLOOKUP($C13,'Services Model'!$B$4:$G$49,5)*$P$6*(1+L$12)^($C13-$D$6)+$P$7+VLOOKUP($C13,'Household Model'!$B$3:$H$48,6)*$H$6*(1+L$11)^($C13-$D$6)+$H$7</f>
        <v>52732.175379612061</v>
      </c>
    </row>
    <row r="14" spans="2:16" x14ac:dyDescent="0.35">
      <c r="B14" s="177"/>
      <c r="C14" s="179">
        <v>2022</v>
      </c>
      <c r="D14" s="180">
        <f>VLOOKUP($C14,'Goods Model'!$B$4:$G$49,5)*$L$6*(1+D$12)^($C14-$D$6)+$L$7+VLOOKUP($C14,'Services Model'!$B$4:$G$49,5)*$P$6*(1+D$12)^($C14-$D$6)+$P$7+VLOOKUP($C14,'Household Model'!$B$3:$H$48,6)*$H$6*(1+D$11)^($C14-$D$6)+$H$7</f>
        <v>52611.18452095698</v>
      </c>
      <c r="E14" s="180">
        <f>VLOOKUP($C14,'Goods Model'!$B$4:$G$49,5)*$L$6*(1+E$12)^($C14-$D$6)+$L$7+VLOOKUP($C14,'Services Model'!$B$4:$G$49,5)*$P$6*(1+E$12)^($C14-$D$6)+$P$7+VLOOKUP($C14,'Household Model'!$B$3:$H$48,6)*$H$6*(1+E$11)^($C14-$D$6)+$H$7</f>
        <v>53239.166707213684</v>
      </c>
      <c r="F14" s="180">
        <f>VLOOKUP($C14,'Goods Model'!$B$4:$G$49,5)*$L$6*(1+F$12)^($C14-$D$6)+$L$7+VLOOKUP($C14,'Services Model'!$B$4:$G$49,5)*$P$6*(1+F$12)^($C14-$D$6)+$P$7+VLOOKUP($C14,'Household Model'!$B$3:$H$48,6)*$H$6*(1+F$11)^($C14-$D$6)+$H$7</f>
        <v>53873.656480892729</v>
      </c>
      <c r="G14" s="180">
        <f>VLOOKUP($C14,'Goods Model'!$B$4:$G$49,5)*$L$6*(1+G$12)^($C14-$D$6)+$L$7+VLOOKUP($C14,'Services Model'!$B$4:$G$49,5)*$P$6*(1+G$12)^($C14-$D$6)+$P$7+VLOOKUP($C14,'Household Model'!$B$3:$H$48,6)*$H$6*(1+G$11)^($C14-$D$6)+$H$7</f>
        <v>52484.046354719307</v>
      </c>
      <c r="H14" s="180">
        <f>VLOOKUP($C14,'Goods Model'!$B$4:$G$49,5)*$L$6*(1+H$12)^($C14-$D$6)+$L$7+VLOOKUP($C14,'Services Model'!$B$4:$G$49,5)*$P$6*(1+H$12)^($C14-$D$6)+$P$7+VLOOKUP($C14,'Household Model'!$B$3:$H$48,6)*$H$6*(1+H$11)^($C14-$D$6)+$H$7</f>
        <v>53112.028540976018</v>
      </c>
      <c r="I14" s="180">
        <f>VLOOKUP($C14,'Goods Model'!$B$4:$G$49,5)*$L$6*(1+I$12)^($C14-$D$6)+$L$7+VLOOKUP($C14,'Services Model'!$B$4:$G$49,5)*$P$6*(1+I$12)^($C14-$D$6)+$P$7+VLOOKUP($C14,'Household Model'!$B$3:$H$48,6)*$H$6*(1+I$11)^($C14-$D$6)+$H$7</f>
        <v>53746.518314655063</v>
      </c>
      <c r="J14" s="180">
        <f>VLOOKUP($C14,'Goods Model'!$B$4:$G$49,5)*$L$6*(1+J$12)^($C14-$D$6)+$L$7+VLOOKUP($C14,'Services Model'!$B$4:$G$49,5)*$P$6*(1+J$12)^($C14-$D$6)+$P$7+VLOOKUP($C14,'Household Model'!$B$3:$H$48,6)*$H$6*(1+J$11)^($C14-$D$6)+$H$7</f>
        <v>52358.06926762536</v>
      </c>
      <c r="K14" s="180">
        <f>VLOOKUP($C14,'Goods Model'!$B$4:$G$49,5)*$L$6*(1+K$12)^($C14-$D$6)+$L$7+VLOOKUP($C14,'Services Model'!$B$4:$G$49,5)*$P$6*(1+K$12)^($C14-$D$6)+$P$7+VLOOKUP($C14,'Household Model'!$B$3:$H$48,6)*$H$6*(1+K$11)^($C14-$D$6)+$H$7</f>
        <v>52986.051453882072</v>
      </c>
      <c r="L14" s="180">
        <f>VLOOKUP($C14,'Goods Model'!$B$4:$G$49,5)*$L$6*(1+L$12)^($C14-$D$6)+$L$7+VLOOKUP($C14,'Services Model'!$B$4:$G$49,5)*$P$6*(1+L$12)^($C14-$D$6)+$P$7+VLOOKUP($C14,'Household Model'!$B$3:$H$48,6)*$H$6*(1+L$11)^($C14-$D$6)+$H$7</f>
        <v>53620.541227561116</v>
      </c>
    </row>
    <row r="15" spans="2:16" x14ac:dyDescent="0.35">
      <c r="B15" s="177"/>
      <c r="C15" s="179">
        <v>2023</v>
      </c>
      <c r="D15" s="180">
        <f>VLOOKUP($C15,'Goods Model'!$B$4:$G$49,5)*$L$6*(1+D$12)^($C15-$D$6)+$L$7+VLOOKUP($C15,'Services Model'!$B$4:$G$49,5)*$P$6*(1+D$12)^($C15-$D$6)+$P$7+VLOOKUP($C15,'Household Model'!$B$3:$H$48,6)*$H$6*(1+D$11)^($C15-$D$6)+$H$7</f>
        <v>53054.898845621574</v>
      </c>
      <c r="E15" s="180">
        <f>VLOOKUP($C15,'Goods Model'!$B$4:$G$49,5)*$L$6*(1+E$12)^($C15-$D$6)+$L$7+VLOOKUP($C15,'Services Model'!$B$4:$G$49,5)*$P$6*(1+E$12)^($C15-$D$6)+$P$7+VLOOKUP($C15,'Household Model'!$B$3:$H$48,6)*$H$6*(1+E$11)^($C15-$D$6)+$H$7</f>
        <v>53991.668473651</v>
      </c>
      <c r="F15" s="180">
        <f>VLOOKUP($C15,'Goods Model'!$B$4:$G$49,5)*$L$6*(1+F$12)^($C15-$D$6)+$L$7+VLOOKUP($C15,'Services Model'!$B$4:$G$49,5)*$P$6*(1+F$12)^($C15-$D$6)+$P$7+VLOOKUP($C15,'Household Model'!$B$3:$H$48,6)*$H$6*(1+F$11)^($C15-$D$6)+$H$7</f>
        <v>54947.953437024698</v>
      </c>
      <c r="G15" s="180">
        <f>VLOOKUP($C15,'Goods Model'!$B$4:$G$49,5)*$L$6*(1+G$12)^($C15-$D$6)+$L$7+VLOOKUP($C15,'Services Model'!$B$4:$G$49,5)*$P$6*(1+G$12)^($C15-$D$6)+$P$7+VLOOKUP($C15,'Household Model'!$B$3:$H$48,6)*$H$6*(1+G$11)^($C15-$D$6)+$H$7</f>
        <v>52844.405600728496</v>
      </c>
      <c r="H15" s="180">
        <f>VLOOKUP($C15,'Goods Model'!$B$4:$G$49,5)*$L$6*(1+H$12)^($C15-$D$6)+$L$7+VLOOKUP($C15,'Services Model'!$B$4:$G$49,5)*$P$6*(1+H$12)^($C15-$D$6)+$P$7+VLOOKUP($C15,'Household Model'!$B$3:$H$48,6)*$H$6*(1+H$11)^($C15-$D$6)+$H$7</f>
        <v>53781.175228757922</v>
      </c>
      <c r="I15" s="180">
        <f>VLOOKUP($C15,'Goods Model'!$B$4:$G$49,5)*$L$6*(1+I$12)^($C15-$D$6)+$L$7+VLOOKUP($C15,'Services Model'!$B$4:$G$49,5)*$P$6*(1+I$12)^($C15-$D$6)+$P$7+VLOOKUP($C15,'Household Model'!$B$3:$H$48,6)*$H$6*(1+I$11)^($C15-$D$6)+$H$7</f>
        <v>54737.460192131621</v>
      </c>
      <c r="J15" s="180">
        <f>VLOOKUP($C15,'Goods Model'!$B$4:$G$49,5)*$L$6*(1+J$12)^($C15-$D$6)+$L$7+VLOOKUP($C15,'Services Model'!$B$4:$G$49,5)*$P$6*(1+J$12)^($C15-$D$6)+$P$7+VLOOKUP($C15,'Household Model'!$B$3:$H$48,6)*$H$6*(1+J$11)^($C15-$D$6)+$H$7</f>
        <v>52637.739399347134</v>
      </c>
      <c r="K15" s="180">
        <f>VLOOKUP($C15,'Goods Model'!$B$4:$G$49,5)*$L$6*(1+K$12)^($C15-$D$6)+$L$7+VLOOKUP($C15,'Services Model'!$B$4:$G$49,5)*$P$6*(1+K$12)^($C15-$D$6)+$P$7+VLOOKUP($C15,'Household Model'!$B$3:$H$48,6)*$H$6*(1+K$11)^($C15-$D$6)+$H$7</f>
        <v>53574.50902737656</v>
      </c>
      <c r="L15" s="180">
        <f>VLOOKUP($C15,'Goods Model'!$B$4:$G$49,5)*$L$6*(1+L$12)^($C15-$D$6)+$L$7+VLOOKUP($C15,'Services Model'!$B$4:$G$49,5)*$P$6*(1+L$12)^($C15-$D$6)+$P$7+VLOOKUP($C15,'Household Model'!$B$3:$H$48,6)*$H$6*(1+L$11)^($C15-$D$6)+$H$7</f>
        <v>54530.793990750259</v>
      </c>
    </row>
    <row r="16" spans="2:16" x14ac:dyDescent="0.35">
      <c r="B16" s="177"/>
      <c r="C16" s="179">
        <v>2024</v>
      </c>
      <c r="D16" s="180">
        <f>VLOOKUP($C16,'Goods Model'!$B$4:$G$49,5)*$L$6*(1+D$12)^($C16-$D$6)+$L$7+VLOOKUP($C16,'Services Model'!$B$4:$G$49,5)*$P$6*(1+D$12)^($C16-$D$6)+$P$7+VLOOKUP($C16,'Household Model'!$B$3:$H$48,6)*$H$6*(1+D$11)^($C16-$D$6)+$H$7</f>
        <v>53557.779753987219</v>
      </c>
      <c r="E16" s="180">
        <f>VLOOKUP($C16,'Goods Model'!$B$4:$G$49,5)*$L$6*(1+E$12)^($C16-$D$6)+$L$7+VLOOKUP($C16,'Services Model'!$B$4:$G$49,5)*$P$6*(1+E$12)^($C16-$D$6)+$P$7+VLOOKUP($C16,'Household Model'!$B$3:$H$48,6)*$H$6*(1+E$11)^($C16-$D$6)+$H$7</f>
        <v>54798.826585415001</v>
      </c>
      <c r="F16" s="180">
        <f>VLOOKUP($C16,'Goods Model'!$B$4:$G$49,5)*$L$6*(1+F$12)^($C16-$D$6)+$L$7+VLOOKUP($C16,'Services Model'!$B$4:$G$49,5)*$P$6*(1+F$12)^($C16-$D$6)+$P$7+VLOOKUP($C16,'Household Model'!$B$3:$H$48,6)*$H$6*(1+F$11)^($C16-$D$6)+$H$7</f>
        <v>56078.855674445869</v>
      </c>
      <c r="G16" s="180">
        <f>VLOOKUP($C16,'Goods Model'!$B$4:$G$49,5)*$L$6*(1+G$12)^($C16-$D$6)+$L$7+VLOOKUP($C16,'Services Model'!$B$4:$G$49,5)*$P$6*(1+G$12)^($C16-$D$6)+$P$7+VLOOKUP($C16,'Household Model'!$B$3:$H$48,6)*$H$6*(1+G$11)^($C16-$D$6)+$H$7</f>
        <v>53248.059475444774</v>
      </c>
      <c r="H16" s="180">
        <f>VLOOKUP($C16,'Goods Model'!$B$4:$G$49,5)*$L$6*(1+H$12)^($C16-$D$6)+$L$7+VLOOKUP($C16,'Services Model'!$B$4:$G$49,5)*$P$6*(1+H$12)^($C16-$D$6)+$P$7+VLOOKUP($C16,'Household Model'!$B$3:$H$48,6)*$H$6*(1+H$11)^($C16-$D$6)+$H$7</f>
        <v>54489.106306872556</v>
      </c>
      <c r="I16" s="180">
        <f>VLOOKUP($C16,'Goods Model'!$B$4:$G$49,5)*$L$6*(1+I$12)^($C16-$D$6)+$L$7+VLOOKUP($C16,'Services Model'!$B$4:$G$49,5)*$P$6*(1+I$12)^($C16-$D$6)+$P$7+VLOOKUP($C16,'Household Model'!$B$3:$H$48,6)*$H$6*(1+I$11)^($C16-$D$6)+$H$7</f>
        <v>55769.135395903417</v>
      </c>
      <c r="J16" s="180">
        <f>VLOOKUP($C16,'Goods Model'!$B$4:$G$49,5)*$L$6*(1+J$12)^($C16-$D$6)+$L$7+VLOOKUP($C16,'Services Model'!$B$4:$G$49,5)*$P$6*(1+J$12)^($C16-$D$6)+$P$7+VLOOKUP($C16,'Household Model'!$B$3:$H$48,6)*$H$6*(1+J$11)^($C16-$D$6)+$H$7</f>
        <v>52946.747310516039</v>
      </c>
      <c r="K16" s="180">
        <f>VLOOKUP($C16,'Goods Model'!$B$4:$G$49,5)*$L$6*(1+K$12)^($C16-$D$6)+$L$7+VLOOKUP($C16,'Services Model'!$B$4:$G$49,5)*$P$6*(1+K$12)^($C16-$D$6)+$P$7+VLOOKUP($C16,'Household Model'!$B$3:$H$48,6)*$H$6*(1+K$11)^($C16-$D$6)+$H$7</f>
        <v>54187.794141943821</v>
      </c>
      <c r="L16" s="180">
        <f>VLOOKUP($C16,'Goods Model'!$B$4:$G$49,5)*$L$6*(1+L$12)^($C16-$D$6)+$L$7+VLOOKUP($C16,'Services Model'!$B$4:$G$49,5)*$P$6*(1+L$12)^($C16-$D$6)+$P$7+VLOOKUP($C16,'Household Model'!$B$3:$H$48,6)*$H$6*(1+L$11)^($C16-$D$6)+$H$7</f>
        <v>55467.823230974682</v>
      </c>
    </row>
    <row r="17" spans="2:12" x14ac:dyDescent="0.35">
      <c r="B17" s="177"/>
      <c r="C17" s="179">
        <v>2025</v>
      </c>
      <c r="D17" s="180">
        <f>VLOOKUP($C17,'Goods Model'!$B$4:$G$49,5)*$L$6*(1+D$12)^($C17-$D$6)+$L$7+VLOOKUP($C17,'Services Model'!$B$4:$G$49,5)*$P$6*(1+D$12)^($C17-$D$6)+$P$7+VLOOKUP($C17,'Household Model'!$B$3:$H$48,6)*$H$6*(1+D$11)^($C17-$D$6)+$H$7</f>
        <v>54130.643738040606</v>
      </c>
      <c r="E17" s="180">
        <f>VLOOKUP($C17,'Goods Model'!$B$4:$G$49,5)*$L$6*(1+E$12)^($C17-$D$6)+$L$7+VLOOKUP($C17,'Services Model'!$B$4:$G$49,5)*$P$6*(1+E$12)^($C17-$D$6)+$P$7+VLOOKUP($C17,'Household Model'!$B$3:$H$48,6)*$H$6*(1+E$11)^($C17-$D$6)+$H$7</f>
        <v>55670.779047971344</v>
      </c>
      <c r="F17" s="180">
        <f>VLOOKUP($C17,'Goods Model'!$B$4:$G$49,5)*$L$6*(1+F$12)^($C17-$D$6)+$L$7+VLOOKUP($C17,'Services Model'!$B$4:$G$49,5)*$P$6*(1+F$12)^($C17-$D$6)+$P$7+VLOOKUP($C17,'Household Model'!$B$3:$H$48,6)*$H$6*(1+F$11)^($C17-$D$6)+$H$7</f>
        <v>57275.751606753918</v>
      </c>
      <c r="G17" s="180">
        <f>VLOOKUP($C17,'Goods Model'!$B$4:$G$49,5)*$L$6*(1+G$12)^($C17-$D$6)+$L$7+VLOOKUP($C17,'Services Model'!$B$4:$G$49,5)*$P$6*(1+G$12)^($C17-$D$6)+$P$7+VLOOKUP($C17,'Household Model'!$B$3:$H$48,6)*$H$6*(1+G$11)^($C17-$D$6)+$H$7</f>
        <v>53703.480213830226</v>
      </c>
      <c r="H17" s="180">
        <f>VLOOKUP($C17,'Goods Model'!$B$4:$G$49,5)*$L$6*(1+H$12)^($C17-$D$6)+$L$7+VLOOKUP($C17,'Services Model'!$B$4:$G$49,5)*$P$6*(1+H$12)^($C17-$D$6)+$P$7+VLOOKUP($C17,'Household Model'!$B$3:$H$48,6)*$H$6*(1+H$11)^($C17-$D$6)+$H$7</f>
        <v>55243.615523760964</v>
      </c>
      <c r="I17" s="180">
        <f>VLOOKUP($C17,'Goods Model'!$B$4:$G$49,5)*$L$6*(1+I$12)^($C17-$D$6)+$L$7+VLOOKUP($C17,'Services Model'!$B$4:$G$49,5)*$P$6*(1+I$12)^($C17-$D$6)+$P$7+VLOOKUP($C17,'Household Model'!$B$3:$H$48,6)*$H$6*(1+I$11)^($C17-$D$6)+$H$7</f>
        <v>56848.588082543538</v>
      </c>
      <c r="J17" s="180">
        <f>VLOOKUP($C17,'Goods Model'!$B$4:$G$49,5)*$L$6*(1+J$12)^($C17-$D$6)+$L$7+VLOOKUP($C17,'Services Model'!$B$4:$G$49,5)*$P$6*(1+J$12)^($C17-$D$6)+$P$7+VLOOKUP($C17,'Household Model'!$B$3:$H$48,6)*$H$6*(1+J$11)^($C17-$D$6)+$H$7</f>
        <v>53291.708061651429</v>
      </c>
      <c r="K17" s="180">
        <f>VLOOKUP($C17,'Goods Model'!$B$4:$G$49,5)*$L$6*(1+K$12)^($C17-$D$6)+$L$7+VLOOKUP($C17,'Services Model'!$B$4:$G$49,5)*$P$6*(1+K$12)^($C17-$D$6)+$P$7+VLOOKUP($C17,'Household Model'!$B$3:$H$48,6)*$H$6*(1+K$11)^($C17-$D$6)+$H$7</f>
        <v>54831.843371582167</v>
      </c>
      <c r="L17" s="180">
        <f>VLOOKUP($C17,'Goods Model'!$B$4:$G$49,5)*$L$6*(1+L$12)^($C17-$D$6)+$L$7+VLOOKUP($C17,'Services Model'!$B$4:$G$49,5)*$P$6*(1+L$12)^($C17-$D$6)+$P$7+VLOOKUP($C17,'Household Model'!$B$3:$H$48,6)*$H$6*(1+L$11)^($C17-$D$6)+$H$7</f>
        <v>56436.815930364741</v>
      </c>
    </row>
    <row r="18" spans="2:12" x14ac:dyDescent="0.35">
      <c r="B18" s="177"/>
      <c r="C18" s="179">
        <v>2026</v>
      </c>
      <c r="D18" s="180">
        <f>VLOOKUP($C18,'Goods Model'!$B$4:$G$49,5)*$L$6*(1+D$12)^($C18-$D$6)+$L$7+VLOOKUP($C18,'Services Model'!$B$4:$G$49,5)*$P$6*(1+D$12)^($C18-$D$6)+$P$7+VLOOKUP($C18,'Household Model'!$B$3:$H$48,6)*$H$6*(1+D$11)^($C18-$D$6)+$H$7</f>
        <v>54785.029431365932</v>
      </c>
      <c r="E18" s="180">
        <f>VLOOKUP($C18,'Goods Model'!$B$4:$G$49,5)*$L$6*(1+E$12)^($C18-$D$6)+$L$7+VLOOKUP($C18,'Services Model'!$B$4:$G$49,5)*$P$6*(1+E$12)^($C18-$D$6)+$P$7+VLOOKUP($C18,'Household Model'!$B$3:$H$48,6)*$H$6*(1+E$11)^($C18-$D$6)+$H$7</f>
        <v>56618.461140651692</v>
      </c>
      <c r="F18" s="180">
        <f>VLOOKUP($C18,'Goods Model'!$B$4:$G$49,5)*$L$6*(1+F$12)^($C18-$D$6)+$L$7+VLOOKUP($C18,'Services Model'!$B$4:$G$49,5)*$P$6*(1+F$12)^($C18-$D$6)+$P$7+VLOOKUP($C18,'Household Model'!$B$3:$H$48,6)*$H$6*(1+F$11)^($C18-$D$6)+$H$7</f>
        <v>58548.875133408561</v>
      </c>
      <c r="G18" s="180">
        <f>VLOOKUP($C18,'Goods Model'!$B$4:$G$49,5)*$L$6*(1+G$12)^($C18-$D$6)+$L$7+VLOOKUP($C18,'Services Model'!$B$4:$G$49,5)*$P$6*(1+G$12)^($C18-$D$6)+$P$7+VLOOKUP($C18,'Household Model'!$B$3:$H$48,6)*$H$6*(1+G$11)^($C18-$D$6)+$H$7</f>
        <v>54219.556704287366</v>
      </c>
      <c r="H18" s="180">
        <f>VLOOKUP($C18,'Goods Model'!$B$4:$G$49,5)*$L$6*(1+H$12)^($C18-$D$6)+$L$7+VLOOKUP($C18,'Services Model'!$B$4:$G$49,5)*$P$6*(1+H$12)^($C18-$D$6)+$P$7+VLOOKUP($C18,'Household Model'!$B$3:$H$48,6)*$H$6*(1+H$11)^($C18-$D$6)+$H$7</f>
        <v>56052.988413573119</v>
      </c>
      <c r="I18" s="180">
        <f>VLOOKUP($C18,'Goods Model'!$B$4:$G$49,5)*$L$6*(1+I$12)^($C18-$D$6)+$L$7+VLOOKUP($C18,'Services Model'!$B$4:$G$49,5)*$P$6*(1+I$12)^($C18-$D$6)+$P$7+VLOOKUP($C18,'Household Model'!$B$3:$H$48,6)*$H$6*(1+I$11)^($C18-$D$6)+$H$7</f>
        <v>57983.402406329995</v>
      </c>
      <c r="J18" s="180">
        <f>VLOOKUP($C18,'Goods Model'!$B$4:$G$49,5)*$L$6*(1+J$12)^($C18-$D$6)+$L$7+VLOOKUP($C18,'Services Model'!$B$4:$G$49,5)*$P$6*(1+J$12)^($C18-$D$6)+$P$7+VLOOKUP($C18,'Household Model'!$B$3:$H$48,6)*$H$6*(1+J$11)^($C18-$D$6)+$H$7</f>
        <v>53679.436631427896</v>
      </c>
      <c r="K18" s="180">
        <f>VLOOKUP($C18,'Goods Model'!$B$4:$G$49,5)*$L$6*(1+K$12)^($C18-$D$6)+$L$7+VLOOKUP($C18,'Services Model'!$B$4:$G$49,5)*$P$6*(1+K$12)^($C18-$D$6)+$P$7+VLOOKUP($C18,'Household Model'!$B$3:$H$48,6)*$H$6*(1+K$11)^($C18-$D$6)+$H$7</f>
        <v>55512.868340713656</v>
      </c>
      <c r="L18" s="180">
        <f>VLOOKUP($C18,'Goods Model'!$B$4:$G$49,5)*$L$6*(1+L$12)^($C18-$D$6)+$L$7+VLOOKUP($C18,'Services Model'!$B$4:$G$49,5)*$P$6*(1+L$12)^($C18-$D$6)+$P$7+VLOOKUP($C18,'Household Model'!$B$3:$H$48,6)*$H$6*(1+L$11)^($C18-$D$6)+$H$7</f>
        <v>57443.282333470524</v>
      </c>
    </row>
    <row r="19" spans="2:12" x14ac:dyDescent="0.35">
      <c r="B19" s="177"/>
      <c r="C19" s="179">
        <v>2027</v>
      </c>
      <c r="D19" s="180">
        <f>VLOOKUP($C19,'Goods Model'!$B$4:$G$49,5)*$L$6*(1+D$12)^($C19-$D$6)+$L$7+VLOOKUP($C19,'Services Model'!$B$4:$G$49,5)*$P$6*(1+D$12)^($C19-$D$6)+$P$7+VLOOKUP($C19,'Household Model'!$B$3:$H$48,6)*$H$6*(1+D$11)^($C19-$D$6)+$H$7</f>
        <v>55533.292689341011</v>
      </c>
      <c r="E19" s="180">
        <f>VLOOKUP($C19,'Goods Model'!$B$4:$G$49,5)*$L$6*(1+E$12)^($C19-$D$6)+$L$7+VLOOKUP($C19,'Services Model'!$B$4:$G$49,5)*$P$6*(1+E$12)^($C19-$D$6)+$P$7+VLOOKUP($C19,'Household Model'!$B$3:$H$48,6)*$H$6*(1+E$11)^($C19-$D$6)+$H$7</f>
        <v>57653.695244350027</v>
      </c>
      <c r="F19" s="180">
        <f>VLOOKUP($C19,'Goods Model'!$B$4:$G$49,5)*$L$6*(1+F$12)^($C19-$D$6)+$L$7+VLOOKUP($C19,'Services Model'!$B$4:$G$49,5)*$P$6*(1+F$12)^($C19-$D$6)+$P$7+VLOOKUP($C19,'Household Model'!$B$3:$H$48,6)*$H$6*(1+F$11)^($C19-$D$6)+$H$7</f>
        <v>59909.393186935755</v>
      </c>
      <c r="G19" s="180">
        <f>VLOOKUP($C19,'Goods Model'!$B$4:$G$49,5)*$L$6*(1+G$12)^($C19-$D$6)+$L$7+VLOOKUP($C19,'Services Model'!$B$4:$G$49,5)*$P$6*(1+G$12)^($C19-$D$6)+$P$7+VLOOKUP($C19,'Household Model'!$B$3:$H$48,6)*$H$6*(1+G$11)^($C19-$D$6)+$H$7</f>
        <v>54805.652891534264</v>
      </c>
      <c r="H19" s="180">
        <f>VLOOKUP($C19,'Goods Model'!$B$4:$G$49,5)*$L$6*(1+H$12)^($C19-$D$6)+$L$7+VLOOKUP($C19,'Services Model'!$B$4:$G$49,5)*$P$6*(1+H$12)^($C19-$D$6)+$P$7+VLOOKUP($C19,'Household Model'!$B$3:$H$48,6)*$H$6*(1+H$11)^($C19-$D$6)+$H$7</f>
        <v>56926.055446543287</v>
      </c>
      <c r="I19" s="180">
        <f>VLOOKUP($C19,'Goods Model'!$B$4:$G$49,5)*$L$6*(1+I$12)^($C19-$D$6)+$L$7+VLOOKUP($C19,'Services Model'!$B$4:$G$49,5)*$P$6*(1+I$12)^($C19-$D$6)+$P$7+VLOOKUP($C19,'Household Model'!$B$3:$H$48,6)*$H$6*(1+I$11)^($C19-$D$6)+$H$7</f>
        <v>59181.753389129015</v>
      </c>
      <c r="J19" s="180">
        <f>VLOOKUP($C19,'Goods Model'!$B$4:$G$49,5)*$L$6*(1+J$12)^($C19-$D$6)+$L$7+VLOOKUP($C19,'Services Model'!$B$4:$G$49,5)*$P$6*(1+J$12)^($C19-$D$6)+$P$7+VLOOKUP($C19,'Household Model'!$B$3:$H$48,6)*$H$6*(1+J$11)^($C19-$D$6)+$H$7</f>
        <v>54116.983157376606</v>
      </c>
      <c r="K19" s="180">
        <f>VLOOKUP($C19,'Goods Model'!$B$4:$G$49,5)*$L$6*(1+K$12)^($C19-$D$6)+$L$7+VLOOKUP($C19,'Services Model'!$B$4:$G$49,5)*$P$6*(1+K$12)^($C19-$D$6)+$P$7+VLOOKUP($C19,'Household Model'!$B$3:$H$48,6)*$H$6*(1+K$11)^($C19-$D$6)+$H$7</f>
        <v>56237.385712385629</v>
      </c>
      <c r="L19" s="180">
        <f>VLOOKUP($C19,'Goods Model'!$B$4:$G$49,5)*$L$6*(1+L$12)^($C19-$D$6)+$L$7+VLOOKUP($C19,'Services Model'!$B$4:$G$49,5)*$P$6*(1+L$12)^($C19-$D$6)+$P$7+VLOOKUP($C19,'Household Model'!$B$3:$H$48,6)*$H$6*(1+L$11)^($C19-$D$6)+$H$7</f>
        <v>58493.083654971357</v>
      </c>
    </row>
    <row r="20" spans="2:12" x14ac:dyDescent="0.35">
      <c r="B20" s="177"/>
      <c r="C20" s="179">
        <v>2028</v>
      </c>
      <c r="D20" s="180">
        <f>VLOOKUP($C20,'Goods Model'!$B$4:$G$49,5)*$L$6*(1+D$12)^($C20-$D$6)+$L$7+VLOOKUP($C20,'Services Model'!$B$4:$G$49,5)*$P$6*(1+D$12)^($C20-$D$6)+$P$7+VLOOKUP($C20,'Household Model'!$B$3:$H$48,6)*$H$6*(1+D$11)^($C20-$D$6)+$H$7</f>
        <v>56388.709712543867</v>
      </c>
      <c r="E20" s="180">
        <f>VLOOKUP($C20,'Goods Model'!$B$4:$G$49,5)*$L$6*(1+E$12)^($C20-$D$6)+$L$7+VLOOKUP($C20,'Services Model'!$B$4:$G$49,5)*$P$6*(1+E$12)^($C20-$D$6)+$P$7+VLOOKUP($C20,'Household Model'!$B$3:$H$48,6)*$H$6*(1+E$11)^($C20-$D$6)+$H$7</f>
        <v>58789.289019794152</v>
      </c>
      <c r="F20" s="180">
        <f>VLOOKUP($C20,'Goods Model'!$B$4:$G$49,5)*$L$6*(1+F$12)^($C20-$D$6)+$L$7+VLOOKUP($C20,'Services Model'!$B$4:$G$49,5)*$P$6*(1+F$12)^($C20-$D$6)+$P$7+VLOOKUP($C20,'Household Model'!$B$3:$H$48,6)*$H$6*(1+F$11)^($C20-$D$6)+$H$7</f>
        <v>61369.501724645794</v>
      </c>
      <c r="G20" s="180">
        <f>VLOOKUP($C20,'Goods Model'!$B$4:$G$49,5)*$L$6*(1+G$12)^($C20-$D$6)+$L$7+VLOOKUP($C20,'Services Model'!$B$4:$G$49,5)*$P$6*(1+G$12)^($C20-$D$6)+$P$7+VLOOKUP($C20,'Household Model'!$B$3:$H$48,6)*$H$6*(1+G$11)^($C20-$D$6)+$H$7</f>
        <v>55471.670087198749</v>
      </c>
      <c r="H20" s="180">
        <f>VLOOKUP($C20,'Goods Model'!$B$4:$G$49,5)*$L$6*(1+H$12)^($C20-$D$6)+$L$7+VLOOKUP($C20,'Services Model'!$B$4:$G$49,5)*$P$6*(1+H$12)^($C20-$D$6)+$P$7+VLOOKUP($C20,'Household Model'!$B$3:$H$48,6)*$H$6*(1+H$11)^($C20-$D$6)+$H$7</f>
        <v>57872.249394449034</v>
      </c>
      <c r="I20" s="180">
        <f>VLOOKUP($C20,'Goods Model'!$B$4:$G$49,5)*$L$6*(1+I$12)^($C20-$D$6)+$L$7+VLOOKUP($C20,'Services Model'!$B$4:$G$49,5)*$P$6*(1+I$12)^($C20-$D$6)+$P$7+VLOOKUP($C20,'Household Model'!$B$3:$H$48,6)*$H$6*(1+I$11)^($C20-$D$6)+$H$7</f>
        <v>60452.462099300676</v>
      </c>
      <c r="J20" s="180">
        <f>VLOOKUP($C20,'Goods Model'!$B$4:$G$49,5)*$L$6*(1+J$12)^($C20-$D$6)+$L$7+VLOOKUP($C20,'Services Model'!$B$4:$G$49,5)*$P$6*(1+J$12)^($C20-$D$6)+$P$7+VLOOKUP($C20,'Household Model'!$B$3:$H$48,6)*$H$6*(1+J$11)^($C20-$D$6)+$H$7</f>
        <v>54611.669775405368</v>
      </c>
      <c r="K20" s="180">
        <f>VLOOKUP($C20,'Goods Model'!$B$4:$G$49,5)*$L$6*(1+K$12)^($C20-$D$6)+$L$7+VLOOKUP($C20,'Services Model'!$B$4:$G$49,5)*$P$6*(1+K$12)^($C20-$D$6)+$P$7+VLOOKUP($C20,'Household Model'!$B$3:$H$48,6)*$H$6*(1+K$11)^($C20-$D$6)+$H$7</f>
        <v>57012.249082655653</v>
      </c>
      <c r="L20" s="180">
        <f>VLOOKUP($C20,'Goods Model'!$B$4:$G$49,5)*$L$6*(1+L$12)^($C20-$D$6)+$L$7+VLOOKUP($C20,'Services Model'!$B$4:$G$49,5)*$P$6*(1+L$12)^($C20-$D$6)+$P$7+VLOOKUP($C20,'Household Model'!$B$3:$H$48,6)*$H$6*(1+L$11)^($C20-$D$6)+$H$7</f>
        <v>59592.461787507295</v>
      </c>
    </row>
    <row r="21" spans="2:12" x14ac:dyDescent="0.35">
      <c r="B21" s="177"/>
      <c r="C21" s="179">
        <v>2029</v>
      </c>
      <c r="D21" s="180">
        <f>VLOOKUP($C21,'Goods Model'!$B$4:$G$49,5)*$L$6*(1+D$12)^($C21-$D$6)+$L$7+VLOOKUP($C21,'Services Model'!$B$4:$G$49,5)*$P$6*(1+D$12)^($C21-$D$6)+$P$7+VLOOKUP($C21,'Household Model'!$B$3:$H$48,6)*$H$6*(1+D$11)^($C21-$D$6)+$H$7</f>
        <v>57365.589035359815</v>
      </c>
      <c r="E21" s="180">
        <f>VLOOKUP($C21,'Goods Model'!$B$4:$G$49,5)*$L$6*(1+E$12)^($C21-$D$6)+$L$7+VLOOKUP($C21,'Services Model'!$B$4:$G$49,5)*$P$6*(1+E$12)^($C21-$D$6)+$P$7+VLOOKUP($C21,'Household Model'!$B$3:$H$48,6)*$H$6*(1+E$11)^($C21-$D$6)+$H$7</f>
        <v>60039.142742049829</v>
      </c>
      <c r="F21" s="180">
        <f>VLOOKUP($C21,'Goods Model'!$B$4:$G$49,5)*$L$6*(1+F$12)^($C21-$D$6)+$L$7+VLOOKUP($C21,'Services Model'!$B$4:$G$49,5)*$P$6*(1+F$12)^($C21-$D$6)+$P$7+VLOOKUP($C21,'Household Model'!$B$3:$H$48,6)*$H$6*(1+F$11)^($C21-$D$6)+$H$7</f>
        <v>62942.530966943857</v>
      </c>
      <c r="G21" s="180">
        <f>VLOOKUP($C21,'Goods Model'!$B$4:$G$49,5)*$L$6*(1+G$12)^($C21-$D$6)+$L$7+VLOOKUP($C21,'Services Model'!$B$4:$G$49,5)*$P$6*(1+G$12)^($C21-$D$6)+$P$7+VLOOKUP($C21,'Household Model'!$B$3:$H$48,6)*$H$6*(1+G$11)^($C21-$D$6)+$H$7</f>
        <v>56228.113568056819</v>
      </c>
      <c r="H21" s="180">
        <f>VLOOKUP($C21,'Goods Model'!$B$4:$G$49,5)*$L$6*(1+H$12)^($C21-$D$6)+$L$7+VLOOKUP($C21,'Services Model'!$B$4:$G$49,5)*$P$6*(1+H$12)^($C21-$D$6)+$P$7+VLOOKUP($C21,'Household Model'!$B$3:$H$48,6)*$H$6*(1+H$11)^($C21-$D$6)+$H$7</f>
        <v>58901.667274746833</v>
      </c>
      <c r="I21" s="180">
        <f>VLOOKUP($C21,'Goods Model'!$B$4:$G$49,5)*$L$6*(1+I$12)^($C21-$D$6)+$L$7+VLOOKUP($C21,'Services Model'!$B$4:$G$49,5)*$P$6*(1+I$12)^($C21-$D$6)+$P$7+VLOOKUP($C21,'Household Model'!$B$3:$H$48,6)*$H$6*(1+I$11)^($C21-$D$6)+$H$7</f>
        <v>61805.055499640861</v>
      </c>
      <c r="J21" s="180">
        <f>VLOOKUP($C21,'Goods Model'!$B$4:$G$49,5)*$L$6*(1+J$12)^($C21-$D$6)+$L$7+VLOOKUP($C21,'Services Model'!$B$4:$G$49,5)*$P$6*(1+J$12)^($C21-$D$6)+$P$7+VLOOKUP($C21,'Household Model'!$B$3:$H$48,6)*$H$6*(1+J$11)^($C21-$D$6)+$H$7</f>
        <v>55171.129221580122</v>
      </c>
      <c r="K21" s="180">
        <f>VLOOKUP($C21,'Goods Model'!$B$4:$G$49,5)*$L$6*(1+K$12)^($C21-$D$6)+$L$7+VLOOKUP($C21,'Services Model'!$B$4:$G$49,5)*$P$6*(1+K$12)^($C21-$D$6)+$P$7+VLOOKUP($C21,'Household Model'!$B$3:$H$48,6)*$H$6*(1+K$11)^($C21-$D$6)+$H$7</f>
        <v>57844.682928270136</v>
      </c>
      <c r="L21" s="180">
        <f>VLOOKUP($C21,'Goods Model'!$B$4:$G$49,5)*$L$6*(1+L$12)^($C21-$D$6)+$L$7+VLOOKUP($C21,'Services Model'!$B$4:$G$49,5)*$P$6*(1+L$12)^($C21-$D$6)+$P$7+VLOOKUP($C21,'Household Model'!$B$3:$H$48,6)*$H$6*(1+L$11)^($C21-$D$6)+$H$7</f>
        <v>60748.071153164165</v>
      </c>
    </row>
    <row r="22" spans="2:12" x14ac:dyDescent="0.35">
      <c r="B22" s="177"/>
      <c r="C22" s="179">
        <v>2030</v>
      </c>
      <c r="D22" s="180">
        <f>VLOOKUP($C22,'Goods Model'!$B$4:$G$49,5)*$L$6*(1+D$12)^($C22-$D$6)+$L$7+VLOOKUP($C22,'Services Model'!$B$4:$G$49,5)*$P$6*(1+D$12)^($C22-$D$6)+$P$7+VLOOKUP($C22,'Household Model'!$B$3:$H$48,6)*$H$6*(1+D$11)^($C22-$D$6)+$H$7</f>
        <v>58479.393274583519</v>
      </c>
      <c r="E22" s="180">
        <f>VLOOKUP($C22,'Goods Model'!$B$4:$G$49,5)*$L$6*(1+E$12)^($C22-$D$6)+$L$7+VLOOKUP($C22,'Services Model'!$B$4:$G$49,5)*$P$6*(1+E$12)^($C22-$D$6)+$P$7+VLOOKUP($C22,'Household Model'!$B$3:$H$48,6)*$H$6*(1+E$11)^($C22-$D$6)+$H$7</f>
        <v>61418.366670535543</v>
      </c>
      <c r="F22" s="180">
        <f>VLOOKUP($C22,'Goods Model'!$B$4:$G$49,5)*$L$6*(1+F$12)^($C22-$D$6)+$L$7+VLOOKUP($C22,'Services Model'!$B$4:$G$49,5)*$P$6*(1+F$12)^($C22-$D$6)+$P$7+VLOOKUP($C22,'Household Model'!$B$3:$H$48,6)*$H$6*(1+F$11)^($C22-$D$6)+$H$7</f>
        <v>64643.06075806186</v>
      </c>
      <c r="G22" s="180">
        <f>VLOOKUP($C22,'Goods Model'!$B$4:$G$49,5)*$L$6*(1+G$12)^($C22-$D$6)+$L$7+VLOOKUP($C22,'Services Model'!$B$4:$G$49,5)*$P$6*(1+G$12)^($C22-$D$6)+$P$7+VLOOKUP($C22,'Household Model'!$B$3:$H$48,6)*$H$6*(1+G$11)^($C22-$D$6)+$H$7</f>
        <v>57086.163869638323</v>
      </c>
      <c r="H22" s="180">
        <f>VLOOKUP($C22,'Goods Model'!$B$4:$G$49,5)*$L$6*(1+H$12)^($C22-$D$6)+$L$7+VLOOKUP($C22,'Services Model'!$B$4:$G$49,5)*$P$6*(1+H$12)^($C22-$D$6)+$P$7+VLOOKUP($C22,'Household Model'!$B$3:$H$48,6)*$H$6*(1+H$11)^($C22-$D$6)+$H$7</f>
        <v>60025.137265590347</v>
      </c>
      <c r="I22" s="180">
        <f>VLOOKUP($C22,'Goods Model'!$B$4:$G$49,5)*$L$6*(1+I$12)^($C22-$D$6)+$L$7+VLOOKUP($C22,'Services Model'!$B$4:$G$49,5)*$P$6*(1+I$12)^($C22-$D$6)+$P$7+VLOOKUP($C22,'Household Model'!$B$3:$H$48,6)*$H$6*(1+I$11)^($C22-$D$6)+$H$7</f>
        <v>63249.831353116664</v>
      </c>
      <c r="J22" s="180">
        <f>VLOOKUP($C22,'Goods Model'!$B$4:$G$49,5)*$L$6*(1+J$12)^($C22-$D$6)+$L$7+VLOOKUP($C22,'Services Model'!$B$4:$G$49,5)*$P$6*(1+J$12)^($C22-$D$6)+$P$7+VLOOKUP($C22,'Household Model'!$B$3:$H$48,6)*$H$6*(1+J$11)^($C22-$D$6)+$H$7</f>
        <v>55803.345368259521</v>
      </c>
      <c r="K22" s="180">
        <f>VLOOKUP($C22,'Goods Model'!$B$4:$G$49,5)*$L$6*(1+K$12)^($C22-$D$6)+$L$7+VLOOKUP($C22,'Services Model'!$B$4:$G$49,5)*$P$6*(1+K$12)^($C22-$D$6)+$P$7+VLOOKUP($C22,'Household Model'!$B$3:$H$48,6)*$H$6*(1+K$11)^($C22-$D$6)+$H$7</f>
        <v>58742.318764211544</v>
      </c>
      <c r="L22" s="180">
        <f>VLOOKUP($C22,'Goods Model'!$B$4:$G$49,5)*$L$6*(1+L$12)^($C22-$D$6)+$L$7+VLOOKUP($C22,'Services Model'!$B$4:$G$49,5)*$P$6*(1+L$12)^($C22-$D$6)+$P$7+VLOOKUP($C22,'Household Model'!$B$3:$H$48,6)*$H$6*(1+L$11)^($C22-$D$6)+$H$7</f>
        <v>61967.012851737862</v>
      </c>
    </row>
  </sheetData>
  <mergeCells count="1">
    <mergeCell ref="C11:C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A5E91-D288-4870-B949-70DBECD2E2BF}">
  <dimension ref="A1:G47"/>
  <sheetViews>
    <sheetView workbookViewId="0">
      <selection activeCell="F2" sqref="F2"/>
    </sheetView>
  </sheetViews>
  <sheetFormatPr defaultRowHeight="14.5" x14ac:dyDescent="0.35"/>
  <cols>
    <col min="3" max="3" width="14.7265625" customWidth="1"/>
  </cols>
  <sheetData>
    <row r="1" spans="1:7" ht="29" x14ac:dyDescent="0.35">
      <c r="A1" s="103" t="s">
        <v>6</v>
      </c>
      <c r="B1" s="104" t="s">
        <v>112</v>
      </c>
      <c r="C1" s="105" t="s">
        <v>113</v>
      </c>
      <c r="E1" s="102" t="s">
        <v>114</v>
      </c>
      <c r="F1" s="102"/>
    </row>
    <row r="2" spans="1:7" x14ac:dyDescent="0.35">
      <c r="A2" s="103">
        <v>2005</v>
      </c>
      <c r="B2" s="106">
        <v>0</v>
      </c>
      <c r="C2" s="105"/>
      <c r="E2" s="102" t="s">
        <v>50</v>
      </c>
      <c r="F2" s="102" t="s">
        <v>115</v>
      </c>
      <c r="G2" s="102" t="s">
        <v>116</v>
      </c>
    </row>
    <row r="3" spans="1:7" x14ac:dyDescent="0.35">
      <c r="A3" s="103">
        <v>2006</v>
      </c>
      <c r="B3" s="106">
        <v>0</v>
      </c>
      <c r="C3" s="105">
        <f t="shared" ref="C3:C47" si="0">B3-B2</f>
        <v>0</v>
      </c>
      <c r="E3" s="102">
        <v>2018</v>
      </c>
      <c r="F3" s="102"/>
      <c r="G3" s="102"/>
    </row>
    <row r="4" spans="1:7" x14ac:dyDescent="0.35">
      <c r="A4" s="103">
        <v>2007</v>
      </c>
      <c r="B4" s="106">
        <v>0</v>
      </c>
      <c r="C4" s="105">
        <f t="shared" si="0"/>
        <v>0</v>
      </c>
      <c r="E4" s="102">
        <v>2022</v>
      </c>
      <c r="F4" s="102">
        <v>1318</v>
      </c>
      <c r="G4" s="102">
        <f>F4/(E5-E4)</f>
        <v>439.33333333333331</v>
      </c>
    </row>
    <row r="5" spans="1:7" x14ac:dyDescent="0.35">
      <c r="A5" s="103">
        <v>2008</v>
      </c>
      <c r="B5" s="106">
        <v>0.3</v>
      </c>
      <c r="C5" s="105">
        <f t="shared" si="0"/>
        <v>0.3</v>
      </c>
      <c r="E5" s="102">
        <v>2025</v>
      </c>
      <c r="F5" s="102">
        <v>500</v>
      </c>
      <c r="G5" s="102">
        <f>F5/(E6-E5)</f>
        <v>100</v>
      </c>
    </row>
    <row r="6" spans="1:7" x14ac:dyDescent="0.35">
      <c r="A6" s="103">
        <v>2009</v>
      </c>
      <c r="B6" s="106">
        <v>1.5</v>
      </c>
      <c r="C6" s="105">
        <f t="shared" si="0"/>
        <v>1.2</v>
      </c>
      <c r="E6" s="102">
        <v>2030</v>
      </c>
      <c r="F6" s="102">
        <v>4000</v>
      </c>
      <c r="G6" s="102">
        <f>F6/(E7-E6)</f>
        <v>200</v>
      </c>
    </row>
    <row r="7" spans="1:7" x14ac:dyDescent="0.35">
      <c r="A7" s="103">
        <v>2010</v>
      </c>
      <c r="B7" s="106">
        <v>2.9</v>
      </c>
      <c r="C7" s="105">
        <f t="shared" si="0"/>
        <v>1.4</v>
      </c>
      <c r="E7">
        <v>2050</v>
      </c>
    </row>
    <row r="8" spans="1:7" x14ac:dyDescent="0.35">
      <c r="A8" s="103">
        <v>2011</v>
      </c>
      <c r="B8" s="106">
        <v>4.5999999999999996</v>
      </c>
      <c r="C8" s="105">
        <f t="shared" si="0"/>
        <v>1.6999999999999997</v>
      </c>
    </row>
    <row r="9" spans="1:7" x14ac:dyDescent="0.35">
      <c r="A9" s="103">
        <v>2012</v>
      </c>
      <c r="B9" s="106">
        <v>7.7</v>
      </c>
      <c r="C9" s="105">
        <f t="shared" si="0"/>
        <v>3.1000000000000005</v>
      </c>
    </row>
    <row r="10" spans="1:7" x14ac:dyDescent="0.35">
      <c r="A10" s="103">
        <v>2013</v>
      </c>
      <c r="B10" s="106">
        <v>11.8</v>
      </c>
      <c r="C10" s="105">
        <f t="shared" si="0"/>
        <v>4.1000000000000005</v>
      </c>
    </row>
    <row r="11" spans="1:7" x14ac:dyDescent="0.35">
      <c r="A11" s="103">
        <v>2014</v>
      </c>
      <c r="B11" s="106">
        <v>25.3</v>
      </c>
      <c r="C11" s="105">
        <f t="shared" si="0"/>
        <v>13.5</v>
      </c>
    </row>
    <row r="12" spans="1:7" x14ac:dyDescent="0.35">
      <c r="A12" s="103">
        <v>2015</v>
      </c>
      <c r="B12" s="106">
        <v>45.7</v>
      </c>
      <c r="C12" s="105">
        <f t="shared" si="0"/>
        <v>20.400000000000002</v>
      </c>
    </row>
    <row r="13" spans="1:7" x14ac:dyDescent="0.35">
      <c r="A13" s="103">
        <v>2016</v>
      </c>
      <c r="B13" s="106">
        <v>96.6</v>
      </c>
      <c r="C13" s="105">
        <f t="shared" si="0"/>
        <v>50.899999999999991</v>
      </c>
    </row>
    <row r="14" spans="1:7" x14ac:dyDescent="0.35">
      <c r="A14" s="103">
        <v>2017</v>
      </c>
      <c r="B14" s="106">
        <v>115.9</v>
      </c>
      <c r="C14" s="105">
        <f t="shared" si="0"/>
        <v>19.300000000000011</v>
      </c>
    </row>
    <row r="15" spans="1:7" x14ac:dyDescent="0.35">
      <c r="A15" s="103">
        <v>2018</v>
      </c>
      <c r="B15" s="106">
        <v>159.5</v>
      </c>
      <c r="C15" s="105">
        <f t="shared" si="0"/>
        <v>43.599999999999994</v>
      </c>
    </row>
    <row r="16" spans="1:7" x14ac:dyDescent="0.35">
      <c r="A16" s="103">
        <v>2019</v>
      </c>
      <c r="B16" s="106">
        <v>271.8</v>
      </c>
      <c r="C16" s="105">
        <f t="shared" si="0"/>
        <v>112.30000000000001</v>
      </c>
    </row>
    <row r="17" spans="1:3" x14ac:dyDescent="0.35">
      <c r="A17" s="103">
        <v>2020</v>
      </c>
      <c r="B17" s="106">
        <v>329.3</v>
      </c>
      <c r="C17" s="105">
        <f t="shared" si="0"/>
        <v>57.5</v>
      </c>
    </row>
    <row r="18" spans="1:3" x14ac:dyDescent="0.35">
      <c r="A18" s="103">
        <v>2021</v>
      </c>
      <c r="B18" s="106">
        <v>341.5</v>
      </c>
      <c r="C18" s="105">
        <f t="shared" si="0"/>
        <v>12.199999999999989</v>
      </c>
    </row>
    <row r="19" spans="1:3" x14ac:dyDescent="0.35">
      <c r="A19" s="103">
        <v>2022</v>
      </c>
      <c r="B19" s="107">
        <f t="shared" ref="B19:B47" si="1">B18+LOOKUP(A19,$E$3:$E$6,$G$3:$G$6)</f>
        <v>780.83333333333326</v>
      </c>
      <c r="C19" s="105">
        <f t="shared" si="0"/>
        <v>439.33333333333326</v>
      </c>
    </row>
    <row r="20" spans="1:3" x14ac:dyDescent="0.35">
      <c r="A20" s="103">
        <v>2023</v>
      </c>
      <c r="B20" s="107">
        <f t="shared" si="1"/>
        <v>1220.1666666666665</v>
      </c>
      <c r="C20" s="105">
        <f t="shared" si="0"/>
        <v>439.33333333333326</v>
      </c>
    </row>
    <row r="21" spans="1:3" x14ac:dyDescent="0.35">
      <c r="A21" s="103">
        <v>2024</v>
      </c>
      <c r="B21" s="107">
        <f t="shared" si="1"/>
        <v>1659.4999999999998</v>
      </c>
      <c r="C21" s="105">
        <f t="shared" si="0"/>
        <v>439.33333333333326</v>
      </c>
    </row>
    <row r="22" spans="1:3" x14ac:dyDescent="0.35">
      <c r="A22" s="103">
        <v>2025</v>
      </c>
      <c r="B22" s="107">
        <f t="shared" si="1"/>
        <v>1759.4999999999998</v>
      </c>
      <c r="C22" s="105">
        <f t="shared" si="0"/>
        <v>100</v>
      </c>
    </row>
    <row r="23" spans="1:3" x14ac:dyDescent="0.35">
      <c r="A23" s="103">
        <v>2026</v>
      </c>
      <c r="B23" s="107">
        <f t="shared" si="1"/>
        <v>1859.4999999999998</v>
      </c>
      <c r="C23" s="105">
        <f t="shared" si="0"/>
        <v>100</v>
      </c>
    </row>
    <row r="24" spans="1:3" x14ac:dyDescent="0.35">
      <c r="A24" s="103">
        <v>2027</v>
      </c>
      <c r="B24" s="107">
        <f t="shared" si="1"/>
        <v>1959.4999999999998</v>
      </c>
      <c r="C24" s="105">
        <f t="shared" si="0"/>
        <v>100</v>
      </c>
    </row>
    <row r="25" spans="1:3" x14ac:dyDescent="0.35">
      <c r="A25" s="103">
        <v>2028</v>
      </c>
      <c r="B25" s="107">
        <f t="shared" si="1"/>
        <v>2059.5</v>
      </c>
      <c r="C25" s="105">
        <f t="shared" si="0"/>
        <v>100.00000000000023</v>
      </c>
    </row>
    <row r="26" spans="1:3" x14ac:dyDescent="0.35">
      <c r="A26" s="103">
        <v>2029</v>
      </c>
      <c r="B26" s="107">
        <f t="shared" si="1"/>
        <v>2159.5</v>
      </c>
      <c r="C26" s="105">
        <f t="shared" si="0"/>
        <v>100</v>
      </c>
    </row>
    <row r="27" spans="1:3" x14ac:dyDescent="0.35">
      <c r="A27" s="103">
        <v>2030</v>
      </c>
      <c r="B27" s="107">
        <f t="shared" si="1"/>
        <v>2359.5</v>
      </c>
      <c r="C27" s="105">
        <f t="shared" si="0"/>
        <v>200</v>
      </c>
    </row>
    <row r="28" spans="1:3" x14ac:dyDescent="0.35">
      <c r="A28" s="103">
        <v>2031</v>
      </c>
      <c r="B28" s="107">
        <f t="shared" si="1"/>
        <v>2559.5</v>
      </c>
      <c r="C28" s="105">
        <f t="shared" si="0"/>
        <v>200</v>
      </c>
    </row>
    <row r="29" spans="1:3" x14ac:dyDescent="0.35">
      <c r="A29" s="103">
        <v>2032</v>
      </c>
      <c r="B29" s="107">
        <f t="shared" si="1"/>
        <v>2759.5</v>
      </c>
      <c r="C29" s="105">
        <f t="shared" si="0"/>
        <v>200</v>
      </c>
    </row>
    <row r="30" spans="1:3" x14ac:dyDescent="0.35">
      <c r="A30" s="103">
        <v>2033</v>
      </c>
      <c r="B30" s="107">
        <f t="shared" si="1"/>
        <v>2959.5</v>
      </c>
      <c r="C30" s="105">
        <f t="shared" si="0"/>
        <v>200</v>
      </c>
    </row>
    <row r="31" spans="1:3" x14ac:dyDescent="0.35">
      <c r="A31" s="103">
        <v>2034</v>
      </c>
      <c r="B31" s="107">
        <f t="shared" si="1"/>
        <v>3159.5</v>
      </c>
      <c r="C31" s="105">
        <f t="shared" si="0"/>
        <v>200</v>
      </c>
    </row>
    <row r="32" spans="1:3" x14ac:dyDescent="0.35">
      <c r="A32" s="103">
        <v>2035</v>
      </c>
      <c r="B32" s="107">
        <f t="shared" si="1"/>
        <v>3359.5</v>
      </c>
      <c r="C32" s="105">
        <f t="shared" si="0"/>
        <v>200</v>
      </c>
    </row>
    <row r="33" spans="1:3" x14ac:dyDescent="0.35">
      <c r="A33" s="103">
        <v>2036</v>
      </c>
      <c r="B33" s="107">
        <f t="shared" si="1"/>
        <v>3559.5</v>
      </c>
      <c r="C33" s="105">
        <f t="shared" si="0"/>
        <v>200</v>
      </c>
    </row>
    <row r="34" spans="1:3" x14ac:dyDescent="0.35">
      <c r="A34" s="103">
        <v>2037</v>
      </c>
      <c r="B34" s="107">
        <f t="shared" si="1"/>
        <v>3759.5</v>
      </c>
      <c r="C34" s="105">
        <f t="shared" si="0"/>
        <v>200</v>
      </c>
    </row>
    <row r="35" spans="1:3" x14ac:dyDescent="0.35">
      <c r="A35" s="103">
        <v>2038</v>
      </c>
      <c r="B35" s="107">
        <f t="shared" si="1"/>
        <v>3959.5</v>
      </c>
      <c r="C35" s="105">
        <f t="shared" si="0"/>
        <v>200</v>
      </c>
    </row>
    <row r="36" spans="1:3" x14ac:dyDescent="0.35">
      <c r="A36" s="103">
        <v>2039</v>
      </c>
      <c r="B36" s="107">
        <f t="shared" si="1"/>
        <v>4159.5</v>
      </c>
      <c r="C36" s="105">
        <f t="shared" si="0"/>
        <v>200</v>
      </c>
    </row>
    <row r="37" spans="1:3" x14ac:dyDescent="0.35">
      <c r="A37" s="103">
        <v>2040</v>
      </c>
      <c r="B37" s="107">
        <f t="shared" si="1"/>
        <v>4359.5</v>
      </c>
      <c r="C37" s="105">
        <f t="shared" si="0"/>
        <v>200</v>
      </c>
    </row>
    <row r="38" spans="1:3" x14ac:dyDescent="0.35">
      <c r="A38" s="103">
        <v>2041</v>
      </c>
      <c r="B38" s="107">
        <f t="shared" si="1"/>
        <v>4559.5</v>
      </c>
      <c r="C38" s="105">
        <f t="shared" si="0"/>
        <v>200</v>
      </c>
    </row>
    <row r="39" spans="1:3" x14ac:dyDescent="0.35">
      <c r="A39" s="103">
        <v>2042</v>
      </c>
      <c r="B39" s="107">
        <f t="shared" si="1"/>
        <v>4759.5</v>
      </c>
      <c r="C39" s="105">
        <f t="shared" si="0"/>
        <v>200</v>
      </c>
    </row>
    <row r="40" spans="1:3" x14ac:dyDescent="0.35">
      <c r="A40" s="103">
        <v>2043</v>
      </c>
      <c r="B40" s="107">
        <f t="shared" si="1"/>
        <v>4959.5</v>
      </c>
      <c r="C40" s="105">
        <f t="shared" si="0"/>
        <v>200</v>
      </c>
    </row>
    <row r="41" spans="1:3" x14ac:dyDescent="0.35">
      <c r="A41" s="103">
        <v>2044</v>
      </c>
      <c r="B41" s="107">
        <f t="shared" si="1"/>
        <v>5159.5</v>
      </c>
      <c r="C41" s="105">
        <f t="shared" si="0"/>
        <v>200</v>
      </c>
    </row>
    <row r="42" spans="1:3" x14ac:dyDescent="0.35">
      <c r="A42" s="103">
        <v>2045</v>
      </c>
      <c r="B42" s="107">
        <f t="shared" si="1"/>
        <v>5359.5</v>
      </c>
      <c r="C42" s="105">
        <f t="shared" si="0"/>
        <v>200</v>
      </c>
    </row>
    <row r="43" spans="1:3" x14ac:dyDescent="0.35">
      <c r="A43" s="103">
        <v>2046</v>
      </c>
      <c r="B43" s="107">
        <f t="shared" si="1"/>
        <v>5559.5</v>
      </c>
      <c r="C43" s="105">
        <f t="shared" si="0"/>
        <v>200</v>
      </c>
    </row>
    <row r="44" spans="1:3" x14ac:dyDescent="0.35">
      <c r="A44" s="103">
        <v>2047</v>
      </c>
      <c r="B44" s="107">
        <f t="shared" si="1"/>
        <v>5759.5</v>
      </c>
      <c r="C44" s="105">
        <f t="shared" si="0"/>
        <v>200</v>
      </c>
    </row>
    <row r="45" spans="1:3" x14ac:dyDescent="0.35">
      <c r="A45" s="103">
        <v>2048</v>
      </c>
      <c r="B45" s="107">
        <f t="shared" si="1"/>
        <v>5959.5</v>
      </c>
      <c r="C45" s="105">
        <f t="shared" si="0"/>
        <v>200</v>
      </c>
    </row>
    <row r="46" spans="1:3" x14ac:dyDescent="0.35">
      <c r="A46" s="103">
        <v>2049</v>
      </c>
      <c r="B46" s="107">
        <f t="shared" si="1"/>
        <v>6159.5</v>
      </c>
      <c r="C46" s="105">
        <f t="shared" si="0"/>
        <v>200</v>
      </c>
    </row>
    <row r="47" spans="1:3" x14ac:dyDescent="0.35">
      <c r="A47" s="103">
        <v>2050</v>
      </c>
      <c r="B47" s="107">
        <f t="shared" si="1"/>
        <v>6359.5</v>
      </c>
      <c r="C47" s="105">
        <f t="shared" si="0"/>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97952-8026-4073-AA6F-F682C8DB7B43}">
  <sheetPr>
    <tabColor rgb="FF7030A0"/>
  </sheetPr>
  <dimension ref="B1:EQ118"/>
  <sheetViews>
    <sheetView showGridLines="0" topLeftCell="CW7" zoomScale="70" zoomScaleNormal="70" workbookViewId="0">
      <selection activeCell="EE57" sqref="EE57"/>
    </sheetView>
  </sheetViews>
  <sheetFormatPr defaultRowHeight="14.5" x14ac:dyDescent="0.35"/>
  <cols>
    <col min="1" max="1" width="4" customWidth="1"/>
    <col min="2" max="2" width="8.7265625" customWidth="1"/>
    <col min="4" max="4" width="36.54296875" bestFit="1" customWidth="1"/>
    <col min="5" max="5" width="36.54296875" customWidth="1"/>
    <col min="6" max="6" width="28.81640625" bestFit="1" customWidth="1"/>
    <col min="7" max="7" width="22.54296875" bestFit="1" customWidth="1"/>
    <col min="8" max="8" width="22.54296875" customWidth="1"/>
    <col min="9" max="9" width="15.1796875" customWidth="1"/>
    <col min="10" max="10" width="16.453125" bestFit="1" customWidth="1"/>
    <col min="11" max="11" width="49.1796875" bestFit="1" customWidth="1"/>
    <col min="12" max="13" width="8.7265625" customWidth="1"/>
    <col min="14" max="14" width="8.54296875" customWidth="1"/>
    <col min="15" max="15" width="21.1796875" customWidth="1"/>
    <col min="16" max="18" width="6.1796875" bestFit="1" customWidth="1"/>
    <col min="19" max="24" width="4.1796875" bestFit="1" customWidth="1"/>
    <col min="25" max="25" width="5.1796875" bestFit="1" customWidth="1"/>
    <col min="26" max="26" width="4.1796875" bestFit="1" customWidth="1"/>
    <col min="27" max="31" width="6.1796875" bestFit="1" customWidth="1"/>
    <col min="32" max="32" width="3.1796875" bestFit="1" customWidth="1"/>
    <col min="33" max="33" width="5.1796875" bestFit="1" customWidth="1"/>
    <col min="34" max="34" width="3.1796875" bestFit="1" customWidth="1"/>
    <col min="35" max="43" width="4.1796875" bestFit="1" customWidth="1"/>
    <col min="44" max="45" width="3.1796875" bestFit="1" customWidth="1"/>
    <col min="46" max="48" width="4.1796875" bestFit="1" customWidth="1"/>
    <col min="49" max="50" width="3.1796875" bestFit="1" customWidth="1"/>
    <col min="51" max="54" width="4.1796875" bestFit="1" customWidth="1"/>
    <col min="55" max="55" width="3.1796875" bestFit="1" customWidth="1"/>
    <col min="56" max="56" width="6.1796875" customWidth="1"/>
    <col min="57" max="57" width="4.1796875" customWidth="1"/>
    <col min="58" max="61" width="5.1796875" customWidth="1"/>
    <col min="62" max="63" width="6.1796875" customWidth="1"/>
    <col min="64" max="64" width="3.1796875" bestFit="1" customWidth="1"/>
    <col min="65" max="65" width="3.81640625" bestFit="1" customWidth="1"/>
    <col min="66" max="68" width="7.7265625" bestFit="1" customWidth="1"/>
    <col min="69" max="69" width="8.54296875" bestFit="1" customWidth="1"/>
    <col min="70" max="71" width="7.7265625" bestFit="1" customWidth="1"/>
    <col min="72" max="93" width="7.7265625" customWidth="1"/>
    <col min="94" max="94" width="19.7265625" customWidth="1"/>
    <col min="95" max="95" width="14.81640625" customWidth="1"/>
    <col min="96" max="96" width="16.7265625" customWidth="1"/>
    <col min="97" max="97" width="23.7265625" customWidth="1"/>
    <col min="98" max="98" width="30" bestFit="1" customWidth="1"/>
    <col min="99" max="99" width="19.7265625" customWidth="1"/>
    <col min="100" max="100" width="14.81640625" customWidth="1"/>
    <col min="101" max="101" width="23.7265625" customWidth="1"/>
    <col min="102" max="102" width="30" customWidth="1"/>
    <col min="103" max="107" width="14.81640625" customWidth="1"/>
    <col min="147" max="147" width="12.7265625" customWidth="1"/>
  </cols>
  <sheetData>
    <row r="1" spans="2:147" x14ac:dyDescent="0.35">
      <c r="B1" s="87"/>
      <c r="C1" s="88"/>
      <c r="D1" s="88"/>
      <c r="E1" s="88"/>
      <c r="F1" s="88"/>
      <c r="G1" s="88"/>
      <c r="H1" s="88"/>
      <c r="I1" s="88"/>
      <c r="J1" s="88"/>
      <c r="K1" s="88"/>
      <c r="L1" s="89"/>
    </row>
    <row r="2" spans="2:147" x14ac:dyDescent="0.35">
      <c r="B2" s="87"/>
      <c r="C2" s="88"/>
      <c r="D2" s="88"/>
      <c r="E2" s="88"/>
      <c r="F2" s="88"/>
      <c r="G2" s="88"/>
      <c r="H2" s="88"/>
      <c r="I2" s="88"/>
      <c r="J2" s="88"/>
      <c r="K2" s="88"/>
      <c r="L2" s="89"/>
      <c r="N2" s="87"/>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9"/>
    </row>
    <row r="3" spans="2:147" ht="21" x14ac:dyDescent="0.5">
      <c r="B3" s="90"/>
      <c r="C3" s="91" t="s">
        <v>117</v>
      </c>
      <c r="L3" s="92"/>
      <c r="N3" s="90"/>
      <c r="O3" s="97" t="s">
        <v>118</v>
      </c>
      <c r="AG3" s="91"/>
      <c r="EQ3" s="92"/>
    </row>
    <row r="4" spans="2:147" ht="21" x14ac:dyDescent="0.5">
      <c r="B4" s="90"/>
      <c r="C4" t="s">
        <v>119</v>
      </c>
      <c r="L4" s="92"/>
      <c r="N4" s="90"/>
      <c r="O4" s="98" t="s">
        <v>120</v>
      </c>
      <c r="EQ4" s="92"/>
    </row>
    <row r="5" spans="2:147" x14ac:dyDescent="0.35">
      <c r="B5" s="90"/>
      <c r="C5" t="s">
        <v>121</v>
      </c>
      <c r="L5" s="92"/>
      <c r="N5" s="90"/>
      <c r="O5" s="91" t="s">
        <v>122</v>
      </c>
      <c r="EQ5" s="92"/>
    </row>
    <row r="6" spans="2:147" x14ac:dyDescent="0.35">
      <c r="B6" s="90"/>
      <c r="C6" t="s">
        <v>123</v>
      </c>
      <c r="L6" s="92"/>
      <c r="N6" s="90"/>
      <c r="O6" s="71" t="s">
        <v>124</v>
      </c>
      <c r="EQ6" s="92"/>
    </row>
    <row r="7" spans="2:147" x14ac:dyDescent="0.35">
      <c r="B7" s="90"/>
      <c r="L7" s="92"/>
      <c r="N7" s="90"/>
      <c r="O7" s="71" t="s">
        <v>125</v>
      </c>
      <c r="EQ7" s="92"/>
    </row>
    <row r="8" spans="2:147" x14ac:dyDescent="0.35">
      <c r="B8" s="90"/>
      <c r="C8" t="s">
        <v>126</v>
      </c>
      <c r="L8" s="92"/>
      <c r="N8" s="90"/>
      <c r="O8" s="71" t="s">
        <v>127</v>
      </c>
      <c r="EQ8" s="92"/>
    </row>
    <row r="9" spans="2:147" x14ac:dyDescent="0.35">
      <c r="B9" s="90"/>
      <c r="C9" t="s">
        <v>128</v>
      </c>
      <c r="L9" s="92"/>
      <c r="N9" s="90"/>
      <c r="EQ9" s="92"/>
    </row>
    <row r="10" spans="2:147" x14ac:dyDescent="0.35">
      <c r="B10" s="90"/>
      <c r="L10" s="92"/>
      <c r="N10" s="90"/>
      <c r="EQ10" s="92"/>
    </row>
    <row r="11" spans="2:147" ht="43.5" x14ac:dyDescent="0.35">
      <c r="B11" s="90"/>
      <c r="C11" t="s">
        <v>129</v>
      </c>
      <c r="E11" s="93"/>
      <c r="L11" s="92"/>
      <c r="N11" s="90"/>
      <c r="O11" s="72" t="s">
        <v>130</v>
      </c>
      <c r="P11" s="100">
        <v>25</v>
      </c>
      <c r="EQ11" s="92"/>
    </row>
    <row r="12" spans="2:147" ht="15" customHeight="1" x14ac:dyDescent="0.35">
      <c r="B12" s="90"/>
      <c r="C12" s="93" t="s">
        <v>131</v>
      </c>
      <c r="L12" s="92"/>
      <c r="N12" s="90"/>
      <c r="BN12" s="330" t="s">
        <v>132</v>
      </c>
      <c r="BO12" s="331"/>
      <c r="BP12" s="331"/>
      <c r="BQ12" s="331"/>
      <c r="BR12" s="331"/>
      <c r="BS12" s="331"/>
      <c r="BT12" s="331"/>
      <c r="BU12" s="331"/>
      <c r="BV12" s="331"/>
      <c r="BW12" s="331"/>
      <c r="BX12" s="331"/>
      <c r="BY12" s="331"/>
      <c r="BZ12" s="331"/>
      <c r="CA12" s="331"/>
      <c r="CB12" s="331"/>
      <c r="CC12" s="331"/>
      <c r="CD12" s="331"/>
      <c r="CE12" s="331"/>
      <c r="CF12" s="331"/>
      <c r="CG12" s="331"/>
      <c r="CH12" s="331"/>
      <c r="CI12" s="331"/>
      <c r="CJ12" s="331"/>
      <c r="CK12" s="331"/>
      <c r="CL12" s="331"/>
      <c r="CM12" s="331"/>
      <c r="CN12" s="331"/>
      <c r="CO12" s="331"/>
      <c r="CP12" s="332" t="s">
        <v>133</v>
      </c>
      <c r="CQ12" s="333"/>
      <c r="CR12" s="333"/>
      <c r="CS12" s="333"/>
      <c r="CT12" s="334"/>
      <c r="CU12" s="335" t="s">
        <v>134</v>
      </c>
      <c r="CV12" s="336"/>
      <c r="CW12" s="336"/>
      <c r="CX12" s="337"/>
      <c r="EQ12" s="92"/>
    </row>
    <row r="13" spans="2:147" ht="29" x14ac:dyDescent="0.55000000000000004">
      <c r="B13" s="90"/>
      <c r="C13" s="287" t="s">
        <v>135</v>
      </c>
      <c r="F13" s="73" t="s">
        <v>136</v>
      </c>
      <c r="G13" s="288">
        <f>SUM(G15:G64)</f>
        <v>11745.830000000002</v>
      </c>
      <c r="H13" s="55"/>
      <c r="I13" s="91" t="s">
        <v>137</v>
      </c>
      <c r="J13" s="289">
        <f ca="1">TODAY()</f>
        <v>44606</v>
      </c>
      <c r="L13" s="92"/>
      <c r="N13" s="90"/>
      <c r="O13" s="3"/>
      <c r="P13" s="74">
        <v>1</v>
      </c>
      <c r="Q13" s="74">
        <v>2</v>
      </c>
      <c r="R13" s="74">
        <v>3</v>
      </c>
      <c r="S13" s="74">
        <v>4</v>
      </c>
      <c r="T13" s="74">
        <v>5</v>
      </c>
      <c r="U13" s="74">
        <v>6</v>
      </c>
      <c r="V13" s="74">
        <v>7</v>
      </c>
      <c r="W13" s="74">
        <v>8</v>
      </c>
      <c r="X13" s="74">
        <v>9</v>
      </c>
      <c r="Y13" s="74">
        <v>10</v>
      </c>
      <c r="Z13" s="74">
        <v>11</v>
      </c>
      <c r="AA13" s="74">
        <v>12</v>
      </c>
      <c r="AB13" s="74">
        <v>13</v>
      </c>
      <c r="AC13" s="74">
        <v>14</v>
      </c>
      <c r="AD13" s="74">
        <v>15</v>
      </c>
      <c r="AE13" s="74">
        <v>16</v>
      </c>
      <c r="AF13" s="74">
        <v>17</v>
      </c>
      <c r="AG13" s="74">
        <v>18</v>
      </c>
      <c r="AH13" s="74">
        <v>19</v>
      </c>
      <c r="AI13" s="74">
        <v>20</v>
      </c>
      <c r="AJ13" s="74">
        <v>21</v>
      </c>
      <c r="AK13" s="74">
        <v>22</v>
      </c>
      <c r="AL13" s="74">
        <v>23</v>
      </c>
      <c r="AM13" s="74">
        <v>24</v>
      </c>
      <c r="AN13" s="74">
        <v>25</v>
      </c>
      <c r="AO13" s="74">
        <v>26</v>
      </c>
      <c r="AP13" s="74">
        <v>27</v>
      </c>
      <c r="AQ13" s="74">
        <v>28</v>
      </c>
      <c r="AR13" s="74">
        <v>29</v>
      </c>
      <c r="AS13" s="74">
        <v>30</v>
      </c>
      <c r="AT13" s="74">
        <v>31</v>
      </c>
      <c r="AU13" s="74">
        <v>32</v>
      </c>
      <c r="AV13" s="74">
        <v>33</v>
      </c>
      <c r="AW13" s="74">
        <v>34</v>
      </c>
      <c r="AX13" s="74">
        <v>35</v>
      </c>
      <c r="AY13" s="74">
        <v>36</v>
      </c>
      <c r="AZ13" s="74">
        <v>37</v>
      </c>
      <c r="BA13" s="74">
        <v>38</v>
      </c>
      <c r="BB13" s="74">
        <v>39</v>
      </c>
      <c r="BC13" s="74">
        <v>40</v>
      </c>
      <c r="BD13" s="74">
        <v>41</v>
      </c>
      <c r="BE13" s="74">
        <v>42</v>
      </c>
      <c r="BF13" s="74">
        <v>43</v>
      </c>
      <c r="BG13" s="74">
        <v>44</v>
      </c>
      <c r="BH13" s="74">
        <v>45</v>
      </c>
      <c r="BI13" s="74">
        <v>46</v>
      </c>
      <c r="BJ13" s="74">
        <v>47</v>
      </c>
      <c r="BK13" s="74">
        <v>48</v>
      </c>
      <c r="BL13" s="74">
        <v>49</v>
      </c>
      <c r="BM13" s="74">
        <v>50</v>
      </c>
      <c r="BN13" s="75">
        <v>51</v>
      </c>
      <c r="BO13" s="75">
        <v>52</v>
      </c>
      <c r="BP13" s="75">
        <v>53</v>
      </c>
      <c r="BQ13" s="75">
        <v>54</v>
      </c>
      <c r="BR13" s="75">
        <v>55</v>
      </c>
      <c r="BS13" s="75">
        <v>56</v>
      </c>
      <c r="BT13" s="75">
        <v>57</v>
      </c>
      <c r="BU13" s="75">
        <v>58</v>
      </c>
      <c r="BV13" s="75">
        <v>59</v>
      </c>
      <c r="BW13" s="75">
        <v>60</v>
      </c>
      <c r="BX13" s="75">
        <v>61</v>
      </c>
      <c r="BY13" s="75">
        <v>62</v>
      </c>
      <c r="BZ13" s="75">
        <v>63</v>
      </c>
      <c r="CA13" s="75">
        <v>64</v>
      </c>
      <c r="CB13" s="75">
        <v>65</v>
      </c>
      <c r="CC13" s="75">
        <v>66</v>
      </c>
      <c r="CD13" s="75">
        <v>67</v>
      </c>
      <c r="CE13" s="75">
        <v>68</v>
      </c>
      <c r="CF13" s="75">
        <v>69</v>
      </c>
      <c r="CG13" s="75">
        <v>70</v>
      </c>
      <c r="CH13" s="75">
        <v>71</v>
      </c>
      <c r="CI13" s="75">
        <v>72</v>
      </c>
      <c r="CJ13" s="75">
        <v>73</v>
      </c>
      <c r="CK13" s="75">
        <v>74</v>
      </c>
      <c r="CL13" s="75">
        <v>75</v>
      </c>
      <c r="CM13" s="75">
        <v>76</v>
      </c>
      <c r="CN13" s="75">
        <v>77</v>
      </c>
      <c r="CO13" s="75">
        <v>78</v>
      </c>
      <c r="CP13" s="76" t="s">
        <v>138</v>
      </c>
      <c r="CQ13" s="76" t="s">
        <v>139</v>
      </c>
      <c r="CR13" s="77" t="s">
        <v>140</v>
      </c>
      <c r="CS13" s="76" t="s">
        <v>141</v>
      </c>
      <c r="CT13" s="76" t="s">
        <v>142</v>
      </c>
      <c r="CU13" s="78" t="s">
        <v>138</v>
      </c>
      <c r="CV13" s="78" t="s">
        <v>139</v>
      </c>
      <c r="CW13" s="78" t="s">
        <v>141</v>
      </c>
      <c r="CX13" s="78" t="s">
        <v>142</v>
      </c>
      <c r="CY13" s="86" t="s">
        <v>143</v>
      </c>
      <c r="CZ13" s="86" t="s">
        <v>339</v>
      </c>
      <c r="DA13" s="86" t="s">
        <v>341</v>
      </c>
      <c r="DB13" s="86" t="s">
        <v>340</v>
      </c>
      <c r="DC13" s="86" t="s">
        <v>342</v>
      </c>
      <c r="EQ13" s="92"/>
    </row>
    <row r="14" spans="2:147" x14ac:dyDescent="0.35">
      <c r="B14" s="90"/>
      <c r="C14" s="73" t="s">
        <v>144</v>
      </c>
      <c r="D14" s="73" t="s">
        <v>145</v>
      </c>
      <c r="E14" s="73" t="s">
        <v>146</v>
      </c>
      <c r="F14" s="73" t="s">
        <v>147</v>
      </c>
      <c r="G14" s="73" t="s">
        <v>148</v>
      </c>
      <c r="H14" s="73" t="s">
        <v>149</v>
      </c>
      <c r="I14" s="73" t="s">
        <v>150</v>
      </c>
      <c r="J14" s="73" t="s">
        <v>151</v>
      </c>
      <c r="K14" s="73" t="s">
        <v>152</v>
      </c>
      <c r="L14" s="92"/>
      <c r="N14" s="90"/>
      <c r="O14" s="79">
        <v>44561</v>
      </c>
      <c r="P14" s="23">
        <f>IF(VLOOKUP(P$13,$C$15:$J$92,3,FALSE) &lt;&gt; "Incineration", IF(DATEDIF(VLOOKUP(P$13,$C$15:$J$92,7,FALSE),$O14,"y")&gt;=$P$11,0,VLOOKUP(P$13,$C$15:$J$92,5,FALSE)), VLOOKUP(P$13,$C$15:$J$92,5,FALSE))</f>
        <v>392.5</v>
      </c>
      <c r="Q14" s="23">
        <f t="shared" ref="Q14:CB17" si="0">IF(VLOOKUP(Q$13,$C$15:$J$92,3,FALSE) &lt;&gt; "Incineration", IF(DATEDIF(VLOOKUP(Q$13,$C$15:$J$92,7,FALSE),$O14,"y")&gt;=$P$11,0,VLOOKUP(Q$13,$C$15:$J$92,5,FALSE)), VLOOKUP(Q$13,$C$15:$J$92,5,FALSE))</f>
        <v>392.5</v>
      </c>
      <c r="R14" s="23">
        <f t="shared" si="0"/>
        <v>403.8</v>
      </c>
      <c r="S14" s="23">
        <f t="shared" si="0"/>
        <v>400</v>
      </c>
      <c r="T14" s="23">
        <f t="shared" si="0"/>
        <v>400</v>
      </c>
      <c r="U14" s="23">
        <f t="shared" si="0"/>
        <v>250</v>
      </c>
      <c r="V14" s="23">
        <f t="shared" si="0"/>
        <v>250</v>
      </c>
      <c r="W14" s="23">
        <f t="shared" si="0"/>
        <v>420</v>
      </c>
      <c r="X14" s="23">
        <f t="shared" si="0"/>
        <v>420</v>
      </c>
      <c r="Y14" s="23">
        <f t="shared" si="0"/>
        <v>47.8</v>
      </c>
      <c r="Z14" s="23">
        <f t="shared" si="0"/>
        <v>132</v>
      </c>
      <c r="AA14" s="23">
        <f t="shared" si="0"/>
        <v>367.5</v>
      </c>
      <c r="AB14" s="23">
        <f t="shared" si="0"/>
        <v>367.5</v>
      </c>
      <c r="AC14" s="23">
        <f t="shared" si="0"/>
        <v>367.5</v>
      </c>
      <c r="AD14" s="23">
        <f t="shared" si="0"/>
        <v>367.5</v>
      </c>
      <c r="AE14" s="23">
        <f t="shared" si="0"/>
        <v>405.9</v>
      </c>
      <c r="AF14" s="23">
        <f t="shared" si="0"/>
        <v>60</v>
      </c>
      <c r="AG14" s="23">
        <f t="shared" si="0"/>
        <v>67.8</v>
      </c>
      <c r="AH14" s="23">
        <f t="shared" si="0"/>
        <v>55</v>
      </c>
      <c r="AI14" s="23">
        <f t="shared" si="0"/>
        <v>0</v>
      </c>
      <c r="AJ14" s="23">
        <f t="shared" si="0"/>
        <v>0</v>
      </c>
      <c r="AK14" s="23">
        <f t="shared" si="0"/>
        <v>365</v>
      </c>
      <c r="AL14" s="23">
        <f t="shared" si="0"/>
        <v>365</v>
      </c>
      <c r="AM14" s="23">
        <f t="shared" si="0"/>
        <v>365</v>
      </c>
      <c r="AN14" s="23">
        <f t="shared" si="0"/>
        <v>431</v>
      </c>
      <c r="AO14" s="23">
        <f t="shared" si="0"/>
        <v>431</v>
      </c>
      <c r="AP14" s="23">
        <f t="shared" si="0"/>
        <v>110</v>
      </c>
      <c r="AQ14" s="23">
        <f t="shared" si="0"/>
        <v>110</v>
      </c>
      <c r="AR14" s="23">
        <f t="shared" si="0"/>
        <v>47</v>
      </c>
      <c r="AS14" s="23">
        <f t="shared" si="0"/>
        <v>47</v>
      </c>
      <c r="AT14" s="23">
        <f t="shared" si="0"/>
        <v>250</v>
      </c>
      <c r="AU14" s="23">
        <f t="shared" si="0"/>
        <v>250</v>
      </c>
      <c r="AV14" s="23">
        <f t="shared" si="0"/>
        <v>250</v>
      </c>
      <c r="AW14" s="23">
        <f t="shared" si="0"/>
        <v>0</v>
      </c>
      <c r="AX14" s="23">
        <f t="shared" si="0"/>
        <v>0</v>
      </c>
      <c r="AY14" s="23">
        <f t="shared" si="0"/>
        <v>368</v>
      </c>
      <c r="AZ14" s="23">
        <f t="shared" si="0"/>
        <v>364</v>
      </c>
      <c r="BA14" s="23">
        <f t="shared" si="0"/>
        <v>370</v>
      </c>
      <c r="BB14" s="23">
        <f t="shared" si="0"/>
        <v>370</v>
      </c>
      <c r="BC14" s="23">
        <f t="shared" si="0"/>
        <v>22</v>
      </c>
      <c r="BD14" s="23">
        <f t="shared" si="0"/>
        <v>395.7</v>
      </c>
      <c r="BE14" s="23">
        <f t="shared" si="0"/>
        <v>101</v>
      </c>
      <c r="BF14" s="23">
        <f t="shared" si="0"/>
        <v>32.5</v>
      </c>
      <c r="BG14" s="23">
        <f t="shared" si="0"/>
        <v>37.5</v>
      </c>
      <c r="BH14" s="23">
        <f t="shared" si="0"/>
        <v>37.5</v>
      </c>
      <c r="BI14" s="23">
        <f t="shared" si="0"/>
        <v>1.95</v>
      </c>
      <c r="BJ14" s="23">
        <f t="shared" si="0"/>
        <v>68.19</v>
      </c>
      <c r="BK14" s="23">
        <f t="shared" si="0"/>
        <v>68.19</v>
      </c>
      <c r="BL14" s="23">
        <f t="shared" si="0"/>
        <v>40</v>
      </c>
      <c r="BM14" s="23">
        <f t="shared" si="0"/>
        <v>14</v>
      </c>
      <c r="BN14" s="23" t="e">
        <f t="shared" si="0"/>
        <v>#NUM!</v>
      </c>
      <c r="BO14" s="23" t="e">
        <f t="shared" si="0"/>
        <v>#NUM!</v>
      </c>
      <c r="BP14" s="23" t="e">
        <f t="shared" si="0"/>
        <v>#NUM!</v>
      </c>
      <c r="BQ14" s="23" t="e">
        <f t="shared" si="0"/>
        <v>#NUM!</v>
      </c>
      <c r="BR14" s="23" t="e">
        <f t="shared" si="0"/>
        <v>#NUM!</v>
      </c>
      <c r="BS14" s="23" t="e">
        <f t="shared" si="0"/>
        <v>#NUM!</v>
      </c>
      <c r="BT14" s="23" t="e">
        <f t="shared" si="0"/>
        <v>#NUM!</v>
      </c>
      <c r="BU14" s="23" t="e">
        <f t="shared" si="0"/>
        <v>#NUM!</v>
      </c>
      <c r="BV14" s="23" t="e">
        <f t="shared" si="0"/>
        <v>#NUM!</v>
      </c>
      <c r="BW14" s="23" t="e">
        <f t="shared" si="0"/>
        <v>#NUM!</v>
      </c>
      <c r="BX14" s="23" t="e">
        <f t="shared" si="0"/>
        <v>#NUM!</v>
      </c>
      <c r="BY14" s="23" t="e">
        <f t="shared" si="0"/>
        <v>#NUM!</v>
      </c>
      <c r="BZ14" s="23" t="e">
        <f t="shared" si="0"/>
        <v>#NUM!</v>
      </c>
      <c r="CA14" s="23" t="e">
        <f t="shared" si="0"/>
        <v>#NUM!</v>
      </c>
      <c r="CB14" s="23" t="e">
        <f t="shared" si="0"/>
        <v>#NUM!</v>
      </c>
      <c r="CC14" s="23" t="e">
        <f t="shared" ref="CC14:CO29" si="1">IF(VLOOKUP(CC$13,$C$15:$J$92,3,FALSE) &lt;&gt; "Incineration", IF(DATEDIF(VLOOKUP(CC$13,$C$15:$J$92,7,FALSE),$O14,"y")&gt;=$P$11,0,VLOOKUP(CC$13,$C$15:$J$92,5,FALSE)), VLOOKUP(CC$13,$C$15:$J$92,5,FALSE))</f>
        <v>#NUM!</v>
      </c>
      <c r="CD14" s="23" t="e">
        <f t="shared" si="1"/>
        <v>#NUM!</v>
      </c>
      <c r="CE14" s="23" t="e">
        <f t="shared" si="1"/>
        <v>#NUM!</v>
      </c>
      <c r="CF14" s="23" t="e">
        <f t="shared" si="1"/>
        <v>#NUM!</v>
      </c>
      <c r="CG14" s="23" t="e">
        <f t="shared" si="1"/>
        <v>#NUM!</v>
      </c>
      <c r="CH14" s="23" t="e">
        <f t="shared" si="1"/>
        <v>#NUM!</v>
      </c>
      <c r="CI14" s="23" t="e">
        <f t="shared" si="1"/>
        <v>#NUM!</v>
      </c>
      <c r="CJ14" s="23" t="e">
        <f t="shared" si="1"/>
        <v>#NUM!</v>
      </c>
      <c r="CK14" s="23" t="e">
        <f t="shared" si="1"/>
        <v>#NUM!</v>
      </c>
      <c r="CL14" s="23" t="e">
        <f t="shared" si="1"/>
        <v>#NUM!</v>
      </c>
      <c r="CM14" s="23" t="e">
        <f t="shared" si="1"/>
        <v>#NUM!</v>
      </c>
      <c r="CN14" s="23" t="e">
        <f t="shared" si="1"/>
        <v>#NUM!</v>
      </c>
      <c r="CO14" s="23" t="e">
        <f t="shared" si="1"/>
        <v>#NUM!</v>
      </c>
      <c r="CP14" s="23">
        <f t="shared" ref="CP14:CP43" si="2">SUM(P14:BM14)</f>
        <v>10878.830000000002</v>
      </c>
      <c r="CQ14" s="23"/>
      <c r="CR14" s="67">
        <v>0.85</v>
      </c>
      <c r="CS14" s="80">
        <f>12112</f>
        <v>12112</v>
      </c>
      <c r="CT14" s="81">
        <f t="shared" ref="CT14:CT43" si="3">CS14*CR14</f>
        <v>10295.199999999999</v>
      </c>
      <c r="CU14" s="23">
        <f t="shared" ref="CU14:CU43" si="4">SUMIF(P14:CO14, "&gt;=0")</f>
        <v>10878.830000000002</v>
      </c>
      <c r="CV14" s="23"/>
      <c r="CW14" s="80">
        <v>12112</v>
      </c>
      <c r="CX14" s="81">
        <f>CW14*CR14</f>
        <v>10295.199999999999</v>
      </c>
      <c r="CY14" s="65">
        <f>'Base Model'!J24*1000/365/24</f>
        <v>6068.3664805815779</v>
      </c>
      <c r="CZ14" s="65">
        <f>'Sensitivity - Population'!S13 + 'Sensitivity - GDP'!P14 +'Sensitivity - GDP'!P76</f>
        <v>52072.34163523504</v>
      </c>
      <c r="DA14" s="65">
        <f>CZ14*1000/(365*24)</f>
        <v>5944.3312368989773</v>
      </c>
      <c r="DB14" s="65">
        <f>'Sensitivity - Population'!E13+'Sensitivity - GDP'!D14+'Sensitivity - GDP'!D76</f>
        <v>48596.064963780576</v>
      </c>
      <c r="DC14" s="65">
        <f>DB14*1000/(365*24)</f>
        <v>5547.4960004315726</v>
      </c>
      <c r="EQ14" s="92"/>
    </row>
    <row r="15" spans="2:147" x14ac:dyDescent="0.35">
      <c r="B15" s="90"/>
      <c r="C15" s="23">
        <v>1</v>
      </c>
      <c r="D15" s="23" t="s">
        <v>153</v>
      </c>
      <c r="E15" s="23" t="s">
        <v>154</v>
      </c>
      <c r="F15" s="23" t="s">
        <v>155</v>
      </c>
      <c r="G15" s="23">
        <v>392.5</v>
      </c>
      <c r="H15" s="23"/>
      <c r="I15" s="82">
        <v>37135</v>
      </c>
      <c r="J15" s="83">
        <f ca="1">($J$13-I15)/365</f>
        <v>20.468493150684932</v>
      </c>
      <c r="K15" s="23"/>
      <c r="L15" s="92"/>
      <c r="N15" s="90"/>
      <c r="O15" s="79">
        <v>44926</v>
      </c>
      <c r="P15" s="23">
        <f t="shared" ref="P15:AE33" si="5">IF(VLOOKUP(P$13,$C$15:$J$92,3,FALSE) &lt;&gt; "Incineration", IF(DATEDIF(VLOOKUP(P$13,$C$15:$J$92,7,FALSE),$O15,"y")&gt;=$P$11,0,VLOOKUP(P$13,$C$15:$J$92,5,FALSE)), VLOOKUP(P$13,$C$15:$J$92,5,FALSE))</f>
        <v>392.5</v>
      </c>
      <c r="Q15" s="23">
        <f t="shared" si="0"/>
        <v>392.5</v>
      </c>
      <c r="R15" s="23">
        <f t="shared" si="0"/>
        <v>403.8</v>
      </c>
      <c r="S15" s="23">
        <f t="shared" si="0"/>
        <v>400</v>
      </c>
      <c r="T15" s="23">
        <f t="shared" si="0"/>
        <v>400</v>
      </c>
      <c r="U15" s="23">
        <f t="shared" si="0"/>
        <v>250</v>
      </c>
      <c r="V15" s="23">
        <f t="shared" si="0"/>
        <v>250</v>
      </c>
      <c r="W15" s="23">
        <f t="shared" si="0"/>
        <v>420</v>
      </c>
      <c r="X15" s="23">
        <f t="shared" si="0"/>
        <v>420</v>
      </c>
      <c r="Y15" s="23">
        <f t="shared" si="0"/>
        <v>47.8</v>
      </c>
      <c r="Z15" s="23">
        <f t="shared" si="0"/>
        <v>132</v>
      </c>
      <c r="AA15" s="23">
        <f t="shared" si="0"/>
        <v>367.5</v>
      </c>
      <c r="AB15" s="23">
        <f t="shared" si="0"/>
        <v>367.5</v>
      </c>
      <c r="AC15" s="23">
        <f t="shared" si="0"/>
        <v>367.5</v>
      </c>
      <c r="AD15" s="23">
        <f t="shared" si="0"/>
        <v>367.5</v>
      </c>
      <c r="AE15" s="23">
        <f t="shared" si="0"/>
        <v>405.9</v>
      </c>
      <c r="AF15" s="23">
        <f t="shared" si="0"/>
        <v>60</v>
      </c>
      <c r="AG15" s="23">
        <f t="shared" si="0"/>
        <v>67.8</v>
      </c>
      <c r="AH15" s="23">
        <f t="shared" si="0"/>
        <v>55</v>
      </c>
      <c r="AI15" s="23">
        <f t="shared" si="0"/>
        <v>0</v>
      </c>
      <c r="AJ15" s="23">
        <f t="shared" si="0"/>
        <v>0</v>
      </c>
      <c r="AK15" s="23">
        <f t="shared" si="0"/>
        <v>365</v>
      </c>
      <c r="AL15" s="23">
        <f t="shared" si="0"/>
        <v>365</v>
      </c>
      <c r="AM15" s="23">
        <f t="shared" si="0"/>
        <v>365</v>
      </c>
      <c r="AN15" s="23">
        <f t="shared" si="0"/>
        <v>431</v>
      </c>
      <c r="AO15" s="23">
        <f t="shared" si="0"/>
        <v>431</v>
      </c>
      <c r="AP15" s="23">
        <f t="shared" si="0"/>
        <v>110</v>
      </c>
      <c r="AQ15" s="23">
        <f t="shared" si="0"/>
        <v>110</v>
      </c>
      <c r="AR15" s="23">
        <f t="shared" si="0"/>
        <v>47</v>
      </c>
      <c r="AS15" s="23">
        <f t="shared" si="0"/>
        <v>47</v>
      </c>
      <c r="AT15" s="23">
        <f t="shared" si="0"/>
        <v>250</v>
      </c>
      <c r="AU15" s="23">
        <f t="shared" si="0"/>
        <v>250</v>
      </c>
      <c r="AV15" s="23">
        <f t="shared" si="0"/>
        <v>250</v>
      </c>
      <c r="AW15" s="23">
        <f t="shared" si="0"/>
        <v>0</v>
      </c>
      <c r="AX15" s="23">
        <f t="shared" si="0"/>
        <v>0</v>
      </c>
      <c r="AY15" s="23">
        <f t="shared" si="0"/>
        <v>368</v>
      </c>
      <c r="AZ15" s="23">
        <f t="shared" si="0"/>
        <v>364</v>
      </c>
      <c r="BA15" s="23">
        <f t="shared" si="0"/>
        <v>370</v>
      </c>
      <c r="BB15" s="23">
        <f t="shared" si="0"/>
        <v>370</v>
      </c>
      <c r="BC15" s="23">
        <f t="shared" si="0"/>
        <v>22</v>
      </c>
      <c r="BD15" s="23">
        <f t="shared" si="0"/>
        <v>395.7</v>
      </c>
      <c r="BE15" s="23">
        <f t="shared" si="0"/>
        <v>101</v>
      </c>
      <c r="BF15" s="23">
        <f t="shared" si="0"/>
        <v>32.5</v>
      </c>
      <c r="BG15" s="23">
        <f t="shared" si="0"/>
        <v>37.5</v>
      </c>
      <c r="BH15" s="23">
        <f t="shared" si="0"/>
        <v>37.5</v>
      </c>
      <c r="BI15" s="23">
        <f t="shared" si="0"/>
        <v>1.95</v>
      </c>
      <c r="BJ15" s="23">
        <f t="shared" si="0"/>
        <v>68.19</v>
      </c>
      <c r="BK15" s="23">
        <f t="shared" si="0"/>
        <v>68.19</v>
      </c>
      <c r="BL15" s="23">
        <f t="shared" si="0"/>
        <v>40</v>
      </c>
      <c r="BM15" s="23">
        <f t="shared" si="0"/>
        <v>14</v>
      </c>
      <c r="BN15" s="23">
        <f t="shared" si="0"/>
        <v>439.33333333333331</v>
      </c>
      <c r="BO15" s="23" t="e">
        <f t="shared" si="0"/>
        <v>#NUM!</v>
      </c>
      <c r="BP15" s="23" t="e">
        <f t="shared" si="0"/>
        <v>#NUM!</v>
      </c>
      <c r="BQ15" s="23" t="e">
        <f t="shared" si="0"/>
        <v>#NUM!</v>
      </c>
      <c r="BR15" s="23" t="e">
        <f t="shared" si="0"/>
        <v>#NUM!</v>
      </c>
      <c r="BS15" s="23" t="e">
        <f t="shared" si="0"/>
        <v>#NUM!</v>
      </c>
      <c r="BT15" s="23" t="e">
        <f t="shared" si="0"/>
        <v>#NUM!</v>
      </c>
      <c r="BU15" s="23" t="e">
        <f t="shared" si="0"/>
        <v>#NUM!</v>
      </c>
      <c r="BV15" s="23" t="e">
        <f t="shared" si="0"/>
        <v>#NUM!</v>
      </c>
      <c r="BW15" s="23" t="e">
        <f t="shared" si="0"/>
        <v>#NUM!</v>
      </c>
      <c r="BX15" s="23" t="e">
        <f t="shared" si="0"/>
        <v>#NUM!</v>
      </c>
      <c r="BY15" s="23" t="e">
        <f t="shared" si="0"/>
        <v>#NUM!</v>
      </c>
      <c r="BZ15" s="23" t="e">
        <f t="shared" si="0"/>
        <v>#NUM!</v>
      </c>
      <c r="CA15" s="23" t="e">
        <f t="shared" si="0"/>
        <v>#NUM!</v>
      </c>
      <c r="CB15" s="23" t="e">
        <f t="shared" si="0"/>
        <v>#NUM!</v>
      </c>
      <c r="CC15" s="23" t="e">
        <f t="shared" si="1"/>
        <v>#NUM!</v>
      </c>
      <c r="CD15" s="23" t="e">
        <f t="shared" si="1"/>
        <v>#NUM!</v>
      </c>
      <c r="CE15" s="23" t="e">
        <f t="shared" si="1"/>
        <v>#NUM!</v>
      </c>
      <c r="CF15" s="23" t="e">
        <f t="shared" si="1"/>
        <v>#NUM!</v>
      </c>
      <c r="CG15" s="23" t="e">
        <f t="shared" si="1"/>
        <v>#NUM!</v>
      </c>
      <c r="CH15" s="23" t="e">
        <f t="shared" si="1"/>
        <v>#NUM!</v>
      </c>
      <c r="CI15" s="23" t="e">
        <f t="shared" si="1"/>
        <v>#NUM!</v>
      </c>
      <c r="CJ15" s="23" t="e">
        <f t="shared" si="1"/>
        <v>#NUM!</v>
      </c>
      <c r="CK15" s="23" t="e">
        <f t="shared" si="1"/>
        <v>#NUM!</v>
      </c>
      <c r="CL15" s="23" t="e">
        <f t="shared" si="1"/>
        <v>#NUM!</v>
      </c>
      <c r="CM15" s="23" t="e">
        <f t="shared" si="1"/>
        <v>#NUM!</v>
      </c>
      <c r="CN15" s="23" t="e">
        <f t="shared" si="1"/>
        <v>#NUM!</v>
      </c>
      <c r="CO15" s="23" t="e">
        <f t="shared" si="1"/>
        <v>#NUM!</v>
      </c>
      <c r="CP15" s="23">
        <f t="shared" si="2"/>
        <v>10878.830000000002</v>
      </c>
      <c r="CQ15" s="67">
        <f>(CP14-CP15)/CP14</f>
        <v>0</v>
      </c>
      <c r="CR15" s="67">
        <v>0.85</v>
      </c>
      <c r="CS15" s="80">
        <f t="shared" ref="CS15:CS43" si="6">(CS14*(1-CQ15))</f>
        <v>12112</v>
      </c>
      <c r="CT15" s="81">
        <f t="shared" si="3"/>
        <v>10295.199999999999</v>
      </c>
      <c r="CU15" s="23">
        <f t="shared" si="4"/>
        <v>11318.163333333336</v>
      </c>
      <c r="CV15" s="67">
        <f>(CU14-CU15)/CU14</f>
        <v>-4.0384244751810065E-2</v>
      </c>
      <c r="CW15" s="80">
        <f>CW14*(1-CV15)</f>
        <v>12601.133972433925</v>
      </c>
      <c r="CX15" s="81">
        <f t="shared" ref="CX15:CX43" si="7">CW15*CR15</f>
        <v>10710.963876568836</v>
      </c>
      <c r="CY15" s="65">
        <f>'Base Model'!J25*1000/365/24</f>
        <v>6186.8714118140279</v>
      </c>
      <c r="CZ15" s="65">
        <f>'Sensitivity - Population'!S14 + 'Sensitivity - GDP'!P15 +'Sensitivity - GDP'!P77</f>
        <v>55635.492601307182</v>
      </c>
      <c r="DA15" s="65">
        <f t="shared" ref="DA15:DA43" si="8">CZ15*1000/(365*24)</f>
        <v>6351.0836302862081</v>
      </c>
      <c r="DB15" s="65">
        <f>'Sensitivity - Population'!E14+'Sensitivity - GDP'!D15+'Sensitivity - GDP'!D77</f>
        <v>51769.551514694031</v>
      </c>
      <c r="DC15" s="65">
        <f t="shared" ref="DC15:DC43" si="9">DB15*1000/(365*24)</f>
        <v>5909.7661546454374</v>
      </c>
      <c r="EQ15" s="92"/>
    </row>
    <row r="16" spans="2:147" x14ac:dyDescent="0.35">
      <c r="B16" s="90"/>
      <c r="C16" s="23">
        <v>2</v>
      </c>
      <c r="D16" s="23" t="s">
        <v>153</v>
      </c>
      <c r="E16" s="23" t="s">
        <v>154</v>
      </c>
      <c r="F16" s="23" t="s">
        <v>156</v>
      </c>
      <c r="G16" s="23">
        <v>392.5</v>
      </c>
      <c r="I16" s="82">
        <v>37135</v>
      </c>
      <c r="J16" s="83">
        <f t="shared" ref="J16:J79" ca="1" si="10">($J$13-I16)/365</f>
        <v>20.468493150684932</v>
      </c>
      <c r="K16" s="23"/>
      <c r="L16" s="92"/>
      <c r="N16" s="90"/>
      <c r="O16" s="79">
        <v>45291</v>
      </c>
      <c r="P16" s="23">
        <f t="shared" si="5"/>
        <v>392.5</v>
      </c>
      <c r="Q16" s="23">
        <f t="shared" si="0"/>
        <v>392.5</v>
      </c>
      <c r="R16" s="23">
        <f t="shared" si="0"/>
        <v>403.8</v>
      </c>
      <c r="S16" s="23">
        <f t="shared" si="0"/>
        <v>400</v>
      </c>
      <c r="T16" s="23">
        <f t="shared" si="0"/>
        <v>400</v>
      </c>
      <c r="U16" s="23">
        <f t="shared" si="0"/>
        <v>250</v>
      </c>
      <c r="V16" s="23">
        <f t="shared" si="0"/>
        <v>250</v>
      </c>
      <c r="W16" s="23">
        <f t="shared" si="0"/>
        <v>420</v>
      </c>
      <c r="X16" s="23">
        <f t="shared" si="0"/>
        <v>420</v>
      </c>
      <c r="Y16" s="23">
        <f t="shared" si="0"/>
        <v>47.8</v>
      </c>
      <c r="Z16" s="23">
        <f t="shared" si="0"/>
        <v>132</v>
      </c>
      <c r="AA16" s="23">
        <f t="shared" si="0"/>
        <v>367.5</v>
      </c>
      <c r="AB16" s="23">
        <f t="shared" si="0"/>
        <v>367.5</v>
      </c>
      <c r="AC16" s="23">
        <f t="shared" si="0"/>
        <v>367.5</v>
      </c>
      <c r="AD16" s="23">
        <f t="shared" si="0"/>
        <v>367.5</v>
      </c>
      <c r="AE16" s="23">
        <f t="shared" si="0"/>
        <v>405.9</v>
      </c>
      <c r="AF16" s="23">
        <f t="shared" si="0"/>
        <v>60</v>
      </c>
      <c r="AG16" s="23">
        <f t="shared" si="0"/>
        <v>67.8</v>
      </c>
      <c r="AH16" s="23">
        <f t="shared" si="0"/>
        <v>55</v>
      </c>
      <c r="AI16" s="23">
        <f t="shared" si="0"/>
        <v>0</v>
      </c>
      <c r="AJ16" s="23">
        <f t="shared" si="0"/>
        <v>0</v>
      </c>
      <c r="AK16" s="23">
        <f t="shared" si="0"/>
        <v>365</v>
      </c>
      <c r="AL16" s="23">
        <f t="shared" si="0"/>
        <v>365</v>
      </c>
      <c r="AM16" s="23">
        <f t="shared" si="0"/>
        <v>365</v>
      </c>
      <c r="AN16" s="23">
        <f t="shared" si="0"/>
        <v>431</v>
      </c>
      <c r="AO16" s="23">
        <f t="shared" si="0"/>
        <v>431</v>
      </c>
      <c r="AP16" s="23">
        <f t="shared" si="0"/>
        <v>110</v>
      </c>
      <c r="AQ16" s="23">
        <f t="shared" si="0"/>
        <v>110</v>
      </c>
      <c r="AR16" s="23">
        <f t="shared" si="0"/>
        <v>47</v>
      </c>
      <c r="AS16" s="23">
        <f t="shared" si="0"/>
        <v>47</v>
      </c>
      <c r="AT16" s="23">
        <f t="shared" si="0"/>
        <v>250</v>
      </c>
      <c r="AU16" s="23">
        <f t="shared" si="0"/>
        <v>250</v>
      </c>
      <c r="AV16" s="23">
        <f t="shared" si="0"/>
        <v>250</v>
      </c>
      <c r="AW16" s="23">
        <f t="shared" si="0"/>
        <v>0</v>
      </c>
      <c r="AX16" s="23">
        <f t="shared" si="0"/>
        <v>0</v>
      </c>
      <c r="AY16" s="23">
        <f t="shared" si="0"/>
        <v>368</v>
      </c>
      <c r="AZ16" s="23">
        <f t="shared" si="0"/>
        <v>364</v>
      </c>
      <c r="BA16" s="23">
        <f t="shared" si="0"/>
        <v>370</v>
      </c>
      <c r="BB16" s="23">
        <f t="shared" si="0"/>
        <v>370</v>
      </c>
      <c r="BC16" s="23">
        <f t="shared" si="0"/>
        <v>22</v>
      </c>
      <c r="BD16" s="23">
        <f t="shared" si="0"/>
        <v>395.7</v>
      </c>
      <c r="BE16" s="23">
        <f t="shared" si="0"/>
        <v>101</v>
      </c>
      <c r="BF16" s="23">
        <f t="shared" si="0"/>
        <v>32.5</v>
      </c>
      <c r="BG16" s="23">
        <f t="shared" si="0"/>
        <v>37.5</v>
      </c>
      <c r="BH16" s="23">
        <f t="shared" si="0"/>
        <v>37.5</v>
      </c>
      <c r="BI16" s="23">
        <f t="shared" si="0"/>
        <v>1.95</v>
      </c>
      <c r="BJ16" s="23">
        <f t="shared" si="0"/>
        <v>68.19</v>
      </c>
      <c r="BK16" s="23">
        <f t="shared" si="0"/>
        <v>68.19</v>
      </c>
      <c r="BL16" s="23">
        <f t="shared" si="0"/>
        <v>40</v>
      </c>
      <c r="BM16" s="23">
        <f t="shared" si="0"/>
        <v>14</v>
      </c>
      <c r="BN16" s="23">
        <f t="shared" si="0"/>
        <v>439.33333333333331</v>
      </c>
      <c r="BO16" s="23">
        <f t="shared" si="0"/>
        <v>439.33333333333331</v>
      </c>
      <c r="BP16" s="23" t="e">
        <f t="shared" si="0"/>
        <v>#NUM!</v>
      </c>
      <c r="BQ16" s="23" t="e">
        <f t="shared" si="0"/>
        <v>#NUM!</v>
      </c>
      <c r="BR16" s="23" t="e">
        <f t="shared" si="0"/>
        <v>#NUM!</v>
      </c>
      <c r="BS16" s="23" t="e">
        <f t="shared" si="0"/>
        <v>#NUM!</v>
      </c>
      <c r="BT16" s="23" t="e">
        <f t="shared" si="0"/>
        <v>#NUM!</v>
      </c>
      <c r="BU16" s="23" t="e">
        <f t="shared" si="0"/>
        <v>#NUM!</v>
      </c>
      <c r="BV16" s="23" t="e">
        <f t="shared" si="0"/>
        <v>#NUM!</v>
      </c>
      <c r="BW16" s="23" t="e">
        <f t="shared" si="0"/>
        <v>#NUM!</v>
      </c>
      <c r="BX16" s="23" t="e">
        <f t="shared" si="0"/>
        <v>#NUM!</v>
      </c>
      <c r="BY16" s="23" t="e">
        <f t="shared" si="0"/>
        <v>#NUM!</v>
      </c>
      <c r="BZ16" s="23" t="e">
        <f t="shared" si="0"/>
        <v>#NUM!</v>
      </c>
      <c r="CA16" s="23" t="e">
        <f t="shared" si="0"/>
        <v>#NUM!</v>
      </c>
      <c r="CB16" s="23" t="e">
        <f t="shared" si="0"/>
        <v>#NUM!</v>
      </c>
      <c r="CC16" s="23" t="e">
        <f t="shared" si="1"/>
        <v>#NUM!</v>
      </c>
      <c r="CD16" s="23" t="e">
        <f t="shared" si="1"/>
        <v>#NUM!</v>
      </c>
      <c r="CE16" s="23" t="e">
        <f t="shared" si="1"/>
        <v>#NUM!</v>
      </c>
      <c r="CF16" s="23" t="e">
        <f t="shared" si="1"/>
        <v>#NUM!</v>
      </c>
      <c r="CG16" s="23" t="e">
        <f t="shared" si="1"/>
        <v>#NUM!</v>
      </c>
      <c r="CH16" s="23" t="e">
        <f t="shared" si="1"/>
        <v>#NUM!</v>
      </c>
      <c r="CI16" s="23" t="e">
        <f t="shared" si="1"/>
        <v>#NUM!</v>
      </c>
      <c r="CJ16" s="23" t="e">
        <f t="shared" si="1"/>
        <v>#NUM!</v>
      </c>
      <c r="CK16" s="23" t="e">
        <f t="shared" si="1"/>
        <v>#NUM!</v>
      </c>
      <c r="CL16" s="23" t="e">
        <f t="shared" si="1"/>
        <v>#NUM!</v>
      </c>
      <c r="CM16" s="23" t="e">
        <f t="shared" si="1"/>
        <v>#NUM!</v>
      </c>
      <c r="CN16" s="23" t="e">
        <f t="shared" si="1"/>
        <v>#NUM!</v>
      </c>
      <c r="CO16" s="23" t="e">
        <f t="shared" si="1"/>
        <v>#NUM!</v>
      </c>
      <c r="CP16" s="23">
        <f t="shared" si="2"/>
        <v>10878.830000000002</v>
      </c>
      <c r="CQ16" s="67">
        <f t="shared" ref="CQ16:CV43" si="11">(CP15-CP16)/CP15</f>
        <v>0</v>
      </c>
      <c r="CR16" s="67">
        <v>0.85</v>
      </c>
      <c r="CS16" s="80">
        <f t="shared" si="6"/>
        <v>12112</v>
      </c>
      <c r="CT16" s="81">
        <f t="shared" si="3"/>
        <v>10295.199999999999</v>
      </c>
      <c r="CU16" s="23">
        <f t="shared" si="4"/>
        <v>11757.49666666667</v>
      </c>
      <c r="CV16" s="67">
        <f t="shared" si="11"/>
        <v>-3.8816663127615864E-2</v>
      </c>
      <c r="CW16" s="80">
        <f t="shared" ref="CW16:CW43" si="12">CW15*(1-CV16)</f>
        <v>13090.267944867848</v>
      </c>
      <c r="CX16" s="81">
        <f t="shared" si="7"/>
        <v>11126.727753137671</v>
      </c>
      <c r="CY16" s="65">
        <f>'Base Model'!J26*1000/365/24</f>
        <v>6305.2953080940742</v>
      </c>
      <c r="CZ16" s="65">
        <f>'Sensitivity - Population'!S15 + 'Sensitivity - GDP'!P16 +'Sensitivity - GDP'!P78</f>
        <v>56760.998905574736</v>
      </c>
      <c r="DA16" s="65">
        <f t="shared" si="8"/>
        <v>6479.5660851112716</v>
      </c>
      <c r="DB16" s="65">
        <f>'Sensitivity - Population'!E15+'Sensitivity - GDP'!D16+'Sensitivity - GDP'!D78</f>
        <v>52775.170912104542</v>
      </c>
      <c r="DC16" s="65">
        <f t="shared" si="9"/>
        <v>6024.5628895096506</v>
      </c>
      <c r="EQ16" s="92"/>
    </row>
    <row r="17" spans="2:147" x14ac:dyDescent="0.35">
      <c r="B17" s="90"/>
      <c r="C17" s="23">
        <v>3</v>
      </c>
      <c r="D17" s="23" t="s">
        <v>153</v>
      </c>
      <c r="E17" s="23" t="s">
        <v>154</v>
      </c>
      <c r="F17" s="23" t="s">
        <v>157</v>
      </c>
      <c r="G17" s="23">
        <v>403.8</v>
      </c>
      <c r="H17" s="23">
        <f>SUM(G15:G17)</f>
        <v>1188.8</v>
      </c>
      <c r="I17" s="82">
        <v>41913</v>
      </c>
      <c r="J17" s="83">
        <f t="shared" ca="1" si="10"/>
        <v>7.3780821917808215</v>
      </c>
      <c r="K17" s="23"/>
      <c r="L17" s="92"/>
      <c r="N17" s="90"/>
      <c r="O17" s="79">
        <v>45657</v>
      </c>
      <c r="P17" s="23">
        <f t="shared" si="5"/>
        <v>392.5</v>
      </c>
      <c r="Q17" s="23">
        <f t="shared" si="0"/>
        <v>392.5</v>
      </c>
      <c r="R17" s="23">
        <f t="shared" si="0"/>
        <v>403.8</v>
      </c>
      <c r="S17" s="23">
        <f t="shared" si="0"/>
        <v>400</v>
      </c>
      <c r="T17" s="23">
        <f t="shared" si="0"/>
        <v>400</v>
      </c>
      <c r="U17" s="23">
        <f t="shared" si="0"/>
        <v>250</v>
      </c>
      <c r="V17" s="23">
        <f t="shared" si="0"/>
        <v>250</v>
      </c>
      <c r="W17" s="23">
        <f t="shared" si="0"/>
        <v>420</v>
      </c>
      <c r="X17" s="23">
        <f t="shared" si="0"/>
        <v>420</v>
      </c>
      <c r="Y17" s="23">
        <f t="shared" si="0"/>
        <v>47.8</v>
      </c>
      <c r="Z17" s="23">
        <f t="shared" si="0"/>
        <v>132</v>
      </c>
      <c r="AA17" s="23">
        <f t="shared" si="0"/>
        <v>367.5</v>
      </c>
      <c r="AB17" s="23">
        <f t="shared" si="0"/>
        <v>367.5</v>
      </c>
      <c r="AC17" s="23">
        <f t="shared" si="0"/>
        <v>367.5</v>
      </c>
      <c r="AD17" s="23">
        <f t="shared" si="0"/>
        <v>367.5</v>
      </c>
      <c r="AE17" s="23">
        <f t="shared" si="0"/>
        <v>405.9</v>
      </c>
      <c r="AF17" s="23">
        <f t="shared" si="0"/>
        <v>60</v>
      </c>
      <c r="AG17" s="23">
        <f t="shared" si="0"/>
        <v>67.8</v>
      </c>
      <c r="AH17" s="23">
        <f t="shared" si="0"/>
        <v>55</v>
      </c>
      <c r="AI17" s="23">
        <f t="shared" si="0"/>
        <v>0</v>
      </c>
      <c r="AJ17" s="23">
        <f t="shared" si="0"/>
        <v>0</v>
      </c>
      <c r="AK17" s="23">
        <f t="shared" si="0"/>
        <v>365</v>
      </c>
      <c r="AL17" s="23">
        <f t="shared" si="0"/>
        <v>365</v>
      </c>
      <c r="AM17" s="23">
        <f t="shared" si="0"/>
        <v>365</v>
      </c>
      <c r="AN17" s="23">
        <f t="shared" si="0"/>
        <v>431</v>
      </c>
      <c r="AO17" s="23">
        <f t="shared" si="0"/>
        <v>431</v>
      </c>
      <c r="AP17" s="23">
        <f t="shared" si="0"/>
        <v>110</v>
      </c>
      <c r="AQ17" s="23">
        <f t="shared" si="0"/>
        <v>110</v>
      </c>
      <c r="AR17" s="23">
        <f t="shared" si="0"/>
        <v>47</v>
      </c>
      <c r="AS17" s="23">
        <f t="shared" si="0"/>
        <v>47</v>
      </c>
      <c r="AT17" s="23">
        <f t="shared" si="0"/>
        <v>250</v>
      </c>
      <c r="AU17" s="23">
        <f t="shared" si="0"/>
        <v>250</v>
      </c>
      <c r="AV17" s="23">
        <f t="shared" si="0"/>
        <v>250</v>
      </c>
      <c r="AW17" s="23">
        <f t="shared" si="0"/>
        <v>0</v>
      </c>
      <c r="AX17" s="23">
        <f t="shared" si="0"/>
        <v>0</v>
      </c>
      <c r="AY17" s="23">
        <f t="shared" si="0"/>
        <v>368</v>
      </c>
      <c r="AZ17" s="23">
        <f t="shared" si="0"/>
        <v>364</v>
      </c>
      <c r="BA17" s="23">
        <f t="shared" si="0"/>
        <v>370</v>
      </c>
      <c r="BB17" s="23">
        <f t="shared" si="0"/>
        <v>370</v>
      </c>
      <c r="BC17" s="23">
        <f t="shared" si="0"/>
        <v>22</v>
      </c>
      <c r="BD17" s="23">
        <f t="shared" si="0"/>
        <v>395.7</v>
      </c>
      <c r="BE17" s="23">
        <f t="shared" si="0"/>
        <v>101</v>
      </c>
      <c r="BF17" s="23">
        <f t="shared" si="0"/>
        <v>32.5</v>
      </c>
      <c r="BG17" s="23">
        <f t="shared" si="0"/>
        <v>37.5</v>
      </c>
      <c r="BH17" s="23">
        <f t="shared" si="0"/>
        <v>37.5</v>
      </c>
      <c r="BI17" s="23">
        <f t="shared" si="0"/>
        <v>1.95</v>
      </c>
      <c r="BJ17" s="23">
        <f t="shared" si="0"/>
        <v>68.19</v>
      </c>
      <c r="BK17" s="23">
        <f t="shared" si="0"/>
        <v>68.19</v>
      </c>
      <c r="BL17" s="23">
        <f t="shared" si="0"/>
        <v>40</v>
      </c>
      <c r="BM17" s="23">
        <f t="shared" si="0"/>
        <v>14</v>
      </c>
      <c r="BN17" s="23">
        <f t="shared" si="0"/>
        <v>439.33333333333331</v>
      </c>
      <c r="BO17" s="23">
        <f t="shared" si="0"/>
        <v>439.33333333333331</v>
      </c>
      <c r="BP17" s="23">
        <f t="shared" si="0"/>
        <v>439.33333333333331</v>
      </c>
      <c r="BQ17" s="23" t="e">
        <f t="shared" si="0"/>
        <v>#NUM!</v>
      </c>
      <c r="BR17" s="23" t="e">
        <f t="shared" si="0"/>
        <v>#NUM!</v>
      </c>
      <c r="BS17" s="23" t="e">
        <f t="shared" si="0"/>
        <v>#NUM!</v>
      </c>
      <c r="BT17" s="23" t="e">
        <f t="shared" si="0"/>
        <v>#NUM!</v>
      </c>
      <c r="BU17" s="23" t="e">
        <f t="shared" si="0"/>
        <v>#NUM!</v>
      </c>
      <c r="BV17" s="23" t="e">
        <f t="shared" si="0"/>
        <v>#NUM!</v>
      </c>
      <c r="BW17" s="23" t="e">
        <f t="shared" si="0"/>
        <v>#NUM!</v>
      </c>
      <c r="BX17" s="23" t="e">
        <f t="shared" si="0"/>
        <v>#NUM!</v>
      </c>
      <c r="BY17" s="23" t="e">
        <f t="shared" si="0"/>
        <v>#NUM!</v>
      </c>
      <c r="BZ17" s="23" t="e">
        <f t="shared" si="0"/>
        <v>#NUM!</v>
      </c>
      <c r="CA17" s="23" t="e">
        <f t="shared" si="0"/>
        <v>#NUM!</v>
      </c>
      <c r="CB17" s="23" t="e">
        <f t="shared" ref="CB17" si="13">IF(VLOOKUP(CB$13,$C$15:$J$92,3,FALSE) &lt;&gt; "Incineration", IF(DATEDIF(VLOOKUP(CB$13,$C$15:$J$92,7,FALSE),$O17,"y")&gt;=$P$11,0,VLOOKUP(CB$13,$C$15:$J$92,5,FALSE)), VLOOKUP(CB$13,$C$15:$J$92,5,FALSE))</f>
        <v>#NUM!</v>
      </c>
      <c r="CC17" s="23" t="e">
        <f t="shared" si="1"/>
        <v>#NUM!</v>
      </c>
      <c r="CD17" s="23" t="e">
        <f t="shared" si="1"/>
        <v>#NUM!</v>
      </c>
      <c r="CE17" s="23" t="e">
        <f t="shared" si="1"/>
        <v>#NUM!</v>
      </c>
      <c r="CF17" s="23" t="e">
        <f t="shared" si="1"/>
        <v>#NUM!</v>
      </c>
      <c r="CG17" s="23" t="e">
        <f t="shared" si="1"/>
        <v>#NUM!</v>
      </c>
      <c r="CH17" s="23" t="e">
        <f t="shared" si="1"/>
        <v>#NUM!</v>
      </c>
      <c r="CI17" s="23" t="e">
        <f t="shared" si="1"/>
        <v>#NUM!</v>
      </c>
      <c r="CJ17" s="23" t="e">
        <f t="shared" si="1"/>
        <v>#NUM!</v>
      </c>
      <c r="CK17" s="23" t="e">
        <f t="shared" si="1"/>
        <v>#NUM!</v>
      </c>
      <c r="CL17" s="23" t="e">
        <f t="shared" si="1"/>
        <v>#NUM!</v>
      </c>
      <c r="CM17" s="23" t="e">
        <f t="shared" si="1"/>
        <v>#NUM!</v>
      </c>
      <c r="CN17" s="23" t="e">
        <f t="shared" si="1"/>
        <v>#NUM!</v>
      </c>
      <c r="CO17" s="23" t="e">
        <f t="shared" si="1"/>
        <v>#NUM!</v>
      </c>
      <c r="CP17" s="23">
        <f t="shared" si="2"/>
        <v>10878.830000000002</v>
      </c>
      <c r="CQ17" s="67">
        <f t="shared" si="11"/>
        <v>0</v>
      </c>
      <c r="CR17" s="67">
        <v>0.85</v>
      </c>
      <c r="CS17" s="80">
        <f t="shared" si="6"/>
        <v>12112</v>
      </c>
      <c r="CT17" s="81">
        <f t="shared" si="3"/>
        <v>10295.199999999999</v>
      </c>
      <c r="CU17" s="23">
        <f t="shared" si="4"/>
        <v>12196.830000000004</v>
      </c>
      <c r="CV17" s="67">
        <f t="shared" si="11"/>
        <v>-3.7366230736758349E-2</v>
      </c>
      <c r="CW17" s="80">
        <f t="shared" si="12"/>
        <v>13579.401917301771</v>
      </c>
      <c r="CX17" s="81">
        <f t="shared" si="7"/>
        <v>11542.491629706505</v>
      </c>
      <c r="CY17" s="65">
        <f>'Base Model'!J27*1000/365/24</f>
        <v>6423.635511917023</v>
      </c>
      <c r="CZ17" s="65">
        <f>'Sensitivity - Population'!S16 + 'Sensitivity - GDP'!P17 +'Sensitivity - GDP'!P79</f>
        <v>57885.788954863579</v>
      </c>
      <c r="DA17" s="65">
        <f t="shared" si="8"/>
        <v>6607.966775669358</v>
      </c>
      <c r="DB17" s="65">
        <f>'Sensitivity - Population'!E16+'Sensitivity - GDP'!D17+'Sensitivity - GDP'!D79</f>
        <v>53780.083992662927</v>
      </c>
      <c r="DC17" s="65">
        <f t="shared" si="9"/>
        <v>6139.2789945962249</v>
      </c>
      <c r="EQ17" s="92"/>
    </row>
    <row r="18" spans="2:147" x14ac:dyDescent="0.35">
      <c r="B18" s="90"/>
      <c r="C18" s="23">
        <v>4</v>
      </c>
      <c r="D18" s="23" t="s">
        <v>158</v>
      </c>
      <c r="E18" s="23" t="s">
        <v>154</v>
      </c>
      <c r="F18" s="23" t="s">
        <v>159</v>
      </c>
      <c r="G18" s="23">
        <v>400</v>
      </c>
      <c r="H18" s="23"/>
      <c r="I18" s="82">
        <v>41654</v>
      </c>
      <c r="J18" s="83">
        <f t="shared" ca="1" si="10"/>
        <v>8.087671232876712</v>
      </c>
      <c r="K18" s="23"/>
      <c r="L18" s="92"/>
      <c r="N18" s="90"/>
      <c r="O18" s="79">
        <v>46022</v>
      </c>
      <c r="P18" s="23">
        <f t="shared" si="5"/>
        <v>392.5</v>
      </c>
      <c r="Q18" s="23">
        <f t="shared" si="5"/>
        <v>392.5</v>
      </c>
      <c r="R18" s="23">
        <f t="shared" si="5"/>
        <v>403.8</v>
      </c>
      <c r="S18" s="23">
        <f t="shared" si="5"/>
        <v>400</v>
      </c>
      <c r="T18" s="23">
        <f t="shared" si="5"/>
        <v>400</v>
      </c>
      <c r="U18" s="23">
        <f t="shared" si="5"/>
        <v>250</v>
      </c>
      <c r="V18" s="23">
        <f t="shared" si="5"/>
        <v>250</v>
      </c>
      <c r="W18" s="23">
        <f t="shared" si="5"/>
        <v>420</v>
      </c>
      <c r="X18" s="23">
        <f t="shared" si="5"/>
        <v>420</v>
      </c>
      <c r="Y18" s="23">
        <f t="shared" si="5"/>
        <v>47.8</v>
      </c>
      <c r="Z18" s="23">
        <f t="shared" si="5"/>
        <v>132</v>
      </c>
      <c r="AA18" s="23">
        <f t="shared" si="5"/>
        <v>367.5</v>
      </c>
      <c r="AB18" s="23">
        <f t="shared" si="5"/>
        <v>367.5</v>
      </c>
      <c r="AC18" s="23">
        <f t="shared" si="5"/>
        <v>367.5</v>
      </c>
      <c r="AD18" s="23">
        <f t="shared" si="5"/>
        <v>367.5</v>
      </c>
      <c r="AE18" s="23">
        <f t="shared" si="5"/>
        <v>405.9</v>
      </c>
      <c r="AF18" s="23">
        <f t="shared" ref="AF18:CB23" si="14">IF(VLOOKUP(AF$13,$C$15:$J$92,3,FALSE) &lt;&gt; "Incineration", IF(DATEDIF(VLOOKUP(AF$13,$C$15:$J$92,7,FALSE),$O18,"y")&gt;=$P$11,0,VLOOKUP(AF$13,$C$15:$J$92,5,FALSE)), VLOOKUP(AF$13,$C$15:$J$92,5,FALSE))</f>
        <v>60</v>
      </c>
      <c r="AG18" s="23">
        <f t="shared" si="14"/>
        <v>67.8</v>
      </c>
      <c r="AH18" s="23">
        <f t="shared" si="14"/>
        <v>55</v>
      </c>
      <c r="AI18" s="23">
        <f t="shared" si="14"/>
        <v>0</v>
      </c>
      <c r="AJ18" s="23">
        <f t="shared" si="14"/>
        <v>0</v>
      </c>
      <c r="AK18" s="23">
        <f t="shared" si="14"/>
        <v>365</v>
      </c>
      <c r="AL18" s="23">
        <f t="shared" si="14"/>
        <v>365</v>
      </c>
      <c r="AM18" s="23">
        <f t="shared" si="14"/>
        <v>365</v>
      </c>
      <c r="AN18" s="23">
        <f t="shared" si="14"/>
        <v>431</v>
      </c>
      <c r="AO18" s="23">
        <f t="shared" si="14"/>
        <v>431</v>
      </c>
      <c r="AP18" s="23">
        <f t="shared" si="14"/>
        <v>110</v>
      </c>
      <c r="AQ18" s="23">
        <f t="shared" si="14"/>
        <v>110</v>
      </c>
      <c r="AR18" s="23">
        <f t="shared" si="14"/>
        <v>47</v>
      </c>
      <c r="AS18" s="23">
        <f t="shared" si="14"/>
        <v>47</v>
      </c>
      <c r="AT18" s="23">
        <f t="shared" si="14"/>
        <v>250</v>
      </c>
      <c r="AU18" s="23">
        <f t="shared" si="14"/>
        <v>250</v>
      </c>
      <c r="AV18" s="23">
        <f t="shared" si="14"/>
        <v>250</v>
      </c>
      <c r="AW18" s="23">
        <f t="shared" si="14"/>
        <v>0</v>
      </c>
      <c r="AX18" s="23">
        <f t="shared" si="14"/>
        <v>0</v>
      </c>
      <c r="AY18" s="23">
        <f t="shared" si="14"/>
        <v>368</v>
      </c>
      <c r="AZ18" s="23">
        <f t="shared" si="14"/>
        <v>364</v>
      </c>
      <c r="BA18" s="23">
        <f t="shared" si="14"/>
        <v>370</v>
      </c>
      <c r="BB18" s="23">
        <f t="shared" si="14"/>
        <v>370</v>
      </c>
      <c r="BC18" s="23">
        <f t="shared" si="14"/>
        <v>22</v>
      </c>
      <c r="BD18" s="23">
        <f t="shared" si="14"/>
        <v>395.7</v>
      </c>
      <c r="BE18" s="23">
        <f t="shared" si="14"/>
        <v>101</v>
      </c>
      <c r="BF18" s="23">
        <f t="shared" si="14"/>
        <v>32.5</v>
      </c>
      <c r="BG18" s="23">
        <f t="shared" si="14"/>
        <v>37.5</v>
      </c>
      <c r="BH18" s="23">
        <f t="shared" si="14"/>
        <v>37.5</v>
      </c>
      <c r="BI18" s="23">
        <f t="shared" si="14"/>
        <v>1.95</v>
      </c>
      <c r="BJ18" s="23">
        <f t="shared" si="14"/>
        <v>68.19</v>
      </c>
      <c r="BK18" s="23">
        <f t="shared" si="14"/>
        <v>68.19</v>
      </c>
      <c r="BL18" s="23">
        <f t="shared" si="14"/>
        <v>40</v>
      </c>
      <c r="BM18" s="23">
        <f t="shared" si="14"/>
        <v>14</v>
      </c>
      <c r="BN18" s="23">
        <f t="shared" si="14"/>
        <v>439.33333333333331</v>
      </c>
      <c r="BO18" s="23">
        <f t="shared" si="14"/>
        <v>439.33333333333331</v>
      </c>
      <c r="BP18" s="23">
        <f t="shared" si="14"/>
        <v>439.33333333333331</v>
      </c>
      <c r="BQ18" s="23">
        <f t="shared" si="14"/>
        <v>100</v>
      </c>
      <c r="BR18" s="23" t="e">
        <f t="shared" si="14"/>
        <v>#NUM!</v>
      </c>
      <c r="BS18" s="23" t="e">
        <f t="shared" si="14"/>
        <v>#NUM!</v>
      </c>
      <c r="BT18" s="23" t="e">
        <f t="shared" si="14"/>
        <v>#NUM!</v>
      </c>
      <c r="BU18" s="23" t="e">
        <f t="shared" si="14"/>
        <v>#NUM!</v>
      </c>
      <c r="BV18" s="23" t="e">
        <f t="shared" si="14"/>
        <v>#NUM!</v>
      </c>
      <c r="BW18" s="23" t="e">
        <f t="shared" si="14"/>
        <v>#NUM!</v>
      </c>
      <c r="BX18" s="23" t="e">
        <f t="shared" si="14"/>
        <v>#NUM!</v>
      </c>
      <c r="BY18" s="23" t="e">
        <f t="shared" si="14"/>
        <v>#NUM!</v>
      </c>
      <c r="BZ18" s="23" t="e">
        <f t="shared" si="14"/>
        <v>#NUM!</v>
      </c>
      <c r="CA18" s="23" t="e">
        <f t="shared" si="14"/>
        <v>#NUM!</v>
      </c>
      <c r="CB18" s="23" t="e">
        <f t="shared" si="14"/>
        <v>#NUM!</v>
      </c>
      <c r="CC18" s="23" t="e">
        <f t="shared" si="1"/>
        <v>#NUM!</v>
      </c>
      <c r="CD18" s="23" t="e">
        <f t="shared" si="1"/>
        <v>#NUM!</v>
      </c>
      <c r="CE18" s="23" t="e">
        <f t="shared" si="1"/>
        <v>#NUM!</v>
      </c>
      <c r="CF18" s="23" t="e">
        <f t="shared" si="1"/>
        <v>#NUM!</v>
      </c>
      <c r="CG18" s="23" t="e">
        <f t="shared" si="1"/>
        <v>#NUM!</v>
      </c>
      <c r="CH18" s="23" t="e">
        <f t="shared" si="1"/>
        <v>#NUM!</v>
      </c>
      <c r="CI18" s="23" t="e">
        <f t="shared" si="1"/>
        <v>#NUM!</v>
      </c>
      <c r="CJ18" s="23" t="e">
        <f t="shared" si="1"/>
        <v>#NUM!</v>
      </c>
      <c r="CK18" s="23" t="e">
        <f t="shared" si="1"/>
        <v>#NUM!</v>
      </c>
      <c r="CL18" s="23" t="e">
        <f t="shared" si="1"/>
        <v>#NUM!</v>
      </c>
      <c r="CM18" s="23" t="e">
        <f t="shared" si="1"/>
        <v>#NUM!</v>
      </c>
      <c r="CN18" s="23" t="e">
        <f t="shared" si="1"/>
        <v>#NUM!</v>
      </c>
      <c r="CO18" s="23" t="e">
        <f t="shared" si="1"/>
        <v>#NUM!</v>
      </c>
      <c r="CP18" s="23">
        <f t="shared" si="2"/>
        <v>10878.830000000002</v>
      </c>
      <c r="CQ18" s="67">
        <f t="shared" si="11"/>
        <v>0</v>
      </c>
      <c r="CR18" s="67">
        <v>0.85</v>
      </c>
      <c r="CS18" s="80">
        <f t="shared" si="6"/>
        <v>12112</v>
      </c>
      <c r="CT18" s="81">
        <f t="shared" si="3"/>
        <v>10295.199999999999</v>
      </c>
      <c r="CU18" s="23">
        <f t="shared" si="4"/>
        <v>12296.830000000004</v>
      </c>
      <c r="CV18" s="67">
        <f t="shared" si="11"/>
        <v>-8.1988516688352598E-3</v>
      </c>
      <c r="CW18" s="80">
        <f t="shared" si="12"/>
        <v>13690.737419373225</v>
      </c>
      <c r="CX18" s="81">
        <f t="shared" si="7"/>
        <v>11637.12680646724</v>
      </c>
      <c r="CY18" s="65">
        <f>'Base Model'!J28*1000/365/24</f>
        <v>6541.8893913947832</v>
      </c>
      <c r="CZ18" s="65">
        <f>'Sensitivity - Population'!S17 + 'Sensitivity - GDP'!P18 +'Sensitivity - GDP'!P80</f>
        <v>59009.839259914923</v>
      </c>
      <c r="DA18" s="65">
        <f t="shared" si="8"/>
        <v>6736.2830205382324</v>
      </c>
      <c r="DB18" s="65">
        <f>'Sensitivity - Population'!E17+'Sensitivity - GDP'!D18+'Sensitivity - GDP'!D80</f>
        <v>54784.267593026729</v>
      </c>
      <c r="DC18" s="65">
        <f t="shared" si="9"/>
        <v>6253.9118256879829</v>
      </c>
      <c r="EQ18" s="92"/>
    </row>
    <row r="19" spans="2:147" x14ac:dyDescent="0.35">
      <c r="B19" s="90"/>
      <c r="C19" s="23">
        <v>5</v>
      </c>
      <c r="D19" s="23" t="s">
        <v>158</v>
      </c>
      <c r="E19" s="23" t="s">
        <v>154</v>
      </c>
      <c r="F19" s="23" t="s">
        <v>160</v>
      </c>
      <c r="G19" s="23">
        <v>400</v>
      </c>
      <c r="H19" s="23">
        <f>SUM(G18:G19)</f>
        <v>800</v>
      </c>
      <c r="I19" s="82">
        <v>41676</v>
      </c>
      <c r="J19" s="83">
        <f t="shared" ca="1" si="10"/>
        <v>8.0273972602739718</v>
      </c>
      <c r="K19" s="23"/>
      <c r="L19" s="92"/>
      <c r="N19" s="90"/>
      <c r="O19" s="79">
        <v>46387</v>
      </c>
      <c r="P19" s="23">
        <f t="shared" si="5"/>
        <v>0</v>
      </c>
      <c r="Q19" s="23">
        <f t="shared" si="5"/>
        <v>0</v>
      </c>
      <c r="R19" s="23">
        <f t="shared" si="5"/>
        <v>403.8</v>
      </c>
      <c r="S19" s="23">
        <f t="shared" si="5"/>
        <v>400</v>
      </c>
      <c r="T19" s="23">
        <f t="shared" si="5"/>
        <v>400</v>
      </c>
      <c r="U19" s="23">
        <f t="shared" si="5"/>
        <v>250</v>
      </c>
      <c r="V19" s="23">
        <f t="shared" si="5"/>
        <v>250</v>
      </c>
      <c r="W19" s="23">
        <f t="shared" si="5"/>
        <v>420</v>
      </c>
      <c r="X19" s="23">
        <f t="shared" si="5"/>
        <v>420</v>
      </c>
      <c r="Y19" s="23">
        <f t="shared" si="5"/>
        <v>47.8</v>
      </c>
      <c r="Z19" s="23">
        <f t="shared" si="5"/>
        <v>132</v>
      </c>
      <c r="AA19" s="23">
        <f t="shared" si="5"/>
        <v>0</v>
      </c>
      <c r="AB19" s="23">
        <f t="shared" si="5"/>
        <v>367.5</v>
      </c>
      <c r="AC19" s="23">
        <f t="shared" si="5"/>
        <v>367.5</v>
      </c>
      <c r="AD19" s="23">
        <f t="shared" si="5"/>
        <v>367.5</v>
      </c>
      <c r="AE19" s="23">
        <f t="shared" si="5"/>
        <v>405.9</v>
      </c>
      <c r="AF19" s="23">
        <f t="shared" si="14"/>
        <v>60</v>
      </c>
      <c r="AG19" s="23">
        <f t="shared" si="14"/>
        <v>67.8</v>
      </c>
      <c r="AH19" s="23">
        <f t="shared" si="14"/>
        <v>55</v>
      </c>
      <c r="AI19" s="23">
        <f t="shared" si="14"/>
        <v>0</v>
      </c>
      <c r="AJ19" s="23">
        <f t="shared" si="14"/>
        <v>0</v>
      </c>
      <c r="AK19" s="23">
        <f t="shared" si="14"/>
        <v>365</v>
      </c>
      <c r="AL19" s="23">
        <f t="shared" si="14"/>
        <v>365</v>
      </c>
      <c r="AM19" s="23">
        <f t="shared" si="14"/>
        <v>365</v>
      </c>
      <c r="AN19" s="23">
        <f t="shared" si="14"/>
        <v>431</v>
      </c>
      <c r="AO19" s="23">
        <f t="shared" si="14"/>
        <v>431</v>
      </c>
      <c r="AP19" s="23">
        <f t="shared" si="14"/>
        <v>110</v>
      </c>
      <c r="AQ19" s="23">
        <f t="shared" si="14"/>
        <v>110</v>
      </c>
      <c r="AR19" s="23">
        <f t="shared" si="14"/>
        <v>47</v>
      </c>
      <c r="AS19" s="23">
        <f t="shared" si="14"/>
        <v>47</v>
      </c>
      <c r="AT19" s="23">
        <f t="shared" si="14"/>
        <v>250</v>
      </c>
      <c r="AU19" s="23">
        <f t="shared" si="14"/>
        <v>250</v>
      </c>
      <c r="AV19" s="23">
        <f t="shared" si="14"/>
        <v>250</v>
      </c>
      <c r="AW19" s="23">
        <f t="shared" si="14"/>
        <v>0</v>
      </c>
      <c r="AX19" s="23">
        <f t="shared" si="14"/>
        <v>0</v>
      </c>
      <c r="AY19" s="23">
        <f t="shared" si="14"/>
        <v>368</v>
      </c>
      <c r="AZ19" s="23">
        <f t="shared" si="14"/>
        <v>364</v>
      </c>
      <c r="BA19" s="23">
        <f t="shared" si="14"/>
        <v>370</v>
      </c>
      <c r="BB19" s="23">
        <f t="shared" si="14"/>
        <v>370</v>
      </c>
      <c r="BC19" s="23">
        <f t="shared" si="14"/>
        <v>22</v>
      </c>
      <c r="BD19" s="23">
        <f t="shared" si="14"/>
        <v>395.7</v>
      </c>
      <c r="BE19" s="23">
        <f t="shared" si="14"/>
        <v>101</v>
      </c>
      <c r="BF19" s="23">
        <f t="shared" si="14"/>
        <v>32.5</v>
      </c>
      <c r="BG19" s="23">
        <f t="shared" si="14"/>
        <v>37.5</v>
      </c>
      <c r="BH19" s="23">
        <f t="shared" si="14"/>
        <v>37.5</v>
      </c>
      <c r="BI19" s="23">
        <f t="shared" si="14"/>
        <v>1.95</v>
      </c>
      <c r="BJ19" s="23">
        <f t="shared" si="14"/>
        <v>68.19</v>
      </c>
      <c r="BK19" s="23">
        <f t="shared" si="14"/>
        <v>68.19</v>
      </c>
      <c r="BL19" s="23">
        <f t="shared" si="14"/>
        <v>40</v>
      </c>
      <c r="BM19" s="23">
        <f t="shared" si="14"/>
        <v>14</v>
      </c>
      <c r="BN19" s="23">
        <f t="shared" si="14"/>
        <v>439.33333333333331</v>
      </c>
      <c r="BO19" s="23">
        <f t="shared" si="14"/>
        <v>439.33333333333331</v>
      </c>
      <c r="BP19" s="23">
        <f t="shared" si="14"/>
        <v>439.33333333333331</v>
      </c>
      <c r="BQ19" s="23">
        <f t="shared" si="14"/>
        <v>100</v>
      </c>
      <c r="BR19" s="23">
        <f t="shared" si="14"/>
        <v>100</v>
      </c>
      <c r="BS19" s="23" t="e">
        <f t="shared" si="14"/>
        <v>#NUM!</v>
      </c>
      <c r="BT19" s="23" t="e">
        <f t="shared" si="14"/>
        <v>#NUM!</v>
      </c>
      <c r="BU19" s="23" t="e">
        <f t="shared" si="14"/>
        <v>#NUM!</v>
      </c>
      <c r="BV19" s="23" t="e">
        <f t="shared" si="14"/>
        <v>#NUM!</v>
      </c>
      <c r="BW19" s="23" t="e">
        <f t="shared" si="14"/>
        <v>#NUM!</v>
      </c>
      <c r="BX19" s="23" t="e">
        <f t="shared" si="14"/>
        <v>#NUM!</v>
      </c>
      <c r="BY19" s="23" t="e">
        <f t="shared" si="14"/>
        <v>#NUM!</v>
      </c>
      <c r="BZ19" s="23" t="e">
        <f t="shared" si="14"/>
        <v>#NUM!</v>
      </c>
      <c r="CA19" s="23" t="e">
        <f t="shared" si="14"/>
        <v>#NUM!</v>
      </c>
      <c r="CB19" s="23" t="e">
        <f t="shared" si="14"/>
        <v>#NUM!</v>
      </c>
      <c r="CC19" s="23" t="e">
        <f t="shared" si="1"/>
        <v>#NUM!</v>
      </c>
      <c r="CD19" s="23" t="e">
        <f t="shared" si="1"/>
        <v>#NUM!</v>
      </c>
      <c r="CE19" s="23" t="e">
        <f t="shared" si="1"/>
        <v>#NUM!</v>
      </c>
      <c r="CF19" s="23" t="e">
        <f t="shared" si="1"/>
        <v>#NUM!</v>
      </c>
      <c r="CG19" s="23" t="e">
        <f t="shared" si="1"/>
        <v>#NUM!</v>
      </c>
      <c r="CH19" s="23" t="e">
        <f t="shared" si="1"/>
        <v>#NUM!</v>
      </c>
      <c r="CI19" s="23" t="e">
        <f t="shared" si="1"/>
        <v>#NUM!</v>
      </c>
      <c r="CJ19" s="23" t="e">
        <f t="shared" si="1"/>
        <v>#NUM!</v>
      </c>
      <c r="CK19" s="23" t="e">
        <f t="shared" si="1"/>
        <v>#NUM!</v>
      </c>
      <c r="CL19" s="23" t="e">
        <f t="shared" si="1"/>
        <v>#NUM!</v>
      </c>
      <c r="CM19" s="23" t="e">
        <f t="shared" si="1"/>
        <v>#NUM!</v>
      </c>
      <c r="CN19" s="23" t="e">
        <f t="shared" si="1"/>
        <v>#NUM!</v>
      </c>
      <c r="CO19" s="23" t="e">
        <f t="shared" si="1"/>
        <v>#NUM!</v>
      </c>
      <c r="CP19" s="23">
        <f t="shared" si="2"/>
        <v>9726.3300000000017</v>
      </c>
      <c r="CQ19" s="67">
        <f t="shared" si="11"/>
        <v>0.10593970123625425</v>
      </c>
      <c r="CR19" s="67">
        <v>0.85</v>
      </c>
      <c r="CS19" s="80">
        <f t="shared" si="6"/>
        <v>10828.858338626487</v>
      </c>
      <c r="CT19" s="81">
        <f t="shared" si="3"/>
        <v>9204.5295878325142</v>
      </c>
      <c r="CU19" s="23">
        <f t="shared" si="4"/>
        <v>11244.330000000004</v>
      </c>
      <c r="CV19" s="67">
        <f t="shared" si="11"/>
        <v>8.5591164552165047E-2</v>
      </c>
      <c r="CW19" s="80">
        <f t="shared" si="12"/>
        <v>12518.931260071167</v>
      </c>
      <c r="CX19" s="81">
        <f t="shared" si="7"/>
        <v>10641.091571060491</v>
      </c>
      <c r="CY19" s="65">
        <f>'Base Model'!J29*1000/365/24</f>
        <v>6660.0543424500529</v>
      </c>
      <c r="CZ19" s="65">
        <f>'Sensitivity - Population'!S18 + 'Sensitivity - GDP'!P19 +'Sensitivity - GDP'!P81</f>
        <v>60133.126557891039</v>
      </c>
      <c r="DA19" s="65">
        <f t="shared" si="8"/>
        <v>6864.5121641428132</v>
      </c>
      <c r="DB19" s="65">
        <f>'Sensitivity - Population'!E18+'Sensitivity - GDP'!D19+'Sensitivity - GDP'!D81</f>
        <v>55787.698773133015</v>
      </c>
      <c r="DC19" s="65">
        <f t="shared" si="9"/>
        <v>6368.4587640562804</v>
      </c>
      <c r="EQ19" s="92"/>
    </row>
    <row r="20" spans="2:147" x14ac:dyDescent="0.35">
      <c r="B20" s="90"/>
      <c r="C20" s="23">
        <v>6</v>
      </c>
      <c r="D20" s="23" t="s">
        <v>161</v>
      </c>
      <c r="E20" s="23" t="s">
        <v>154</v>
      </c>
      <c r="F20" s="23" t="s">
        <v>162</v>
      </c>
      <c r="G20" s="23">
        <v>250</v>
      </c>
      <c r="H20" s="23"/>
      <c r="I20" s="82">
        <v>39197</v>
      </c>
      <c r="J20" s="83">
        <f t="shared" ca="1" si="10"/>
        <v>14.819178082191781</v>
      </c>
      <c r="K20" s="23"/>
      <c r="L20" s="92"/>
      <c r="N20" s="90"/>
      <c r="O20" s="79">
        <v>46752</v>
      </c>
      <c r="P20" s="23">
        <f t="shared" si="5"/>
        <v>0</v>
      </c>
      <c r="Q20" s="23">
        <f t="shared" si="5"/>
        <v>0</v>
      </c>
      <c r="R20" s="23">
        <f t="shared" si="5"/>
        <v>403.8</v>
      </c>
      <c r="S20" s="23">
        <f t="shared" si="5"/>
        <v>400</v>
      </c>
      <c r="T20" s="23">
        <f t="shared" si="5"/>
        <v>400</v>
      </c>
      <c r="U20" s="23">
        <f t="shared" si="5"/>
        <v>250</v>
      </c>
      <c r="V20" s="23">
        <f t="shared" si="5"/>
        <v>250</v>
      </c>
      <c r="W20" s="23">
        <f t="shared" si="5"/>
        <v>420</v>
      </c>
      <c r="X20" s="23">
        <f t="shared" si="5"/>
        <v>420</v>
      </c>
      <c r="Y20" s="23">
        <f t="shared" si="5"/>
        <v>47.8</v>
      </c>
      <c r="Z20" s="23">
        <f t="shared" si="5"/>
        <v>132</v>
      </c>
      <c r="AA20" s="23">
        <f t="shared" si="5"/>
        <v>0</v>
      </c>
      <c r="AB20" s="23">
        <f t="shared" si="5"/>
        <v>0</v>
      </c>
      <c r="AC20" s="23">
        <f t="shared" si="5"/>
        <v>367.5</v>
      </c>
      <c r="AD20" s="23">
        <f t="shared" si="5"/>
        <v>367.5</v>
      </c>
      <c r="AE20" s="23">
        <f t="shared" si="5"/>
        <v>405.9</v>
      </c>
      <c r="AF20" s="23">
        <f t="shared" si="14"/>
        <v>60</v>
      </c>
      <c r="AG20" s="23">
        <f t="shared" si="14"/>
        <v>67.8</v>
      </c>
      <c r="AH20" s="23">
        <f t="shared" si="14"/>
        <v>55</v>
      </c>
      <c r="AI20" s="23">
        <f t="shared" si="14"/>
        <v>0</v>
      </c>
      <c r="AJ20" s="23">
        <f t="shared" si="14"/>
        <v>0</v>
      </c>
      <c r="AK20" s="23">
        <f t="shared" si="14"/>
        <v>0</v>
      </c>
      <c r="AL20" s="23">
        <f t="shared" si="14"/>
        <v>365</v>
      </c>
      <c r="AM20" s="23">
        <f t="shared" si="14"/>
        <v>365</v>
      </c>
      <c r="AN20" s="23">
        <f t="shared" si="14"/>
        <v>431</v>
      </c>
      <c r="AO20" s="23">
        <f t="shared" si="14"/>
        <v>431</v>
      </c>
      <c r="AP20" s="23">
        <f t="shared" si="14"/>
        <v>110</v>
      </c>
      <c r="AQ20" s="23">
        <f t="shared" si="14"/>
        <v>110</v>
      </c>
      <c r="AR20" s="23">
        <f t="shared" si="14"/>
        <v>47</v>
      </c>
      <c r="AS20" s="23">
        <f t="shared" si="14"/>
        <v>47</v>
      </c>
      <c r="AT20" s="23">
        <f t="shared" si="14"/>
        <v>250</v>
      </c>
      <c r="AU20" s="23">
        <f t="shared" si="14"/>
        <v>250</v>
      </c>
      <c r="AV20" s="23">
        <f t="shared" si="14"/>
        <v>250</v>
      </c>
      <c r="AW20" s="23">
        <f t="shared" si="14"/>
        <v>0</v>
      </c>
      <c r="AX20" s="23">
        <f t="shared" si="14"/>
        <v>0</v>
      </c>
      <c r="AY20" s="23">
        <f t="shared" si="14"/>
        <v>0</v>
      </c>
      <c r="AZ20" s="23">
        <f t="shared" si="14"/>
        <v>0</v>
      </c>
      <c r="BA20" s="23">
        <f t="shared" si="14"/>
        <v>370</v>
      </c>
      <c r="BB20" s="23">
        <f t="shared" si="14"/>
        <v>370</v>
      </c>
      <c r="BC20" s="23">
        <f t="shared" si="14"/>
        <v>22</v>
      </c>
      <c r="BD20" s="23">
        <f t="shared" si="14"/>
        <v>395.7</v>
      </c>
      <c r="BE20" s="23">
        <f t="shared" si="14"/>
        <v>101</v>
      </c>
      <c r="BF20" s="23">
        <f t="shared" si="14"/>
        <v>32.5</v>
      </c>
      <c r="BG20" s="23">
        <f t="shared" si="14"/>
        <v>37.5</v>
      </c>
      <c r="BH20" s="23">
        <f t="shared" si="14"/>
        <v>37.5</v>
      </c>
      <c r="BI20" s="23">
        <f t="shared" si="14"/>
        <v>1.95</v>
      </c>
      <c r="BJ20" s="23">
        <f t="shared" si="14"/>
        <v>68.19</v>
      </c>
      <c r="BK20" s="23">
        <f t="shared" si="14"/>
        <v>68.19</v>
      </c>
      <c r="BL20" s="23">
        <f t="shared" si="14"/>
        <v>40</v>
      </c>
      <c r="BM20" s="23">
        <f t="shared" si="14"/>
        <v>14</v>
      </c>
      <c r="BN20" s="23">
        <f t="shared" si="14"/>
        <v>439.33333333333331</v>
      </c>
      <c r="BO20" s="23">
        <f t="shared" si="14"/>
        <v>439.33333333333331</v>
      </c>
      <c r="BP20" s="23">
        <f t="shared" si="14"/>
        <v>439.33333333333331</v>
      </c>
      <c r="BQ20" s="23">
        <f t="shared" si="14"/>
        <v>100</v>
      </c>
      <c r="BR20" s="23">
        <f t="shared" si="14"/>
        <v>100</v>
      </c>
      <c r="BS20" s="23">
        <f t="shared" si="14"/>
        <v>100</v>
      </c>
      <c r="BT20" s="23" t="e">
        <f t="shared" si="14"/>
        <v>#NUM!</v>
      </c>
      <c r="BU20" s="23" t="e">
        <f t="shared" si="14"/>
        <v>#NUM!</v>
      </c>
      <c r="BV20" s="23" t="e">
        <f t="shared" si="14"/>
        <v>#NUM!</v>
      </c>
      <c r="BW20" s="23" t="e">
        <f t="shared" si="14"/>
        <v>#NUM!</v>
      </c>
      <c r="BX20" s="23" t="e">
        <f t="shared" si="14"/>
        <v>#NUM!</v>
      </c>
      <c r="BY20" s="23" t="e">
        <f t="shared" si="14"/>
        <v>#NUM!</v>
      </c>
      <c r="BZ20" s="23" t="e">
        <f t="shared" si="14"/>
        <v>#NUM!</v>
      </c>
      <c r="CA20" s="23" t="e">
        <f t="shared" si="14"/>
        <v>#NUM!</v>
      </c>
      <c r="CB20" s="23" t="e">
        <f t="shared" si="14"/>
        <v>#NUM!</v>
      </c>
      <c r="CC20" s="23" t="e">
        <f t="shared" si="1"/>
        <v>#NUM!</v>
      </c>
      <c r="CD20" s="23" t="e">
        <f t="shared" si="1"/>
        <v>#NUM!</v>
      </c>
      <c r="CE20" s="23" t="e">
        <f t="shared" si="1"/>
        <v>#NUM!</v>
      </c>
      <c r="CF20" s="23" t="e">
        <f t="shared" si="1"/>
        <v>#NUM!</v>
      </c>
      <c r="CG20" s="23" t="e">
        <f t="shared" si="1"/>
        <v>#NUM!</v>
      </c>
      <c r="CH20" s="23" t="e">
        <f t="shared" si="1"/>
        <v>#NUM!</v>
      </c>
      <c r="CI20" s="23" t="e">
        <f t="shared" si="1"/>
        <v>#NUM!</v>
      </c>
      <c r="CJ20" s="23" t="e">
        <f t="shared" si="1"/>
        <v>#NUM!</v>
      </c>
      <c r="CK20" s="23" t="e">
        <f t="shared" si="1"/>
        <v>#NUM!</v>
      </c>
      <c r="CL20" s="23" t="e">
        <f t="shared" si="1"/>
        <v>#NUM!</v>
      </c>
      <c r="CM20" s="23" t="e">
        <f t="shared" si="1"/>
        <v>#NUM!</v>
      </c>
      <c r="CN20" s="23" t="e">
        <f t="shared" si="1"/>
        <v>#NUM!</v>
      </c>
      <c r="CO20" s="23" t="e">
        <f t="shared" si="1"/>
        <v>#NUM!</v>
      </c>
      <c r="CP20" s="23">
        <f t="shared" si="2"/>
        <v>8261.83</v>
      </c>
      <c r="CQ20" s="67">
        <f t="shared" si="11"/>
        <v>0.15057066745627606</v>
      </c>
      <c r="CR20" s="67">
        <v>0.85</v>
      </c>
      <c r="CS20" s="80">
        <f t="shared" si="6"/>
        <v>9198.3499107900352</v>
      </c>
      <c r="CT20" s="81">
        <f t="shared" si="3"/>
        <v>7818.5974241715294</v>
      </c>
      <c r="CU20" s="23">
        <f t="shared" si="4"/>
        <v>9879.8300000000017</v>
      </c>
      <c r="CV20" s="67">
        <f t="shared" si="11"/>
        <v>0.12135004931374314</v>
      </c>
      <c r="CW20" s="80">
        <f t="shared" si="12"/>
        <v>10999.758334306171</v>
      </c>
      <c r="CX20" s="81">
        <f t="shared" si="7"/>
        <v>9349.794584160245</v>
      </c>
      <c r="CY20" s="65">
        <f>'Base Model'!J30*1000/365/24</f>
        <v>6778.1277910022154</v>
      </c>
      <c r="CZ20" s="65">
        <f>'Sensitivity - Population'!S19 + 'Sensitivity - GDP'!P20 +'Sensitivity - GDP'!P82</f>
        <v>61255.627831769314</v>
      </c>
      <c r="DA20" s="65">
        <f t="shared" si="8"/>
        <v>6992.6515789691002</v>
      </c>
      <c r="DB20" s="65">
        <f>'Sensitivity - Population'!E19+'Sensitivity - GDP'!D20+'Sensitivity - GDP'!D82</f>
        <v>56790.354835323189</v>
      </c>
      <c r="DC20" s="65">
        <f t="shared" si="9"/>
        <v>6482.9172186442001</v>
      </c>
      <c r="EQ20" s="92"/>
    </row>
    <row r="21" spans="2:147" x14ac:dyDescent="0.35">
      <c r="B21" s="90"/>
      <c r="C21" s="23">
        <v>7</v>
      </c>
      <c r="D21" s="23" t="s">
        <v>161</v>
      </c>
      <c r="E21" s="23" t="s">
        <v>154</v>
      </c>
      <c r="F21" s="23" t="s">
        <v>163</v>
      </c>
      <c r="G21" s="23">
        <v>250</v>
      </c>
      <c r="H21" s="23"/>
      <c r="I21" s="82">
        <v>39197</v>
      </c>
      <c r="J21" s="83">
        <f t="shared" ca="1" si="10"/>
        <v>14.819178082191781</v>
      </c>
      <c r="K21" s="23"/>
      <c r="L21" s="92"/>
      <c r="N21" s="90"/>
      <c r="O21" s="79">
        <v>47118</v>
      </c>
      <c r="P21" s="23">
        <f t="shared" si="5"/>
        <v>0</v>
      </c>
      <c r="Q21" s="23">
        <f t="shared" si="5"/>
        <v>0</v>
      </c>
      <c r="R21" s="23">
        <f t="shared" si="5"/>
        <v>403.8</v>
      </c>
      <c r="S21" s="23">
        <f t="shared" si="5"/>
        <v>400</v>
      </c>
      <c r="T21" s="23">
        <f t="shared" si="5"/>
        <v>400</v>
      </c>
      <c r="U21" s="23">
        <f t="shared" si="5"/>
        <v>250</v>
      </c>
      <c r="V21" s="23">
        <f t="shared" si="5"/>
        <v>250</v>
      </c>
      <c r="W21" s="23">
        <f t="shared" si="5"/>
        <v>420</v>
      </c>
      <c r="X21" s="23">
        <f t="shared" si="5"/>
        <v>420</v>
      </c>
      <c r="Y21" s="23">
        <f t="shared" si="5"/>
        <v>47.8</v>
      </c>
      <c r="Z21" s="23">
        <f t="shared" si="5"/>
        <v>132</v>
      </c>
      <c r="AA21" s="23">
        <f t="shared" si="5"/>
        <v>0</v>
      </c>
      <c r="AB21" s="23">
        <f t="shared" si="5"/>
        <v>0</v>
      </c>
      <c r="AC21" s="23">
        <f t="shared" si="5"/>
        <v>367.5</v>
      </c>
      <c r="AD21" s="23">
        <f t="shared" si="5"/>
        <v>367.5</v>
      </c>
      <c r="AE21" s="23">
        <f t="shared" si="5"/>
        <v>405.9</v>
      </c>
      <c r="AF21" s="23">
        <f t="shared" si="14"/>
        <v>60</v>
      </c>
      <c r="AG21" s="23">
        <f t="shared" si="14"/>
        <v>67.8</v>
      </c>
      <c r="AH21" s="23">
        <f t="shared" si="14"/>
        <v>55</v>
      </c>
      <c r="AI21" s="23">
        <f t="shared" si="14"/>
        <v>0</v>
      </c>
      <c r="AJ21" s="23">
        <f t="shared" si="14"/>
        <v>0</v>
      </c>
      <c r="AK21" s="23">
        <f t="shared" si="14"/>
        <v>0</v>
      </c>
      <c r="AL21" s="23">
        <f t="shared" si="14"/>
        <v>365</v>
      </c>
      <c r="AM21" s="23">
        <f t="shared" si="14"/>
        <v>365</v>
      </c>
      <c r="AN21" s="23">
        <f t="shared" si="14"/>
        <v>431</v>
      </c>
      <c r="AO21" s="23">
        <f t="shared" si="14"/>
        <v>431</v>
      </c>
      <c r="AP21" s="23">
        <f t="shared" si="14"/>
        <v>110</v>
      </c>
      <c r="AQ21" s="23">
        <f t="shared" si="14"/>
        <v>110</v>
      </c>
      <c r="AR21" s="23">
        <f t="shared" si="14"/>
        <v>47</v>
      </c>
      <c r="AS21" s="23">
        <f t="shared" si="14"/>
        <v>47</v>
      </c>
      <c r="AT21" s="23">
        <f t="shared" si="14"/>
        <v>250</v>
      </c>
      <c r="AU21" s="23">
        <f t="shared" si="14"/>
        <v>250</v>
      </c>
      <c r="AV21" s="23">
        <f t="shared" si="14"/>
        <v>250</v>
      </c>
      <c r="AW21" s="23">
        <f t="shared" si="14"/>
        <v>0</v>
      </c>
      <c r="AX21" s="23">
        <f t="shared" si="14"/>
        <v>0</v>
      </c>
      <c r="AY21" s="23">
        <f t="shared" si="14"/>
        <v>0</v>
      </c>
      <c r="AZ21" s="23">
        <f t="shared" si="14"/>
        <v>0</v>
      </c>
      <c r="BA21" s="23">
        <f t="shared" si="14"/>
        <v>370</v>
      </c>
      <c r="BB21" s="23">
        <f t="shared" si="14"/>
        <v>370</v>
      </c>
      <c r="BC21" s="23">
        <f t="shared" si="14"/>
        <v>22</v>
      </c>
      <c r="BD21" s="23">
        <f t="shared" si="14"/>
        <v>395.7</v>
      </c>
      <c r="BE21" s="23">
        <f t="shared" si="14"/>
        <v>101</v>
      </c>
      <c r="BF21" s="23">
        <f t="shared" si="14"/>
        <v>32.5</v>
      </c>
      <c r="BG21" s="23">
        <f t="shared" si="14"/>
        <v>37.5</v>
      </c>
      <c r="BH21" s="23">
        <f t="shared" si="14"/>
        <v>37.5</v>
      </c>
      <c r="BI21" s="23">
        <f t="shared" si="14"/>
        <v>1.95</v>
      </c>
      <c r="BJ21" s="23">
        <f t="shared" si="14"/>
        <v>68.19</v>
      </c>
      <c r="BK21" s="23">
        <f t="shared" si="14"/>
        <v>68.19</v>
      </c>
      <c r="BL21" s="23">
        <f t="shared" si="14"/>
        <v>40</v>
      </c>
      <c r="BM21" s="23">
        <f t="shared" si="14"/>
        <v>14</v>
      </c>
      <c r="BN21" s="23">
        <f t="shared" si="14"/>
        <v>439.33333333333331</v>
      </c>
      <c r="BO21" s="23">
        <f t="shared" si="14"/>
        <v>439.33333333333331</v>
      </c>
      <c r="BP21" s="23">
        <f t="shared" si="14"/>
        <v>439.33333333333331</v>
      </c>
      <c r="BQ21" s="23">
        <f t="shared" si="14"/>
        <v>100</v>
      </c>
      <c r="BR21" s="23">
        <f t="shared" si="14"/>
        <v>100</v>
      </c>
      <c r="BS21" s="23">
        <f t="shared" si="14"/>
        <v>100</v>
      </c>
      <c r="BT21" s="23">
        <f t="shared" si="14"/>
        <v>100</v>
      </c>
      <c r="BU21" s="23" t="e">
        <f t="shared" si="14"/>
        <v>#NUM!</v>
      </c>
      <c r="BV21" s="23" t="e">
        <f t="shared" si="14"/>
        <v>#NUM!</v>
      </c>
      <c r="BW21" s="23" t="e">
        <f t="shared" si="14"/>
        <v>#NUM!</v>
      </c>
      <c r="BX21" s="23" t="e">
        <f t="shared" si="14"/>
        <v>#NUM!</v>
      </c>
      <c r="BY21" s="23" t="e">
        <f t="shared" si="14"/>
        <v>#NUM!</v>
      </c>
      <c r="BZ21" s="23" t="e">
        <f t="shared" si="14"/>
        <v>#NUM!</v>
      </c>
      <c r="CA21" s="23" t="e">
        <f t="shared" si="14"/>
        <v>#NUM!</v>
      </c>
      <c r="CB21" s="23" t="e">
        <f t="shared" si="14"/>
        <v>#NUM!</v>
      </c>
      <c r="CC21" s="23" t="e">
        <f t="shared" si="1"/>
        <v>#NUM!</v>
      </c>
      <c r="CD21" s="23" t="e">
        <f t="shared" si="1"/>
        <v>#NUM!</v>
      </c>
      <c r="CE21" s="23" t="e">
        <f t="shared" si="1"/>
        <v>#NUM!</v>
      </c>
      <c r="CF21" s="23" t="e">
        <f t="shared" si="1"/>
        <v>#NUM!</v>
      </c>
      <c r="CG21" s="23" t="e">
        <f t="shared" si="1"/>
        <v>#NUM!</v>
      </c>
      <c r="CH21" s="23" t="e">
        <f t="shared" si="1"/>
        <v>#NUM!</v>
      </c>
      <c r="CI21" s="23" t="e">
        <f t="shared" si="1"/>
        <v>#NUM!</v>
      </c>
      <c r="CJ21" s="23" t="e">
        <f t="shared" si="1"/>
        <v>#NUM!</v>
      </c>
      <c r="CK21" s="23" t="e">
        <f t="shared" si="1"/>
        <v>#NUM!</v>
      </c>
      <c r="CL21" s="23" t="e">
        <f t="shared" si="1"/>
        <v>#NUM!</v>
      </c>
      <c r="CM21" s="23" t="e">
        <f t="shared" si="1"/>
        <v>#NUM!</v>
      </c>
      <c r="CN21" s="23" t="e">
        <f t="shared" si="1"/>
        <v>#NUM!</v>
      </c>
      <c r="CO21" s="23" t="e">
        <f t="shared" si="1"/>
        <v>#NUM!</v>
      </c>
      <c r="CP21" s="23">
        <f t="shared" si="2"/>
        <v>8261.83</v>
      </c>
      <c r="CQ21" s="67">
        <f t="shared" si="11"/>
        <v>0</v>
      </c>
      <c r="CR21" s="67">
        <v>0.85</v>
      </c>
      <c r="CS21" s="80">
        <f t="shared" si="6"/>
        <v>9198.3499107900352</v>
      </c>
      <c r="CT21" s="81">
        <f t="shared" si="3"/>
        <v>7818.5974241715294</v>
      </c>
      <c r="CU21" s="23">
        <f t="shared" si="4"/>
        <v>9979.8300000000017</v>
      </c>
      <c r="CV21" s="67">
        <f t="shared" si="11"/>
        <v>-1.0121631647508103E-2</v>
      </c>
      <c r="CW21" s="80">
        <f t="shared" si="12"/>
        <v>11111.093836377626</v>
      </c>
      <c r="CX21" s="81">
        <f t="shared" si="7"/>
        <v>9444.4297609209825</v>
      </c>
      <c r="CY21" s="65">
        <f>'Base Model'!J31*1000/365/24</f>
        <v>6896.1071951422828</v>
      </c>
      <c r="CZ21" s="65">
        <f>'Sensitivity - Population'!S20 + 'Sensitivity - GDP'!P21 +'Sensitivity - GDP'!P83</f>
        <v>62377.320329663038</v>
      </c>
      <c r="DA21" s="65">
        <f t="shared" si="8"/>
        <v>7120.6986677697532</v>
      </c>
      <c r="DB21" s="65">
        <f>'Sensitivity - Population'!E20+'Sensitivity - GDP'!D21+'Sensitivity - GDP'!D83</f>
        <v>57792.213343395779</v>
      </c>
      <c r="DC21" s="65">
        <f t="shared" si="9"/>
        <v>6597.2846282415267</v>
      </c>
      <c r="EQ21" s="92"/>
    </row>
    <row r="22" spans="2:147" x14ac:dyDescent="0.35">
      <c r="B22" s="90"/>
      <c r="C22" s="23">
        <v>8</v>
      </c>
      <c r="D22" s="23" t="s">
        <v>161</v>
      </c>
      <c r="E22" s="23" t="s">
        <v>154</v>
      </c>
      <c r="F22" s="23" t="s">
        <v>164</v>
      </c>
      <c r="G22" s="23">
        <v>420</v>
      </c>
      <c r="H22" s="23"/>
      <c r="I22" s="82">
        <v>41358</v>
      </c>
      <c r="J22" s="83">
        <f t="shared" ca="1" si="10"/>
        <v>8.8986301369863021</v>
      </c>
      <c r="K22" s="23"/>
      <c r="L22" s="92"/>
      <c r="N22" s="90"/>
      <c r="O22" s="79">
        <v>47483</v>
      </c>
      <c r="P22" s="23">
        <f t="shared" si="5"/>
        <v>0</v>
      </c>
      <c r="Q22" s="23">
        <f t="shared" si="5"/>
        <v>0</v>
      </c>
      <c r="R22" s="23">
        <f t="shared" si="5"/>
        <v>403.8</v>
      </c>
      <c r="S22" s="23">
        <f t="shared" si="5"/>
        <v>400</v>
      </c>
      <c r="T22" s="23">
        <f t="shared" si="5"/>
        <v>400</v>
      </c>
      <c r="U22" s="23">
        <f t="shared" si="5"/>
        <v>250</v>
      </c>
      <c r="V22" s="23">
        <f t="shared" si="5"/>
        <v>250</v>
      </c>
      <c r="W22" s="23">
        <f t="shared" si="5"/>
        <v>420</v>
      </c>
      <c r="X22" s="23">
        <f t="shared" si="5"/>
        <v>420</v>
      </c>
      <c r="Y22" s="23">
        <f t="shared" si="5"/>
        <v>47.8</v>
      </c>
      <c r="Z22" s="23">
        <f t="shared" si="5"/>
        <v>132</v>
      </c>
      <c r="AA22" s="23">
        <f t="shared" si="5"/>
        <v>0</v>
      </c>
      <c r="AB22" s="23">
        <f t="shared" si="5"/>
        <v>0</v>
      </c>
      <c r="AC22" s="23">
        <f t="shared" si="5"/>
        <v>367.5</v>
      </c>
      <c r="AD22" s="23">
        <f t="shared" si="5"/>
        <v>367.5</v>
      </c>
      <c r="AE22" s="23">
        <f t="shared" si="5"/>
        <v>405.9</v>
      </c>
      <c r="AF22" s="23">
        <f t="shared" si="14"/>
        <v>60</v>
      </c>
      <c r="AG22" s="23">
        <f t="shared" si="14"/>
        <v>67.8</v>
      </c>
      <c r="AH22" s="23">
        <f t="shared" si="14"/>
        <v>55</v>
      </c>
      <c r="AI22" s="23">
        <f t="shared" si="14"/>
        <v>0</v>
      </c>
      <c r="AJ22" s="23">
        <f t="shared" si="14"/>
        <v>0</v>
      </c>
      <c r="AK22" s="23">
        <f t="shared" si="14"/>
        <v>0</v>
      </c>
      <c r="AL22" s="23">
        <f t="shared" si="14"/>
        <v>0</v>
      </c>
      <c r="AM22" s="23">
        <f t="shared" si="14"/>
        <v>0</v>
      </c>
      <c r="AN22" s="23">
        <f t="shared" si="14"/>
        <v>431</v>
      </c>
      <c r="AO22" s="23">
        <f t="shared" si="14"/>
        <v>431</v>
      </c>
      <c r="AP22" s="23">
        <f t="shared" si="14"/>
        <v>110</v>
      </c>
      <c r="AQ22" s="23">
        <f t="shared" si="14"/>
        <v>110</v>
      </c>
      <c r="AR22" s="23">
        <f t="shared" si="14"/>
        <v>47</v>
      </c>
      <c r="AS22" s="23">
        <f t="shared" si="14"/>
        <v>47</v>
      </c>
      <c r="AT22" s="23">
        <f t="shared" si="14"/>
        <v>250</v>
      </c>
      <c r="AU22" s="23">
        <f t="shared" si="14"/>
        <v>250</v>
      </c>
      <c r="AV22" s="23">
        <f t="shared" si="14"/>
        <v>250</v>
      </c>
      <c r="AW22" s="23">
        <f t="shared" si="14"/>
        <v>0</v>
      </c>
      <c r="AX22" s="23">
        <f t="shared" si="14"/>
        <v>0</v>
      </c>
      <c r="AY22" s="23">
        <f t="shared" si="14"/>
        <v>0</v>
      </c>
      <c r="AZ22" s="23">
        <f t="shared" si="14"/>
        <v>0</v>
      </c>
      <c r="BA22" s="23">
        <f t="shared" si="14"/>
        <v>370</v>
      </c>
      <c r="BB22" s="23">
        <f t="shared" si="14"/>
        <v>370</v>
      </c>
      <c r="BC22" s="23">
        <f t="shared" si="14"/>
        <v>22</v>
      </c>
      <c r="BD22" s="23">
        <f t="shared" si="14"/>
        <v>395.7</v>
      </c>
      <c r="BE22" s="23">
        <f t="shared" si="14"/>
        <v>101</v>
      </c>
      <c r="BF22" s="23">
        <f t="shared" si="14"/>
        <v>32.5</v>
      </c>
      <c r="BG22" s="23">
        <f t="shared" si="14"/>
        <v>37.5</v>
      </c>
      <c r="BH22" s="23">
        <f t="shared" si="14"/>
        <v>37.5</v>
      </c>
      <c r="BI22" s="23">
        <f t="shared" si="14"/>
        <v>1.95</v>
      </c>
      <c r="BJ22" s="23">
        <f t="shared" si="14"/>
        <v>68.19</v>
      </c>
      <c r="BK22" s="23">
        <f t="shared" si="14"/>
        <v>68.19</v>
      </c>
      <c r="BL22" s="23">
        <f t="shared" si="14"/>
        <v>40</v>
      </c>
      <c r="BM22" s="23">
        <f t="shared" si="14"/>
        <v>14</v>
      </c>
      <c r="BN22" s="23">
        <f t="shared" si="14"/>
        <v>439.33333333333331</v>
      </c>
      <c r="BO22" s="23">
        <f t="shared" si="14"/>
        <v>439.33333333333331</v>
      </c>
      <c r="BP22" s="23">
        <f t="shared" si="14"/>
        <v>439.33333333333331</v>
      </c>
      <c r="BQ22" s="23">
        <f t="shared" si="14"/>
        <v>100</v>
      </c>
      <c r="BR22" s="23">
        <f t="shared" si="14"/>
        <v>100</v>
      </c>
      <c r="BS22" s="23">
        <f t="shared" si="14"/>
        <v>100</v>
      </c>
      <c r="BT22" s="23">
        <f t="shared" si="14"/>
        <v>100</v>
      </c>
      <c r="BU22" s="23">
        <f t="shared" si="14"/>
        <v>100</v>
      </c>
      <c r="BV22" s="23" t="e">
        <f t="shared" si="14"/>
        <v>#NUM!</v>
      </c>
      <c r="BW22" s="23" t="e">
        <f t="shared" si="14"/>
        <v>#NUM!</v>
      </c>
      <c r="BX22" s="23" t="e">
        <f t="shared" si="14"/>
        <v>#NUM!</v>
      </c>
      <c r="BY22" s="23" t="e">
        <f t="shared" si="14"/>
        <v>#NUM!</v>
      </c>
      <c r="BZ22" s="23" t="e">
        <f t="shared" si="14"/>
        <v>#NUM!</v>
      </c>
      <c r="CA22" s="23" t="e">
        <f t="shared" si="14"/>
        <v>#NUM!</v>
      </c>
      <c r="CB22" s="23" t="e">
        <f t="shared" si="14"/>
        <v>#NUM!</v>
      </c>
      <c r="CC22" s="23" t="e">
        <f t="shared" si="1"/>
        <v>#NUM!</v>
      </c>
      <c r="CD22" s="23" t="e">
        <f t="shared" si="1"/>
        <v>#NUM!</v>
      </c>
      <c r="CE22" s="23" t="e">
        <f t="shared" si="1"/>
        <v>#NUM!</v>
      </c>
      <c r="CF22" s="23" t="e">
        <f t="shared" si="1"/>
        <v>#NUM!</v>
      </c>
      <c r="CG22" s="23" t="e">
        <f t="shared" si="1"/>
        <v>#NUM!</v>
      </c>
      <c r="CH22" s="23" t="e">
        <f t="shared" si="1"/>
        <v>#NUM!</v>
      </c>
      <c r="CI22" s="23" t="e">
        <f t="shared" si="1"/>
        <v>#NUM!</v>
      </c>
      <c r="CJ22" s="23" t="e">
        <f t="shared" si="1"/>
        <v>#NUM!</v>
      </c>
      <c r="CK22" s="23" t="e">
        <f t="shared" si="1"/>
        <v>#NUM!</v>
      </c>
      <c r="CL22" s="23" t="e">
        <f t="shared" si="1"/>
        <v>#NUM!</v>
      </c>
      <c r="CM22" s="23" t="e">
        <f t="shared" si="1"/>
        <v>#NUM!</v>
      </c>
      <c r="CN22" s="23" t="e">
        <f t="shared" si="1"/>
        <v>#NUM!</v>
      </c>
      <c r="CO22" s="23" t="e">
        <f t="shared" si="1"/>
        <v>#NUM!</v>
      </c>
      <c r="CP22" s="23">
        <f t="shared" si="2"/>
        <v>7531.83</v>
      </c>
      <c r="CQ22" s="67">
        <f t="shared" si="11"/>
        <v>8.835814825528969E-2</v>
      </c>
      <c r="CR22" s="67">
        <v>0.85</v>
      </c>
      <c r="CS22" s="80">
        <f t="shared" si="6"/>
        <v>8385.6007456684183</v>
      </c>
      <c r="CT22" s="81">
        <f t="shared" si="3"/>
        <v>7127.7606338181549</v>
      </c>
      <c r="CU22" s="23">
        <f t="shared" si="4"/>
        <v>9349.83</v>
      </c>
      <c r="CV22" s="67">
        <f t="shared" si="11"/>
        <v>6.3127327820213547E-2</v>
      </c>
      <c r="CW22" s="80">
        <f t="shared" si="12"/>
        <v>10409.680173327461</v>
      </c>
      <c r="CX22" s="81">
        <f t="shared" si="7"/>
        <v>8848.2281473283419</v>
      </c>
      <c r="CY22" s="65">
        <f>'Base Model'!J32*1000/365/24</f>
        <v>7013.9900472946683</v>
      </c>
      <c r="CZ22" s="65">
        <f>'Sensitivity - Population'!S21 + 'Sensitivity - GDP'!P22 +'Sensitivity - GDP'!P84</f>
        <v>63498.181584045356</v>
      </c>
      <c r="DA22" s="65">
        <f t="shared" si="8"/>
        <v>7248.6508657586028</v>
      </c>
      <c r="DB22" s="65">
        <f>'Sensitivity - Population'!E21+'Sensitivity - GDP'!D22+'Sensitivity - GDP'!D84</f>
        <v>58793.252141563673</v>
      </c>
      <c r="DC22" s="65">
        <f t="shared" si="9"/>
        <v>6711.5584636488211</v>
      </c>
      <c r="EQ22" s="92"/>
    </row>
    <row r="23" spans="2:147" x14ac:dyDescent="0.35">
      <c r="B23" s="90"/>
      <c r="C23" s="23">
        <v>9</v>
      </c>
      <c r="D23" s="23" t="s">
        <v>161</v>
      </c>
      <c r="E23" s="23" t="s">
        <v>154</v>
      </c>
      <c r="F23" s="23" t="s">
        <v>165</v>
      </c>
      <c r="G23" s="23">
        <v>420</v>
      </c>
      <c r="H23" s="23">
        <f>SUM(G20:G23)</f>
        <v>1340</v>
      </c>
      <c r="I23" s="82">
        <v>41467</v>
      </c>
      <c r="J23" s="83">
        <f t="shared" ca="1" si="10"/>
        <v>8.6</v>
      </c>
      <c r="K23" s="23"/>
      <c r="L23" s="92"/>
      <c r="N23" s="90"/>
      <c r="O23" s="79">
        <v>47848</v>
      </c>
      <c r="P23" s="23">
        <f t="shared" si="5"/>
        <v>0</v>
      </c>
      <c r="Q23" s="23">
        <f t="shared" si="5"/>
        <v>0</v>
      </c>
      <c r="R23" s="23">
        <f t="shared" si="5"/>
        <v>403.8</v>
      </c>
      <c r="S23" s="23">
        <f t="shared" si="5"/>
        <v>400</v>
      </c>
      <c r="T23" s="23">
        <f t="shared" si="5"/>
        <v>400</v>
      </c>
      <c r="U23" s="23">
        <f t="shared" si="5"/>
        <v>250</v>
      </c>
      <c r="V23" s="23">
        <f t="shared" si="5"/>
        <v>250</v>
      </c>
      <c r="W23" s="23">
        <f t="shared" si="5"/>
        <v>420</v>
      </c>
      <c r="X23" s="23">
        <f t="shared" si="5"/>
        <v>420</v>
      </c>
      <c r="Y23" s="23">
        <f t="shared" si="5"/>
        <v>47.8</v>
      </c>
      <c r="Z23" s="23">
        <f t="shared" si="5"/>
        <v>132</v>
      </c>
      <c r="AA23" s="23">
        <f t="shared" si="5"/>
        <v>0</v>
      </c>
      <c r="AB23" s="23">
        <f t="shared" si="5"/>
        <v>0</v>
      </c>
      <c r="AC23" s="23">
        <f t="shared" si="5"/>
        <v>0</v>
      </c>
      <c r="AD23" s="23">
        <f t="shared" si="5"/>
        <v>0</v>
      </c>
      <c r="AE23" s="23">
        <f t="shared" si="5"/>
        <v>405.9</v>
      </c>
      <c r="AF23" s="23">
        <f t="shared" si="14"/>
        <v>60</v>
      </c>
      <c r="AG23" s="23">
        <f t="shared" si="14"/>
        <v>67.8</v>
      </c>
      <c r="AH23" s="23">
        <f t="shared" si="14"/>
        <v>55</v>
      </c>
      <c r="AI23" s="23">
        <f t="shared" si="14"/>
        <v>0</v>
      </c>
      <c r="AJ23" s="23">
        <f t="shared" si="14"/>
        <v>0</v>
      </c>
      <c r="AK23" s="23">
        <f t="shared" si="14"/>
        <v>0</v>
      </c>
      <c r="AL23" s="23">
        <f t="shared" si="14"/>
        <v>0</v>
      </c>
      <c r="AM23" s="23">
        <f t="shared" si="14"/>
        <v>0</v>
      </c>
      <c r="AN23" s="23">
        <f t="shared" si="14"/>
        <v>431</v>
      </c>
      <c r="AO23" s="23">
        <f t="shared" si="14"/>
        <v>431</v>
      </c>
      <c r="AP23" s="23">
        <f t="shared" ref="AP23:BE39" si="15">IF(VLOOKUP(AP$13,$C$15:$J$92,3,FALSE) &lt;&gt; "Incineration", IF(DATEDIF(VLOOKUP(AP$13,$C$15:$J$92,7,FALSE),$O23,"y")&gt;=$P$11,0,VLOOKUP(AP$13,$C$15:$J$92,5,FALSE)), VLOOKUP(AP$13,$C$15:$J$92,5,FALSE))</f>
        <v>110</v>
      </c>
      <c r="AQ23" s="23">
        <f t="shared" si="15"/>
        <v>110</v>
      </c>
      <c r="AR23" s="23">
        <f t="shared" si="15"/>
        <v>47</v>
      </c>
      <c r="AS23" s="23">
        <f t="shared" si="15"/>
        <v>47</v>
      </c>
      <c r="AT23" s="23">
        <f t="shared" si="15"/>
        <v>0</v>
      </c>
      <c r="AU23" s="23">
        <f t="shared" si="15"/>
        <v>0</v>
      </c>
      <c r="AV23" s="23">
        <f t="shared" si="15"/>
        <v>0</v>
      </c>
      <c r="AW23" s="23">
        <f t="shared" si="15"/>
        <v>0</v>
      </c>
      <c r="AX23" s="23">
        <f t="shared" si="15"/>
        <v>0</v>
      </c>
      <c r="AY23" s="23">
        <f t="shared" si="15"/>
        <v>0</v>
      </c>
      <c r="AZ23" s="23">
        <f t="shared" si="15"/>
        <v>0</v>
      </c>
      <c r="BA23" s="23">
        <f t="shared" si="15"/>
        <v>370</v>
      </c>
      <c r="BB23" s="23">
        <f t="shared" si="15"/>
        <v>370</v>
      </c>
      <c r="BC23" s="23">
        <f t="shared" si="15"/>
        <v>22</v>
      </c>
      <c r="BD23" s="23">
        <f t="shared" si="15"/>
        <v>395.7</v>
      </c>
      <c r="BE23" s="23">
        <f t="shared" si="15"/>
        <v>101</v>
      </c>
      <c r="BF23" s="23">
        <f t="shared" ref="BF23:BU38" si="16">IF(VLOOKUP(BF$13,$C$15:$J$92,3,FALSE) &lt;&gt; "Incineration", IF(DATEDIF(VLOOKUP(BF$13,$C$15:$J$92,7,FALSE),$O23,"y")&gt;=$P$11,0,VLOOKUP(BF$13,$C$15:$J$92,5,FALSE)), VLOOKUP(BF$13,$C$15:$J$92,5,FALSE))</f>
        <v>32.5</v>
      </c>
      <c r="BG23" s="23">
        <f t="shared" si="16"/>
        <v>37.5</v>
      </c>
      <c r="BH23" s="23">
        <f t="shared" si="16"/>
        <v>37.5</v>
      </c>
      <c r="BI23" s="23">
        <f t="shared" si="16"/>
        <v>1.95</v>
      </c>
      <c r="BJ23" s="23">
        <f t="shared" si="16"/>
        <v>68.19</v>
      </c>
      <c r="BK23" s="23">
        <f t="shared" si="16"/>
        <v>68.19</v>
      </c>
      <c r="BL23" s="23">
        <f t="shared" si="16"/>
        <v>40</v>
      </c>
      <c r="BM23" s="23">
        <f t="shared" si="16"/>
        <v>14</v>
      </c>
      <c r="BN23" s="23">
        <f t="shared" si="16"/>
        <v>439.33333333333331</v>
      </c>
      <c r="BO23" s="23">
        <f t="shared" si="16"/>
        <v>439.33333333333331</v>
      </c>
      <c r="BP23" s="23">
        <f t="shared" si="16"/>
        <v>439.33333333333331</v>
      </c>
      <c r="BQ23" s="23">
        <f t="shared" si="16"/>
        <v>100</v>
      </c>
      <c r="BR23" s="23">
        <f t="shared" si="16"/>
        <v>100</v>
      </c>
      <c r="BS23" s="23">
        <f t="shared" si="16"/>
        <v>100</v>
      </c>
      <c r="BT23" s="23">
        <f t="shared" si="16"/>
        <v>100</v>
      </c>
      <c r="BU23" s="23">
        <f t="shared" si="16"/>
        <v>100</v>
      </c>
      <c r="BV23" s="23">
        <f t="shared" ref="BV23:CK43" si="17">IF(VLOOKUP(BV$13,$C$15:$J$92,3,FALSE) &lt;&gt; "Incineration", IF(DATEDIF(VLOOKUP(BV$13,$C$15:$J$92,7,FALSE),$O23,"y")&gt;=$P$11,0,VLOOKUP(BV$13,$C$15:$J$92,5,FALSE)), VLOOKUP(BV$13,$C$15:$J$92,5,FALSE))</f>
        <v>200</v>
      </c>
      <c r="BW23" s="23" t="e">
        <f t="shared" si="17"/>
        <v>#NUM!</v>
      </c>
      <c r="BX23" s="23" t="e">
        <f t="shared" si="17"/>
        <v>#NUM!</v>
      </c>
      <c r="BY23" s="23" t="e">
        <f t="shared" si="17"/>
        <v>#NUM!</v>
      </c>
      <c r="BZ23" s="23" t="e">
        <f t="shared" si="17"/>
        <v>#NUM!</v>
      </c>
      <c r="CA23" s="23" t="e">
        <f t="shared" si="17"/>
        <v>#NUM!</v>
      </c>
      <c r="CB23" s="23" t="e">
        <f t="shared" si="17"/>
        <v>#NUM!</v>
      </c>
      <c r="CC23" s="23" t="e">
        <f t="shared" si="1"/>
        <v>#NUM!</v>
      </c>
      <c r="CD23" s="23" t="e">
        <f t="shared" si="1"/>
        <v>#NUM!</v>
      </c>
      <c r="CE23" s="23" t="e">
        <f t="shared" si="1"/>
        <v>#NUM!</v>
      </c>
      <c r="CF23" s="23" t="e">
        <f t="shared" si="1"/>
        <v>#NUM!</v>
      </c>
      <c r="CG23" s="23" t="e">
        <f t="shared" si="1"/>
        <v>#NUM!</v>
      </c>
      <c r="CH23" s="23" t="e">
        <f t="shared" si="1"/>
        <v>#NUM!</v>
      </c>
      <c r="CI23" s="23" t="e">
        <f t="shared" si="1"/>
        <v>#NUM!</v>
      </c>
      <c r="CJ23" s="23" t="e">
        <f t="shared" si="1"/>
        <v>#NUM!</v>
      </c>
      <c r="CK23" s="23" t="e">
        <f t="shared" si="1"/>
        <v>#NUM!</v>
      </c>
      <c r="CL23" s="23" t="e">
        <f t="shared" si="1"/>
        <v>#NUM!</v>
      </c>
      <c r="CM23" s="23" t="e">
        <f t="shared" si="1"/>
        <v>#NUM!</v>
      </c>
      <c r="CN23" s="23" t="e">
        <f t="shared" si="1"/>
        <v>#NUM!</v>
      </c>
      <c r="CO23" s="23" t="e">
        <f t="shared" si="1"/>
        <v>#NUM!</v>
      </c>
      <c r="CP23" s="23">
        <f t="shared" si="2"/>
        <v>6046.83</v>
      </c>
      <c r="CQ23" s="67">
        <f t="shared" si="11"/>
        <v>0.19716323921278095</v>
      </c>
      <c r="CR23" s="67">
        <v>0.85</v>
      </c>
      <c r="CS23" s="80">
        <f t="shared" si="6"/>
        <v>6732.2685399073225</v>
      </c>
      <c r="CT23" s="81">
        <f t="shared" si="3"/>
        <v>5722.4282589212244</v>
      </c>
      <c r="CU23" s="23">
        <f t="shared" si="4"/>
        <v>8064.829999999999</v>
      </c>
      <c r="CV23" s="67">
        <f t="shared" si="11"/>
        <v>0.13743565391028509</v>
      </c>
      <c r="CW23" s="80">
        <f t="shared" si="12"/>
        <v>8979.0189717092708</v>
      </c>
      <c r="CX23" s="81">
        <f t="shared" si="7"/>
        <v>7632.1661259528801</v>
      </c>
      <c r="CY23" s="65">
        <f>'Base Model'!J33*1000/365/24</f>
        <v>7131.7738763628868</v>
      </c>
      <c r="CZ23" s="65">
        <f>'Sensitivity - Population'!S22 + 'Sensitivity - GDP'!P23 +'Sensitivity - GDP'!P85</f>
        <v>64618.189430856866</v>
      </c>
      <c r="DA23" s="65">
        <f t="shared" si="8"/>
        <v>7376.5056427918798</v>
      </c>
      <c r="DB23" s="65">
        <f>'Sensitivity - Population'!E22+'Sensitivity - GDP'!D23+'Sensitivity - GDP'!D85</f>
        <v>59793.44937329652</v>
      </c>
      <c r="DC23" s="65">
        <f t="shared" si="9"/>
        <v>6825.7362298283697</v>
      </c>
      <c r="EQ23" s="92"/>
    </row>
    <row r="24" spans="2:147" x14ac:dyDescent="0.35">
      <c r="B24" s="90"/>
      <c r="C24" s="23">
        <v>10</v>
      </c>
      <c r="D24" s="23" t="s">
        <v>166</v>
      </c>
      <c r="E24" s="23" t="s">
        <v>167</v>
      </c>
      <c r="F24" s="23" t="s">
        <v>168</v>
      </c>
      <c r="G24" s="23">
        <v>47.8</v>
      </c>
      <c r="H24" s="23"/>
      <c r="I24" s="82">
        <v>31892</v>
      </c>
      <c r="J24" s="83">
        <f t="shared" ca="1" si="10"/>
        <v>34.832876712328769</v>
      </c>
      <c r="K24" s="23"/>
      <c r="L24" s="92"/>
      <c r="N24" s="90"/>
      <c r="O24" s="79">
        <v>48213</v>
      </c>
      <c r="P24" s="23">
        <f t="shared" si="5"/>
        <v>0</v>
      </c>
      <c r="Q24" s="23">
        <f t="shared" si="5"/>
        <v>0</v>
      </c>
      <c r="R24" s="23">
        <f t="shared" si="5"/>
        <v>403.8</v>
      </c>
      <c r="S24" s="23">
        <f t="shared" si="5"/>
        <v>400</v>
      </c>
      <c r="T24" s="23">
        <f t="shared" si="5"/>
        <v>400</v>
      </c>
      <c r="U24" s="23">
        <f t="shared" si="5"/>
        <v>250</v>
      </c>
      <c r="V24" s="23">
        <f t="shared" si="5"/>
        <v>250</v>
      </c>
      <c r="W24" s="23">
        <f t="shared" si="5"/>
        <v>420</v>
      </c>
      <c r="X24" s="23">
        <f t="shared" si="5"/>
        <v>420</v>
      </c>
      <c r="Y24" s="23">
        <f t="shared" si="5"/>
        <v>47.8</v>
      </c>
      <c r="Z24" s="23">
        <f t="shared" si="5"/>
        <v>132</v>
      </c>
      <c r="AA24" s="23">
        <f t="shared" si="5"/>
        <v>0</v>
      </c>
      <c r="AB24" s="23">
        <f t="shared" si="5"/>
        <v>0</v>
      </c>
      <c r="AC24" s="23">
        <f t="shared" si="5"/>
        <v>0</v>
      </c>
      <c r="AD24" s="23">
        <f t="shared" si="5"/>
        <v>0</v>
      </c>
      <c r="AE24" s="23">
        <f t="shared" si="5"/>
        <v>405.9</v>
      </c>
      <c r="AF24" s="23">
        <f t="shared" ref="AF24:AU39" si="18">IF(VLOOKUP(AF$13,$C$15:$J$92,3,FALSE) &lt;&gt; "Incineration", IF(DATEDIF(VLOOKUP(AF$13,$C$15:$J$92,7,FALSE),$O24,"y")&gt;=$P$11,0,VLOOKUP(AF$13,$C$15:$J$92,5,FALSE)), VLOOKUP(AF$13,$C$15:$J$92,5,FALSE))</f>
        <v>60</v>
      </c>
      <c r="AG24" s="23">
        <f t="shared" si="18"/>
        <v>67.8</v>
      </c>
      <c r="AH24" s="23">
        <f t="shared" si="18"/>
        <v>55</v>
      </c>
      <c r="AI24" s="23">
        <f t="shared" si="18"/>
        <v>0</v>
      </c>
      <c r="AJ24" s="23">
        <f t="shared" si="18"/>
        <v>0</v>
      </c>
      <c r="AK24" s="23">
        <f t="shared" si="18"/>
        <v>0</v>
      </c>
      <c r="AL24" s="23">
        <f t="shared" si="18"/>
        <v>0</v>
      </c>
      <c r="AM24" s="23">
        <f t="shared" si="18"/>
        <v>0</v>
      </c>
      <c r="AN24" s="23">
        <f t="shared" si="18"/>
        <v>431</v>
      </c>
      <c r="AO24" s="23">
        <f t="shared" si="18"/>
        <v>431</v>
      </c>
      <c r="AP24" s="23">
        <f t="shared" si="18"/>
        <v>110</v>
      </c>
      <c r="AQ24" s="23">
        <f t="shared" si="18"/>
        <v>110</v>
      </c>
      <c r="AR24" s="23">
        <f t="shared" si="18"/>
        <v>47</v>
      </c>
      <c r="AS24" s="23">
        <f t="shared" si="18"/>
        <v>47</v>
      </c>
      <c r="AT24" s="23">
        <f t="shared" si="18"/>
        <v>0</v>
      </c>
      <c r="AU24" s="23">
        <f t="shared" si="18"/>
        <v>0</v>
      </c>
      <c r="AV24" s="23">
        <f t="shared" si="15"/>
        <v>0</v>
      </c>
      <c r="AW24" s="23">
        <f t="shared" si="15"/>
        <v>0</v>
      </c>
      <c r="AX24" s="23">
        <f t="shared" si="15"/>
        <v>0</v>
      </c>
      <c r="AY24" s="23">
        <f t="shared" si="15"/>
        <v>0</v>
      </c>
      <c r="AZ24" s="23">
        <f t="shared" si="15"/>
        <v>0</v>
      </c>
      <c r="BA24" s="23">
        <f t="shared" si="15"/>
        <v>370</v>
      </c>
      <c r="BB24" s="23">
        <f t="shared" si="15"/>
        <v>370</v>
      </c>
      <c r="BC24" s="23">
        <f t="shared" si="15"/>
        <v>22</v>
      </c>
      <c r="BD24" s="23">
        <f t="shared" si="15"/>
        <v>395.7</v>
      </c>
      <c r="BE24" s="23">
        <f t="shared" si="15"/>
        <v>101</v>
      </c>
      <c r="BF24" s="23">
        <f t="shared" si="16"/>
        <v>32.5</v>
      </c>
      <c r="BG24" s="23">
        <f t="shared" si="16"/>
        <v>37.5</v>
      </c>
      <c r="BH24" s="23">
        <f t="shared" si="16"/>
        <v>37.5</v>
      </c>
      <c r="BI24" s="23">
        <f t="shared" si="16"/>
        <v>1.95</v>
      </c>
      <c r="BJ24" s="23">
        <f t="shared" si="16"/>
        <v>68.19</v>
      </c>
      <c r="BK24" s="23">
        <f t="shared" si="16"/>
        <v>68.19</v>
      </c>
      <c r="BL24" s="23">
        <f t="shared" si="16"/>
        <v>40</v>
      </c>
      <c r="BM24" s="23">
        <f t="shared" si="16"/>
        <v>14</v>
      </c>
      <c r="BN24" s="23">
        <f t="shared" si="16"/>
        <v>439.33333333333331</v>
      </c>
      <c r="BO24" s="23">
        <f t="shared" si="16"/>
        <v>439.33333333333331</v>
      </c>
      <c r="BP24" s="23">
        <f t="shared" si="16"/>
        <v>439.33333333333331</v>
      </c>
      <c r="BQ24" s="23">
        <f t="shared" si="16"/>
        <v>100</v>
      </c>
      <c r="BR24" s="23">
        <f t="shared" si="16"/>
        <v>100</v>
      </c>
      <c r="BS24" s="23">
        <f t="shared" si="16"/>
        <v>100</v>
      </c>
      <c r="BT24" s="23">
        <f t="shared" si="16"/>
        <v>100</v>
      </c>
      <c r="BU24" s="23">
        <f t="shared" si="16"/>
        <v>100</v>
      </c>
      <c r="BV24" s="23">
        <f t="shared" si="17"/>
        <v>200</v>
      </c>
      <c r="BW24" s="23">
        <f t="shared" si="17"/>
        <v>200</v>
      </c>
      <c r="BX24" s="23" t="e">
        <f t="shared" si="17"/>
        <v>#NUM!</v>
      </c>
      <c r="BY24" s="23" t="e">
        <f t="shared" si="17"/>
        <v>#NUM!</v>
      </c>
      <c r="BZ24" s="23" t="e">
        <f t="shared" si="17"/>
        <v>#NUM!</v>
      </c>
      <c r="CA24" s="23" t="e">
        <f t="shared" si="17"/>
        <v>#NUM!</v>
      </c>
      <c r="CB24" s="23" t="e">
        <f t="shared" si="17"/>
        <v>#NUM!</v>
      </c>
      <c r="CC24" s="23" t="e">
        <f t="shared" si="1"/>
        <v>#NUM!</v>
      </c>
      <c r="CD24" s="23" t="e">
        <f t="shared" si="1"/>
        <v>#NUM!</v>
      </c>
      <c r="CE24" s="23" t="e">
        <f t="shared" si="1"/>
        <v>#NUM!</v>
      </c>
      <c r="CF24" s="23" t="e">
        <f t="shared" si="1"/>
        <v>#NUM!</v>
      </c>
      <c r="CG24" s="23" t="e">
        <f t="shared" si="1"/>
        <v>#NUM!</v>
      </c>
      <c r="CH24" s="23" t="e">
        <f t="shared" si="1"/>
        <v>#NUM!</v>
      </c>
      <c r="CI24" s="23" t="e">
        <f t="shared" si="1"/>
        <v>#NUM!</v>
      </c>
      <c r="CJ24" s="23" t="e">
        <f t="shared" si="1"/>
        <v>#NUM!</v>
      </c>
      <c r="CK24" s="23" t="e">
        <f t="shared" si="1"/>
        <v>#NUM!</v>
      </c>
      <c r="CL24" s="23" t="e">
        <f t="shared" si="1"/>
        <v>#NUM!</v>
      </c>
      <c r="CM24" s="23" t="e">
        <f t="shared" si="1"/>
        <v>#NUM!</v>
      </c>
      <c r="CN24" s="23" t="e">
        <f t="shared" si="1"/>
        <v>#NUM!</v>
      </c>
      <c r="CO24" s="23" t="e">
        <f t="shared" si="1"/>
        <v>#NUM!</v>
      </c>
      <c r="CP24" s="23">
        <f t="shared" si="2"/>
        <v>6046.83</v>
      </c>
      <c r="CQ24" s="67">
        <f t="shared" si="11"/>
        <v>0</v>
      </c>
      <c r="CR24" s="67">
        <v>0.85</v>
      </c>
      <c r="CS24" s="80">
        <f t="shared" si="6"/>
        <v>6732.2685399073225</v>
      </c>
      <c r="CT24" s="81">
        <f t="shared" si="3"/>
        <v>5722.4282589212244</v>
      </c>
      <c r="CU24" s="23">
        <f t="shared" si="4"/>
        <v>8264.8299999999981</v>
      </c>
      <c r="CV24" s="67">
        <f t="shared" si="11"/>
        <v>-2.4799034821564633E-2</v>
      </c>
      <c r="CW24" s="80">
        <f t="shared" si="12"/>
        <v>9201.6899758521777</v>
      </c>
      <c r="CX24" s="81">
        <f t="shared" si="7"/>
        <v>7821.4364794743506</v>
      </c>
      <c r="CY24" s="65">
        <f>'Base Model'!J34*1000/365/24</f>
        <v>7249.4562498569203</v>
      </c>
      <c r="CZ24" s="65">
        <f>'Sensitivity - Population'!S23 + 'Sensitivity - GDP'!P24 +'Sensitivity - GDP'!P86</f>
        <v>65737.322028471113</v>
      </c>
      <c r="DA24" s="65">
        <f t="shared" si="8"/>
        <v>7504.2605055332324</v>
      </c>
      <c r="DB24" s="65">
        <f>'Sensitivity - Population'!E23+'Sensitivity - GDP'!D24+'Sensitivity - GDP'!D86</f>
        <v>60792.783500023172</v>
      </c>
      <c r="DC24" s="65">
        <f t="shared" si="9"/>
        <v>6939.8154680391744</v>
      </c>
      <c r="EQ24" s="92"/>
    </row>
    <row r="25" spans="2:147" x14ac:dyDescent="0.35">
      <c r="B25" s="90"/>
      <c r="C25" s="23">
        <v>11</v>
      </c>
      <c r="D25" s="23" t="s">
        <v>166</v>
      </c>
      <c r="E25" s="23" t="s">
        <v>167</v>
      </c>
      <c r="F25" s="23" t="s">
        <v>169</v>
      </c>
      <c r="G25" s="23">
        <v>132</v>
      </c>
      <c r="H25" s="23">
        <f>SUM(G24:G25)</f>
        <v>179.8</v>
      </c>
      <c r="I25" s="82">
        <v>36855</v>
      </c>
      <c r="J25" s="83">
        <f t="shared" ca="1" si="10"/>
        <v>21.235616438356164</v>
      </c>
      <c r="K25" s="23"/>
      <c r="L25" s="92"/>
      <c r="N25" s="90"/>
      <c r="O25" s="79">
        <v>48579</v>
      </c>
      <c r="P25" s="23">
        <f t="shared" si="5"/>
        <v>0</v>
      </c>
      <c r="Q25" s="23">
        <f t="shared" si="5"/>
        <v>0</v>
      </c>
      <c r="R25" s="23">
        <f t="shared" si="5"/>
        <v>403.8</v>
      </c>
      <c r="S25" s="23">
        <f t="shared" si="5"/>
        <v>400</v>
      </c>
      <c r="T25" s="23">
        <f t="shared" si="5"/>
        <v>400</v>
      </c>
      <c r="U25" s="23">
        <f t="shared" si="5"/>
        <v>0</v>
      </c>
      <c r="V25" s="23">
        <f t="shared" si="5"/>
        <v>0</v>
      </c>
      <c r="W25" s="23">
        <f t="shared" si="5"/>
        <v>420</v>
      </c>
      <c r="X25" s="23">
        <f t="shared" si="5"/>
        <v>420</v>
      </c>
      <c r="Y25" s="23">
        <f t="shared" si="5"/>
        <v>47.8</v>
      </c>
      <c r="Z25" s="23">
        <f t="shared" si="5"/>
        <v>132</v>
      </c>
      <c r="AA25" s="23">
        <f t="shared" si="5"/>
        <v>0</v>
      </c>
      <c r="AB25" s="23">
        <f t="shared" si="5"/>
        <v>0</v>
      </c>
      <c r="AC25" s="23">
        <f t="shared" si="5"/>
        <v>0</v>
      </c>
      <c r="AD25" s="23">
        <f t="shared" si="5"/>
        <v>0</v>
      </c>
      <c r="AE25" s="23">
        <f t="shared" si="5"/>
        <v>405.9</v>
      </c>
      <c r="AF25" s="23">
        <f t="shared" si="18"/>
        <v>60</v>
      </c>
      <c r="AG25" s="23">
        <f t="shared" si="18"/>
        <v>67.8</v>
      </c>
      <c r="AH25" s="23">
        <f t="shared" si="18"/>
        <v>55</v>
      </c>
      <c r="AI25" s="23">
        <f t="shared" si="18"/>
        <v>0</v>
      </c>
      <c r="AJ25" s="23">
        <f t="shared" si="18"/>
        <v>0</v>
      </c>
      <c r="AK25" s="23">
        <f t="shared" si="18"/>
        <v>0</v>
      </c>
      <c r="AL25" s="23">
        <f t="shared" si="18"/>
        <v>0</v>
      </c>
      <c r="AM25" s="23">
        <f t="shared" si="18"/>
        <v>0</v>
      </c>
      <c r="AN25" s="23">
        <f t="shared" si="18"/>
        <v>431</v>
      </c>
      <c r="AO25" s="23">
        <f t="shared" si="18"/>
        <v>431</v>
      </c>
      <c r="AP25" s="23">
        <f t="shared" si="18"/>
        <v>110</v>
      </c>
      <c r="AQ25" s="23">
        <f t="shared" si="18"/>
        <v>110</v>
      </c>
      <c r="AR25" s="23">
        <f t="shared" si="18"/>
        <v>47</v>
      </c>
      <c r="AS25" s="23">
        <f t="shared" si="18"/>
        <v>47</v>
      </c>
      <c r="AT25" s="23">
        <f t="shared" si="18"/>
        <v>0</v>
      </c>
      <c r="AU25" s="23">
        <f t="shared" si="18"/>
        <v>0</v>
      </c>
      <c r="AV25" s="23">
        <f t="shared" si="15"/>
        <v>0</v>
      </c>
      <c r="AW25" s="23">
        <f t="shared" si="15"/>
        <v>0</v>
      </c>
      <c r="AX25" s="23">
        <f t="shared" si="15"/>
        <v>0</v>
      </c>
      <c r="AY25" s="23">
        <f t="shared" si="15"/>
        <v>0</v>
      </c>
      <c r="AZ25" s="23">
        <f t="shared" si="15"/>
        <v>0</v>
      </c>
      <c r="BA25" s="23">
        <f t="shared" si="15"/>
        <v>370</v>
      </c>
      <c r="BB25" s="23">
        <f t="shared" si="15"/>
        <v>370</v>
      </c>
      <c r="BC25" s="23">
        <f t="shared" si="15"/>
        <v>22</v>
      </c>
      <c r="BD25" s="23">
        <f t="shared" si="15"/>
        <v>395.7</v>
      </c>
      <c r="BE25" s="23">
        <f t="shared" si="15"/>
        <v>101</v>
      </c>
      <c r="BF25" s="23">
        <f t="shared" si="16"/>
        <v>32.5</v>
      </c>
      <c r="BG25" s="23">
        <f t="shared" si="16"/>
        <v>37.5</v>
      </c>
      <c r="BH25" s="23">
        <f t="shared" si="16"/>
        <v>37.5</v>
      </c>
      <c r="BI25" s="23">
        <f t="shared" si="16"/>
        <v>1.95</v>
      </c>
      <c r="BJ25" s="23">
        <f t="shared" si="16"/>
        <v>68.19</v>
      </c>
      <c r="BK25" s="23">
        <f t="shared" si="16"/>
        <v>68.19</v>
      </c>
      <c r="BL25" s="23">
        <f t="shared" si="16"/>
        <v>40</v>
      </c>
      <c r="BM25" s="23">
        <f t="shared" si="16"/>
        <v>14</v>
      </c>
      <c r="BN25" s="23">
        <f t="shared" si="16"/>
        <v>439.33333333333331</v>
      </c>
      <c r="BO25" s="23">
        <f t="shared" si="16"/>
        <v>439.33333333333331</v>
      </c>
      <c r="BP25" s="23">
        <f t="shared" si="16"/>
        <v>439.33333333333331</v>
      </c>
      <c r="BQ25" s="23">
        <f t="shared" si="16"/>
        <v>100</v>
      </c>
      <c r="BR25" s="23">
        <f t="shared" si="16"/>
        <v>100</v>
      </c>
      <c r="BS25" s="23">
        <f t="shared" si="16"/>
        <v>100</v>
      </c>
      <c r="BT25" s="23">
        <f t="shared" si="16"/>
        <v>100</v>
      </c>
      <c r="BU25" s="23">
        <f t="shared" si="16"/>
        <v>100</v>
      </c>
      <c r="BV25" s="23">
        <f t="shared" si="17"/>
        <v>200</v>
      </c>
      <c r="BW25" s="23">
        <f t="shared" si="17"/>
        <v>200</v>
      </c>
      <c r="BX25" s="23">
        <f t="shared" si="17"/>
        <v>200</v>
      </c>
      <c r="BY25" s="23" t="e">
        <f t="shared" si="17"/>
        <v>#NUM!</v>
      </c>
      <c r="BZ25" s="23" t="e">
        <f t="shared" si="17"/>
        <v>#NUM!</v>
      </c>
      <c r="CA25" s="23" t="e">
        <f t="shared" si="17"/>
        <v>#NUM!</v>
      </c>
      <c r="CB25" s="23" t="e">
        <f t="shared" si="17"/>
        <v>#NUM!</v>
      </c>
      <c r="CC25" s="23" t="e">
        <f t="shared" si="1"/>
        <v>#NUM!</v>
      </c>
      <c r="CD25" s="23" t="e">
        <f t="shared" si="1"/>
        <v>#NUM!</v>
      </c>
      <c r="CE25" s="23" t="e">
        <f t="shared" si="1"/>
        <v>#NUM!</v>
      </c>
      <c r="CF25" s="23" t="e">
        <f t="shared" si="1"/>
        <v>#NUM!</v>
      </c>
      <c r="CG25" s="23" t="e">
        <f t="shared" si="1"/>
        <v>#NUM!</v>
      </c>
      <c r="CH25" s="23" t="e">
        <f t="shared" si="1"/>
        <v>#NUM!</v>
      </c>
      <c r="CI25" s="23" t="e">
        <f t="shared" si="1"/>
        <v>#NUM!</v>
      </c>
      <c r="CJ25" s="23" t="e">
        <f t="shared" si="1"/>
        <v>#NUM!</v>
      </c>
      <c r="CK25" s="23" t="e">
        <f t="shared" si="1"/>
        <v>#NUM!</v>
      </c>
      <c r="CL25" s="23" t="e">
        <f t="shared" si="1"/>
        <v>#NUM!</v>
      </c>
      <c r="CM25" s="23" t="e">
        <f t="shared" si="1"/>
        <v>#NUM!</v>
      </c>
      <c r="CN25" s="23" t="e">
        <f t="shared" si="1"/>
        <v>#NUM!</v>
      </c>
      <c r="CO25" s="23" t="e">
        <f t="shared" si="1"/>
        <v>#NUM!</v>
      </c>
      <c r="CP25" s="23">
        <f t="shared" si="2"/>
        <v>5546.829999999999</v>
      </c>
      <c r="CQ25" s="67">
        <f t="shared" si="11"/>
        <v>8.2687953853506871E-2</v>
      </c>
      <c r="CR25" s="67">
        <v>0.85</v>
      </c>
      <c r="CS25" s="80">
        <f t="shared" si="6"/>
        <v>6175.5910295500498</v>
      </c>
      <c r="CT25" s="81">
        <f t="shared" si="3"/>
        <v>5249.2523751175422</v>
      </c>
      <c r="CU25" s="23">
        <f t="shared" si="4"/>
        <v>7964.8299999999981</v>
      </c>
      <c r="CV25" s="67">
        <f t="shared" si="11"/>
        <v>3.6298387262653928E-2</v>
      </c>
      <c r="CW25" s="80">
        <f t="shared" si="12"/>
        <v>8867.6834696378155</v>
      </c>
      <c r="CX25" s="81">
        <f t="shared" si="7"/>
        <v>7537.5309491921425</v>
      </c>
      <c r="CY25" s="65">
        <f>'Base Model'!J35*1000/365/24</f>
        <v>7367.0347759993565</v>
      </c>
      <c r="CZ25" s="65">
        <f>'Sensitivity - Population'!S24 + 'Sensitivity - GDP'!P25 +'Sensitivity - GDP'!P87</f>
        <v>66855.557876498031</v>
      </c>
      <c r="DA25" s="65">
        <f t="shared" si="8"/>
        <v>7631.9129996002312</v>
      </c>
      <c r="DB25" s="65">
        <f>'Sensitivity - Population'!E24+'Sensitivity - GDP'!D25+'Sensitivity - GDP'!D87</f>
        <v>61791.23331967408</v>
      </c>
      <c r="DC25" s="65">
        <f t="shared" si="9"/>
        <v>7053.793757953662</v>
      </c>
      <c r="EQ25" s="92"/>
    </row>
    <row r="26" spans="2:147" x14ac:dyDescent="0.35">
      <c r="B26" s="90"/>
      <c r="C26" s="23">
        <v>12</v>
      </c>
      <c r="D26" s="23" t="s">
        <v>170</v>
      </c>
      <c r="E26" s="23" t="s">
        <v>154</v>
      </c>
      <c r="F26" s="23" t="s">
        <v>171</v>
      </c>
      <c r="G26" s="23">
        <v>367.5</v>
      </c>
      <c r="H26" s="23"/>
      <c r="I26" s="82">
        <v>37210</v>
      </c>
      <c r="J26" s="83">
        <f t="shared" ca="1" si="10"/>
        <v>20.263013698630136</v>
      </c>
      <c r="K26" s="23"/>
      <c r="L26" s="92"/>
      <c r="N26" s="90"/>
      <c r="O26" s="79">
        <v>48944</v>
      </c>
      <c r="P26" s="23">
        <f t="shared" si="5"/>
        <v>0</v>
      </c>
      <c r="Q26" s="23">
        <f t="shared" si="5"/>
        <v>0</v>
      </c>
      <c r="R26" s="23">
        <f t="shared" si="5"/>
        <v>403.8</v>
      </c>
      <c r="S26" s="23">
        <f t="shared" si="5"/>
        <v>400</v>
      </c>
      <c r="T26" s="23">
        <f t="shared" si="5"/>
        <v>400</v>
      </c>
      <c r="U26" s="23">
        <f t="shared" si="5"/>
        <v>0</v>
      </c>
      <c r="V26" s="23">
        <f t="shared" si="5"/>
        <v>0</v>
      </c>
      <c r="W26" s="23">
        <f t="shared" si="5"/>
        <v>420</v>
      </c>
      <c r="X26" s="23">
        <f t="shared" si="5"/>
        <v>420</v>
      </c>
      <c r="Y26" s="23">
        <f t="shared" si="5"/>
        <v>47.8</v>
      </c>
      <c r="Z26" s="23">
        <f t="shared" si="5"/>
        <v>132</v>
      </c>
      <c r="AA26" s="23">
        <f t="shared" si="5"/>
        <v>0</v>
      </c>
      <c r="AB26" s="23">
        <f t="shared" si="5"/>
        <v>0</v>
      </c>
      <c r="AC26" s="23">
        <f t="shared" si="5"/>
        <v>0</v>
      </c>
      <c r="AD26" s="23">
        <f t="shared" si="5"/>
        <v>0</v>
      </c>
      <c r="AE26" s="23">
        <f t="shared" si="5"/>
        <v>405.9</v>
      </c>
      <c r="AF26" s="23">
        <f t="shared" si="18"/>
        <v>60</v>
      </c>
      <c r="AG26" s="23">
        <f t="shared" si="18"/>
        <v>67.8</v>
      </c>
      <c r="AH26" s="23">
        <f t="shared" si="18"/>
        <v>55</v>
      </c>
      <c r="AI26" s="23">
        <f t="shared" si="18"/>
        <v>0</v>
      </c>
      <c r="AJ26" s="23">
        <f t="shared" si="18"/>
        <v>0</v>
      </c>
      <c r="AK26" s="23">
        <f t="shared" si="18"/>
        <v>0</v>
      </c>
      <c r="AL26" s="23">
        <f t="shared" si="18"/>
        <v>0</v>
      </c>
      <c r="AM26" s="23">
        <f t="shared" si="18"/>
        <v>0</v>
      </c>
      <c r="AN26" s="23">
        <f t="shared" si="18"/>
        <v>431</v>
      </c>
      <c r="AO26" s="23">
        <f t="shared" si="18"/>
        <v>431</v>
      </c>
      <c r="AP26" s="23">
        <f t="shared" si="18"/>
        <v>110</v>
      </c>
      <c r="AQ26" s="23">
        <f t="shared" si="18"/>
        <v>110</v>
      </c>
      <c r="AR26" s="23">
        <f t="shared" si="18"/>
        <v>47</v>
      </c>
      <c r="AS26" s="23">
        <f t="shared" si="18"/>
        <v>47</v>
      </c>
      <c r="AT26" s="23">
        <f t="shared" si="18"/>
        <v>0</v>
      </c>
      <c r="AU26" s="23">
        <f t="shared" si="18"/>
        <v>0</v>
      </c>
      <c r="AV26" s="23">
        <f t="shared" si="15"/>
        <v>0</v>
      </c>
      <c r="AW26" s="23">
        <f t="shared" si="15"/>
        <v>0</v>
      </c>
      <c r="AX26" s="23">
        <f t="shared" si="15"/>
        <v>0</v>
      </c>
      <c r="AY26" s="23">
        <f t="shared" si="15"/>
        <v>0</v>
      </c>
      <c r="AZ26" s="23">
        <f t="shared" si="15"/>
        <v>0</v>
      </c>
      <c r="BA26" s="23">
        <f t="shared" si="15"/>
        <v>370</v>
      </c>
      <c r="BB26" s="23">
        <f t="shared" si="15"/>
        <v>370</v>
      </c>
      <c r="BC26" s="23">
        <f t="shared" si="15"/>
        <v>22</v>
      </c>
      <c r="BD26" s="23">
        <f t="shared" si="15"/>
        <v>395.7</v>
      </c>
      <c r="BE26" s="23">
        <f t="shared" si="15"/>
        <v>101</v>
      </c>
      <c r="BF26" s="23">
        <f t="shared" si="16"/>
        <v>32.5</v>
      </c>
      <c r="BG26" s="23">
        <f t="shared" si="16"/>
        <v>37.5</v>
      </c>
      <c r="BH26" s="23">
        <f t="shared" si="16"/>
        <v>37.5</v>
      </c>
      <c r="BI26" s="23">
        <f t="shared" si="16"/>
        <v>1.95</v>
      </c>
      <c r="BJ26" s="23">
        <f t="shared" si="16"/>
        <v>68.19</v>
      </c>
      <c r="BK26" s="23">
        <f t="shared" si="16"/>
        <v>68.19</v>
      </c>
      <c r="BL26" s="23">
        <f t="shared" si="16"/>
        <v>40</v>
      </c>
      <c r="BM26" s="23">
        <f t="shared" si="16"/>
        <v>14</v>
      </c>
      <c r="BN26" s="23">
        <f t="shared" si="16"/>
        <v>439.33333333333331</v>
      </c>
      <c r="BO26" s="23">
        <f t="shared" si="16"/>
        <v>439.33333333333331</v>
      </c>
      <c r="BP26" s="23">
        <f t="shared" si="16"/>
        <v>439.33333333333331</v>
      </c>
      <c r="BQ26" s="23">
        <f t="shared" si="16"/>
        <v>100</v>
      </c>
      <c r="BR26" s="23">
        <f t="shared" si="16"/>
        <v>100</v>
      </c>
      <c r="BS26" s="23">
        <f t="shared" si="16"/>
        <v>100</v>
      </c>
      <c r="BT26" s="23">
        <f t="shared" si="16"/>
        <v>100</v>
      </c>
      <c r="BU26" s="23">
        <f t="shared" si="16"/>
        <v>100</v>
      </c>
      <c r="BV26" s="23">
        <f t="shared" si="17"/>
        <v>200</v>
      </c>
      <c r="BW26" s="23">
        <f t="shared" si="17"/>
        <v>200</v>
      </c>
      <c r="BX26" s="23">
        <f t="shared" si="17"/>
        <v>200</v>
      </c>
      <c r="BY26" s="23">
        <f t="shared" si="17"/>
        <v>200</v>
      </c>
      <c r="BZ26" s="23" t="e">
        <f t="shared" si="17"/>
        <v>#NUM!</v>
      </c>
      <c r="CA26" s="23" t="e">
        <f t="shared" si="17"/>
        <v>#NUM!</v>
      </c>
      <c r="CB26" s="23" t="e">
        <f t="shared" si="17"/>
        <v>#NUM!</v>
      </c>
      <c r="CC26" s="23" t="e">
        <f t="shared" si="1"/>
        <v>#NUM!</v>
      </c>
      <c r="CD26" s="23" t="e">
        <f t="shared" si="1"/>
        <v>#NUM!</v>
      </c>
      <c r="CE26" s="23" t="e">
        <f t="shared" si="1"/>
        <v>#NUM!</v>
      </c>
      <c r="CF26" s="23" t="e">
        <f t="shared" si="1"/>
        <v>#NUM!</v>
      </c>
      <c r="CG26" s="23" t="e">
        <f t="shared" si="1"/>
        <v>#NUM!</v>
      </c>
      <c r="CH26" s="23" t="e">
        <f t="shared" si="1"/>
        <v>#NUM!</v>
      </c>
      <c r="CI26" s="23" t="e">
        <f t="shared" si="1"/>
        <v>#NUM!</v>
      </c>
      <c r="CJ26" s="23" t="e">
        <f t="shared" si="1"/>
        <v>#NUM!</v>
      </c>
      <c r="CK26" s="23" t="e">
        <f t="shared" si="1"/>
        <v>#NUM!</v>
      </c>
      <c r="CL26" s="23" t="e">
        <f t="shared" si="1"/>
        <v>#NUM!</v>
      </c>
      <c r="CM26" s="23" t="e">
        <f t="shared" si="1"/>
        <v>#NUM!</v>
      </c>
      <c r="CN26" s="23" t="e">
        <f t="shared" si="1"/>
        <v>#NUM!</v>
      </c>
      <c r="CO26" s="23" t="e">
        <f t="shared" si="1"/>
        <v>#NUM!</v>
      </c>
      <c r="CP26" s="23">
        <f t="shared" si="2"/>
        <v>5546.829999999999</v>
      </c>
      <c r="CQ26" s="67">
        <f t="shared" si="11"/>
        <v>0</v>
      </c>
      <c r="CR26" s="67">
        <v>0.85</v>
      </c>
      <c r="CS26" s="80">
        <f t="shared" si="6"/>
        <v>6175.5910295500498</v>
      </c>
      <c r="CT26" s="81">
        <f t="shared" si="3"/>
        <v>5249.2523751175422</v>
      </c>
      <c r="CU26" s="23">
        <f t="shared" si="4"/>
        <v>8164.8299999999981</v>
      </c>
      <c r="CV26" s="67">
        <f t="shared" si="11"/>
        <v>-2.511039155889078E-2</v>
      </c>
      <c r="CW26" s="80">
        <f t="shared" si="12"/>
        <v>9090.3544737807242</v>
      </c>
      <c r="CX26" s="81">
        <f t="shared" si="7"/>
        <v>7726.8013027136158</v>
      </c>
      <c r="CY26" s="65">
        <f>'Base Model'!J36*1000/365/24</f>
        <v>7484.5071058082076</v>
      </c>
      <c r="CZ26" s="65">
        <f>'Sensitivity - Population'!S25 + 'Sensitivity - GDP'!P26 +'Sensitivity - GDP'!P88</f>
        <v>67972.875834399776</v>
      </c>
      <c r="DA26" s="65">
        <f t="shared" si="8"/>
        <v>7759.4607116894722</v>
      </c>
      <c r="DB26" s="65">
        <f>'Sensitivity - Population'!E25+'Sensitivity - GDP'!D26+'Sensitivity - GDP'!D88</f>
        <v>62788.777985039022</v>
      </c>
      <c r="DC26" s="65">
        <f t="shared" si="9"/>
        <v>7167.6687197533129</v>
      </c>
      <c r="EQ26" s="92"/>
    </row>
    <row r="27" spans="2:147" x14ac:dyDescent="0.35">
      <c r="B27" s="90"/>
      <c r="C27" s="23">
        <v>13</v>
      </c>
      <c r="D27" s="23" t="s">
        <v>170</v>
      </c>
      <c r="E27" s="23" t="s">
        <v>154</v>
      </c>
      <c r="F27" s="23" t="s">
        <v>172</v>
      </c>
      <c r="G27" s="23">
        <v>367.5</v>
      </c>
      <c r="H27" s="23"/>
      <c r="I27" s="82">
        <v>37279</v>
      </c>
      <c r="J27" s="83">
        <f t="shared" ca="1" si="10"/>
        <v>20.073972602739726</v>
      </c>
      <c r="K27" s="23"/>
      <c r="L27" s="92"/>
      <c r="N27" s="90"/>
      <c r="O27" s="79">
        <v>49309</v>
      </c>
      <c r="P27" s="23">
        <f t="shared" si="5"/>
        <v>0</v>
      </c>
      <c r="Q27" s="23">
        <f t="shared" si="5"/>
        <v>0</v>
      </c>
      <c r="R27" s="23">
        <f t="shared" si="5"/>
        <v>403.8</v>
      </c>
      <c r="S27" s="23">
        <f t="shared" si="5"/>
        <v>400</v>
      </c>
      <c r="T27" s="23">
        <f t="shared" si="5"/>
        <v>400</v>
      </c>
      <c r="U27" s="23">
        <f t="shared" si="5"/>
        <v>0</v>
      </c>
      <c r="V27" s="23">
        <f t="shared" si="5"/>
        <v>0</v>
      </c>
      <c r="W27" s="23">
        <f t="shared" si="5"/>
        <v>420</v>
      </c>
      <c r="X27" s="23">
        <f t="shared" si="5"/>
        <v>420</v>
      </c>
      <c r="Y27" s="23">
        <f t="shared" si="5"/>
        <v>47.8</v>
      </c>
      <c r="Z27" s="23">
        <f t="shared" si="5"/>
        <v>132</v>
      </c>
      <c r="AA27" s="23">
        <f t="shared" si="5"/>
        <v>0</v>
      </c>
      <c r="AB27" s="23">
        <f t="shared" si="5"/>
        <v>0</v>
      </c>
      <c r="AC27" s="23">
        <f t="shared" si="5"/>
        <v>0</v>
      </c>
      <c r="AD27" s="23">
        <f t="shared" si="5"/>
        <v>0</v>
      </c>
      <c r="AE27" s="23">
        <f t="shared" si="5"/>
        <v>405.9</v>
      </c>
      <c r="AF27" s="23">
        <f t="shared" si="18"/>
        <v>60</v>
      </c>
      <c r="AG27" s="23">
        <f t="shared" si="18"/>
        <v>67.8</v>
      </c>
      <c r="AH27" s="23">
        <f t="shared" si="18"/>
        <v>55</v>
      </c>
      <c r="AI27" s="23">
        <f t="shared" si="18"/>
        <v>0</v>
      </c>
      <c r="AJ27" s="23">
        <f t="shared" si="18"/>
        <v>0</v>
      </c>
      <c r="AK27" s="23">
        <f t="shared" si="18"/>
        <v>0</v>
      </c>
      <c r="AL27" s="23">
        <f t="shared" si="18"/>
        <v>0</v>
      </c>
      <c r="AM27" s="23">
        <f t="shared" si="18"/>
        <v>0</v>
      </c>
      <c r="AN27" s="23">
        <f t="shared" si="18"/>
        <v>431</v>
      </c>
      <c r="AO27" s="23">
        <f t="shared" si="18"/>
        <v>431</v>
      </c>
      <c r="AP27" s="23">
        <f t="shared" si="18"/>
        <v>110</v>
      </c>
      <c r="AQ27" s="23">
        <f t="shared" si="18"/>
        <v>110</v>
      </c>
      <c r="AR27" s="23">
        <f t="shared" si="18"/>
        <v>47</v>
      </c>
      <c r="AS27" s="23">
        <f t="shared" si="18"/>
        <v>47</v>
      </c>
      <c r="AT27" s="23">
        <f t="shared" si="18"/>
        <v>0</v>
      </c>
      <c r="AU27" s="23">
        <f t="shared" si="18"/>
        <v>0</v>
      </c>
      <c r="AV27" s="23">
        <f t="shared" si="15"/>
        <v>0</v>
      </c>
      <c r="AW27" s="23">
        <f t="shared" si="15"/>
        <v>0</v>
      </c>
      <c r="AX27" s="23">
        <f t="shared" si="15"/>
        <v>0</v>
      </c>
      <c r="AY27" s="23">
        <f t="shared" si="15"/>
        <v>0</v>
      </c>
      <c r="AZ27" s="23">
        <f t="shared" si="15"/>
        <v>0</v>
      </c>
      <c r="BA27" s="23">
        <f t="shared" si="15"/>
        <v>370</v>
      </c>
      <c r="BB27" s="23">
        <f t="shared" si="15"/>
        <v>370</v>
      </c>
      <c r="BC27" s="23">
        <f t="shared" si="15"/>
        <v>22</v>
      </c>
      <c r="BD27" s="23">
        <f t="shared" si="15"/>
        <v>395.7</v>
      </c>
      <c r="BE27" s="23">
        <f t="shared" si="15"/>
        <v>101</v>
      </c>
      <c r="BF27" s="23">
        <f t="shared" si="16"/>
        <v>32.5</v>
      </c>
      <c r="BG27" s="23">
        <f t="shared" si="16"/>
        <v>37.5</v>
      </c>
      <c r="BH27" s="23">
        <f t="shared" si="16"/>
        <v>37.5</v>
      </c>
      <c r="BI27" s="23">
        <f t="shared" si="16"/>
        <v>1.95</v>
      </c>
      <c r="BJ27" s="23">
        <f t="shared" si="16"/>
        <v>68.19</v>
      </c>
      <c r="BK27" s="23">
        <f t="shared" si="16"/>
        <v>68.19</v>
      </c>
      <c r="BL27" s="23">
        <f t="shared" si="16"/>
        <v>40</v>
      </c>
      <c r="BM27" s="23">
        <f t="shared" si="16"/>
        <v>14</v>
      </c>
      <c r="BN27" s="23">
        <f t="shared" si="16"/>
        <v>439.33333333333331</v>
      </c>
      <c r="BO27" s="23">
        <f t="shared" si="16"/>
        <v>439.33333333333331</v>
      </c>
      <c r="BP27" s="23">
        <f t="shared" si="16"/>
        <v>439.33333333333331</v>
      </c>
      <c r="BQ27" s="23">
        <f t="shared" si="16"/>
        <v>100</v>
      </c>
      <c r="BR27" s="23">
        <f t="shared" si="16"/>
        <v>100</v>
      </c>
      <c r="BS27" s="23">
        <f t="shared" si="16"/>
        <v>100</v>
      </c>
      <c r="BT27" s="23">
        <f t="shared" si="16"/>
        <v>100</v>
      </c>
      <c r="BU27" s="23">
        <f t="shared" si="16"/>
        <v>100</v>
      </c>
      <c r="BV27" s="23">
        <f t="shared" si="17"/>
        <v>200</v>
      </c>
      <c r="BW27" s="23">
        <f t="shared" si="17"/>
        <v>200</v>
      </c>
      <c r="BX27" s="23">
        <f t="shared" si="17"/>
        <v>200</v>
      </c>
      <c r="BY27" s="23">
        <f t="shared" si="17"/>
        <v>200</v>
      </c>
      <c r="BZ27" s="23">
        <f t="shared" si="17"/>
        <v>200</v>
      </c>
      <c r="CA27" s="23" t="e">
        <f t="shared" si="17"/>
        <v>#NUM!</v>
      </c>
      <c r="CB27" s="23" t="e">
        <f t="shared" si="17"/>
        <v>#NUM!</v>
      </c>
      <c r="CC27" s="23" t="e">
        <f t="shared" si="1"/>
        <v>#NUM!</v>
      </c>
      <c r="CD27" s="23" t="e">
        <f t="shared" si="1"/>
        <v>#NUM!</v>
      </c>
      <c r="CE27" s="23" t="e">
        <f t="shared" si="1"/>
        <v>#NUM!</v>
      </c>
      <c r="CF27" s="23" t="e">
        <f t="shared" si="1"/>
        <v>#NUM!</v>
      </c>
      <c r="CG27" s="23" t="e">
        <f t="shared" si="1"/>
        <v>#NUM!</v>
      </c>
      <c r="CH27" s="23" t="e">
        <f t="shared" si="1"/>
        <v>#NUM!</v>
      </c>
      <c r="CI27" s="23" t="e">
        <f t="shared" si="1"/>
        <v>#NUM!</v>
      </c>
      <c r="CJ27" s="23" t="e">
        <f t="shared" si="1"/>
        <v>#NUM!</v>
      </c>
      <c r="CK27" s="23" t="e">
        <f t="shared" si="1"/>
        <v>#NUM!</v>
      </c>
      <c r="CL27" s="23" t="e">
        <f t="shared" si="1"/>
        <v>#NUM!</v>
      </c>
      <c r="CM27" s="23" t="e">
        <f t="shared" si="1"/>
        <v>#NUM!</v>
      </c>
      <c r="CN27" s="23" t="e">
        <f t="shared" si="1"/>
        <v>#NUM!</v>
      </c>
      <c r="CO27" s="23" t="e">
        <f t="shared" si="1"/>
        <v>#NUM!</v>
      </c>
      <c r="CP27" s="23">
        <f t="shared" si="2"/>
        <v>5546.829999999999</v>
      </c>
      <c r="CQ27" s="67">
        <f t="shared" si="11"/>
        <v>0</v>
      </c>
      <c r="CR27" s="67">
        <v>0.85</v>
      </c>
      <c r="CS27" s="80">
        <f t="shared" si="6"/>
        <v>6175.5910295500498</v>
      </c>
      <c r="CT27" s="81">
        <f t="shared" si="3"/>
        <v>5249.2523751175422</v>
      </c>
      <c r="CU27" s="23">
        <f t="shared" si="4"/>
        <v>8364.8299999999981</v>
      </c>
      <c r="CV27" s="67">
        <f t="shared" si="11"/>
        <v>-2.4495304862440496E-2</v>
      </c>
      <c r="CW27" s="80">
        <f t="shared" si="12"/>
        <v>9313.0254779236329</v>
      </c>
      <c r="CX27" s="81">
        <f t="shared" si="7"/>
        <v>7916.0716562350881</v>
      </c>
      <c r="CY27" s="65">
        <f>'Base Model'!J37*1000/365/24</f>
        <v>7601.8709351536054</v>
      </c>
      <c r="CZ27" s="65">
        <f>'Sensitivity - Population'!S26 + 'Sensitivity - GDP'!P27 +'Sensitivity - GDP'!P89</f>
        <v>69089.255139900342</v>
      </c>
      <c r="DA27" s="65">
        <f t="shared" si="8"/>
        <v>7886.9012716781208</v>
      </c>
      <c r="DB27" s="65">
        <f>'Sensitivity - Population'!E26+'Sensitivity - GDP'!D27+'Sensitivity - GDP'!D89</f>
        <v>63785.397021921162</v>
      </c>
      <c r="DC27" s="65">
        <f t="shared" si="9"/>
        <v>7281.4380162010466</v>
      </c>
      <c r="EQ27" s="92"/>
    </row>
    <row r="28" spans="2:147" x14ac:dyDescent="0.35">
      <c r="B28" s="90"/>
      <c r="C28" s="23">
        <v>14</v>
      </c>
      <c r="D28" s="23" t="s">
        <v>170</v>
      </c>
      <c r="E28" s="23" t="s">
        <v>154</v>
      </c>
      <c r="F28" s="23" t="s">
        <v>173</v>
      </c>
      <c r="G28" s="23">
        <v>367.5</v>
      </c>
      <c r="H28" s="23"/>
      <c r="I28" s="82">
        <v>38518</v>
      </c>
      <c r="J28" s="83">
        <f t="shared" ca="1" si="10"/>
        <v>16.67945205479452</v>
      </c>
      <c r="K28" s="23"/>
      <c r="L28" s="92"/>
      <c r="N28" s="90"/>
      <c r="O28" s="79">
        <v>49674</v>
      </c>
      <c r="P28" s="23">
        <f t="shared" si="5"/>
        <v>0</v>
      </c>
      <c r="Q28" s="23">
        <f t="shared" si="5"/>
        <v>0</v>
      </c>
      <c r="R28" s="23">
        <f t="shared" si="5"/>
        <v>403.8</v>
      </c>
      <c r="S28" s="23">
        <f t="shared" si="5"/>
        <v>400</v>
      </c>
      <c r="T28" s="23">
        <f t="shared" si="5"/>
        <v>400</v>
      </c>
      <c r="U28" s="23">
        <f t="shared" si="5"/>
        <v>0</v>
      </c>
      <c r="V28" s="23">
        <f t="shared" si="5"/>
        <v>0</v>
      </c>
      <c r="W28" s="23">
        <f t="shared" si="5"/>
        <v>420</v>
      </c>
      <c r="X28" s="23">
        <f t="shared" si="5"/>
        <v>420</v>
      </c>
      <c r="Y28" s="23">
        <f t="shared" si="5"/>
        <v>47.8</v>
      </c>
      <c r="Z28" s="23">
        <f t="shared" si="5"/>
        <v>132</v>
      </c>
      <c r="AA28" s="23">
        <f t="shared" si="5"/>
        <v>0</v>
      </c>
      <c r="AB28" s="23">
        <f t="shared" si="5"/>
        <v>0</v>
      </c>
      <c r="AC28" s="23">
        <f t="shared" si="5"/>
        <v>0</v>
      </c>
      <c r="AD28" s="23">
        <f t="shared" si="5"/>
        <v>0</v>
      </c>
      <c r="AE28" s="23">
        <f t="shared" si="5"/>
        <v>405.9</v>
      </c>
      <c r="AF28" s="23">
        <f t="shared" si="18"/>
        <v>60</v>
      </c>
      <c r="AG28" s="23">
        <f t="shared" si="18"/>
        <v>67.8</v>
      </c>
      <c r="AH28" s="23">
        <f t="shared" si="18"/>
        <v>55</v>
      </c>
      <c r="AI28" s="23">
        <f t="shared" si="18"/>
        <v>0</v>
      </c>
      <c r="AJ28" s="23">
        <f t="shared" si="18"/>
        <v>0</v>
      </c>
      <c r="AK28" s="23">
        <f t="shared" si="18"/>
        <v>0</v>
      </c>
      <c r="AL28" s="23">
        <f t="shared" si="18"/>
        <v>0</v>
      </c>
      <c r="AM28" s="23">
        <f t="shared" si="18"/>
        <v>0</v>
      </c>
      <c r="AN28" s="23">
        <f t="shared" si="18"/>
        <v>431</v>
      </c>
      <c r="AO28" s="23">
        <f t="shared" si="18"/>
        <v>431</v>
      </c>
      <c r="AP28" s="23">
        <f t="shared" si="18"/>
        <v>110</v>
      </c>
      <c r="AQ28" s="23">
        <f t="shared" si="18"/>
        <v>110</v>
      </c>
      <c r="AR28" s="23">
        <f t="shared" si="18"/>
        <v>47</v>
      </c>
      <c r="AS28" s="23">
        <f t="shared" si="18"/>
        <v>47</v>
      </c>
      <c r="AT28" s="23">
        <f t="shared" si="18"/>
        <v>0</v>
      </c>
      <c r="AU28" s="23">
        <f t="shared" si="18"/>
        <v>0</v>
      </c>
      <c r="AV28" s="23">
        <f t="shared" si="15"/>
        <v>0</v>
      </c>
      <c r="AW28" s="23">
        <f t="shared" si="15"/>
        <v>0</v>
      </c>
      <c r="AX28" s="23">
        <f t="shared" si="15"/>
        <v>0</v>
      </c>
      <c r="AY28" s="23">
        <f t="shared" si="15"/>
        <v>0</v>
      </c>
      <c r="AZ28" s="23">
        <f t="shared" si="15"/>
        <v>0</v>
      </c>
      <c r="BA28" s="23">
        <f t="shared" si="15"/>
        <v>0</v>
      </c>
      <c r="BB28" s="23">
        <f t="shared" si="15"/>
        <v>0</v>
      </c>
      <c r="BC28" s="23">
        <f t="shared" si="15"/>
        <v>22</v>
      </c>
      <c r="BD28" s="23">
        <f t="shared" si="15"/>
        <v>395.7</v>
      </c>
      <c r="BE28" s="23">
        <f t="shared" si="15"/>
        <v>101</v>
      </c>
      <c r="BF28" s="23">
        <f t="shared" si="16"/>
        <v>32.5</v>
      </c>
      <c r="BG28" s="23">
        <f t="shared" si="16"/>
        <v>37.5</v>
      </c>
      <c r="BH28" s="23">
        <f t="shared" si="16"/>
        <v>37.5</v>
      </c>
      <c r="BI28" s="23">
        <f t="shared" si="16"/>
        <v>1.95</v>
      </c>
      <c r="BJ28" s="23">
        <f t="shared" si="16"/>
        <v>68.19</v>
      </c>
      <c r="BK28" s="23">
        <f t="shared" si="16"/>
        <v>68.19</v>
      </c>
      <c r="BL28" s="23">
        <f t="shared" si="16"/>
        <v>40</v>
      </c>
      <c r="BM28" s="23">
        <f t="shared" si="16"/>
        <v>14</v>
      </c>
      <c r="BN28" s="23">
        <f t="shared" si="16"/>
        <v>439.33333333333331</v>
      </c>
      <c r="BO28" s="23">
        <f t="shared" si="16"/>
        <v>439.33333333333331</v>
      </c>
      <c r="BP28" s="23">
        <f t="shared" si="16"/>
        <v>439.33333333333331</v>
      </c>
      <c r="BQ28" s="23">
        <f t="shared" si="16"/>
        <v>100</v>
      </c>
      <c r="BR28" s="23">
        <f t="shared" si="16"/>
        <v>100</v>
      </c>
      <c r="BS28" s="23">
        <f t="shared" si="16"/>
        <v>100</v>
      </c>
      <c r="BT28" s="23">
        <f t="shared" si="16"/>
        <v>100</v>
      </c>
      <c r="BU28" s="23">
        <f t="shared" si="16"/>
        <v>100</v>
      </c>
      <c r="BV28" s="23">
        <f t="shared" si="17"/>
        <v>200</v>
      </c>
      <c r="BW28" s="23">
        <f t="shared" si="17"/>
        <v>200</v>
      </c>
      <c r="BX28" s="23">
        <f t="shared" si="17"/>
        <v>200</v>
      </c>
      <c r="BY28" s="23">
        <f t="shared" si="17"/>
        <v>200</v>
      </c>
      <c r="BZ28" s="23">
        <f t="shared" si="17"/>
        <v>200</v>
      </c>
      <c r="CA28" s="23">
        <f t="shared" si="17"/>
        <v>200</v>
      </c>
      <c r="CB28" s="23" t="e">
        <f t="shared" si="17"/>
        <v>#NUM!</v>
      </c>
      <c r="CC28" s="23" t="e">
        <f t="shared" si="1"/>
        <v>#NUM!</v>
      </c>
      <c r="CD28" s="23" t="e">
        <f t="shared" si="1"/>
        <v>#NUM!</v>
      </c>
      <c r="CE28" s="23" t="e">
        <f t="shared" si="1"/>
        <v>#NUM!</v>
      </c>
      <c r="CF28" s="23" t="e">
        <f t="shared" si="1"/>
        <v>#NUM!</v>
      </c>
      <c r="CG28" s="23" t="e">
        <f t="shared" si="1"/>
        <v>#NUM!</v>
      </c>
      <c r="CH28" s="23" t="e">
        <f t="shared" si="1"/>
        <v>#NUM!</v>
      </c>
      <c r="CI28" s="23" t="e">
        <f t="shared" si="1"/>
        <v>#NUM!</v>
      </c>
      <c r="CJ28" s="23" t="e">
        <f t="shared" si="1"/>
        <v>#NUM!</v>
      </c>
      <c r="CK28" s="23" t="e">
        <f t="shared" si="1"/>
        <v>#NUM!</v>
      </c>
      <c r="CL28" s="23" t="e">
        <f t="shared" si="1"/>
        <v>#NUM!</v>
      </c>
      <c r="CM28" s="23" t="e">
        <f t="shared" si="1"/>
        <v>#NUM!</v>
      </c>
      <c r="CN28" s="23" t="e">
        <f t="shared" si="1"/>
        <v>#NUM!</v>
      </c>
      <c r="CO28" s="23" t="e">
        <f t="shared" si="1"/>
        <v>#NUM!</v>
      </c>
      <c r="CP28" s="23">
        <f t="shared" si="2"/>
        <v>4806.829999999999</v>
      </c>
      <c r="CQ28" s="67">
        <f t="shared" si="11"/>
        <v>0.13340953301254954</v>
      </c>
      <c r="CR28" s="67">
        <v>0.85</v>
      </c>
      <c r="CS28" s="80">
        <f t="shared" si="6"/>
        <v>5351.7083142212878</v>
      </c>
      <c r="CT28" s="81">
        <f t="shared" si="3"/>
        <v>4548.9520670880947</v>
      </c>
      <c r="CU28" s="23">
        <f t="shared" si="4"/>
        <v>7824.8299999999981</v>
      </c>
      <c r="CV28" s="67">
        <f t="shared" si="11"/>
        <v>6.4556004126802347E-2</v>
      </c>
      <c r="CW28" s="80">
        <f t="shared" si="12"/>
        <v>8711.8137667377796</v>
      </c>
      <c r="CX28" s="81">
        <f t="shared" si="7"/>
        <v>7405.041701727112</v>
      </c>
      <c r="CY28" s="65">
        <f>'Base Model'!J38*1000/365/24</f>
        <v>7719.1240067857725</v>
      </c>
      <c r="CZ28" s="65">
        <f>'Sensitivity - Population'!S27 + 'Sensitivity - GDP'!P28 +'Sensitivity - GDP'!P90</f>
        <v>70204.675427164533</v>
      </c>
      <c r="DA28" s="65">
        <f t="shared" si="8"/>
        <v>8014.2323546991483</v>
      </c>
      <c r="DB28" s="65">
        <f>'Sensitivity - Population'!E27+'Sensitivity - GDP'!D28+'Sensitivity - GDP'!D90</f>
        <v>64781.070347063753</v>
      </c>
      <c r="DC28" s="65">
        <f t="shared" si="9"/>
        <v>7395.0993546876425</v>
      </c>
      <c r="EQ28" s="92"/>
    </row>
    <row r="29" spans="2:147" x14ac:dyDescent="0.35">
      <c r="B29" s="90"/>
      <c r="C29" s="23">
        <v>15</v>
      </c>
      <c r="D29" s="23" t="s">
        <v>170</v>
      </c>
      <c r="E29" s="23" t="s">
        <v>154</v>
      </c>
      <c r="F29" s="23" t="s">
        <v>174</v>
      </c>
      <c r="G29" s="23">
        <v>367.5</v>
      </c>
      <c r="H29" s="23"/>
      <c r="I29" s="82">
        <v>38610</v>
      </c>
      <c r="J29" s="83">
        <f t="shared" ca="1" si="10"/>
        <v>16.427397260273974</v>
      </c>
      <c r="K29" s="23"/>
      <c r="L29" s="92"/>
      <c r="N29" s="90"/>
      <c r="O29" s="79">
        <v>50040</v>
      </c>
      <c r="P29" s="23">
        <f t="shared" si="5"/>
        <v>0</v>
      </c>
      <c r="Q29" s="23">
        <f t="shared" si="5"/>
        <v>0</v>
      </c>
      <c r="R29" s="23">
        <f t="shared" si="5"/>
        <v>403.8</v>
      </c>
      <c r="S29" s="23">
        <f t="shared" si="5"/>
        <v>400</v>
      </c>
      <c r="T29" s="23">
        <f t="shared" si="5"/>
        <v>400</v>
      </c>
      <c r="U29" s="23">
        <f t="shared" si="5"/>
        <v>0</v>
      </c>
      <c r="V29" s="23">
        <f t="shared" si="5"/>
        <v>0</v>
      </c>
      <c r="W29" s="23">
        <f t="shared" si="5"/>
        <v>420</v>
      </c>
      <c r="X29" s="23">
        <f t="shared" si="5"/>
        <v>420</v>
      </c>
      <c r="Y29" s="23">
        <f t="shared" si="5"/>
        <v>47.8</v>
      </c>
      <c r="Z29" s="23">
        <f t="shared" si="5"/>
        <v>132</v>
      </c>
      <c r="AA29" s="23">
        <f t="shared" si="5"/>
        <v>0</v>
      </c>
      <c r="AB29" s="23">
        <f t="shared" si="5"/>
        <v>0</v>
      </c>
      <c r="AC29" s="23">
        <f t="shared" si="5"/>
        <v>0</v>
      </c>
      <c r="AD29" s="23">
        <f t="shared" si="5"/>
        <v>0</v>
      </c>
      <c r="AE29" s="23">
        <f t="shared" si="5"/>
        <v>405.9</v>
      </c>
      <c r="AF29" s="23">
        <f t="shared" si="18"/>
        <v>0</v>
      </c>
      <c r="AG29" s="23">
        <f t="shared" si="18"/>
        <v>67.8</v>
      </c>
      <c r="AH29" s="23">
        <f t="shared" si="18"/>
        <v>55</v>
      </c>
      <c r="AI29" s="23">
        <f t="shared" si="18"/>
        <v>0</v>
      </c>
      <c r="AJ29" s="23">
        <f t="shared" si="18"/>
        <v>0</v>
      </c>
      <c r="AK29" s="23">
        <f t="shared" si="18"/>
        <v>0</v>
      </c>
      <c r="AL29" s="23">
        <f t="shared" si="18"/>
        <v>0</v>
      </c>
      <c r="AM29" s="23">
        <f t="shared" si="18"/>
        <v>0</v>
      </c>
      <c r="AN29" s="23">
        <f t="shared" si="18"/>
        <v>431</v>
      </c>
      <c r="AO29" s="23">
        <f t="shared" si="18"/>
        <v>431</v>
      </c>
      <c r="AP29" s="23">
        <f t="shared" si="18"/>
        <v>110</v>
      </c>
      <c r="AQ29" s="23">
        <f t="shared" si="18"/>
        <v>110</v>
      </c>
      <c r="AR29" s="23">
        <f t="shared" si="18"/>
        <v>47</v>
      </c>
      <c r="AS29" s="23">
        <f t="shared" si="18"/>
        <v>47</v>
      </c>
      <c r="AT29" s="23">
        <f t="shared" si="18"/>
        <v>0</v>
      </c>
      <c r="AU29" s="23">
        <f t="shared" si="18"/>
        <v>0</v>
      </c>
      <c r="AV29" s="23">
        <f t="shared" si="15"/>
        <v>0</v>
      </c>
      <c r="AW29" s="23">
        <f t="shared" si="15"/>
        <v>0</v>
      </c>
      <c r="AX29" s="23">
        <f t="shared" si="15"/>
        <v>0</v>
      </c>
      <c r="AY29" s="23">
        <f t="shared" si="15"/>
        <v>0</v>
      </c>
      <c r="AZ29" s="23">
        <f t="shared" si="15"/>
        <v>0</v>
      </c>
      <c r="BA29" s="23">
        <f t="shared" si="15"/>
        <v>0</v>
      </c>
      <c r="BB29" s="23">
        <f t="shared" si="15"/>
        <v>0</v>
      </c>
      <c r="BC29" s="23">
        <f t="shared" si="15"/>
        <v>22</v>
      </c>
      <c r="BD29" s="23">
        <f t="shared" si="15"/>
        <v>395.7</v>
      </c>
      <c r="BE29" s="23">
        <f t="shared" si="15"/>
        <v>101</v>
      </c>
      <c r="BF29" s="23">
        <f t="shared" si="16"/>
        <v>32.5</v>
      </c>
      <c r="BG29" s="23">
        <f t="shared" si="16"/>
        <v>37.5</v>
      </c>
      <c r="BH29" s="23">
        <f t="shared" si="16"/>
        <v>37.5</v>
      </c>
      <c r="BI29" s="23">
        <f t="shared" si="16"/>
        <v>1.95</v>
      </c>
      <c r="BJ29" s="23">
        <f t="shared" si="16"/>
        <v>68.19</v>
      </c>
      <c r="BK29" s="23">
        <f t="shared" si="16"/>
        <v>68.19</v>
      </c>
      <c r="BL29" s="23">
        <f t="shared" si="16"/>
        <v>40</v>
      </c>
      <c r="BM29" s="23">
        <f t="shared" si="16"/>
        <v>14</v>
      </c>
      <c r="BN29" s="23">
        <f t="shared" si="16"/>
        <v>439.33333333333331</v>
      </c>
      <c r="BO29" s="23">
        <f t="shared" si="16"/>
        <v>439.33333333333331</v>
      </c>
      <c r="BP29" s="23">
        <f t="shared" si="16"/>
        <v>439.33333333333331</v>
      </c>
      <c r="BQ29" s="23">
        <f t="shared" si="16"/>
        <v>100</v>
      </c>
      <c r="BR29" s="23">
        <f t="shared" si="16"/>
        <v>100</v>
      </c>
      <c r="BS29" s="23">
        <f t="shared" si="16"/>
        <v>100</v>
      </c>
      <c r="BT29" s="23">
        <f t="shared" si="16"/>
        <v>100</v>
      </c>
      <c r="BU29" s="23">
        <f t="shared" si="16"/>
        <v>100</v>
      </c>
      <c r="BV29" s="23">
        <f t="shared" si="17"/>
        <v>200</v>
      </c>
      <c r="BW29" s="23">
        <f t="shared" si="17"/>
        <v>200</v>
      </c>
      <c r="BX29" s="23">
        <f t="shared" si="17"/>
        <v>200</v>
      </c>
      <c r="BY29" s="23">
        <f t="shared" si="17"/>
        <v>200</v>
      </c>
      <c r="BZ29" s="23">
        <f t="shared" si="17"/>
        <v>200</v>
      </c>
      <c r="CA29" s="23">
        <f t="shared" si="17"/>
        <v>200</v>
      </c>
      <c r="CB29" s="23">
        <f t="shared" si="17"/>
        <v>200</v>
      </c>
      <c r="CC29" s="23" t="e">
        <f t="shared" si="1"/>
        <v>#NUM!</v>
      </c>
      <c r="CD29" s="23" t="e">
        <f t="shared" si="1"/>
        <v>#NUM!</v>
      </c>
      <c r="CE29" s="23" t="e">
        <f t="shared" si="1"/>
        <v>#NUM!</v>
      </c>
      <c r="CF29" s="23" t="e">
        <f t="shared" si="1"/>
        <v>#NUM!</v>
      </c>
      <c r="CG29" s="23" t="e">
        <f t="shared" si="1"/>
        <v>#NUM!</v>
      </c>
      <c r="CH29" s="23" t="e">
        <f t="shared" si="1"/>
        <v>#NUM!</v>
      </c>
      <c r="CI29" s="23" t="e">
        <f t="shared" si="1"/>
        <v>#NUM!</v>
      </c>
      <c r="CJ29" s="23" t="e">
        <f t="shared" si="1"/>
        <v>#NUM!</v>
      </c>
      <c r="CK29" s="23" t="e">
        <f t="shared" si="1"/>
        <v>#NUM!</v>
      </c>
      <c r="CL29" s="23" t="e">
        <f t="shared" si="1"/>
        <v>#NUM!</v>
      </c>
      <c r="CM29" s="23" t="e">
        <f t="shared" si="1"/>
        <v>#NUM!</v>
      </c>
      <c r="CN29" s="23" t="e">
        <f t="shared" si="1"/>
        <v>#NUM!</v>
      </c>
      <c r="CO29" s="23" t="e">
        <f t="shared" si="1"/>
        <v>#NUM!</v>
      </c>
      <c r="CP29" s="23">
        <f t="shared" si="2"/>
        <v>4746.829999999999</v>
      </c>
      <c r="CQ29" s="67">
        <f t="shared" si="11"/>
        <v>1.2482238814353746E-2</v>
      </c>
      <c r="CR29" s="67">
        <v>0.85</v>
      </c>
      <c r="CS29" s="80">
        <f t="shared" si="6"/>
        <v>5284.907012978415</v>
      </c>
      <c r="CT29" s="81">
        <f t="shared" si="3"/>
        <v>4492.170961031653</v>
      </c>
      <c r="CU29" s="23">
        <f t="shared" si="4"/>
        <v>7964.8299999999981</v>
      </c>
      <c r="CV29" s="67">
        <f t="shared" si="11"/>
        <v>-1.7891762504744516E-2</v>
      </c>
      <c r="CW29" s="80">
        <f t="shared" si="12"/>
        <v>8867.6834696378155</v>
      </c>
      <c r="CX29" s="81">
        <f t="shared" si="7"/>
        <v>7537.5309491921425</v>
      </c>
      <c r="CY29" s="65">
        <f>'Base Model'!J39*1000/365/24</f>
        <v>7836.2641123321218</v>
      </c>
      <c r="CZ29" s="65">
        <f>'Sensitivity - Population'!S28 + 'Sensitivity - GDP'!P29 +'Sensitivity - GDP'!P91</f>
        <v>71319.116744722734</v>
      </c>
      <c r="DA29" s="65">
        <f t="shared" si="8"/>
        <v>8141.4516831875271</v>
      </c>
      <c r="DB29" s="65">
        <f>'Sensitivity - Population'!E28+'Sensitivity - GDP'!D29+'Sensitivity - GDP'!D91</f>
        <v>65775.77828582628</v>
      </c>
      <c r="DC29" s="65">
        <f t="shared" si="9"/>
        <v>7508.650489249575</v>
      </c>
      <c r="EQ29" s="92"/>
    </row>
    <row r="30" spans="2:147" x14ac:dyDescent="0.35">
      <c r="B30" s="90"/>
      <c r="C30" s="23">
        <v>16</v>
      </c>
      <c r="D30" s="23" t="s">
        <v>170</v>
      </c>
      <c r="E30" s="23" t="s">
        <v>154</v>
      </c>
      <c r="F30" s="23" t="s">
        <v>175</v>
      </c>
      <c r="G30" s="23">
        <v>405.9</v>
      </c>
      <c r="H30" s="23">
        <f>SUM(G26:G30)</f>
        <v>1875.9</v>
      </c>
      <c r="I30" s="82">
        <v>41730</v>
      </c>
      <c r="J30" s="83">
        <f t="shared" ca="1" si="10"/>
        <v>7.8794520547945206</v>
      </c>
      <c r="K30" s="23"/>
      <c r="L30" s="92"/>
      <c r="N30" s="90"/>
      <c r="O30" s="79">
        <v>50405</v>
      </c>
      <c r="P30" s="23">
        <f t="shared" si="5"/>
        <v>0</v>
      </c>
      <c r="Q30" s="23">
        <f t="shared" si="5"/>
        <v>0</v>
      </c>
      <c r="R30" s="23">
        <f t="shared" si="5"/>
        <v>403.8</v>
      </c>
      <c r="S30" s="23">
        <f t="shared" si="5"/>
        <v>400</v>
      </c>
      <c r="T30" s="23">
        <f t="shared" si="5"/>
        <v>400</v>
      </c>
      <c r="U30" s="23">
        <f t="shared" si="5"/>
        <v>0</v>
      </c>
      <c r="V30" s="23">
        <f t="shared" si="5"/>
        <v>0</v>
      </c>
      <c r="W30" s="23">
        <f t="shared" si="5"/>
        <v>420</v>
      </c>
      <c r="X30" s="23">
        <f t="shared" si="5"/>
        <v>420</v>
      </c>
      <c r="Y30" s="23">
        <f t="shared" si="5"/>
        <v>47.8</v>
      </c>
      <c r="Z30" s="23">
        <f t="shared" si="5"/>
        <v>132</v>
      </c>
      <c r="AA30" s="23">
        <f t="shared" si="5"/>
        <v>0</v>
      </c>
      <c r="AB30" s="23">
        <f t="shared" si="5"/>
        <v>0</v>
      </c>
      <c r="AC30" s="23">
        <f t="shared" si="5"/>
        <v>0</v>
      </c>
      <c r="AD30" s="23">
        <f t="shared" si="5"/>
        <v>0</v>
      </c>
      <c r="AE30" s="23">
        <f t="shared" si="5"/>
        <v>405.9</v>
      </c>
      <c r="AF30" s="23">
        <f t="shared" si="18"/>
        <v>0</v>
      </c>
      <c r="AG30" s="23">
        <f t="shared" si="18"/>
        <v>67.8</v>
      </c>
      <c r="AH30" s="23">
        <f t="shared" si="18"/>
        <v>55</v>
      </c>
      <c r="AI30" s="23">
        <f t="shared" si="18"/>
        <v>0</v>
      </c>
      <c r="AJ30" s="23">
        <f t="shared" si="18"/>
        <v>0</v>
      </c>
      <c r="AK30" s="23">
        <f t="shared" si="18"/>
        <v>0</v>
      </c>
      <c r="AL30" s="23">
        <f t="shared" si="18"/>
        <v>0</v>
      </c>
      <c r="AM30" s="23">
        <f t="shared" si="18"/>
        <v>0</v>
      </c>
      <c r="AN30" s="23">
        <f t="shared" si="18"/>
        <v>0</v>
      </c>
      <c r="AO30" s="23">
        <f t="shared" si="18"/>
        <v>0</v>
      </c>
      <c r="AP30" s="23">
        <f t="shared" si="18"/>
        <v>110</v>
      </c>
      <c r="AQ30" s="23">
        <f t="shared" si="18"/>
        <v>110</v>
      </c>
      <c r="AR30" s="23">
        <f t="shared" si="18"/>
        <v>47</v>
      </c>
      <c r="AS30" s="23">
        <f t="shared" si="18"/>
        <v>47</v>
      </c>
      <c r="AT30" s="23">
        <f t="shared" si="18"/>
        <v>0</v>
      </c>
      <c r="AU30" s="23">
        <f t="shared" si="18"/>
        <v>0</v>
      </c>
      <c r="AV30" s="23">
        <f t="shared" si="15"/>
        <v>0</v>
      </c>
      <c r="AW30" s="23">
        <f t="shared" si="15"/>
        <v>0</v>
      </c>
      <c r="AX30" s="23">
        <f t="shared" si="15"/>
        <v>0</v>
      </c>
      <c r="AY30" s="23">
        <f t="shared" si="15"/>
        <v>0</v>
      </c>
      <c r="AZ30" s="23">
        <f t="shared" si="15"/>
        <v>0</v>
      </c>
      <c r="BA30" s="23">
        <f t="shared" si="15"/>
        <v>0</v>
      </c>
      <c r="BB30" s="23">
        <f t="shared" si="15"/>
        <v>0</v>
      </c>
      <c r="BC30" s="23">
        <f t="shared" si="15"/>
        <v>22</v>
      </c>
      <c r="BD30" s="23">
        <f t="shared" si="15"/>
        <v>395.7</v>
      </c>
      <c r="BE30" s="23">
        <f t="shared" si="15"/>
        <v>101</v>
      </c>
      <c r="BF30" s="23">
        <f t="shared" si="16"/>
        <v>32.5</v>
      </c>
      <c r="BG30" s="23">
        <f t="shared" si="16"/>
        <v>37.5</v>
      </c>
      <c r="BH30" s="23">
        <f t="shared" si="16"/>
        <v>37.5</v>
      </c>
      <c r="BI30" s="23">
        <f t="shared" si="16"/>
        <v>1.95</v>
      </c>
      <c r="BJ30" s="23">
        <f t="shared" si="16"/>
        <v>68.19</v>
      </c>
      <c r="BK30" s="23">
        <f t="shared" si="16"/>
        <v>68.19</v>
      </c>
      <c r="BL30" s="23">
        <f t="shared" si="16"/>
        <v>40</v>
      </c>
      <c r="BM30" s="23">
        <f t="shared" si="16"/>
        <v>14</v>
      </c>
      <c r="BN30" s="23">
        <f t="shared" si="16"/>
        <v>439.33333333333331</v>
      </c>
      <c r="BO30" s="23">
        <f t="shared" si="16"/>
        <v>439.33333333333331</v>
      </c>
      <c r="BP30" s="23">
        <f t="shared" si="16"/>
        <v>439.33333333333331</v>
      </c>
      <c r="BQ30" s="23">
        <f t="shared" si="16"/>
        <v>100</v>
      </c>
      <c r="BR30" s="23">
        <f t="shared" si="16"/>
        <v>100</v>
      </c>
      <c r="BS30" s="23">
        <f t="shared" si="16"/>
        <v>100</v>
      </c>
      <c r="BT30" s="23">
        <f t="shared" si="16"/>
        <v>100</v>
      </c>
      <c r="BU30" s="23">
        <f t="shared" si="16"/>
        <v>100</v>
      </c>
      <c r="BV30" s="23">
        <f t="shared" si="17"/>
        <v>200</v>
      </c>
      <c r="BW30" s="23">
        <f t="shared" si="17"/>
        <v>200</v>
      </c>
      <c r="BX30" s="23">
        <f t="shared" si="17"/>
        <v>200</v>
      </c>
      <c r="BY30" s="23">
        <f t="shared" si="17"/>
        <v>200</v>
      </c>
      <c r="BZ30" s="23">
        <f t="shared" si="17"/>
        <v>200</v>
      </c>
      <c r="CA30" s="23">
        <f t="shared" si="17"/>
        <v>200</v>
      </c>
      <c r="CB30" s="23">
        <f t="shared" si="17"/>
        <v>200</v>
      </c>
      <c r="CC30" s="23">
        <f t="shared" si="17"/>
        <v>200</v>
      </c>
      <c r="CD30" s="23" t="e">
        <f t="shared" si="17"/>
        <v>#NUM!</v>
      </c>
      <c r="CE30" s="23" t="e">
        <f t="shared" si="17"/>
        <v>#NUM!</v>
      </c>
      <c r="CF30" s="23" t="e">
        <f t="shared" si="17"/>
        <v>#NUM!</v>
      </c>
      <c r="CG30" s="23" t="e">
        <f t="shared" si="17"/>
        <v>#NUM!</v>
      </c>
      <c r="CH30" s="23" t="e">
        <f t="shared" si="17"/>
        <v>#NUM!</v>
      </c>
      <c r="CI30" s="23" t="e">
        <f t="shared" si="17"/>
        <v>#NUM!</v>
      </c>
      <c r="CJ30" s="23" t="e">
        <f t="shared" si="17"/>
        <v>#NUM!</v>
      </c>
      <c r="CK30" s="23" t="e">
        <f t="shared" si="17"/>
        <v>#NUM!</v>
      </c>
      <c r="CL30" s="23" t="e">
        <f t="shared" ref="CL30:CO43" si="19">IF(VLOOKUP(CL$13,$C$15:$J$92,3,FALSE) &lt;&gt; "Incineration", IF(DATEDIF(VLOOKUP(CL$13,$C$15:$J$92,7,FALSE),$O30,"y")&gt;=$P$11,0,VLOOKUP(CL$13,$C$15:$J$92,5,FALSE)), VLOOKUP(CL$13,$C$15:$J$92,5,FALSE))</f>
        <v>#NUM!</v>
      </c>
      <c r="CM30" s="23" t="e">
        <f t="shared" si="19"/>
        <v>#NUM!</v>
      </c>
      <c r="CN30" s="23" t="e">
        <f t="shared" si="19"/>
        <v>#NUM!</v>
      </c>
      <c r="CO30" s="23" t="e">
        <f t="shared" si="19"/>
        <v>#NUM!</v>
      </c>
      <c r="CP30" s="23">
        <f t="shared" si="2"/>
        <v>3884.83</v>
      </c>
      <c r="CQ30" s="67">
        <f t="shared" si="11"/>
        <v>0.18159487489545639</v>
      </c>
      <c r="CR30" s="67">
        <v>0.85</v>
      </c>
      <c r="CS30" s="80">
        <f t="shared" si="6"/>
        <v>4325.1949851224799</v>
      </c>
      <c r="CT30" s="81">
        <f t="shared" si="3"/>
        <v>3676.4157373541079</v>
      </c>
      <c r="CU30" s="23">
        <f t="shared" si="4"/>
        <v>7302.829999999999</v>
      </c>
      <c r="CV30" s="67">
        <f t="shared" si="11"/>
        <v>8.3115396059928362E-2</v>
      </c>
      <c r="CW30" s="80">
        <f t="shared" si="12"/>
        <v>8130.6424459247892</v>
      </c>
      <c r="CX30" s="81">
        <f t="shared" si="7"/>
        <v>6911.0460790360703</v>
      </c>
      <c r="CY30" s="65">
        <f>'Base Model'!J40*1000/365/24</f>
        <v>7953.2890942607619</v>
      </c>
      <c r="CZ30" s="65">
        <f>'Sensitivity - Population'!S29 + 'Sensitivity - GDP'!P30 +'Sensitivity - GDP'!P92</f>
        <v>72432.55957312294</v>
      </c>
      <c r="DA30" s="65">
        <f t="shared" si="8"/>
        <v>8268.5570288953113</v>
      </c>
      <c r="DB30" s="65">
        <f>'Sensitivity - Population'!E29+'Sensitivity - GDP'!D30+'Sensitivity - GDP'!D92</f>
        <v>66769.5015895916</v>
      </c>
      <c r="DC30" s="65">
        <f t="shared" si="9"/>
        <v>7622.0892225561183</v>
      </c>
      <c r="EQ30" s="92"/>
    </row>
    <row r="31" spans="2:147" x14ac:dyDescent="0.35">
      <c r="B31" s="90"/>
      <c r="C31" s="23">
        <v>17</v>
      </c>
      <c r="D31" s="23" t="s">
        <v>176</v>
      </c>
      <c r="E31" s="23" t="s">
        <v>154</v>
      </c>
      <c r="F31" s="23" t="s">
        <v>177</v>
      </c>
      <c r="G31" s="23">
        <v>60</v>
      </c>
      <c r="H31" s="23"/>
      <c r="I31" s="82">
        <v>40639</v>
      </c>
      <c r="J31" s="83">
        <f t="shared" ca="1" si="10"/>
        <v>10.868493150684932</v>
      </c>
      <c r="K31" s="23"/>
      <c r="L31" s="92"/>
      <c r="N31" s="90"/>
      <c r="O31" s="79">
        <v>50770</v>
      </c>
      <c r="P31" s="23">
        <f t="shared" si="5"/>
        <v>0</v>
      </c>
      <c r="Q31" s="23">
        <f t="shared" si="5"/>
        <v>0</v>
      </c>
      <c r="R31" s="23">
        <f t="shared" si="5"/>
        <v>403.8</v>
      </c>
      <c r="S31" s="23">
        <f t="shared" si="5"/>
        <v>400</v>
      </c>
      <c r="T31" s="23">
        <f t="shared" si="5"/>
        <v>400</v>
      </c>
      <c r="U31" s="23">
        <f t="shared" si="5"/>
        <v>0</v>
      </c>
      <c r="V31" s="23">
        <f t="shared" si="5"/>
        <v>0</v>
      </c>
      <c r="W31" s="23">
        <f t="shared" si="5"/>
        <v>0</v>
      </c>
      <c r="X31" s="23">
        <f t="shared" si="5"/>
        <v>0</v>
      </c>
      <c r="Y31" s="23">
        <f t="shared" si="5"/>
        <v>47.8</v>
      </c>
      <c r="Z31" s="23">
        <f t="shared" si="5"/>
        <v>132</v>
      </c>
      <c r="AA31" s="23">
        <f t="shared" si="5"/>
        <v>0</v>
      </c>
      <c r="AB31" s="23">
        <f t="shared" si="5"/>
        <v>0</v>
      </c>
      <c r="AC31" s="23">
        <f t="shared" si="5"/>
        <v>0</v>
      </c>
      <c r="AD31" s="23">
        <f t="shared" si="5"/>
        <v>0</v>
      </c>
      <c r="AE31" s="23">
        <f t="shared" si="5"/>
        <v>405.9</v>
      </c>
      <c r="AF31" s="23">
        <f t="shared" si="18"/>
        <v>0</v>
      </c>
      <c r="AG31" s="23">
        <f t="shared" si="18"/>
        <v>67.8</v>
      </c>
      <c r="AH31" s="23">
        <f t="shared" si="18"/>
        <v>55</v>
      </c>
      <c r="AI31" s="23">
        <f t="shared" si="18"/>
        <v>0</v>
      </c>
      <c r="AJ31" s="23">
        <f t="shared" si="18"/>
        <v>0</v>
      </c>
      <c r="AK31" s="23">
        <f t="shared" si="18"/>
        <v>0</v>
      </c>
      <c r="AL31" s="23">
        <f t="shared" si="18"/>
        <v>0</v>
      </c>
      <c r="AM31" s="23">
        <f t="shared" si="18"/>
        <v>0</v>
      </c>
      <c r="AN31" s="23">
        <f t="shared" si="18"/>
        <v>0</v>
      </c>
      <c r="AO31" s="23">
        <f t="shared" si="18"/>
        <v>0</v>
      </c>
      <c r="AP31" s="23">
        <f t="shared" si="18"/>
        <v>0</v>
      </c>
      <c r="AQ31" s="23">
        <f t="shared" si="18"/>
        <v>0</v>
      </c>
      <c r="AR31" s="23">
        <f t="shared" si="18"/>
        <v>47</v>
      </c>
      <c r="AS31" s="23">
        <f t="shared" si="18"/>
        <v>47</v>
      </c>
      <c r="AT31" s="23">
        <f t="shared" si="18"/>
        <v>0</v>
      </c>
      <c r="AU31" s="23">
        <f t="shared" si="18"/>
        <v>0</v>
      </c>
      <c r="AV31" s="23">
        <f t="shared" si="15"/>
        <v>0</v>
      </c>
      <c r="AW31" s="23">
        <f t="shared" si="15"/>
        <v>0</v>
      </c>
      <c r="AX31" s="23">
        <f t="shared" si="15"/>
        <v>0</v>
      </c>
      <c r="AY31" s="23">
        <f t="shared" si="15"/>
        <v>0</v>
      </c>
      <c r="AZ31" s="23">
        <f t="shared" si="15"/>
        <v>0</v>
      </c>
      <c r="BA31" s="23">
        <f t="shared" si="15"/>
        <v>0</v>
      </c>
      <c r="BB31" s="23">
        <f t="shared" si="15"/>
        <v>0</v>
      </c>
      <c r="BC31" s="23">
        <f t="shared" si="15"/>
        <v>22</v>
      </c>
      <c r="BD31" s="23">
        <f t="shared" si="15"/>
        <v>395.7</v>
      </c>
      <c r="BE31" s="23">
        <f t="shared" si="15"/>
        <v>0</v>
      </c>
      <c r="BF31" s="23">
        <f t="shared" si="16"/>
        <v>32.5</v>
      </c>
      <c r="BG31" s="23">
        <f t="shared" si="16"/>
        <v>37.5</v>
      </c>
      <c r="BH31" s="23">
        <f t="shared" si="16"/>
        <v>37.5</v>
      </c>
      <c r="BI31" s="23">
        <f t="shared" si="16"/>
        <v>1.95</v>
      </c>
      <c r="BJ31" s="23">
        <f t="shared" si="16"/>
        <v>68.19</v>
      </c>
      <c r="BK31" s="23">
        <f t="shared" si="16"/>
        <v>68.19</v>
      </c>
      <c r="BL31" s="23">
        <f t="shared" si="16"/>
        <v>40</v>
      </c>
      <c r="BM31" s="23">
        <f t="shared" si="16"/>
        <v>14</v>
      </c>
      <c r="BN31" s="23">
        <f t="shared" si="16"/>
        <v>439.33333333333331</v>
      </c>
      <c r="BO31" s="23">
        <f t="shared" si="16"/>
        <v>439.33333333333331</v>
      </c>
      <c r="BP31" s="23">
        <f t="shared" si="16"/>
        <v>439.33333333333331</v>
      </c>
      <c r="BQ31" s="23">
        <f t="shared" si="16"/>
        <v>100</v>
      </c>
      <c r="BR31" s="23">
        <f t="shared" si="16"/>
        <v>100</v>
      </c>
      <c r="BS31" s="23">
        <f t="shared" si="16"/>
        <v>100</v>
      </c>
      <c r="BT31" s="23">
        <f t="shared" si="16"/>
        <v>100</v>
      </c>
      <c r="BU31" s="23">
        <f t="shared" si="16"/>
        <v>100</v>
      </c>
      <c r="BV31" s="23">
        <f t="shared" si="17"/>
        <v>200</v>
      </c>
      <c r="BW31" s="23">
        <f t="shared" si="17"/>
        <v>200</v>
      </c>
      <c r="BX31" s="23">
        <f t="shared" si="17"/>
        <v>200</v>
      </c>
      <c r="BY31" s="23">
        <f t="shared" si="17"/>
        <v>200</v>
      </c>
      <c r="BZ31" s="23">
        <f t="shared" si="17"/>
        <v>200</v>
      </c>
      <c r="CA31" s="23">
        <f t="shared" si="17"/>
        <v>200</v>
      </c>
      <c r="CB31" s="23">
        <f t="shared" si="17"/>
        <v>200</v>
      </c>
      <c r="CC31" s="23">
        <f t="shared" si="17"/>
        <v>200</v>
      </c>
      <c r="CD31" s="23">
        <f t="shared" si="17"/>
        <v>200</v>
      </c>
      <c r="CE31" s="23" t="e">
        <f t="shared" si="17"/>
        <v>#NUM!</v>
      </c>
      <c r="CF31" s="23" t="e">
        <f t="shared" si="17"/>
        <v>#NUM!</v>
      </c>
      <c r="CG31" s="23" t="e">
        <f t="shared" si="17"/>
        <v>#NUM!</v>
      </c>
      <c r="CH31" s="23" t="e">
        <f t="shared" si="17"/>
        <v>#NUM!</v>
      </c>
      <c r="CI31" s="23" t="e">
        <f t="shared" si="17"/>
        <v>#NUM!</v>
      </c>
      <c r="CJ31" s="23" t="e">
        <f t="shared" si="17"/>
        <v>#NUM!</v>
      </c>
      <c r="CK31" s="23" t="e">
        <f t="shared" si="17"/>
        <v>#NUM!</v>
      </c>
      <c r="CL31" s="23" t="e">
        <f t="shared" si="19"/>
        <v>#NUM!</v>
      </c>
      <c r="CM31" s="23" t="e">
        <f t="shared" si="19"/>
        <v>#NUM!</v>
      </c>
      <c r="CN31" s="23" t="e">
        <f t="shared" si="19"/>
        <v>#NUM!</v>
      </c>
      <c r="CO31" s="23" t="e">
        <f t="shared" si="19"/>
        <v>#NUM!</v>
      </c>
      <c r="CP31" s="23">
        <f t="shared" si="2"/>
        <v>2723.83</v>
      </c>
      <c r="CQ31" s="67">
        <f t="shared" si="11"/>
        <v>0.29885477614207057</v>
      </c>
      <c r="CR31" s="67">
        <v>0.85</v>
      </c>
      <c r="CS31" s="80">
        <f t="shared" si="6"/>
        <v>3032.589806072895</v>
      </c>
      <c r="CT31" s="81">
        <f t="shared" si="3"/>
        <v>2577.7013351619607</v>
      </c>
      <c r="CU31" s="23">
        <f t="shared" si="4"/>
        <v>6341.83</v>
      </c>
      <c r="CV31" s="67">
        <f t="shared" si="11"/>
        <v>0.13159282086533566</v>
      </c>
      <c r="CW31" s="80">
        <f t="shared" si="12"/>
        <v>7060.7082710181139</v>
      </c>
      <c r="CX31" s="81">
        <f t="shared" si="7"/>
        <v>6001.6020303653968</v>
      </c>
      <c r="CY31" s="65">
        <f>'Base Model'!J41*1000/365/24</f>
        <v>8070.1968478080753</v>
      </c>
      <c r="CZ31" s="65">
        <f>'Sensitivity - Population'!S30 + 'Sensitivity - GDP'!P31 +'Sensitivity - GDP'!P93</f>
        <v>73544.984842286009</v>
      </c>
      <c r="DA31" s="65">
        <f t="shared" si="8"/>
        <v>8395.5462148728311</v>
      </c>
      <c r="DB31" s="65">
        <f>'Sensitivity - Population'!E30+'Sensitivity - GDP'!D31+'Sensitivity - GDP'!D93</f>
        <v>67762.221452880243</v>
      </c>
      <c r="DC31" s="65">
        <f t="shared" si="9"/>
        <v>7735.4134078630423</v>
      </c>
      <c r="EQ31" s="92"/>
    </row>
    <row r="32" spans="2:147" x14ac:dyDescent="0.35">
      <c r="B32" s="90"/>
      <c r="C32" s="23">
        <v>18</v>
      </c>
      <c r="D32" s="23" t="s">
        <v>176</v>
      </c>
      <c r="E32" s="23" t="s">
        <v>154</v>
      </c>
      <c r="F32" s="23" t="s">
        <v>178</v>
      </c>
      <c r="G32" s="23">
        <v>67.8</v>
      </c>
      <c r="H32" s="23">
        <f>SUM(G31:G32)</f>
        <v>127.8</v>
      </c>
      <c r="I32" s="82">
        <v>42095</v>
      </c>
      <c r="J32" s="83">
        <f t="shared" ca="1" si="10"/>
        <v>6.8794520547945206</v>
      </c>
      <c r="K32" s="23"/>
      <c r="L32" s="92"/>
      <c r="N32" s="90"/>
      <c r="O32" s="79">
        <v>51135</v>
      </c>
      <c r="P32" s="23">
        <f t="shared" si="5"/>
        <v>0</v>
      </c>
      <c r="Q32" s="23">
        <f t="shared" si="5"/>
        <v>0</v>
      </c>
      <c r="R32" s="23">
        <f t="shared" si="5"/>
        <v>0</v>
      </c>
      <c r="S32" s="23">
        <f t="shared" si="5"/>
        <v>0</v>
      </c>
      <c r="T32" s="23">
        <f t="shared" si="5"/>
        <v>0</v>
      </c>
      <c r="U32" s="23">
        <f t="shared" si="5"/>
        <v>0</v>
      </c>
      <c r="V32" s="23">
        <f t="shared" si="5"/>
        <v>0</v>
      </c>
      <c r="W32" s="23">
        <f t="shared" si="5"/>
        <v>0</v>
      </c>
      <c r="X32" s="23">
        <f t="shared" si="5"/>
        <v>0</v>
      </c>
      <c r="Y32" s="23">
        <f t="shared" si="5"/>
        <v>47.8</v>
      </c>
      <c r="Z32" s="23">
        <f t="shared" si="5"/>
        <v>132</v>
      </c>
      <c r="AA32" s="23">
        <f t="shared" si="5"/>
        <v>0</v>
      </c>
      <c r="AB32" s="23">
        <f t="shared" si="5"/>
        <v>0</v>
      </c>
      <c r="AC32" s="23">
        <f t="shared" si="5"/>
        <v>0</v>
      </c>
      <c r="AD32" s="23">
        <f t="shared" si="5"/>
        <v>0</v>
      </c>
      <c r="AE32" s="23">
        <f t="shared" si="5"/>
        <v>0</v>
      </c>
      <c r="AF32" s="23">
        <f t="shared" si="18"/>
        <v>0</v>
      </c>
      <c r="AG32" s="23">
        <f t="shared" si="18"/>
        <v>67.8</v>
      </c>
      <c r="AH32" s="23">
        <f t="shared" si="18"/>
        <v>55</v>
      </c>
      <c r="AI32" s="23">
        <f t="shared" si="18"/>
        <v>0</v>
      </c>
      <c r="AJ32" s="23">
        <f t="shared" si="18"/>
        <v>0</v>
      </c>
      <c r="AK32" s="23">
        <f t="shared" si="18"/>
        <v>0</v>
      </c>
      <c r="AL32" s="23">
        <f t="shared" si="18"/>
        <v>0</v>
      </c>
      <c r="AM32" s="23">
        <f t="shared" si="18"/>
        <v>0</v>
      </c>
      <c r="AN32" s="23">
        <f t="shared" si="18"/>
        <v>0</v>
      </c>
      <c r="AO32" s="23">
        <f t="shared" si="18"/>
        <v>0</v>
      </c>
      <c r="AP32" s="23">
        <f t="shared" si="18"/>
        <v>0</v>
      </c>
      <c r="AQ32" s="23">
        <f t="shared" si="18"/>
        <v>0</v>
      </c>
      <c r="AR32" s="23">
        <f t="shared" si="18"/>
        <v>47</v>
      </c>
      <c r="AS32" s="23">
        <f t="shared" si="18"/>
        <v>47</v>
      </c>
      <c r="AT32" s="23">
        <f t="shared" si="18"/>
        <v>0</v>
      </c>
      <c r="AU32" s="23">
        <f t="shared" si="18"/>
        <v>0</v>
      </c>
      <c r="AV32" s="23">
        <f t="shared" si="15"/>
        <v>0</v>
      </c>
      <c r="AW32" s="23">
        <f t="shared" si="15"/>
        <v>0</v>
      </c>
      <c r="AX32" s="23">
        <f t="shared" si="15"/>
        <v>0</v>
      </c>
      <c r="AY32" s="23">
        <f t="shared" si="15"/>
        <v>0</v>
      </c>
      <c r="AZ32" s="23">
        <f t="shared" si="15"/>
        <v>0</v>
      </c>
      <c r="BA32" s="23">
        <f t="shared" si="15"/>
        <v>0</v>
      </c>
      <c r="BB32" s="23">
        <f t="shared" si="15"/>
        <v>0</v>
      </c>
      <c r="BC32" s="23">
        <f t="shared" si="15"/>
        <v>22</v>
      </c>
      <c r="BD32" s="23">
        <f t="shared" si="15"/>
        <v>395.7</v>
      </c>
      <c r="BE32" s="23">
        <f t="shared" si="15"/>
        <v>0</v>
      </c>
      <c r="BF32" s="23">
        <f t="shared" si="16"/>
        <v>0</v>
      </c>
      <c r="BG32" s="23">
        <f t="shared" si="16"/>
        <v>37.5</v>
      </c>
      <c r="BH32" s="23">
        <f t="shared" si="16"/>
        <v>37.5</v>
      </c>
      <c r="BI32" s="23">
        <f t="shared" si="16"/>
        <v>1.95</v>
      </c>
      <c r="BJ32" s="23">
        <f t="shared" si="16"/>
        <v>68.19</v>
      </c>
      <c r="BK32" s="23">
        <f t="shared" si="16"/>
        <v>68.19</v>
      </c>
      <c r="BL32" s="23">
        <f t="shared" si="16"/>
        <v>40</v>
      </c>
      <c r="BM32" s="23">
        <f t="shared" si="16"/>
        <v>14</v>
      </c>
      <c r="BN32" s="23">
        <f t="shared" si="16"/>
        <v>439.33333333333331</v>
      </c>
      <c r="BO32" s="23">
        <f t="shared" si="16"/>
        <v>439.33333333333331</v>
      </c>
      <c r="BP32" s="23">
        <f t="shared" si="16"/>
        <v>439.33333333333331</v>
      </c>
      <c r="BQ32" s="23">
        <f t="shared" si="16"/>
        <v>100</v>
      </c>
      <c r="BR32" s="23">
        <f t="shared" si="16"/>
        <v>100</v>
      </c>
      <c r="BS32" s="23">
        <f t="shared" si="16"/>
        <v>100</v>
      </c>
      <c r="BT32" s="23">
        <f t="shared" si="16"/>
        <v>100</v>
      </c>
      <c r="BU32" s="23">
        <f t="shared" si="16"/>
        <v>100</v>
      </c>
      <c r="BV32" s="23">
        <f t="shared" si="17"/>
        <v>200</v>
      </c>
      <c r="BW32" s="23">
        <f t="shared" si="17"/>
        <v>200</v>
      </c>
      <c r="BX32" s="23">
        <f t="shared" si="17"/>
        <v>200</v>
      </c>
      <c r="BY32" s="23">
        <f t="shared" si="17"/>
        <v>200</v>
      </c>
      <c r="BZ32" s="23">
        <f t="shared" si="17"/>
        <v>200</v>
      </c>
      <c r="CA32" s="23">
        <f t="shared" si="17"/>
        <v>200</v>
      </c>
      <c r="CB32" s="23">
        <f t="shared" si="17"/>
        <v>200</v>
      </c>
      <c r="CC32" s="23">
        <f t="shared" si="17"/>
        <v>200</v>
      </c>
      <c r="CD32" s="23">
        <f t="shared" si="17"/>
        <v>200</v>
      </c>
      <c r="CE32" s="23">
        <f t="shared" si="17"/>
        <v>200</v>
      </c>
      <c r="CF32" s="23" t="e">
        <f t="shared" si="17"/>
        <v>#NUM!</v>
      </c>
      <c r="CG32" s="23" t="e">
        <f t="shared" si="17"/>
        <v>#NUM!</v>
      </c>
      <c r="CH32" s="23" t="e">
        <f t="shared" si="17"/>
        <v>#NUM!</v>
      </c>
      <c r="CI32" s="23" t="e">
        <f t="shared" si="17"/>
        <v>#NUM!</v>
      </c>
      <c r="CJ32" s="23" t="e">
        <f t="shared" si="17"/>
        <v>#NUM!</v>
      </c>
      <c r="CK32" s="23" t="e">
        <f t="shared" si="17"/>
        <v>#NUM!</v>
      </c>
      <c r="CL32" s="23" t="e">
        <f t="shared" si="19"/>
        <v>#NUM!</v>
      </c>
      <c r="CM32" s="23" t="e">
        <f t="shared" si="19"/>
        <v>#NUM!</v>
      </c>
      <c r="CN32" s="23" t="e">
        <f t="shared" si="19"/>
        <v>#NUM!</v>
      </c>
      <c r="CO32" s="23" t="e">
        <f t="shared" si="19"/>
        <v>#NUM!</v>
      </c>
      <c r="CP32" s="23">
        <f t="shared" si="2"/>
        <v>1081.6300000000001</v>
      </c>
      <c r="CQ32" s="67">
        <f t="shared" si="11"/>
        <v>0.60290106210740024</v>
      </c>
      <c r="CR32" s="67">
        <v>0.85</v>
      </c>
      <c r="CS32" s="80">
        <f t="shared" si="6"/>
        <v>1204.2381910554716</v>
      </c>
      <c r="CT32" s="81">
        <f t="shared" si="3"/>
        <v>1023.6024623971508</v>
      </c>
      <c r="CU32" s="23">
        <f t="shared" si="4"/>
        <v>4899.63</v>
      </c>
      <c r="CV32" s="67">
        <f t="shared" si="11"/>
        <v>0.22741070006606923</v>
      </c>
      <c r="CW32" s="80">
        <f t="shared" si="12"/>
        <v>5455.027660143599</v>
      </c>
      <c r="CX32" s="81">
        <f t="shared" si="7"/>
        <v>4636.7735111220591</v>
      </c>
      <c r="CY32" s="65">
        <f>'Base Model'!J42*1000/365/24</f>
        <v>8186.9853228678649</v>
      </c>
      <c r="CZ32" s="65">
        <f>'Sensitivity - Population'!S31 + 'Sensitivity - GDP'!P32 +'Sensitivity - GDP'!P94</f>
        <v>74656.373948543056</v>
      </c>
      <c r="DA32" s="65">
        <f t="shared" si="8"/>
        <v>8522.4171174135918</v>
      </c>
      <c r="DB32" s="65">
        <f>'Sensitivity - Population'!E31+'Sensitivity - GDP'!D32+'Sensitivity - GDP'!D94</f>
        <v>68753.919530151587</v>
      </c>
      <c r="DC32" s="65">
        <f t="shared" si="9"/>
        <v>7848.6209509305472</v>
      </c>
      <c r="EQ32" s="92"/>
    </row>
    <row r="33" spans="2:147" x14ac:dyDescent="0.35">
      <c r="B33" s="90"/>
      <c r="C33" s="23">
        <v>19</v>
      </c>
      <c r="D33" s="23" t="s">
        <v>179</v>
      </c>
      <c r="E33" s="23" t="s">
        <v>167</v>
      </c>
      <c r="F33" s="23" t="s">
        <v>180</v>
      </c>
      <c r="G33" s="23">
        <v>55</v>
      </c>
      <c r="H33" s="23">
        <f>SUM(G33)</f>
        <v>55</v>
      </c>
      <c r="I33" s="82">
        <v>34020</v>
      </c>
      <c r="J33" s="83">
        <f t="shared" ca="1" si="10"/>
        <v>29.002739726027396</v>
      </c>
      <c r="K33" s="23"/>
      <c r="L33" s="92"/>
      <c r="N33" s="90"/>
      <c r="O33" s="79">
        <v>51501</v>
      </c>
      <c r="P33" s="23">
        <f t="shared" si="5"/>
        <v>0</v>
      </c>
      <c r="Q33" s="23">
        <f t="shared" si="5"/>
        <v>0</v>
      </c>
      <c r="R33" s="23">
        <f t="shared" si="5"/>
        <v>0</v>
      </c>
      <c r="S33" s="23">
        <f t="shared" si="5"/>
        <v>0</v>
      </c>
      <c r="T33" s="23">
        <f t="shared" si="5"/>
        <v>0</v>
      </c>
      <c r="U33" s="23">
        <f t="shared" si="5"/>
        <v>0</v>
      </c>
      <c r="V33" s="23">
        <f t="shared" si="5"/>
        <v>0</v>
      </c>
      <c r="W33" s="23">
        <f t="shared" si="5"/>
        <v>0</v>
      </c>
      <c r="X33" s="23">
        <f t="shared" si="5"/>
        <v>0</v>
      </c>
      <c r="Y33" s="23">
        <f t="shared" si="5"/>
        <v>47.8</v>
      </c>
      <c r="Z33" s="23">
        <f t="shared" si="5"/>
        <v>132</v>
      </c>
      <c r="AA33" s="23">
        <f t="shared" si="5"/>
        <v>0</v>
      </c>
      <c r="AB33" s="23">
        <f t="shared" ref="AB33:AE33" si="20">IF(VLOOKUP(AB$13,$C$15:$J$92,3,FALSE) &lt;&gt; "Incineration", IF(DATEDIF(VLOOKUP(AB$13,$C$15:$J$92,7,FALSE),$O33,"y")&gt;=$P$11,0,VLOOKUP(AB$13,$C$15:$J$92,5,FALSE)), VLOOKUP(AB$13,$C$15:$J$92,5,FALSE))</f>
        <v>0</v>
      </c>
      <c r="AC33" s="23">
        <f t="shared" si="20"/>
        <v>0</v>
      </c>
      <c r="AD33" s="23">
        <f t="shared" si="20"/>
        <v>0</v>
      </c>
      <c r="AE33" s="23">
        <f t="shared" si="20"/>
        <v>0</v>
      </c>
      <c r="AF33" s="23">
        <f t="shared" si="18"/>
        <v>0</v>
      </c>
      <c r="AG33" s="23">
        <f t="shared" si="18"/>
        <v>0</v>
      </c>
      <c r="AH33" s="23">
        <f t="shared" si="18"/>
        <v>55</v>
      </c>
      <c r="AI33" s="23">
        <f t="shared" si="18"/>
        <v>0</v>
      </c>
      <c r="AJ33" s="23">
        <f t="shared" si="18"/>
        <v>0</v>
      </c>
      <c r="AK33" s="23">
        <f t="shared" si="18"/>
        <v>0</v>
      </c>
      <c r="AL33" s="23">
        <f t="shared" si="18"/>
        <v>0</v>
      </c>
      <c r="AM33" s="23">
        <f t="shared" si="18"/>
        <v>0</v>
      </c>
      <c r="AN33" s="23">
        <f t="shared" si="18"/>
        <v>0</v>
      </c>
      <c r="AO33" s="23">
        <f t="shared" si="18"/>
        <v>0</v>
      </c>
      <c r="AP33" s="23">
        <f t="shared" si="18"/>
        <v>0</v>
      </c>
      <c r="AQ33" s="23">
        <f t="shared" si="18"/>
        <v>0</v>
      </c>
      <c r="AR33" s="23">
        <f t="shared" si="18"/>
        <v>47</v>
      </c>
      <c r="AS33" s="23">
        <f t="shared" si="18"/>
        <v>47</v>
      </c>
      <c r="AT33" s="23">
        <f t="shared" si="18"/>
        <v>0</v>
      </c>
      <c r="AU33" s="23">
        <f t="shared" si="18"/>
        <v>0</v>
      </c>
      <c r="AV33" s="23">
        <f t="shared" si="15"/>
        <v>0</v>
      </c>
      <c r="AW33" s="23">
        <f t="shared" si="15"/>
        <v>0</v>
      </c>
      <c r="AX33" s="23">
        <f t="shared" si="15"/>
        <v>0</v>
      </c>
      <c r="AY33" s="23">
        <f t="shared" si="15"/>
        <v>0</v>
      </c>
      <c r="AZ33" s="23">
        <f t="shared" si="15"/>
        <v>0</v>
      </c>
      <c r="BA33" s="23">
        <f t="shared" si="15"/>
        <v>0</v>
      </c>
      <c r="BB33" s="23">
        <f t="shared" si="15"/>
        <v>0</v>
      </c>
      <c r="BC33" s="23">
        <f t="shared" si="15"/>
        <v>22</v>
      </c>
      <c r="BD33" s="23">
        <f t="shared" si="15"/>
        <v>395.7</v>
      </c>
      <c r="BE33" s="23">
        <f t="shared" si="15"/>
        <v>0</v>
      </c>
      <c r="BF33" s="23">
        <f t="shared" si="16"/>
        <v>0</v>
      </c>
      <c r="BG33" s="23">
        <f t="shared" si="16"/>
        <v>37.5</v>
      </c>
      <c r="BH33" s="23">
        <f t="shared" si="16"/>
        <v>37.5</v>
      </c>
      <c r="BI33" s="23">
        <f t="shared" si="16"/>
        <v>1.95</v>
      </c>
      <c r="BJ33" s="23">
        <f t="shared" si="16"/>
        <v>68.19</v>
      </c>
      <c r="BK33" s="23">
        <f t="shared" si="16"/>
        <v>68.19</v>
      </c>
      <c r="BL33" s="23">
        <f t="shared" si="16"/>
        <v>40</v>
      </c>
      <c r="BM33" s="23">
        <f t="shared" si="16"/>
        <v>14</v>
      </c>
      <c r="BN33" s="23">
        <f t="shared" si="16"/>
        <v>439.33333333333331</v>
      </c>
      <c r="BO33" s="23">
        <f t="shared" si="16"/>
        <v>439.33333333333331</v>
      </c>
      <c r="BP33" s="23">
        <f t="shared" si="16"/>
        <v>439.33333333333331</v>
      </c>
      <c r="BQ33" s="23">
        <f t="shared" si="16"/>
        <v>100</v>
      </c>
      <c r="BR33" s="23">
        <f t="shared" si="16"/>
        <v>100</v>
      </c>
      <c r="BS33" s="23">
        <f t="shared" si="16"/>
        <v>100</v>
      </c>
      <c r="BT33" s="23">
        <f t="shared" si="16"/>
        <v>100</v>
      </c>
      <c r="BU33" s="23">
        <f t="shared" si="16"/>
        <v>100</v>
      </c>
      <c r="BV33" s="23">
        <f t="shared" si="17"/>
        <v>200</v>
      </c>
      <c r="BW33" s="23">
        <f t="shared" si="17"/>
        <v>200</v>
      </c>
      <c r="BX33" s="23">
        <f t="shared" si="17"/>
        <v>200</v>
      </c>
      <c r="BY33" s="23">
        <f t="shared" si="17"/>
        <v>200</v>
      </c>
      <c r="BZ33" s="23">
        <f t="shared" si="17"/>
        <v>200</v>
      </c>
      <c r="CA33" s="23">
        <f t="shared" si="17"/>
        <v>200</v>
      </c>
      <c r="CB33" s="23">
        <f t="shared" si="17"/>
        <v>200</v>
      </c>
      <c r="CC33" s="23">
        <f t="shared" si="17"/>
        <v>200</v>
      </c>
      <c r="CD33" s="23">
        <f t="shared" si="17"/>
        <v>200</v>
      </c>
      <c r="CE33" s="23">
        <f t="shared" si="17"/>
        <v>200</v>
      </c>
      <c r="CF33" s="23">
        <f t="shared" si="17"/>
        <v>200</v>
      </c>
      <c r="CG33" s="23" t="e">
        <f t="shared" si="17"/>
        <v>#NUM!</v>
      </c>
      <c r="CH33" s="23" t="e">
        <f t="shared" si="17"/>
        <v>#NUM!</v>
      </c>
      <c r="CI33" s="23" t="e">
        <f t="shared" si="17"/>
        <v>#NUM!</v>
      </c>
      <c r="CJ33" s="23" t="e">
        <f t="shared" si="17"/>
        <v>#NUM!</v>
      </c>
      <c r="CK33" s="23" t="e">
        <f t="shared" si="17"/>
        <v>#NUM!</v>
      </c>
      <c r="CL33" s="23" t="e">
        <f t="shared" si="19"/>
        <v>#NUM!</v>
      </c>
      <c r="CM33" s="23" t="e">
        <f t="shared" si="19"/>
        <v>#NUM!</v>
      </c>
      <c r="CN33" s="23" t="e">
        <f t="shared" si="19"/>
        <v>#NUM!</v>
      </c>
      <c r="CO33" s="23" t="e">
        <f t="shared" si="19"/>
        <v>#NUM!</v>
      </c>
      <c r="CP33" s="23">
        <f t="shared" si="2"/>
        <v>1013.8300000000002</v>
      </c>
      <c r="CQ33" s="67">
        <f t="shared" si="11"/>
        <v>6.2683172619102598E-2</v>
      </c>
      <c r="CR33" s="67">
        <v>0.85</v>
      </c>
      <c r="CS33" s="80">
        <f t="shared" si="6"/>
        <v>1128.7527206510256</v>
      </c>
      <c r="CT33" s="81">
        <f t="shared" si="3"/>
        <v>959.43981255337167</v>
      </c>
      <c r="CU33" s="23">
        <f t="shared" si="4"/>
        <v>5031.83</v>
      </c>
      <c r="CV33" s="67">
        <f t="shared" si="11"/>
        <v>-2.6981629225063895E-2</v>
      </c>
      <c r="CW33" s="80">
        <f t="shared" si="12"/>
        <v>5602.2131938820621</v>
      </c>
      <c r="CX33" s="81">
        <f t="shared" si="7"/>
        <v>4761.8812147997523</v>
      </c>
      <c r="CY33" s="65">
        <f>'Base Model'!J43*1000/365/24</f>
        <v>8303.6525258398833</v>
      </c>
      <c r="CZ33" s="65">
        <f>'Sensitivity - Population'!S32 + 'Sensitivity - GDP'!P33 +'Sensitivity - GDP'!P95</f>
        <v>75766.708771333448</v>
      </c>
      <c r="DA33" s="65">
        <f t="shared" si="8"/>
        <v>8649.1676679604388</v>
      </c>
      <c r="DB33" s="65">
        <f>'Sensitivity - Population'!E32+'Sensitivity - GDP'!D33+'Sensitivity - GDP'!D95</f>
        <v>69744.57795226993</v>
      </c>
      <c r="DC33" s="65">
        <f t="shared" si="9"/>
        <v>7961.7098119029597</v>
      </c>
      <c r="EQ33" s="92"/>
    </row>
    <row r="34" spans="2:147" x14ac:dyDescent="0.35">
      <c r="B34" s="90"/>
      <c r="C34" s="23">
        <v>20</v>
      </c>
      <c r="D34" s="23" t="s">
        <v>181</v>
      </c>
      <c r="E34" s="23" t="s">
        <v>154</v>
      </c>
      <c r="F34" s="23" t="s">
        <v>182</v>
      </c>
      <c r="G34" s="23">
        <v>262</v>
      </c>
      <c r="H34" s="23"/>
      <c r="I34" s="82">
        <v>35217</v>
      </c>
      <c r="J34" s="83">
        <f t="shared" ca="1" si="10"/>
        <v>25.723287671232878</v>
      </c>
      <c r="K34" s="23"/>
      <c r="L34" s="92"/>
      <c r="N34" s="90"/>
      <c r="O34" s="79">
        <v>51866</v>
      </c>
      <c r="P34" s="23">
        <f t="shared" ref="P34:AE43" si="21">IF(VLOOKUP(P$13,$C$15:$J$92,3,FALSE) &lt;&gt; "Incineration", IF(DATEDIF(VLOOKUP(P$13,$C$15:$J$92,7,FALSE),$O34,"y")&gt;=$P$11,0,VLOOKUP(P$13,$C$15:$J$92,5,FALSE)), VLOOKUP(P$13,$C$15:$J$92,5,FALSE))</f>
        <v>0</v>
      </c>
      <c r="Q34" s="23">
        <f t="shared" si="21"/>
        <v>0</v>
      </c>
      <c r="R34" s="23">
        <f t="shared" si="21"/>
        <v>0</v>
      </c>
      <c r="S34" s="23">
        <f t="shared" si="21"/>
        <v>0</v>
      </c>
      <c r="T34" s="23">
        <f t="shared" si="21"/>
        <v>0</v>
      </c>
      <c r="U34" s="23">
        <f t="shared" si="21"/>
        <v>0</v>
      </c>
      <c r="V34" s="23">
        <f t="shared" si="21"/>
        <v>0</v>
      </c>
      <c r="W34" s="23">
        <f t="shared" si="21"/>
        <v>0</v>
      </c>
      <c r="X34" s="23">
        <f t="shared" si="21"/>
        <v>0</v>
      </c>
      <c r="Y34" s="23">
        <f t="shared" si="21"/>
        <v>47.8</v>
      </c>
      <c r="Z34" s="23">
        <f t="shared" si="21"/>
        <v>132</v>
      </c>
      <c r="AA34" s="23">
        <f t="shared" si="21"/>
        <v>0</v>
      </c>
      <c r="AB34" s="23">
        <f t="shared" si="21"/>
        <v>0</v>
      </c>
      <c r="AC34" s="23">
        <f t="shared" si="21"/>
        <v>0</v>
      </c>
      <c r="AD34" s="23">
        <f t="shared" si="21"/>
        <v>0</v>
      </c>
      <c r="AE34" s="23">
        <f t="shared" si="21"/>
        <v>0</v>
      </c>
      <c r="AF34" s="23">
        <f t="shared" si="18"/>
        <v>0</v>
      </c>
      <c r="AG34" s="23">
        <f t="shared" si="18"/>
        <v>0</v>
      </c>
      <c r="AH34" s="23">
        <f t="shared" si="18"/>
        <v>55</v>
      </c>
      <c r="AI34" s="23">
        <f t="shared" si="18"/>
        <v>0</v>
      </c>
      <c r="AJ34" s="23">
        <f t="shared" si="18"/>
        <v>0</v>
      </c>
      <c r="AK34" s="23">
        <f t="shared" si="18"/>
        <v>0</v>
      </c>
      <c r="AL34" s="23">
        <f t="shared" si="18"/>
        <v>0</v>
      </c>
      <c r="AM34" s="23">
        <f t="shared" si="18"/>
        <v>0</v>
      </c>
      <c r="AN34" s="23">
        <f t="shared" si="18"/>
        <v>0</v>
      </c>
      <c r="AO34" s="23">
        <f t="shared" si="18"/>
        <v>0</v>
      </c>
      <c r="AP34" s="23">
        <f t="shared" si="18"/>
        <v>0</v>
      </c>
      <c r="AQ34" s="23">
        <f t="shared" si="18"/>
        <v>0</v>
      </c>
      <c r="AR34" s="23">
        <f t="shared" si="18"/>
        <v>47</v>
      </c>
      <c r="AS34" s="23">
        <f t="shared" si="18"/>
        <v>47</v>
      </c>
      <c r="AT34" s="23">
        <f t="shared" si="18"/>
        <v>0</v>
      </c>
      <c r="AU34" s="23">
        <f t="shared" si="18"/>
        <v>0</v>
      </c>
      <c r="AV34" s="23">
        <f t="shared" si="15"/>
        <v>0</v>
      </c>
      <c r="AW34" s="23">
        <f t="shared" si="15"/>
        <v>0</v>
      </c>
      <c r="AX34" s="23">
        <f t="shared" si="15"/>
        <v>0</v>
      </c>
      <c r="AY34" s="23">
        <f t="shared" si="15"/>
        <v>0</v>
      </c>
      <c r="AZ34" s="23">
        <f t="shared" si="15"/>
        <v>0</v>
      </c>
      <c r="BA34" s="23">
        <f t="shared" si="15"/>
        <v>0</v>
      </c>
      <c r="BB34" s="23">
        <f t="shared" si="15"/>
        <v>0</v>
      </c>
      <c r="BC34" s="23">
        <f t="shared" si="15"/>
        <v>22</v>
      </c>
      <c r="BD34" s="23">
        <f t="shared" si="15"/>
        <v>0</v>
      </c>
      <c r="BE34" s="23">
        <f t="shared" si="15"/>
        <v>0</v>
      </c>
      <c r="BF34" s="23">
        <f t="shared" si="16"/>
        <v>0</v>
      </c>
      <c r="BG34" s="23">
        <f t="shared" si="16"/>
        <v>37.5</v>
      </c>
      <c r="BH34" s="23">
        <f t="shared" si="16"/>
        <v>37.5</v>
      </c>
      <c r="BI34" s="23">
        <f t="shared" si="16"/>
        <v>1.95</v>
      </c>
      <c r="BJ34" s="23">
        <f t="shared" si="16"/>
        <v>68.19</v>
      </c>
      <c r="BK34" s="23">
        <f t="shared" si="16"/>
        <v>68.19</v>
      </c>
      <c r="BL34" s="23">
        <f t="shared" si="16"/>
        <v>40</v>
      </c>
      <c r="BM34" s="23">
        <f t="shared" si="16"/>
        <v>14</v>
      </c>
      <c r="BN34" s="23">
        <f t="shared" si="16"/>
        <v>439.33333333333331</v>
      </c>
      <c r="BO34" s="23">
        <f t="shared" si="16"/>
        <v>439.33333333333331</v>
      </c>
      <c r="BP34" s="23">
        <f t="shared" si="16"/>
        <v>439.33333333333331</v>
      </c>
      <c r="BQ34" s="23">
        <f t="shared" si="16"/>
        <v>100</v>
      </c>
      <c r="BR34" s="23">
        <f t="shared" si="16"/>
        <v>100</v>
      </c>
      <c r="BS34" s="23">
        <f t="shared" si="16"/>
        <v>100</v>
      </c>
      <c r="BT34" s="23">
        <f t="shared" si="16"/>
        <v>100</v>
      </c>
      <c r="BU34" s="23">
        <f t="shared" si="16"/>
        <v>100</v>
      </c>
      <c r="BV34" s="23">
        <f t="shared" si="17"/>
        <v>200</v>
      </c>
      <c r="BW34" s="23">
        <f t="shared" si="17"/>
        <v>200</v>
      </c>
      <c r="BX34" s="23">
        <f t="shared" si="17"/>
        <v>200</v>
      </c>
      <c r="BY34" s="23">
        <f t="shared" si="17"/>
        <v>200</v>
      </c>
      <c r="BZ34" s="23">
        <f t="shared" si="17"/>
        <v>200</v>
      </c>
      <c r="CA34" s="23">
        <f t="shared" si="17"/>
        <v>200</v>
      </c>
      <c r="CB34" s="23">
        <f t="shared" si="17"/>
        <v>200</v>
      </c>
      <c r="CC34" s="23">
        <f t="shared" si="17"/>
        <v>200</v>
      </c>
      <c r="CD34" s="23">
        <f t="shared" si="17"/>
        <v>200</v>
      </c>
      <c r="CE34" s="23">
        <f t="shared" si="17"/>
        <v>200</v>
      </c>
      <c r="CF34" s="23">
        <f t="shared" si="17"/>
        <v>200</v>
      </c>
      <c r="CG34" s="23">
        <f t="shared" si="17"/>
        <v>200</v>
      </c>
      <c r="CH34" s="23" t="e">
        <f t="shared" si="17"/>
        <v>#NUM!</v>
      </c>
      <c r="CI34" s="23" t="e">
        <f t="shared" si="17"/>
        <v>#NUM!</v>
      </c>
      <c r="CJ34" s="23" t="e">
        <f t="shared" si="17"/>
        <v>#NUM!</v>
      </c>
      <c r="CK34" s="23" t="e">
        <f t="shared" si="17"/>
        <v>#NUM!</v>
      </c>
      <c r="CL34" s="23" t="e">
        <f t="shared" si="19"/>
        <v>#NUM!</v>
      </c>
      <c r="CM34" s="23" t="e">
        <f t="shared" si="19"/>
        <v>#NUM!</v>
      </c>
      <c r="CN34" s="23" t="e">
        <f t="shared" si="19"/>
        <v>#NUM!</v>
      </c>
      <c r="CO34" s="23" t="e">
        <f t="shared" si="19"/>
        <v>#NUM!</v>
      </c>
      <c r="CP34" s="23">
        <f t="shared" si="2"/>
        <v>618.13</v>
      </c>
      <c r="CQ34" s="67">
        <f t="shared" si="11"/>
        <v>0.39030212165747719</v>
      </c>
      <c r="CR34" s="67">
        <v>0.85</v>
      </c>
      <c r="CS34" s="80">
        <f t="shared" si="6"/>
        <v>688.19813895428069</v>
      </c>
      <c r="CT34" s="81">
        <f t="shared" si="3"/>
        <v>584.96841811113859</v>
      </c>
      <c r="CU34" s="23">
        <f t="shared" si="4"/>
        <v>4836.13</v>
      </c>
      <c r="CV34" s="67">
        <f t="shared" si="11"/>
        <v>3.8892410912133323E-2</v>
      </c>
      <c r="CW34" s="80">
        <f t="shared" si="12"/>
        <v>5384.3296163282257</v>
      </c>
      <c r="CX34" s="81">
        <f t="shared" si="7"/>
        <v>4576.6801738789918</v>
      </c>
      <c r="CY34" s="65">
        <f>'Base Model'!J44*1000/365/24</f>
        <v>8420.1965214353331</v>
      </c>
      <c r="CZ34" s="65">
        <f>'Sensitivity - Population'!S33 + 'Sensitivity - GDP'!P34 +'Sensitivity - GDP'!P96</f>
        <v>76875.971689543556</v>
      </c>
      <c r="DA34" s="65">
        <f t="shared" si="8"/>
        <v>8775.7958549707255</v>
      </c>
      <c r="DB34" s="65">
        <f>'Sensitivity - Population'!E33+'Sensitivity - GDP'!D34+'Sensitivity - GDP'!D96</f>
        <v>70734.179342616902</v>
      </c>
      <c r="DC34" s="65">
        <f t="shared" si="9"/>
        <v>8074.678007148048</v>
      </c>
      <c r="EQ34" s="92"/>
    </row>
    <row r="35" spans="2:147" x14ac:dyDescent="0.35">
      <c r="B35" s="90"/>
      <c r="C35" s="23">
        <v>21</v>
      </c>
      <c r="D35" s="23" t="s">
        <v>181</v>
      </c>
      <c r="E35" s="23" t="s">
        <v>154</v>
      </c>
      <c r="F35" s="23" t="s">
        <v>183</v>
      </c>
      <c r="G35" s="23">
        <v>425</v>
      </c>
      <c r="H35" s="23"/>
      <c r="I35" s="82">
        <v>35309</v>
      </c>
      <c r="J35" s="83">
        <f t="shared" ca="1" si="10"/>
        <v>25.471232876712328</v>
      </c>
      <c r="K35" s="23"/>
      <c r="L35" s="92"/>
      <c r="N35" s="90"/>
      <c r="O35" s="79">
        <v>52231</v>
      </c>
      <c r="P35" s="23">
        <f t="shared" si="21"/>
        <v>0</v>
      </c>
      <c r="Q35" s="23">
        <f t="shared" si="21"/>
        <v>0</v>
      </c>
      <c r="R35" s="23">
        <f t="shared" si="21"/>
        <v>0</v>
      </c>
      <c r="S35" s="23">
        <f t="shared" si="21"/>
        <v>0</v>
      </c>
      <c r="T35" s="23">
        <f t="shared" si="21"/>
        <v>0</v>
      </c>
      <c r="U35" s="23">
        <f t="shared" si="21"/>
        <v>0</v>
      </c>
      <c r="V35" s="23">
        <f t="shared" si="21"/>
        <v>0</v>
      </c>
      <c r="W35" s="23">
        <f t="shared" si="21"/>
        <v>0</v>
      </c>
      <c r="X35" s="23">
        <f t="shared" si="21"/>
        <v>0</v>
      </c>
      <c r="Y35" s="23">
        <f t="shared" si="21"/>
        <v>47.8</v>
      </c>
      <c r="Z35" s="23">
        <f t="shared" si="21"/>
        <v>132</v>
      </c>
      <c r="AA35" s="23">
        <f t="shared" si="21"/>
        <v>0</v>
      </c>
      <c r="AB35" s="23">
        <f t="shared" si="21"/>
        <v>0</v>
      </c>
      <c r="AC35" s="23">
        <f t="shared" si="21"/>
        <v>0</v>
      </c>
      <c r="AD35" s="23">
        <f t="shared" si="21"/>
        <v>0</v>
      </c>
      <c r="AE35" s="23">
        <f t="shared" si="21"/>
        <v>0</v>
      </c>
      <c r="AF35" s="23">
        <f t="shared" si="18"/>
        <v>0</v>
      </c>
      <c r="AG35" s="23">
        <f t="shared" si="18"/>
        <v>0</v>
      </c>
      <c r="AH35" s="23">
        <f t="shared" si="18"/>
        <v>55</v>
      </c>
      <c r="AI35" s="23">
        <f t="shared" si="18"/>
        <v>0</v>
      </c>
      <c r="AJ35" s="23">
        <f t="shared" si="18"/>
        <v>0</v>
      </c>
      <c r="AK35" s="23">
        <f t="shared" si="18"/>
        <v>0</v>
      </c>
      <c r="AL35" s="23">
        <f t="shared" si="18"/>
        <v>0</v>
      </c>
      <c r="AM35" s="23">
        <f t="shared" si="18"/>
        <v>0</v>
      </c>
      <c r="AN35" s="23">
        <f t="shared" si="18"/>
        <v>0</v>
      </c>
      <c r="AO35" s="23">
        <f t="shared" si="18"/>
        <v>0</v>
      </c>
      <c r="AP35" s="23">
        <f t="shared" si="18"/>
        <v>0</v>
      </c>
      <c r="AQ35" s="23">
        <f t="shared" si="18"/>
        <v>0</v>
      </c>
      <c r="AR35" s="23">
        <f t="shared" si="18"/>
        <v>47</v>
      </c>
      <c r="AS35" s="23">
        <f t="shared" si="18"/>
        <v>0</v>
      </c>
      <c r="AT35" s="23">
        <f t="shared" si="18"/>
        <v>0</v>
      </c>
      <c r="AU35" s="23">
        <f t="shared" si="18"/>
        <v>0</v>
      </c>
      <c r="AV35" s="23">
        <f t="shared" si="15"/>
        <v>0</v>
      </c>
      <c r="AW35" s="23">
        <f t="shared" si="15"/>
        <v>0</v>
      </c>
      <c r="AX35" s="23">
        <f t="shared" si="15"/>
        <v>0</v>
      </c>
      <c r="AY35" s="23">
        <f t="shared" si="15"/>
        <v>0</v>
      </c>
      <c r="AZ35" s="23">
        <f t="shared" si="15"/>
        <v>0</v>
      </c>
      <c r="BA35" s="23">
        <f t="shared" si="15"/>
        <v>0</v>
      </c>
      <c r="BB35" s="23">
        <f t="shared" si="15"/>
        <v>0</v>
      </c>
      <c r="BC35" s="23">
        <f t="shared" si="15"/>
        <v>22</v>
      </c>
      <c r="BD35" s="23">
        <f t="shared" si="15"/>
        <v>0</v>
      </c>
      <c r="BE35" s="23">
        <f t="shared" si="15"/>
        <v>0</v>
      </c>
      <c r="BF35" s="23">
        <f t="shared" si="16"/>
        <v>0</v>
      </c>
      <c r="BG35" s="23">
        <f t="shared" si="16"/>
        <v>0</v>
      </c>
      <c r="BH35" s="23">
        <f t="shared" si="16"/>
        <v>0</v>
      </c>
      <c r="BI35" s="23">
        <f t="shared" si="16"/>
        <v>0</v>
      </c>
      <c r="BJ35" s="23">
        <f t="shared" si="16"/>
        <v>68.19</v>
      </c>
      <c r="BK35" s="23">
        <f t="shared" si="16"/>
        <v>68.19</v>
      </c>
      <c r="BL35" s="23">
        <f t="shared" si="16"/>
        <v>40</v>
      </c>
      <c r="BM35" s="23">
        <f t="shared" si="16"/>
        <v>14</v>
      </c>
      <c r="BN35" s="23">
        <f t="shared" si="16"/>
        <v>439.33333333333331</v>
      </c>
      <c r="BO35" s="23">
        <f t="shared" si="16"/>
        <v>439.33333333333331</v>
      </c>
      <c r="BP35" s="23">
        <f t="shared" si="16"/>
        <v>439.33333333333331</v>
      </c>
      <c r="BQ35" s="23">
        <f t="shared" si="16"/>
        <v>100</v>
      </c>
      <c r="BR35" s="23">
        <f t="shared" si="16"/>
        <v>100</v>
      </c>
      <c r="BS35" s="23">
        <f t="shared" si="16"/>
        <v>100</v>
      </c>
      <c r="BT35" s="23">
        <f t="shared" si="16"/>
        <v>100</v>
      </c>
      <c r="BU35" s="23">
        <f t="shared" si="16"/>
        <v>100</v>
      </c>
      <c r="BV35" s="23">
        <f t="shared" si="17"/>
        <v>200</v>
      </c>
      <c r="BW35" s="23">
        <f t="shared" si="17"/>
        <v>200</v>
      </c>
      <c r="BX35" s="23">
        <f t="shared" si="17"/>
        <v>200</v>
      </c>
      <c r="BY35" s="23">
        <f t="shared" si="17"/>
        <v>200</v>
      </c>
      <c r="BZ35" s="23">
        <f t="shared" si="17"/>
        <v>200</v>
      </c>
      <c r="CA35" s="23">
        <f t="shared" si="17"/>
        <v>200</v>
      </c>
      <c r="CB35" s="23">
        <f t="shared" si="17"/>
        <v>200</v>
      </c>
      <c r="CC35" s="23">
        <f t="shared" si="17"/>
        <v>200</v>
      </c>
      <c r="CD35" s="23">
        <f t="shared" si="17"/>
        <v>200</v>
      </c>
      <c r="CE35" s="23">
        <f t="shared" si="17"/>
        <v>200</v>
      </c>
      <c r="CF35" s="23">
        <f t="shared" si="17"/>
        <v>200</v>
      </c>
      <c r="CG35" s="23">
        <f t="shared" si="17"/>
        <v>200</v>
      </c>
      <c r="CH35" s="23">
        <f t="shared" si="17"/>
        <v>200</v>
      </c>
      <c r="CI35" s="23" t="e">
        <f t="shared" si="17"/>
        <v>#NUM!</v>
      </c>
      <c r="CJ35" s="23" t="e">
        <f t="shared" si="17"/>
        <v>#NUM!</v>
      </c>
      <c r="CK35" s="23" t="e">
        <f t="shared" si="17"/>
        <v>#NUM!</v>
      </c>
      <c r="CL35" s="23" t="e">
        <f t="shared" si="19"/>
        <v>#NUM!</v>
      </c>
      <c r="CM35" s="23" t="e">
        <f t="shared" si="19"/>
        <v>#NUM!</v>
      </c>
      <c r="CN35" s="23" t="e">
        <f t="shared" si="19"/>
        <v>#NUM!</v>
      </c>
      <c r="CO35" s="23" t="e">
        <f t="shared" si="19"/>
        <v>#NUM!</v>
      </c>
      <c r="CP35" s="23">
        <f t="shared" si="2"/>
        <v>494.18</v>
      </c>
      <c r="CQ35" s="67">
        <f t="shared" si="11"/>
        <v>0.20052416158413278</v>
      </c>
      <c r="CR35" s="67">
        <v>0.85</v>
      </c>
      <c r="CS35" s="80">
        <f t="shared" si="6"/>
        <v>550.19778413671304</v>
      </c>
      <c r="CT35" s="81">
        <f t="shared" si="3"/>
        <v>467.66811651620606</v>
      </c>
      <c r="CU35" s="23">
        <f t="shared" si="4"/>
        <v>4912.18</v>
      </c>
      <c r="CV35" s="67">
        <f t="shared" si="11"/>
        <v>-1.5725383726243956E-2</v>
      </c>
      <c r="CW35" s="80">
        <f t="shared" si="12"/>
        <v>5469.0002656535662</v>
      </c>
      <c r="CX35" s="81">
        <f t="shared" si="7"/>
        <v>4648.6502258055316</v>
      </c>
      <c r="CY35" s="65">
        <f>'Base Model'!J45*1000/365/24</f>
        <v>8536.615434436937</v>
      </c>
      <c r="CZ35" s="65">
        <f>'Sensitivity - Population'!S34 + 'Sensitivity - GDP'!P35 +'Sensitivity - GDP'!P97</f>
        <v>77984.145597465336</v>
      </c>
      <c r="DA35" s="65">
        <f t="shared" si="8"/>
        <v>8902.2997257380521</v>
      </c>
      <c r="DB35" s="65">
        <f>'Sensitivity - Population'!E34+'Sensitivity - GDP'!D35+'Sensitivity - GDP'!D97</f>
        <v>71722.706832828175</v>
      </c>
      <c r="DC35" s="65">
        <f t="shared" si="9"/>
        <v>8187.5236110534452</v>
      </c>
      <c r="EQ35" s="92"/>
    </row>
    <row r="36" spans="2:147" x14ac:dyDescent="0.35">
      <c r="B36" s="90"/>
      <c r="C36" s="23">
        <v>22</v>
      </c>
      <c r="D36" s="23" t="s">
        <v>181</v>
      </c>
      <c r="E36" s="23" t="s">
        <v>154</v>
      </c>
      <c r="F36" s="23" t="s">
        <v>184</v>
      </c>
      <c r="G36" s="23">
        <v>365</v>
      </c>
      <c r="H36" s="23"/>
      <c r="I36" s="82">
        <v>37288</v>
      </c>
      <c r="J36" s="83">
        <f t="shared" ca="1" si="10"/>
        <v>20.049315068493151</v>
      </c>
      <c r="K36" s="23"/>
      <c r="L36" s="92"/>
      <c r="N36" s="90"/>
      <c r="O36" s="79">
        <v>52596</v>
      </c>
      <c r="P36" s="23">
        <f t="shared" si="21"/>
        <v>0</v>
      </c>
      <c r="Q36" s="23">
        <f t="shared" si="21"/>
        <v>0</v>
      </c>
      <c r="R36" s="23">
        <f t="shared" si="21"/>
        <v>0</v>
      </c>
      <c r="S36" s="23">
        <f t="shared" si="21"/>
        <v>0</v>
      </c>
      <c r="T36" s="23">
        <f t="shared" si="21"/>
        <v>0</v>
      </c>
      <c r="U36" s="23">
        <f t="shared" si="21"/>
        <v>0</v>
      </c>
      <c r="V36" s="23">
        <f t="shared" si="21"/>
        <v>0</v>
      </c>
      <c r="W36" s="23">
        <f t="shared" si="21"/>
        <v>0</v>
      </c>
      <c r="X36" s="23">
        <f t="shared" si="21"/>
        <v>0</v>
      </c>
      <c r="Y36" s="23">
        <f t="shared" si="21"/>
        <v>47.8</v>
      </c>
      <c r="Z36" s="23">
        <f t="shared" si="21"/>
        <v>132</v>
      </c>
      <c r="AA36" s="23">
        <f t="shared" si="21"/>
        <v>0</v>
      </c>
      <c r="AB36" s="23">
        <f t="shared" si="21"/>
        <v>0</v>
      </c>
      <c r="AC36" s="23">
        <f t="shared" si="21"/>
        <v>0</v>
      </c>
      <c r="AD36" s="23">
        <f t="shared" si="21"/>
        <v>0</v>
      </c>
      <c r="AE36" s="23">
        <f t="shared" si="21"/>
        <v>0</v>
      </c>
      <c r="AF36" s="23">
        <f t="shared" si="18"/>
        <v>0</v>
      </c>
      <c r="AG36" s="23">
        <f t="shared" si="18"/>
        <v>0</v>
      </c>
      <c r="AH36" s="23">
        <f t="shared" si="18"/>
        <v>55</v>
      </c>
      <c r="AI36" s="23">
        <f t="shared" si="18"/>
        <v>0</v>
      </c>
      <c r="AJ36" s="23">
        <f t="shared" si="18"/>
        <v>0</v>
      </c>
      <c r="AK36" s="23">
        <f t="shared" si="18"/>
        <v>0</v>
      </c>
      <c r="AL36" s="23">
        <f t="shared" si="18"/>
        <v>0</v>
      </c>
      <c r="AM36" s="23">
        <f t="shared" si="18"/>
        <v>0</v>
      </c>
      <c r="AN36" s="23">
        <f t="shared" si="18"/>
        <v>0</v>
      </c>
      <c r="AO36" s="23">
        <f t="shared" si="18"/>
        <v>0</v>
      </c>
      <c r="AP36" s="23">
        <f t="shared" si="18"/>
        <v>0</v>
      </c>
      <c r="AQ36" s="23">
        <f t="shared" si="18"/>
        <v>0</v>
      </c>
      <c r="AR36" s="23">
        <f t="shared" si="18"/>
        <v>0</v>
      </c>
      <c r="AS36" s="23">
        <f t="shared" si="18"/>
        <v>0</v>
      </c>
      <c r="AT36" s="23">
        <f t="shared" si="18"/>
        <v>0</v>
      </c>
      <c r="AU36" s="23">
        <f t="shared" si="18"/>
        <v>0</v>
      </c>
      <c r="AV36" s="23">
        <f t="shared" si="15"/>
        <v>0</v>
      </c>
      <c r="AW36" s="23">
        <f t="shared" si="15"/>
        <v>0</v>
      </c>
      <c r="AX36" s="23">
        <f t="shared" si="15"/>
        <v>0</v>
      </c>
      <c r="AY36" s="23">
        <f t="shared" si="15"/>
        <v>0</v>
      </c>
      <c r="AZ36" s="23">
        <f t="shared" si="15"/>
        <v>0</v>
      </c>
      <c r="BA36" s="23">
        <f t="shared" si="15"/>
        <v>0</v>
      </c>
      <c r="BB36" s="23">
        <f t="shared" si="15"/>
        <v>0</v>
      </c>
      <c r="BC36" s="23">
        <f t="shared" si="15"/>
        <v>22</v>
      </c>
      <c r="BD36" s="23">
        <f t="shared" si="15"/>
        <v>0</v>
      </c>
      <c r="BE36" s="23">
        <f t="shared" si="15"/>
        <v>0</v>
      </c>
      <c r="BF36" s="23">
        <f t="shared" si="16"/>
        <v>0</v>
      </c>
      <c r="BG36" s="23">
        <f t="shared" si="16"/>
        <v>0</v>
      </c>
      <c r="BH36" s="23">
        <f t="shared" si="16"/>
        <v>0</v>
      </c>
      <c r="BI36" s="23">
        <f t="shared" si="16"/>
        <v>0</v>
      </c>
      <c r="BJ36" s="23">
        <f t="shared" si="16"/>
        <v>68.19</v>
      </c>
      <c r="BK36" s="23">
        <f t="shared" si="16"/>
        <v>68.19</v>
      </c>
      <c r="BL36" s="23">
        <f t="shared" si="16"/>
        <v>40</v>
      </c>
      <c r="BM36" s="23">
        <f t="shared" si="16"/>
        <v>14</v>
      </c>
      <c r="BN36" s="23">
        <f t="shared" si="16"/>
        <v>439.33333333333331</v>
      </c>
      <c r="BO36" s="23">
        <f t="shared" si="16"/>
        <v>439.33333333333331</v>
      </c>
      <c r="BP36" s="23">
        <f t="shared" si="16"/>
        <v>439.33333333333331</v>
      </c>
      <c r="BQ36" s="23">
        <f t="shared" si="16"/>
        <v>100</v>
      </c>
      <c r="BR36" s="23">
        <f t="shared" si="16"/>
        <v>100</v>
      </c>
      <c r="BS36" s="23">
        <f t="shared" si="16"/>
        <v>100</v>
      </c>
      <c r="BT36" s="23">
        <f t="shared" si="16"/>
        <v>100</v>
      </c>
      <c r="BU36" s="23">
        <f t="shared" si="16"/>
        <v>100</v>
      </c>
      <c r="BV36" s="23">
        <f t="shared" si="17"/>
        <v>200</v>
      </c>
      <c r="BW36" s="23">
        <f t="shared" si="17"/>
        <v>200</v>
      </c>
      <c r="BX36" s="23">
        <f t="shared" si="17"/>
        <v>200</v>
      </c>
      <c r="BY36" s="23">
        <f t="shared" si="17"/>
        <v>200</v>
      </c>
      <c r="BZ36" s="23">
        <f t="shared" si="17"/>
        <v>200</v>
      </c>
      <c r="CA36" s="23">
        <f t="shared" si="17"/>
        <v>200</v>
      </c>
      <c r="CB36" s="23">
        <f t="shared" si="17"/>
        <v>200</v>
      </c>
      <c r="CC36" s="23">
        <f t="shared" si="17"/>
        <v>200</v>
      </c>
      <c r="CD36" s="23">
        <f t="shared" si="17"/>
        <v>200</v>
      </c>
      <c r="CE36" s="23">
        <f t="shared" si="17"/>
        <v>200</v>
      </c>
      <c r="CF36" s="23">
        <f t="shared" si="17"/>
        <v>200</v>
      </c>
      <c r="CG36" s="23">
        <f t="shared" si="17"/>
        <v>200</v>
      </c>
      <c r="CH36" s="23">
        <f t="shared" si="17"/>
        <v>200</v>
      </c>
      <c r="CI36" s="23">
        <f t="shared" si="17"/>
        <v>200</v>
      </c>
      <c r="CJ36" s="23" t="e">
        <f t="shared" si="17"/>
        <v>#NUM!</v>
      </c>
      <c r="CK36" s="23" t="e">
        <f t="shared" si="17"/>
        <v>#NUM!</v>
      </c>
      <c r="CL36" s="23" t="e">
        <f t="shared" si="19"/>
        <v>#NUM!</v>
      </c>
      <c r="CM36" s="23" t="e">
        <f t="shared" si="19"/>
        <v>#NUM!</v>
      </c>
      <c r="CN36" s="23" t="e">
        <f t="shared" si="19"/>
        <v>#NUM!</v>
      </c>
      <c r="CO36" s="23" t="e">
        <f t="shared" si="19"/>
        <v>#NUM!</v>
      </c>
      <c r="CP36" s="23">
        <f t="shared" si="2"/>
        <v>447.18</v>
      </c>
      <c r="CQ36" s="67">
        <f t="shared" si="11"/>
        <v>9.5107046015621838E-2</v>
      </c>
      <c r="CR36" s="67">
        <v>0.85</v>
      </c>
      <c r="CS36" s="80">
        <f t="shared" si="6"/>
        <v>497.87009816312951</v>
      </c>
      <c r="CT36" s="81">
        <f t="shared" si="3"/>
        <v>423.18958343866007</v>
      </c>
      <c r="CU36" s="23">
        <f t="shared" si="4"/>
        <v>5065.18</v>
      </c>
      <c r="CV36" s="67">
        <f t="shared" si="11"/>
        <v>-3.114706708630384E-2</v>
      </c>
      <c r="CW36" s="80">
        <f t="shared" si="12"/>
        <v>5639.3435838228916</v>
      </c>
      <c r="CX36" s="81">
        <f t="shared" si="7"/>
        <v>4793.4420462494581</v>
      </c>
      <c r="CY36" s="65">
        <f>'Base Model'!J46*1000/365/24</f>
        <v>8652.9074514115582</v>
      </c>
      <c r="CZ36" s="65">
        <f>'Sensitivity - Population'!S35 + 'Sensitivity - GDP'!P36 +'Sensitivity - GDP'!P98</f>
        <v>79091.213920353359</v>
      </c>
      <c r="DA36" s="65">
        <f t="shared" si="8"/>
        <v>9028.6773881681911</v>
      </c>
      <c r="DB36" s="65">
        <f>'Sensitivity - Population'!E35+'Sensitivity - GDP'!D36+'Sensitivity - GDP'!D98</f>
        <v>72710.144078134981</v>
      </c>
      <c r="DC36" s="65">
        <f t="shared" si="9"/>
        <v>8300.2447577779658</v>
      </c>
      <c r="EQ36" s="92"/>
    </row>
    <row r="37" spans="2:147" x14ac:dyDescent="0.35">
      <c r="B37" s="90"/>
      <c r="C37" s="23">
        <v>23</v>
      </c>
      <c r="D37" s="23" t="s">
        <v>181</v>
      </c>
      <c r="E37" s="23" t="s">
        <v>154</v>
      </c>
      <c r="F37" s="23" t="s">
        <v>185</v>
      </c>
      <c r="G37" s="23">
        <v>365</v>
      </c>
      <c r="H37" s="23"/>
      <c r="I37" s="82">
        <v>38169</v>
      </c>
      <c r="J37" s="83">
        <f t="shared" ca="1" si="10"/>
        <v>17.635616438356163</v>
      </c>
      <c r="K37" s="23"/>
      <c r="L37" s="92"/>
      <c r="N37" s="90"/>
      <c r="O37" s="79">
        <v>52962</v>
      </c>
      <c r="P37" s="23">
        <f t="shared" si="21"/>
        <v>0</v>
      </c>
      <c r="Q37" s="23">
        <f t="shared" si="21"/>
        <v>0</v>
      </c>
      <c r="R37" s="23">
        <f t="shared" si="21"/>
        <v>0</v>
      </c>
      <c r="S37" s="23">
        <f t="shared" si="21"/>
        <v>0</v>
      </c>
      <c r="T37" s="23">
        <f t="shared" si="21"/>
        <v>0</v>
      </c>
      <c r="U37" s="23">
        <f t="shared" si="21"/>
        <v>0</v>
      </c>
      <c r="V37" s="23">
        <f t="shared" si="21"/>
        <v>0</v>
      </c>
      <c r="W37" s="23">
        <f t="shared" si="21"/>
        <v>0</v>
      </c>
      <c r="X37" s="23">
        <f t="shared" si="21"/>
        <v>0</v>
      </c>
      <c r="Y37" s="23">
        <f t="shared" si="21"/>
        <v>47.8</v>
      </c>
      <c r="Z37" s="23">
        <f t="shared" si="21"/>
        <v>132</v>
      </c>
      <c r="AA37" s="23">
        <f t="shared" si="21"/>
        <v>0</v>
      </c>
      <c r="AB37" s="23">
        <f t="shared" si="21"/>
        <v>0</v>
      </c>
      <c r="AC37" s="23">
        <f t="shared" si="21"/>
        <v>0</v>
      </c>
      <c r="AD37" s="23">
        <f t="shared" si="21"/>
        <v>0</v>
      </c>
      <c r="AE37" s="23">
        <f t="shared" si="21"/>
        <v>0</v>
      </c>
      <c r="AF37" s="23">
        <f t="shared" si="18"/>
        <v>0</v>
      </c>
      <c r="AG37" s="23">
        <f t="shared" si="18"/>
        <v>0</v>
      </c>
      <c r="AH37" s="23">
        <f t="shared" si="18"/>
        <v>55</v>
      </c>
      <c r="AI37" s="23">
        <f t="shared" si="18"/>
        <v>0</v>
      </c>
      <c r="AJ37" s="23">
        <f t="shared" si="18"/>
        <v>0</v>
      </c>
      <c r="AK37" s="23">
        <f t="shared" si="18"/>
        <v>0</v>
      </c>
      <c r="AL37" s="23">
        <f t="shared" si="18"/>
        <v>0</v>
      </c>
      <c r="AM37" s="23">
        <f t="shared" si="18"/>
        <v>0</v>
      </c>
      <c r="AN37" s="23">
        <f t="shared" si="18"/>
        <v>0</v>
      </c>
      <c r="AO37" s="23">
        <f t="shared" si="18"/>
        <v>0</v>
      </c>
      <c r="AP37" s="23">
        <f t="shared" si="18"/>
        <v>0</v>
      </c>
      <c r="AQ37" s="23">
        <f t="shared" si="18"/>
        <v>0</v>
      </c>
      <c r="AR37" s="23">
        <f t="shared" si="18"/>
        <v>0</v>
      </c>
      <c r="AS37" s="23">
        <f t="shared" si="18"/>
        <v>0</v>
      </c>
      <c r="AT37" s="23">
        <f t="shared" si="18"/>
        <v>0</v>
      </c>
      <c r="AU37" s="23">
        <f t="shared" si="18"/>
        <v>0</v>
      </c>
      <c r="AV37" s="23">
        <f t="shared" si="15"/>
        <v>0</v>
      </c>
      <c r="AW37" s="23">
        <f t="shared" si="15"/>
        <v>0</v>
      </c>
      <c r="AX37" s="23">
        <f t="shared" si="15"/>
        <v>0</v>
      </c>
      <c r="AY37" s="23">
        <f t="shared" si="15"/>
        <v>0</v>
      </c>
      <c r="AZ37" s="23">
        <f t="shared" si="15"/>
        <v>0</v>
      </c>
      <c r="BA37" s="23">
        <f t="shared" si="15"/>
        <v>0</v>
      </c>
      <c r="BB37" s="23">
        <f t="shared" si="15"/>
        <v>0</v>
      </c>
      <c r="BC37" s="23">
        <f t="shared" si="15"/>
        <v>22</v>
      </c>
      <c r="BD37" s="23">
        <f t="shared" si="15"/>
        <v>0</v>
      </c>
      <c r="BE37" s="23">
        <f t="shared" si="15"/>
        <v>0</v>
      </c>
      <c r="BF37" s="23">
        <f t="shared" si="16"/>
        <v>0</v>
      </c>
      <c r="BG37" s="23">
        <f t="shared" si="16"/>
        <v>0</v>
      </c>
      <c r="BH37" s="23">
        <f t="shared" si="16"/>
        <v>0</v>
      </c>
      <c r="BI37" s="23">
        <f t="shared" si="16"/>
        <v>0</v>
      </c>
      <c r="BJ37" s="23">
        <f t="shared" si="16"/>
        <v>68.19</v>
      </c>
      <c r="BK37" s="23">
        <f t="shared" si="16"/>
        <v>68.19</v>
      </c>
      <c r="BL37" s="23">
        <f t="shared" si="16"/>
        <v>40</v>
      </c>
      <c r="BM37" s="23">
        <f t="shared" si="16"/>
        <v>14</v>
      </c>
      <c r="BN37" s="23">
        <f t="shared" si="16"/>
        <v>439.33333333333331</v>
      </c>
      <c r="BO37" s="23">
        <f t="shared" si="16"/>
        <v>439.33333333333331</v>
      </c>
      <c r="BP37" s="23">
        <f t="shared" si="16"/>
        <v>439.33333333333331</v>
      </c>
      <c r="BQ37" s="23">
        <f t="shared" si="16"/>
        <v>100</v>
      </c>
      <c r="BR37" s="23">
        <f t="shared" si="16"/>
        <v>100</v>
      </c>
      <c r="BS37" s="23">
        <f t="shared" si="16"/>
        <v>100</v>
      </c>
      <c r="BT37" s="23">
        <f t="shared" si="16"/>
        <v>100</v>
      </c>
      <c r="BU37" s="23">
        <f t="shared" si="16"/>
        <v>100</v>
      </c>
      <c r="BV37" s="23">
        <f t="shared" si="17"/>
        <v>200</v>
      </c>
      <c r="BW37" s="23">
        <f t="shared" si="17"/>
        <v>200</v>
      </c>
      <c r="BX37" s="23">
        <f t="shared" si="17"/>
        <v>200</v>
      </c>
      <c r="BY37" s="23">
        <f t="shared" si="17"/>
        <v>200</v>
      </c>
      <c r="BZ37" s="23">
        <f t="shared" si="17"/>
        <v>200</v>
      </c>
      <c r="CA37" s="23">
        <f t="shared" si="17"/>
        <v>200</v>
      </c>
      <c r="CB37" s="23">
        <f t="shared" si="17"/>
        <v>200</v>
      </c>
      <c r="CC37" s="23">
        <f t="shared" si="17"/>
        <v>200</v>
      </c>
      <c r="CD37" s="23">
        <f t="shared" si="17"/>
        <v>200</v>
      </c>
      <c r="CE37" s="23">
        <f t="shared" si="17"/>
        <v>200</v>
      </c>
      <c r="CF37" s="23">
        <f t="shared" si="17"/>
        <v>200</v>
      </c>
      <c r="CG37" s="23">
        <f t="shared" si="17"/>
        <v>200</v>
      </c>
      <c r="CH37" s="23">
        <f t="shared" si="17"/>
        <v>200</v>
      </c>
      <c r="CI37" s="23">
        <f t="shared" si="17"/>
        <v>200</v>
      </c>
      <c r="CJ37" s="23">
        <f t="shared" si="17"/>
        <v>200</v>
      </c>
      <c r="CK37" s="23" t="e">
        <f t="shared" si="17"/>
        <v>#NUM!</v>
      </c>
      <c r="CL37" s="23" t="e">
        <f t="shared" si="19"/>
        <v>#NUM!</v>
      </c>
      <c r="CM37" s="23" t="e">
        <f t="shared" si="19"/>
        <v>#NUM!</v>
      </c>
      <c r="CN37" s="23" t="e">
        <f t="shared" si="19"/>
        <v>#NUM!</v>
      </c>
      <c r="CO37" s="23" t="e">
        <f t="shared" si="19"/>
        <v>#NUM!</v>
      </c>
      <c r="CP37" s="23">
        <f t="shared" si="2"/>
        <v>447.18</v>
      </c>
      <c r="CQ37" s="67">
        <f t="shared" si="11"/>
        <v>0</v>
      </c>
      <c r="CR37" s="67">
        <v>0.85</v>
      </c>
      <c r="CS37" s="80">
        <f t="shared" si="6"/>
        <v>497.87009816312951</v>
      </c>
      <c r="CT37" s="81">
        <f t="shared" si="3"/>
        <v>423.18958343866007</v>
      </c>
      <c r="CU37" s="23">
        <f t="shared" si="4"/>
        <v>5265.18</v>
      </c>
      <c r="CV37" s="67">
        <f t="shared" si="11"/>
        <v>-3.9485270020019031E-2</v>
      </c>
      <c r="CW37" s="80">
        <f t="shared" si="12"/>
        <v>5862.0145879658003</v>
      </c>
      <c r="CX37" s="81">
        <f t="shared" si="7"/>
        <v>4982.7123997709305</v>
      </c>
      <c r="CY37" s="65">
        <f>'Base Model'!J47*1000/365/24</f>
        <v>8769.0708223730744</v>
      </c>
      <c r="CZ37" s="65">
        <f>'Sensitivity - Population'!S36 + 'Sensitivity - GDP'!P37 +'Sensitivity - GDP'!P99</f>
        <v>80197.160629562233</v>
      </c>
      <c r="DA37" s="65">
        <f t="shared" si="8"/>
        <v>9154.9270125071034</v>
      </c>
      <c r="DB37" s="65">
        <f>'Sensitivity - Population'!E36+'Sensitivity - GDP'!D37+'Sensitivity - GDP'!D99</f>
        <v>73696.475272291398</v>
      </c>
      <c r="DC37" s="65">
        <f t="shared" si="9"/>
        <v>8412.8396429556378</v>
      </c>
      <c r="EQ37" s="92"/>
    </row>
    <row r="38" spans="2:147" x14ac:dyDescent="0.35">
      <c r="B38" s="90"/>
      <c r="C38" s="23">
        <v>24</v>
      </c>
      <c r="D38" s="23" t="s">
        <v>181</v>
      </c>
      <c r="E38" s="23" t="s">
        <v>154</v>
      </c>
      <c r="F38" s="23" t="s">
        <v>186</v>
      </c>
      <c r="G38" s="23">
        <v>365</v>
      </c>
      <c r="H38" s="23"/>
      <c r="I38" s="82">
        <v>38322</v>
      </c>
      <c r="J38" s="83">
        <f t="shared" ca="1" si="10"/>
        <v>17.216438356164385</v>
      </c>
      <c r="K38" s="23"/>
      <c r="L38" s="92"/>
      <c r="N38" s="90"/>
      <c r="O38" s="79">
        <v>53327</v>
      </c>
      <c r="P38" s="23">
        <f t="shared" si="21"/>
        <v>0</v>
      </c>
      <c r="Q38" s="23">
        <f t="shared" si="21"/>
        <v>0</v>
      </c>
      <c r="R38" s="23">
        <f t="shared" si="21"/>
        <v>0</v>
      </c>
      <c r="S38" s="23">
        <f t="shared" si="21"/>
        <v>0</v>
      </c>
      <c r="T38" s="23">
        <f t="shared" si="21"/>
        <v>0</v>
      </c>
      <c r="U38" s="23">
        <f t="shared" si="21"/>
        <v>0</v>
      </c>
      <c r="V38" s="23">
        <f t="shared" si="21"/>
        <v>0</v>
      </c>
      <c r="W38" s="23">
        <f t="shared" si="21"/>
        <v>0</v>
      </c>
      <c r="X38" s="23">
        <f t="shared" si="21"/>
        <v>0</v>
      </c>
      <c r="Y38" s="23">
        <f t="shared" si="21"/>
        <v>47.8</v>
      </c>
      <c r="Z38" s="23">
        <f t="shared" si="21"/>
        <v>132</v>
      </c>
      <c r="AA38" s="23">
        <f t="shared" si="21"/>
        <v>0</v>
      </c>
      <c r="AB38" s="23">
        <f t="shared" si="21"/>
        <v>0</v>
      </c>
      <c r="AC38" s="23">
        <f t="shared" si="21"/>
        <v>0</v>
      </c>
      <c r="AD38" s="23">
        <f t="shared" si="21"/>
        <v>0</v>
      </c>
      <c r="AE38" s="23">
        <f t="shared" si="21"/>
        <v>0</v>
      </c>
      <c r="AF38" s="23">
        <f t="shared" si="18"/>
        <v>0</v>
      </c>
      <c r="AG38" s="23">
        <f t="shared" si="18"/>
        <v>0</v>
      </c>
      <c r="AH38" s="23">
        <f t="shared" si="18"/>
        <v>55</v>
      </c>
      <c r="AI38" s="23">
        <f t="shared" si="18"/>
        <v>0</v>
      </c>
      <c r="AJ38" s="23">
        <f t="shared" si="18"/>
        <v>0</v>
      </c>
      <c r="AK38" s="23">
        <f t="shared" si="18"/>
        <v>0</v>
      </c>
      <c r="AL38" s="23">
        <f t="shared" si="18"/>
        <v>0</v>
      </c>
      <c r="AM38" s="23">
        <f t="shared" si="18"/>
        <v>0</v>
      </c>
      <c r="AN38" s="23">
        <f t="shared" si="18"/>
        <v>0</v>
      </c>
      <c r="AO38" s="23">
        <f t="shared" si="18"/>
        <v>0</v>
      </c>
      <c r="AP38" s="23">
        <f t="shared" si="18"/>
        <v>0</v>
      </c>
      <c r="AQ38" s="23">
        <f t="shared" si="18"/>
        <v>0</v>
      </c>
      <c r="AR38" s="23">
        <f t="shared" si="18"/>
        <v>0</v>
      </c>
      <c r="AS38" s="23">
        <f t="shared" si="18"/>
        <v>0</v>
      </c>
      <c r="AT38" s="23">
        <f t="shared" si="18"/>
        <v>0</v>
      </c>
      <c r="AU38" s="23">
        <f t="shared" si="18"/>
        <v>0</v>
      </c>
      <c r="AV38" s="23">
        <f t="shared" si="15"/>
        <v>0</v>
      </c>
      <c r="AW38" s="23">
        <f t="shared" si="15"/>
        <v>0</v>
      </c>
      <c r="AX38" s="23">
        <f t="shared" si="15"/>
        <v>0</v>
      </c>
      <c r="AY38" s="23">
        <f t="shared" si="15"/>
        <v>0</v>
      </c>
      <c r="AZ38" s="23">
        <f t="shared" si="15"/>
        <v>0</v>
      </c>
      <c r="BA38" s="23">
        <f t="shared" si="15"/>
        <v>0</v>
      </c>
      <c r="BB38" s="23">
        <f t="shared" si="15"/>
        <v>0</v>
      </c>
      <c r="BC38" s="23">
        <f t="shared" si="15"/>
        <v>22</v>
      </c>
      <c r="BD38" s="23">
        <f t="shared" si="15"/>
        <v>0</v>
      </c>
      <c r="BE38" s="23">
        <f t="shared" si="15"/>
        <v>0</v>
      </c>
      <c r="BF38" s="23">
        <f t="shared" si="16"/>
        <v>0</v>
      </c>
      <c r="BG38" s="23">
        <f t="shared" si="16"/>
        <v>0</v>
      </c>
      <c r="BH38" s="23">
        <f t="shared" si="16"/>
        <v>0</v>
      </c>
      <c r="BI38" s="23">
        <f t="shared" si="16"/>
        <v>0</v>
      </c>
      <c r="BJ38" s="23">
        <f t="shared" si="16"/>
        <v>68.19</v>
      </c>
      <c r="BK38" s="23">
        <f t="shared" si="16"/>
        <v>68.19</v>
      </c>
      <c r="BL38" s="23">
        <f t="shared" si="16"/>
        <v>40</v>
      </c>
      <c r="BM38" s="23">
        <f t="shared" si="16"/>
        <v>14</v>
      </c>
      <c r="BN38" s="23">
        <f t="shared" si="16"/>
        <v>439.33333333333331</v>
      </c>
      <c r="BO38" s="23">
        <f t="shared" si="16"/>
        <v>439.33333333333331</v>
      </c>
      <c r="BP38" s="23">
        <f t="shared" si="16"/>
        <v>439.33333333333331</v>
      </c>
      <c r="BQ38" s="23">
        <f t="shared" si="16"/>
        <v>100</v>
      </c>
      <c r="BR38" s="23">
        <f t="shared" si="16"/>
        <v>100</v>
      </c>
      <c r="BS38" s="23">
        <f t="shared" si="16"/>
        <v>100</v>
      </c>
      <c r="BT38" s="23">
        <f t="shared" si="16"/>
        <v>100</v>
      </c>
      <c r="BU38" s="23">
        <f t="shared" ref="BU38:BZ43" si="22">IF(VLOOKUP(BU$13,$C$15:$J$92,3,FALSE) &lt;&gt; "Incineration", IF(DATEDIF(VLOOKUP(BU$13,$C$15:$J$92,7,FALSE),$O38,"y")&gt;=$P$11,0,VLOOKUP(BU$13,$C$15:$J$92,5,FALSE)), VLOOKUP(BU$13,$C$15:$J$92,5,FALSE))</f>
        <v>100</v>
      </c>
      <c r="BV38" s="23">
        <f t="shared" si="22"/>
        <v>200</v>
      </c>
      <c r="BW38" s="23">
        <f t="shared" si="22"/>
        <v>200</v>
      </c>
      <c r="BX38" s="23">
        <f t="shared" si="22"/>
        <v>200</v>
      </c>
      <c r="BY38" s="23">
        <f t="shared" si="22"/>
        <v>200</v>
      </c>
      <c r="BZ38" s="23">
        <f t="shared" si="22"/>
        <v>200</v>
      </c>
      <c r="CA38" s="23">
        <f t="shared" si="17"/>
        <v>200</v>
      </c>
      <c r="CB38" s="23">
        <f t="shared" si="17"/>
        <v>200</v>
      </c>
      <c r="CC38" s="23">
        <f t="shared" si="17"/>
        <v>200</v>
      </c>
      <c r="CD38" s="23">
        <f t="shared" si="17"/>
        <v>200</v>
      </c>
      <c r="CE38" s="23">
        <f t="shared" si="17"/>
        <v>200</v>
      </c>
      <c r="CF38" s="23">
        <f t="shared" si="17"/>
        <v>200</v>
      </c>
      <c r="CG38" s="23">
        <f t="shared" si="17"/>
        <v>200</v>
      </c>
      <c r="CH38" s="23">
        <f t="shared" si="17"/>
        <v>200</v>
      </c>
      <c r="CI38" s="23">
        <f t="shared" si="17"/>
        <v>200</v>
      </c>
      <c r="CJ38" s="23">
        <f t="shared" si="17"/>
        <v>200</v>
      </c>
      <c r="CK38" s="23">
        <f t="shared" si="17"/>
        <v>200</v>
      </c>
      <c r="CL38" s="23" t="e">
        <f t="shared" si="19"/>
        <v>#NUM!</v>
      </c>
      <c r="CM38" s="23" t="e">
        <f t="shared" si="19"/>
        <v>#NUM!</v>
      </c>
      <c r="CN38" s="23" t="e">
        <f t="shared" si="19"/>
        <v>#NUM!</v>
      </c>
      <c r="CO38" s="23" t="e">
        <f t="shared" si="19"/>
        <v>#NUM!</v>
      </c>
      <c r="CP38" s="23">
        <f t="shared" si="2"/>
        <v>447.18</v>
      </c>
      <c r="CQ38" s="67">
        <f t="shared" si="11"/>
        <v>0</v>
      </c>
      <c r="CR38" s="67">
        <v>0.85</v>
      </c>
      <c r="CS38" s="80">
        <f t="shared" si="6"/>
        <v>497.87009816312951</v>
      </c>
      <c r="CT38" s="81">
        <f t="shared" si="3"/>
        <v>423.18958343866007</v>
      </c>
      <c r="CU38" s="23">
        <f t="shared" si="4"/>
        <v>5465.18</v>
      </c>
      <c r="CV38" s="67">
        <f t="shared" si="11"/>
        <v>-3.7985406007012106E-2</v>
      </c>
      <c r="CW38" s="80">
        <f t="shared" si="12"/>
        <v>6084.685592108709</v>
      </c>
      <c r="CX38" s="81">
        <f t="shared" si="7"/>
        <v>5171.9827532924028</v>
      </c>
      <c r="CY38" s="65">
        <f>'Base Model'!J48*1000/365/24</f>
        <v>8885.1038623933546</v>
      </c>
      <c r="CZ38" s="65">
        <f>'Sensitivity - Population'!S37 + 'Sensitivity - GDP'!P38 +'Sensitivity - GDP'!P100</f>
        <v>81301.970257244655</v>
      </c>
      <c r="DA38" s="65">
        <f t="shared" si="8"/>
        <v>9281.0468330187978</v>
      </c>
      <c r="DB38" s="65">
        <f>'Sensitivity - Population'!E37+'Sensitivity - GDP'!D38+'Sensitivity - GDP'!D100</f>
        <v>74681.685162068417</v>
      </c>
      <c r="DC38" s="65">
        <f t="shared" si="9"/>
        <v>8525.3065253502755</v>
      </c>
      <c r="EQ38" s="92"/>
    </row>
    <row r="39" spans="2:147" x14ac:dyDescent="0.35">
      <c r="B39" s="90"/>
      <c r="C39" s="23">
        <v>25</v>
      </c>
      <c r="D39" s="23" t="s">
        <v>181</v>
      </c>
      <c r="E39" s="23" t="s">
        <v>154</v>
      </c>
      <c r="F39" s="23" t="s">
        <v>187</v>
      </c>
      <c r="G39" s="23">
        <v>431</v>
      </c>
      <c r="H39" s="23"/>
      <c r="I39" s="82">
        <v>41137</v>
      </c>
      <c r="J39" s="83">
        <f t="shared" ca="1" si="10"/>
        <v>9.5041095890410965</v>
      </c>
      <c r="K39" s="23"/>
      <c r="L39" s="92"/>
      <c r="N39" s="90"/>
      <c r="O39" s="79">
        <v>53692</v>
      </c>
      <c r="P39" s="23">
        <f t="shared" si="21"/>
        <v>0</v>
      </c>
      <c r="Q39" s="23">
        <f t="shared" si="21"/>
        <v>0</v>
      </c>
      <c r="R39" s="23">
        <f t="shared" si="21"/>
        <v>0</v>
      </c>
      <c r="S39" s="23">
        <f t="shared" si="21"/>
        <v>0</v>
      </c>
      <c r="T39" s="23">
        <f t="shared" si="21"/>
        <v>0</v>
      </c>
      <c r="U39" s="23">
        <f t="shared" si="21"/>
        <v>0</v>
      </c>
      <c r="V39" s="23">
        <f t="shared" si="21"/>
        <v>0</v>
      </c>
      <c r="W39" s="23">
        <f t="shared" si="21"/>
        <v>0</v>
      </c>
      <c r="X39" s="23">
        <f t="shared" si="21"/>
        <v>0</v>
      </c>
      <c r="Y39" s="23">
        <f t="shared" si="21"/>
        <v>47.8</v>
      </c>
      <c r="Z39" s="23">
        <f t="shared" si="21"/>
        <v>132</v>
      </c>
      <c r="AA39" s="23">
        <f t="shared" si="21"/>
        <v>0</v>
      </c>
      <c r="AB39" s="23">
        <f t="shared" si="21"/>
        <v>0</v>
      </c>
      <c r="AC39" s="23">
        <f t="shared" si="21"/>
        <v>0</v>
      </c>
      <c r="AD39" s="23">
        <f t="shared" si="21"/>
        <v>0</v>
      </c>
      <c r="AE39" s="23">
        <f t="shared" si="21"/>
        <v>0</v>
      </c>
      <c r="AF39" s="23">
        <f t="shared" si="18"/>
        <v>0</v>
      </c>
      <c r="AG39" s="23">
        <f t="shared" si="18"/>
        <v>0</v>
      </c>
      <c r="AH39" s="23">
        <f t="shared" si="18"/>
        <v>55</v>
      </c>
      <c r="AI39" s="23">
        <f t="shared" si="18"/>
        <v>0</v>
      </c>
      <c r="AJ39" s="23">
        <f t="shared" si="18"/>
        <v>0</v>
      </c>
      <c r="AK39" s="23">
        <f t="shared" si="18"/>
        <v>0</v>
      </c>
      <c r="AL39" s="23">
        <f t="shared" si="18"/>
        <v>0</v>
      </c>
      <c r="AM39" s="23">
        <f t="shared" si="18"/>
        <v>0</v>
      </c>
      <c r="AN39" s="23">
        <f t="shared" si="18"/>
        <v>0</v>
      </c>
      <c r="AO39" s="23">
        <f t="shared" si="18"/>
        <v>0</v>
      </c>
      <c r="AP39" s="23">
        <f t="shared" si="18"/>
        <v>0</v>
      </c>
      <c r="AQ39" s="23">
        <f t="shared" si="18"/>
        <v>0</v>
      </c>
      <c r="AR39" s="23">
        <f t="shared" si="18"/>
        <v>0</v>
      </c>
      <c r="AS39" s="23">
        <f t="shared" si="18"/>
        <v>0</v>
      </c>
      <c r="AT39" s="23">
        <f t="shared" si="18"/>
        <v>0</v>
      </c>
      <c r="AU39" s="23">
        <f t="shared" ref="AU39:BJ43" si="23">IF(VLOOKUP(AU$13,$C$15:$J$92,3,FALSE) &lt;&gt; "Incineration", IF(DATEDIF(VLOOKUP(AU$13,$C$15:$J$92,7,FALSE),$O39,"y")&gt;=$P$11,0,VLOOKUP(AU$13,$C$15:$J$92,5,FALSE)), VLOOKUP(AU$13,$C$15:$J$92,5,FALSE))</f>
        <v>0</v>
      </c>
      <c r="AV39" s="23">
        <f t="shared" si="23"/>
        <v>0</v>
      </c>
      <c r="AW39" s="23">
        <f t="shared" si="23"/>
        <v>0</v>
      </c>
      <c r="AX39" s="23">
        <f t="shared" si="23"/>
        <v>0</v>
      </c>
      <c r="AY39" s="23">
        <f t="shared" si="23"/>
        <v>0</v>
      </c>
      <c r="AZ39" s="23">
        <f t="shared" si="23"/>
        <v>0</v>
      </c>
      <c r="BA39" s="23">
        <f t="shared" si="23"/>
        <v>0</v>
      </c>
      <c r="BB39" s="23">
        <f t="shared" si="23"/>
        <v>0</v>
      </c>
      <c r="BC39" s="23">
        <f t="shared" si="23"/>
        <v>22</v>
      </c>
      <c r="BD39" s="23">
        <f t="shared" si="15"/>
        <v>0</v>
      </c>
      <c r="BE39" s="23">
        <f t="shared" si="15"/>
        <v>0</v>
      </c>
      <c r="BF39" s="23">
        <f t="shared" ref="BF39:BU43" si="24">IF(VLOOKUP(BF$13,$C$15:$J$92,3,FALSE) &lt;&gt; "Incineration", IF(DATEDIF(VLOOKUP(BF$13,$C$15:$J$92,7,FALSE),$O39,"y")&gt;=$P$11,0,VLOOKUP(BF$13,$C$15:$J$92,5,FALSE)), VLOOKUP(BF$13,$C$15:$J$92,5,FALSE))</f>
        <v>0</v>
      </c>
      <c r="BG39" s="23">
        <f t="shared" si="24"/>
        <v>0</v>
      </c>
      <c r="BH39" s="23">
        <f t="shared" si="24"/>
        <v>0</v>
      </c>
      <c r="BI39" s="23">
        <f t="shared" si="24"/>
        <v>0</v>
      </c>
      <c r="BJ39" s="23">
        <f t="shared" si="24"/>
        <v>68.19</v>
      </c>
      <c r="BK39" s="23">
        <f t="shared" si="24"/>
        <v>68.19</v>
      </c>
      <c r="BL39" s="23">
        <f t="shared" si="24"/>
        <v>0</v>
      </c>
      <c r="BM39" s="23">
        <f t="shared" si="24"/>
        <v>0</v>
      </c>
      <c r="BN39" s="23">
        <f t="shared" si="24"/>
        <v>439.33333333333331</v>
      </c>
      <c r="BO39" s="23">
        <f t="shared" si="24"/>
        <v>439.33333333333331</v>
      </c>
      <c r="BP39" s="23">
        <f t="shared" si="24"/>
        <v>439.33333333333331</v>
      </c>
      <c r="BQ39" s="23">
        <f t="shared" si="24"/>
        <v>100</v>
      </c>
      <c r="BR39" s="23">
        <f t="shared" si="24"/>
        <v>100</v>
      </c>
      <c r="BS39" s="23">
        <f t="shared" si="24"/>
        <v>100</v>
      </c>
      <c r="BT39" s="23">
        <f t="shared" si="24"/>
        <v>100</v>
      </c>
      <c r="BU39" s="23">
        <f t="shared" si="24"/>
        <v>100</v>
      </c>
      <c r="BV39" s="23">
        <f t="shared" si="22"/>
        <v>200</v>
      </c>
      <c r="BW39" s="23">
        <f t="shared" si="22"/>
        <v>200</v>
      </c>
      <c r="BX39" s="23">
        <f t="shared" si="22"/>
        <v>200</v>
      </c>
      <c r="BY39" s="23">
        <f t="shared" si="22"/>
        <v>200</v>
      </c>
      <c r="BZ39" s="23">
        <f t="shared" si="22"/>
        <v>200</v>
      </c>
      <c r="CA39" s="23">
        <f t="shared" si="17"/>
        <v>200</v>
      </c>
      <c r="CB39" s="23">
        <f t="shared" si="17"/>
        <v>200</v>
      </c>
      <c r="CC39" s="23">
        <f t="shared" si="17"/>
        <v>200</v>
      </c>
      <c r="CD39" s="23">
        <f t="shared" si="17"/>
        <v>200</v>
      </c>
      <c r="CE39" s="23">
        <f t="shared" si="17"/>
        <v>200</v>
      </c>
      <c r="CF39" s="23">
        <f t="shared" si="17"/>
        <v>200</v>
      </c>
      <c r="CG39" s="23">
        <f t="shared" si="17"/>
        <v>200</v>
      </c>
      <c r="CH39" s="23">
        <f t="shared" si="17"/>
        <v>200</v>
      </c>
      <c r="CI39" s="23">
        <f t="shared" si="17"/>
        <v>200</v>
      </c>
      <c r="CJ39" s="23">
        <f t="shared" si="17"/>
        <v>200</v>
      </c>
      <c r="CK39" s="23">
        <f t="shared" si="17"/>
        <v>200</v>
      </c>
      <c r="CL39" s="23">
        <f t="shared" si="19"/>
        <v>200</v>
      </c>
      <c r="CM39" s="23" t="e">
        <f t="shared" si="19"/>
        <v>#NUM!</v>
      </c>
      <c r="CN39" s="23" t="e">
        <f t="shared" si="19"/>
        <v>#NUM!</v>
      </c>
      <c r="CO39" s="23" t="e">
        <f t="shared" si="19"/>
        <v>#NUM!</v>
      </c>
      <c r="CP39" s="23">
        <f t="shared" si="2"/>
        <v>393.18</v>
      </c>
      <c r="CQ39" s="67">
        <f t="shared" si="11"/>
        <v>0.12075674225144237</v>
      </c>
      <c r="CR39" s="67">
        <v>0.85</v>
      </c>
      <c r="CS39" s="80">
        <f t="shared" si="6"/>
        <v>437.74892704454413</v>
      </c>
      <c r="CT39" s="81">
        <f t="shared" si="3"/>
        <v>372.08658798786252</v>
      </c>
      <c r="CU39" s="23">
        <f t="shared" si="4"/>
        <v>5611.18</v>
      </c>
      <c r="CV39" s="67">
        <f t="shared" si="11"/>
        <v>-2.6714582136361471E-2</v>
      </c>
      <c r="CW39" s="80">
        <f t="shared" si="12"/>
        <v>6247.2354251330325</v>
      </c>
      <c r="CX39" s="81">
        <f t="shared" si="7"/>
        <v>5310.1501113630775</v>
      </c>
      <c r="CY39" s="65">
        <f>'Base Model'!J49*1000/365/24</f>
        <v>9001.0049531593049</v>
      </c>
      <c r="CZ39" s="65">
        <f>'Sensitivity - Population'!S38 + 'Sensitivity - GDP'!P39 +'Sensitivity - GDP'!P101</f>
        <v>82405.627910590425</v>
      </c>
      <c r="DA39" s="65">
        <f t="shared" si="8"/>
        <v>9407.0351496107796</v>
      </c>
      <c r="DB39" s="65">
        <f>'Sensitivity - Population'!E38+'Sensitivity - GDP'!D39+'Sensitivity - GDP'!D101</f>
        <v>75665.759061295408</v>
      </c>
      <c r="DC39" s="65">
        <f t="shared" si="9"/>
        <v>8637.643728458379</v>
      </c>
      <c r="EQ39" s="92"/>
    </row>
    <row r="40" spans="2:147" x14ac:dyDescent="0.35">
      <c r="B40" s="90"/>
      <c r="C40" s="23">
        <v>26</v>
      </c>
      <c r="D40" s="23" t="s">
        <v>181</v>
      </c>
      <c r="E40" s="23" t="s">
        <v>154</v>
      </c>
      <c r="F40" s="23" t="s">
        <v>188</v>
      </c>
      <c r="G40" s="23">
        <v>431</v>
      </c>
      <c r="H40" s="23">
        <f>SUM(G34:G40)</f>
        <v>2644</v>
      </c>
      <c r="I40" s="82">
        <v>41122</v>
      </c>
      <c r="J40" s="83">
        <f t="shared" ca="1" si="10"/>
        <v>9.5452054794520542</v>
      </c>
      <c r="K40" s="23"/>
      <c r="L40" s="92"/>
      <c r="N40" s="90"/>
      <c r="O40" s="79">
        <v>54057</v>
      </c>
      <c r="P40" s="23">
        <f t="shared" si="21"/>
        <v>0</v>
      </c>
      <c r="Q40" s="23">
        <f t="shared" si="21"/>
        <v>0</v>
      </c>
      <c r="R40" s="23">
        <f t="shared" si="21"/>
        <v>0</v>
      </c>
      <c r="S40" s="23">
        <f t="shared" si="21"/>
        <v>0</v>
      </c>
      <c r="T40" s="23">
        <f t="shared" si="21"/>
        <v>0</v>
      </c>
      <c r="U40" s="23">
        <f t="shared" si="21"/>
        <v>0</v>
      </c>
      <c r="V40" s="23">
        <f t="shared" si="21"/>
        <v>0</v>
      </c>
      <c r="W40" s="23">
        <f t="shared" si="21"/>
        <v>0</v>
      </c>
      <c r="X40" s="23">
        <f t="shared" si="21"/>
        <v>0</v>
      </c>
      <c r="Y40" s="23">
        <f t="shared" si="21"/>
        <v>47.8</v>
      </c>
      <c r="Z40" s="23">
        <f t="shared" si="21"/>
        <v>132</v>
      </c>
      <c r="AA40" s="23">
        <f t="shared" si="21"/>
        <v>0</v>
      </c>
      <c r="AB40" s="23">
        <f t="shared" si="21"/>
        <v>0</v>
      </c>
      <c r="AC40" s="23">
        <f t="shared" si="21"/>
        <v>0</v>
      </c>
      <c r="AD40" s="23">
        <f t="shared" si="21"/>
        <v>0</v>
      </c>
      <c r="AE40" s="23">
        <f t="shared" si="21"/>
        <v>0</v>
      </c>
      <c r="AF40" s="23">
        <f t="shared" ref="AF40:AU43" si="25">IF(VLOOKUP(AF$13,$C$15:$J$92,3,FALSE) &lt;&gt; "Incineration", IF(DATEDIF(VLOOKUP(AF$13,$C$15:$J$92,7,FALSE),$O40,"y")&gt;=$P$11,0,VLOOKUP(AF$13,$C$15:$J$92,5,FALSE)), VLOOKUP(AF$13,$C$15:$J$92,5,FALSE))</f>
        <v>0</v>
      </c>
      <c r="AG40" s="23">
        <f t="shared" si="25"/>
        <v>0</v>
      </c>
      <c r="AH40" s="23">
        <f t="shared" si="25"/>
        <v>55</v>
      </c>
      <c r="AI40" s="23">
        <f t="shared" si="25"/>
        <v>0</v>
      </c>
      <c r="AJ40" s="23">
        <f t="shared" si="25"/>
        <v>0</v>
      </c>
      <c r="AK40" s="23">
        <f t="shared" si="25"/>
        <v>0</v>
      </c>
      <c r="AL40" s="23">
        <f t="shared" si="25"/>
        <v>0</v>
      </c>
      <c r="AM40" s="23">
        <f t="shared" si="25"/>
        <v>0</v>
      </c>
      <c r="AN40" s="23">
        <f t="shared" si="25"/>
        <v>0</v>
      </c>
      <c r="AO40" s="23">
        <f t="shared" si="25"/>
        <v>0</v>
      </c>
      <c r="AP40" s="23">
        <f t="shared" si="25"/>
        <v>0</v>
      </c>
      <c r="AQ40" s="23">
        <f t="shared" si="25"/>
        <v>0</v>
      </c>
      <c r="AR40" s="23">
        <f t="shared" si="25"/>
        <v>0</v>
      </c>
      <c r="AS40" s="23">
        <f t="shared" si="25"/>
        <v>0</v>
      </c>
      <c r="AT40" s="23">
        <f t="shared" si="25"/>
        <v>0</v>
      </c>
      <c r="AU40" s="23">
        <f t="shared" si="25"/>
        <v>0</v>
      </c>
      <c r="AV40" s="23">
        <f t="shared" si="23"/>
        <v>0</v>
      </c>
      <c r="AW40" s="23">
        <f t="shared" si="23"/>
        <v>0</v>
      </c>
      <c r="AX40" s="23">
        <f t="shared" si="23"/>
        <v>0</v>
      </c>
      <c r="AY40" s="23">
        <f t="shared" si="23"/>
        <v>0</v>
      </c>
      <c r="AZ40" s="23">
        <f t="shared" si="23"/>
        <v>0</v>
      </c>
      <c r="BA40" s="23">
        <f t="shared" si="23"/>
        <v>0</v>
      </c>
      <c r="BB40" s="23">
        <f t="shared" si="23"/>
        <v>0</v>
      </c>
      <c r="BC40" s="23">
        <f t="shared" si="23"/>
        <v>22</v>
      </c>
      <c r="BD40" s="23">
        <f t="shared" si="23"/>
        <v>0</v>
      </c>
      <c r="BE40" s="23">
        <f t="shared" si="23"/>
        <v>0</v>
      </c>
      <c r="BF40" s="23">
        <f t="shared" si="23"/>
        <v>0</v>
      </c>
      <c r="BG40" s="23">
        <f t="shared" si="23"/>
        <v>0</v>
      </c>
      <c r="BH40" s="23">
        <f t="shared" si="23"/>
        <v>0</v>
      </c>
      <c r="BI40" s="23">
        <f t="shared" si="23"/>
        <v>0</v>
      </c>
      <c r="BJ40" s="23">
        <f t="shared" si="23"/>
        <v>68.19</v>
      </c>
      <c r="BK40" s="23">
        <f t="shared" si="24"/>
        <v>68.19</v>
      </c>
      <c r="BL40" s="23">
        <f t="shared" si="24"/>
        <v>0</v>
      </c>
      <c r="BM40" s="23">
        <f t="shared" si="24"/>
        <v>0</v>
      </c>
      <c r="BN40" s="23">
        <f t="shared" si="24"/>
        <v>0</v>
      </c>
      <c r="BO40" s="23">
        <f t="shared" si="24"/>
        <v>439.33333333333331</v>
      </c>
      <c r="BP40" s="23">
        <f t="shared" si="24"/>
        <v>439.33333333333331</v>
      </c>
      <c r="BQ40" s="23">
        <f t="shared" si="24"/>
        <v>100</v>
      </c>
      <c r="BR40" s="23">
        <f t="shared" si="24"/>
        <v>100</v>
      </c>
      <c r="BS40" s="23">
        <f t="shared" si="24"/>
        <v>100</v>
      </c>
      <c r="BT40" s="23">
        <f t="shared" si="24"/>
        <v>100</v>
      </c>
      <c r="BU40" s="23">
        <f t="shared" si="24"/>
        <v>100</v>
      </c>
      <c r="BV40" s="23">
        <f t="shared" si="22"/>
        <v>200</v>
      </c>
      <c r="BW40" s="23">
        <f t="shared" si="22"/>
        <v>200</v>
      </c>
      <c r="BX40" s="23">
        <f t="shared" si="22"/>
        <v>200</v>
      </c>
      <c r="BY40" s="23">
        <f t="shared" si="22"/>
        <v>200</v>
      </c>
      <c r="BZ40" s="23">
        <f t="shared" si="22"/>
        <v>200</v>
      </c>
      <c r="CA40" s="23">
        <f t="shared" si="17"/>
        <v>200</v>
      </c>
      <c r="CB40" s="23">
        <f t="shared" si="17"/>
        <v>200</v>
      </c>
      <c r="CC40" s="23">
        <f t="shared" si="17"/>
        <v>200</v>
      </c>
      <c r="CD40" s="23">
        <f t="shared" si="17"/>
        <v>200</v>
      </c>
      <c r="CE40" s="23">
        <f t="shared" si="17"/>
        <v>200</v>
      </c>
      <c r="CF40" s="23">
        <f t="shared" si="17"/>
        <v>200</v>
      </c>
      <c r="CG40" s="23">
        <f t="shared" si="17"/>
        <v>200</v>
      </c>
      <c r="CH40" s="23">
        <f t="shared" si="17"/>
        <v>200</v>
      </c>
      <c r="CI40" s="23">
        <f t="shared" si="17"/>
        <v>200</v>
      </c>
      <c r="CJ40" s="23">
        <f t="shared" si="17"/>
        <v>200</v>
      </c>
      <c r="CK40" s="23">
        <f t="shared" si="17"/>
        <v>200</v>
      </c>
      <c r="CL40" s="23">
        <f t="shared" si="19"/>
        <v>200</v>
      </c>
      <c r="CM40" s="23">
        <f t="shared" si="19"/>
        <v>200</v>
      </c>
      <c r="CN40" s="23" t="e">
        <f t="shared" si="19"/>
        <v>#NUM!</v>
      </c>
      <c r="CO40" s="23" t="e">
        <f t="shared" si="19"/>
        <v>#NUM!</v>
      </c>
      <c r="CP40" s="23">
        <f t="shared" si="2"/>
        <v>393.18</v>
      </c>
      <c r="CQ40" s="67">
        <f t="shared" si="11"/>
        <v>0</v>
      </c>
      <c r="CR40" s="67">
        <v>0.85</v>
      </c>
      <c r="CS40" s="80">
        <f t="shared" si="6"/>
        <v>437.74892704454413</v>
      </c>
      <c r="CT40" s="81">
        <f t="shared" si="3"/>
        <v>372.08658798786252</v>
      </c>
      <c r="CU40" s="23">
        <f t="shared" si="4"/>
        <v>5371.8466666666664</v>
      </c>
      <c r="CV40" s="67">
        <f t="shared" si="11"/>
        <v>4.2652941686656627E-2</v>
      </c>
      <c r="CW40" s="80">
        <f t="shared" si="12"/>
        <v>5980.7724568420172</v>
      </c>
      <c r="CX40" s="81">
        <f t="shared" si="7"/>
        <v>5083.6565883157145</v>
      </c>
      <c r="CY40" s="65">
        <f>'Base Model'!J50*1000/365/24</f>
        <v>9116.7725444739917</v>
      </c>
      <c r="CZ40" s="65">
        <f>'Sensitivity - Population'!S39 + 'Sensitivity - GDP'!P40 +'Sensitivity - GDP'!P102</f>
        <v>83508.119285589055</v>
      </c>
      <c r="DA40" s="65">
        <f t="shared" si="8"/>
        <v>9532.8903294051433</v>
      </c>
      <c r="DB40" s="65">
        <f>'Sensitivity - Population'!E39+'Sensitivity - GDP'!D40+'Sensitivity - GDP'!D102</f>
        <v>76648.682864431816</v>
      </c>
      <c r="DC40" s="65">
        <f t="shared" si="9"/>
        <v>8749.849642058427</v>
      </c>
      <c r="EQ40" s="92"/>
    </row>
    <row r="41" spans="2:147" x14ac:dyDescent="0.35">
      <c r="B41" s="90"/>
      <c r="C41" s="23">
        <v>27</v>
      </c>
      <c r="D41" s="23" t="s">
        <v>189</v>
      </c>
      <c r="E41" s="23" t="s">
        <v>154</v>
      </c>
      <c r="F41" s="23" t="s">
        <v>190</v>
      </c>
      <c r="G41" s="23">
        <v>110</v>
      </c>
      <c r="H41" s="23"/>
      <c r="I41" s="82">
        <v>41394</v>
      </c>
      <c r="J41" s="83">
        <f t="shared" ca="1" si="10"/>
        <v>8.8000000000000007</v>
      </c>
      <c r="K41" s="23"/>
      <c r="L41" s="92"/>
      <c r="N41" s="90"/>
      <c r="O41" s="79">
        <v>54423</v>
      </c>
      <c r="P41" s="23">
        <f t="shared" si="21"/>
        <v>0</v>
      </c>
      <c r="Q41" s="23">
        <f t="shared" si="21"/>
        <v>0</v>
      </c>
      <c r="R41" s="23">
        <f t="shared" si="21"/>
        <v>0</v>
      </c>
      <c r="S41" s="23">
        <f t="shared" si="21"/>
        <v>0</v>
      </c>
      <c r="T41" s="23">
        <f t="shared" si="21"/>
        <v>0</v>
      </c>
      <c r="U41" s="23">
        <f t="shared" si="21"/>
        <v>0</v>
      </c>
      <c r="V41" s="23">
        <f t="shared" si="21"/>
        <v>0</v>
      </c>
      <c r="W41" s="23">
        <f t="shared" si="21"/>
        <v>0</v>
      </c>
      <c r="X41" s="23">
        <f t="shared" si="21"/>
        <v>0</v>
      </c>
      <c r="Y41" s="23">
        <f t="shared" si="21"/>
        <v>47.8</v>
      </c>
      <c r="Z41" s="23">
        <f t="shared" si="21"/>
        <v>132</v>
      </c>
      <c r="AA41" s="23">
        <f t="shared" si="21"/>
        <v>0</v>
      </c>
      <c r="AB41" s="23">
        <f t="shared" si="21"/>
        <v>0</v>
      </c>
      <c r="AC41" s="23">
        <f t="shared" si="21"/>
        <v>0</v>
      </c>
      <c r="AD41" s="23">
        <f t="shared" si="21"/>
        <v>0</v>
      </c>
      <c r="AE41" s="23">
        <f t="shared" si="21"/>
        <v>0</v>
      </c>
      <c r="AF41" s="23">
        <f t="shared" si="25"/>
        <v>0</v>
      </c>
      <c r="AG41" s="23">
        <f t="shared" si="25"/>
        <v>0</v>
      </c>
      <c r="AH41" s="23">
        <f t="shared" si="25"/>
        <v>55</v>
      </c>
      <c r="AI41" s="23">
        <f t="shared" si="25"/>
        <v>0</v>
      </c>
      <c r="AJ41" s="23">
        <f t="shared" si="25"/>
        <v>0</v>
      </c>
      <c r="AK41" s="23">
        <f t="shared" si="25"/>
        <v>0</v>
      </c>
      <c r="AL41" s="23">
        <f t="shared" si="25"/>
        <v>0</v>
      </c>
      <c r="AM41" s="23">
        <f t="shared" si="25"/>
        <v>0</v>
      </c>
      <c r="AN41" s="23">
        <f t="shared" si="25"/>
        <v>0</v>
      </c>
      <c r="AO41" s="23">
        <f t="shared" si="25"/>
        <v>0</v>
      </c>
      <c r="AP41" s="23">
        <f t="shared" si="25"/>
        <v>0</v>
      </c>
      <c r="AQ41" s="23">
        <f t="shared" si="25"/>
        <v>0</v>
      </c>
      <c r="AR41" s="23">
        <f t="shared" si="25"/>
        <v>0</v>
      </c>
      <c r="AS41" s="23">
        <f t="shared" si="25"/>
        <v>0</v>
      </c>
      <c r="AT41" s="23">
        <f t="shared" si="25"/>
        <v>0</v>
      </c>
      <c r="AU41" s="23">
        <f t="shared" si="25"/>
        <v>0</v>
      </c>
      <c r="AV41" s="23">
        <f t="shared" si="23"/>
        <v>0</v>
      </c>
      <c r="AW41" s="23">
        <f t="shared" si="23"/>
        <v>0</v>
      </c>
      <c r="AX41" s="23">
        <f t="shared" si="23"/>
        <v>0</v>
      </c>
      <c r="AY41" s="23">
        <f t="shared" si="23"/>
        <v>0</v>
      </c>
      <c r="AZ41" s="23">
        <f t="shared" si="23"/>
        <v>0</v>
      </c>
      <c r="BA41" s="23">
        <f t="shared" si="23"/>
        <v>0</v>
      </c>
      <c r="BB41" s="23">
        <f t="shared" si="23"/>
        <v>0</v>
      </c>
      <c r="BC41" s="23">
        <f t="shared" si="23"/>
        <v>22</v>
      </c>
      <c r="BD41" s="23">
        <f t="shared" si="23"/>
        <v>0</v>
      </c>
      <c r="BE41" s="23">
        <f t="shared" si="23"/>
        <v>0</v>
      </c>
      <c r="BF41" s="23">
        <f t="shared" si="23"/>
        <v>0</v>
      </c>
      <c r="BG41" s="23">
        <f t="shared" si="23"/>
        <v>0</v>
      </c>
      <c r="BH41" s="23">
        <f t="shared" si="23"/>
        <v>0</v>
      </c>
      <c r="BI41" s="23">
        <f t="shared" si="23"/>
        <v>0</v>
      </c>
      <c r="BJ41" s="23">
        <f t="shared" si="23"/>
        <v>68.19</v>
      </c>
      <c r="BK41" s="23">
        <f t="shared" si="24"/>
        <v>68.19</v>
      </c>
      <c r="BL41" s="23">
        <f t="shared" si="24"/>
        <v>0</v>
      </c>
      <c r="BM41" s="23">
        <f t="shared" si="24"/>
        <v>0</v>
      </c>
      <c r="BN41" s="23">
        <f t="shared" si="24"/>
        <v>0</v>
      </c>
      <c r="BO41" s="23">
        <f t="shared" si="24"/>
        <v>0</v>
      </c>
      <c r="BP41" s="23">
        <f t="shared" si="24"/>
        <v>439.33333333333331</v>
      </c>
      <c r="BQ41" s="23">
        <f t="shared" si="24"/>
        <v>100</v>
      </c>
      <c r="BR41" s="23">
        <f t="shared" si="24"/>
        <v>100</v>
      </c>
      <c r="BS41" s="23">
        <f t="shared" si="24"/>
        <v>100</v>
      </c>
      <c r="BT41" s="23">
        <f t="shared" si="24"/>
        <v>100</v>
      </c>
      <c r="BU41" s="23">
        <f t="shared" si="24"/>
        <v>100</v>
      </c>
      <c r="BV41" s="23">
        <f t="shared" si="22"/>
        <v>200</v>
      </c>
      <c r="BW41" s="23">
        <f t="shared" si="22"/>
        <v>200</v>
      </c>
      <c r="BX41" s="23">
        <f t="shared" si="22"/>
        <v>200</v>
      </c>
      <c r="BY41" s="23">
        <f t="shared" si="22"/>
        <v>200</v>
      </c>
      <c r="BZ41" s="23">
        <f t="shared" si="22"/>
        <v>200</v>
      </c>
      <c r="CA41" s="23">
        <f t="shared" si="17"/>
        <v>200</v>
      </c>
      <c r="CB41" s="23">
        <f t="shared" si="17"/>
        <v>200</v>
      </c>
      <c r="CC41" s="23">
        <f t="shared" si="17"/>
        <v>200</v>
      </c>
      <c r="CD41" s="23">
        <f t="shared" si="17"/>
        <v>200</v>
      </c>
      <c r="CE41" s="23">
        <f t="shared" si="17"/>
        <v>200</v>
      </c>
      <c r="CF41" s="23">
        <f t="shared" si="17"/>
        <v>200</v>
      </c>
      <c r="CG41" s="23">
        <f t="shared" si="17"/>
        <v>200</v>
      </c>
      <c r="CH41" s="23">
        <f t="shared" si="17"/>
        <v>200</v>
      </c>
      <c r="CI41" s="23">
        <f t="shared" si="17"/>
        <v>200</v>
      </c>
      <c r="CJ41" s="23">
        <f t="shared" si="17"/>
        <v>200</v>
      </c>
      <c r="CK41" s="23">
        <f t="shared" si="17"/>
        <v>200</v>
      </c>
      <c r="CL41" s="23">
        <f t="shared" si="19"/>
        <v>200</v>
      </c>
      <c r="CM41" s="23">
        <f t="shared" si="19"/>
        <v>200</v>
      </c>
      <c r="CN41" s="23">
        <f t="shared" si="19"/>
        <v>200</v>
      </c>
      <c r="CO41" s="23" t="e">
        <f t="shared" si="19"/>
        <v>#NUM!</v>
      </c>
      <c r="CP41" s="23">
        <f t="shared" si="2"/>
        <v>393.18</v>
      </c>
      <c r="CQ41" s="67">
        <f t="shared" si="11"/>
        <v>0</v>
      </c>
      <c r="CR41" s="67">
        <v>0.85</v>
      </c>
      <c r="CS41" s="80">
        <f t="shared" si="6"/>
        <v>437.74892704454413</v>
      </c>
      <c r="CT41" s="81">
        <f t="shared" si="3"/>
        <v>372.08658798786252</v>
      </c>
      <c r="CU41" s="23">
        <f t="shared" si="4"/>
        <v>5132.5133333333333</v>
      </c>
      <c r="CV41" s="67">
        <f t="shared" si="11"/>
        <v>4.4553269701170371E-2</v>
      </c>
      <c r="CW41" s="80">
        <f t="shared" si="12"/>
        <v>5714.3094885510036</v>
      </c>
      <c r="CX41" s="81">
        <f t="shared" si="7"/>
        <v>4857.1630652683525</v>
      </c>
      <c r="CY41" s="65">
        <f>'Base Model'!J51*1000/365/24</f>
        <v>9232.4051556999439</v>
      </c>
      <c r="CZ41" s="65">
        <f>'Sensitivity - Population'!S40 + 'Sensitivity - GDP'!P41 +'Sensitivity - GDP'!P103</f>
        <v>84609.430680297868</v>
      </c>
      <c r="DA41" s="65">
        <f t="shared" si="8"/>
        <v>9658.6108082531809</v>
      </c>
      <c r="DB41" s="65">
        <f>'Sensitivity - Population'!E40+'Sensitivity - GDP'!D41+'Sensitivity - GDP'!D103</f>
        <v>77630.443059651123</v>
      </c>
      <c r="DC41" s="65">
        <f t="shared" si="9"/>
        <v>8861.9227237044652</v>
      </c>
      <c r="EQ41" s="92"/>
    </row>
    <row r="42" spans="2:147" x14ac:dyDescent="0.35">
      <c r="B42" s="90"/>
      <c r="C42" s="23">
        <v>28</v>
      </c>
      <c r="D42" s="23" t="s">
        <v>189</v>
      </c>
      <c r="E42" s="23" t="s">
        <v>154</v>
      </c>
      <c r="F42" s="23" t="s">
        <v>191</v>
      </c>
      <c r="G42" s="23">
        <v>110</v>
      </c>
      <c r="H42" s="23"/>
      <c r="I42" s="82">
        <v>41394</v>
      </c>
      <c r="J42" s="83">
        <f t="shared" ca="1" si="10"/>
        <v>8.8000000000000007</v>
      </c>
      <c r="K42" s="23"/>
      <c r="L42" s="92"/>
      <c r="N42" s="90"/>
      <c r="O42" s="79">
        <v>54788</v>
      </c>
      <c r="P42" s="23">
        <f t="shared" si="21"/>
        <v>0</v>
      </c>
      <c r="Q42" s="23">
        <f t="shared" si="21"/>
        <v>0</v>
      </c>
      <c r="R42" s="23">
        <f t="shared" si="21"/>
        <v>0</v>
      </c>
      <c r="S42" s="23">
        <f t="shared" si="21"/>
        <v>0</v>
      </c>
      <c r="T42" s="23">
        <f t="shared" si="21"/>
        <v>0</v>
      </c>
      <c r="U42" s="23">
        <f t="shared" si="21"/>
        <v>0</v>
      </c>
      <c r="V42" s="23">
        <f t="shared" si="21"/>
        <v>0</v>
      </c>
      <c r="W42" s="23">
        <f t="shared" si="21"/>
        <v>0</v>
      </c>
      <c r="X42" s="23">
        <f t="shared" si="21"/>
        <v>0</v>
      </c>
      <c r="Y42" s="23">
        <f t="shared" si="21"/>
        <v>47.8</v>
      </c>
      <c r="Z42" s="23">
        <f t="shared" si="21"/>
        <v>132</v>
      </c>
      <c r="AA42" s="23">
        <f t="shared" si="21"/>
        <v>0</v>
      </c>
      <c r="AB42" s="23">
        <f t="shared" si="21"/>
        <v>0</v>
      </c>
      <c r="AC42" s="23">
        <f t="shared" si="21"/>
        <v>0</v>
      </c>
      <c r="AD42" s="23">
        <f t="shared" si="21"/>
        <v>0</v>
      </c>
      <c r="AE42" s="23">
        <f t="shared" si="21"/>
        <v>0</v>
      </c>
      <c r="AF42" s="23">
        <f t="shared" si="25"/>
        <v>0</v>
      </c>
      <c r="AG42" s="23">
        <f t="shared" si="25"/>
        <v>0</v>
      </c>
      <c r="AH42" s="23">
        <f t="shared" si="25"/>
        <v>55</v>
      </c>
      <c r="AI42" s="23">
        <f t="shared" si="25"/>
        <v>0</v>
      </c>
      <c r="AJ42" s="23">
        <f t="shared" si="25"/>
        <v>0</v>
      </c>
      <c r="AK42" s="23">
        <f t="shared" si="25"/>
        <v>0</v>
      </c>
      <c r="AL42" s="23">
        <f t="shared" si="25"/>
        <v>0</v>
      </c>
      <c r="AM42" s="23">
        <f t="shared" si="25"/>
        <v>0</v>
      </c>
      <c r="AN42" s="23">
        <f t="shared" si="25"/>
        <v>0</v>
      </c>
      <c r="AO42" s="23">
        <f t="shared" si="25"/>
        <v>0</v>
      </c>
      <c r="AP42" s="23">
        <f t="shared" si="25"/>
        <v>0</v>
      </c>
      <c r="AQ42" s="23">
        <f t="shared" si="25"/>
        <v>0</v>
      </c>
      <c r="AR42" s="23">
        <f t="shared" si="25"/>
        <v>0</v>
      </c>
      <c r="AS42" s="23">
        <f t="shared" si="25"/>
        <v>0</v>
      </c>
      <c r="AT42" s="23">
        <f t="shared" si="25"/>
        <v>0</v>
      </c>
      <c r="AU42" s="23">
        <f t="shared" si="25"/>
        <v>0</v>
      </c>
      <c r="AV42" s="23">
        <f t="shared" si="23"/>
        <v>0</v>
      </c>
      <c r="AW42" s="23">
        <f t="shared" si="23"/>
        <v>0</v>
      </c>
      <c r="AX42" s="23">
        <f t="shared" si="23"/>
        <v>0</v>
      </c>
      <c r="AY42" s="23">
        <f t="shared" si="23"/>
        <v>0</v>
      </c>
      <c r="AZ42" s="23">
        <f t="shared" si="23"/>
        <v>0</v>
      </c>
      <c r="BA42" s="23">
        <f t="shared" si="23"/>
        <v>0</v>
      </c>
      <c r="BB42" s="23">
        <f t="shared" si="23"/>
        <v>0</v>
      </c>
      <c r="BC42" s="23">
        <f t="shared" si="23"/>
        <v>22</v>
      </c>
      <c r="BD42" s="23">
        <f t="shared" si="23"/>
        <v>0</v>
      </c>
      <c r="BE42" s="23">
        <f t="shared" si="23"/>
        <v>0</v>
      </c>
      <c r="BF42" s="23">
        <f t="shared" si="23"/>
        <v>0</v>
      </c>
      <c r="BG42" s="23">
        <f t="shared" si="23"/>
        <v>0</v>
      </c>
      <c r="BH42" s="23">
        <f t="shared" si="23"/>
        <v>0</v>
      </c>
      <c r="BI42" s="23">
        <f t="shared" si="23"/>
        <v>0</v>
      </c>
      <c r="BJ42" s="23">
        <f t="shared" si="23"/>
        <v>68.19</v>
      </c>
      <c r="BK42" s="23">
        <f t="shared" si="24"/>
        <v>68.19</v>
      </c>
      <c r="BL42" s="23">
        <f t="shared" si="24"/>
        <v>0</v>
      </c>
      <c r="BM42" s="23">
        <f t="shared" si="24"/>
        <v>0</v>
      </c>
      <c r="BN42" s="23">
        <f t="shared" si="24"/>
        <v>0</v>
      </c>
      <c r="BO42" s="23">
        <f t="shared" si="24"/>
        <v>0</v>
      </c>
      <c r="BP42" s="23">
        <f t="shared" si="24"/>
        <v>0</v>
      </c>
      <c r="BQ42" s="23">
        <f t="shared" si="24"/>
        <v>100</v>
      </c>
      <c r="BR42" s="23">
        <f t="shared" si="24"/>
        <v>100</v>
      </c>
      <c r="BS42" s="23">
        <f t="shared" si="24"/>
        <v>100</v>
      </c>
      <c r="BT42" s="23">
        <f t="shared" si="24"/>
        <v>100</v>
      </c>
      <c r="BU42" s="23">
        <f t="shared" si="24"/>
        <v>100</v>
      </c>
      <c r="BV42" s="23">
        <f t="shared" si="22"/>
        <v>200</v>
      </c>
      <c r="BW42" s="23">
        <f t="shared" si="22"/>
        <v>200</v>
      </c>
      <c r="BX42" s="23">
        <f t="shared" si="22"/>
        <v>200</v>
      </c>
      <c r="BY42" s="23">
        <f t="shared" si="22"/>
        <v>200</v>
      </c>
      <c r="BZ42" s="23">
        <f t="shared" si="22"/>
        <v>200</v>
      </c>
      <c r="CA42" s="23">
        <f t="shared" si="17"/>
        <v>200</v>
      </c>
      <c r="CB42" s="23">
        <f t="shared" si="17"/>
        <v>200</v>
      </c>
      <c r="CC42" s="23">
        <f t="shared" si="17"/>
        <v>200</v>
      </c>
      <c r="CD42" s="23">
        <f t="shared" si="17"/>
        <v>200</v>
      </c>
      <c r="CE42" s="23">
        <f t="shared" si="17"/>
        <v>200</v>
      </c>
      <c r="CF42" s="23">
        <f t="shared" si="17"/>
        <v>200</v>
      </c>
      <c r="CG42" s="23">
        <f t="shared" si="17"/>
        <v>200</v>
      </c>
      <c r="CH42" s="23">
        <f t="shared" si="17"/>
        <v>200</v>
      </c>
      <c r="CI42" s="23">
        <f t="shared" si="17"/>
        <v>200</v>
      </c>
      <c r="CJ42" s="23">
        <f t="shared" si="17"/>
        <v>200</v>
      </c>
      <c r="CK42" s="23">
        <f t="shared" si="17"/>
        <v>200</v>
      </c>
      <c r="CL42" s="23">
        <f t="shared" si="19"/>
        <v>200</v>
      </c>
      <c r="CM42" s="23">
        <f t="shared" si="19"/>
        <v>200</v>
      </c>
      <c r="CN42" s="23">
        <f t="shared" si="19"/>
        <v>200</v>
      </c>
      <c r="CO42" s="23">
        <f t="shared" si="19"/>
        <v>200</v>
      </c>
      <c r="CP42" s="23">
        <f t="shared" si="2"/>
        <v>393.18</v>
      </c>
      <c r="CQ42" s="67">
        <f t="shared" si="11"/>
        <v>0</v>
      </c>
      <c r="CR42" s="67">
        <v>0.85</v>
      </c>
      <c r="CS42" s="80">
        <f t="shared" si="6"/>
        <v>437.74892704454413</v>
      </c>
      <c r="CT42" s="81">
        <f t="shared" si="3"/>
        <v>372.08658798786252</v>
      </c>
      <c r="CU42" s="23">
        <f t="shared" si="4"/>
        <v>4893.18</v>
      </c>
      <c r="CV42" s="67">
        <f t="shared" si="11"/>
        <v>4.663082544354482E-2</v>
      </c>
      <c r="CW42" s="80">
        <f t="shared" si="12"/>
        <v>5447.84652025999</v>
      </c>
      <c r="CX42" s="81">
        <f t="shared" si="7"/>
        <v>4630.6695422209914</v>
      </c>
      <c r="CY42" s="65">
        <f>'Base Model'!J52*1000/365/24</f>
        <v>9347.9013771425216</v>
      </c>
      <c r="CZ42" s="65">
        <f>'Sensitivity - Population'!S41 + 'Sensitivity - GDP'!P42 +'Sensitivity - GDP'!P104</f>
        <v>85709.549007599184</v>
      </c>
      <c r="DA42" s="65">
        <f t="shared" si="8"/>
        <v>9784.1950921916887</v>
      </c>
      <c r="DB42" s="65">
        <f>'Sensitivity - Population'!E41+'Sensitivity - GDP'!D42+'Sensitivity - GDP'!D104</f>
        <v>78611.026741420996</v>
      </c>
      <c r="DC42" s="65">
        <f t="shared" si="9"/>
        <v>8973.8615001622147</v>
      </c>
      <c r="EQ42" s="92"/>
    </row>
    <row r="43" spans="2:147" x14ac:dyDescent="0.35">
      <c r="B43" s="90"/>
      <c r="C43" s="23">
        <v>29</v>
      </c>
      <c r="D43" s="23" t="s">
        <v>189</v>
      </c>
      <c r="E43" s="23" t="s">
        <v>154</v>
      </c>
      <c r="F43" s="23" t="s">
        <v>192</v>
      </c>
      <c r="G43" s="23">
        <v>47</v>
      </c>
      <c r="H43" s="23"/>
      <c r="I43" s="82">
        <v>43252</v>
      </c>
      <c r="J43" s="83">
        <f t="shared" ca="1" si="10"/>
        <v>3.7095890410958905</v>
      </c>
      <c r="K43" s="23"/>
      <c r="L43" s="92"/>
      <c r="N43" s="90"/>
      <c r="O43" s="79">
        <v>55153</v>
      </c>
      <c r="P43" s="23">
        <f t="shared" si="21"/>
        <v>0</v>
      </c>
      <c r="Q43" s="23">
        <f t="shared" si="21"/>
        <v>0</v>
      </c>
      <c r="R43" s="23">
        <f t="shared" si="21"/>
        <v>0</v>
      </c>
      <c r="S43" s="23">
        <f t="shared" si="21"/>
        <v>0</v>
      </c>
      <c r="T43" s="23">
        <f t="shared" si="21"/>
        <v>0</v>
      </c>
      <c r="U43" s="23">
        <f t="shared" si="21"/>
        <v>0</v>
      </c>
      <c r="V43" s="23">
        <f t="shared" si="21"/>
        <v>0</v>
      </c>
      <c r="W43" s="23">
        <f t="shared" si="21"/>
        <v>0</v>
      </c>
      <c r="X43" s="23">
        <f t="shared" si="21"/>
        <v>0</v>
      </c>
      <c r="Y43" s="23">
        <f t="shared" si="21"/>
        <v>47.8</v>
      </c>
      <c r="Z43" s="23">
        <f t="shared" si="21"/>
        <v>132</v>
      </c>
      <c r="AA43" s="23">
        <f t="shared" si="21"/>
        <v>0</v>
      </c>
      <c r="AB43" s="23">
        <f t="shared" si="21"/>
        <v>0</v>
      </c>
      <c r="AC43" s="23">
        <f t="shared" si="21"/>
        <v>0</v>
      </c>
      <c r="AD43" s="23">
        <f t="shared" si="21"/>
        <v>0</v>
      </c>
      <c r="AE43" s="23">
        <f t="shared" si="21"/>
        <v>0</v>
      </c>
      <c r="AF43" s="23">
        <f t="shared" si="25"/>
        <v>0</v>
      </c>
      <c r="AG43" s="23">
        <f t="shared" si="25"/>
        <v>0</v>
      </c>
      <c r="AH43" s="23">
        <f t="shared" si="25"/>
        <v>55</v>
      </c>
      <c r="AI43" s="23">
        <f t="shared" si="25"/>
        <v>0</v>
      </c>
      <c r="AJ43" s="23">
        <f t="shared" si="25"/>
        <v>0</v>
      </c>
      <c r="AK43" s="23">
        <f t="shared" si="25"/>
        <v>0</v>
      </c>
      <c r="AL43" s="23">
        <f t="shared" si="25"/>
        <v>0</v>
      </c>
      <c r="AM43" s="23">
        <f t="shared" si="25"/>
        <v>0</v>
      </c>
      <c r="AN43" s="23">
        <f t="shared" si="25"/>
        <v>0</v>
      </c>
      <c r="AO43" s="23">
        <f t="shared" si="25"/>
        <v>0</v>
      </c>
      <c r="AP43" s="23">
        <f t="shared" si="25"/>
        <v>0</v>
      </c>
      <c r="AQ43" s="23">
        <f t="shared" si="25"/>
        <v>0</v>
      </c>
      <c r="AR43" s="23">
        <f t="shared" si="25"/>
        <v>0</v>
      </c>
      <c r="AS43" s="23">
        <f t="shared" si="25"/>
        <v>0</v>
      </c>
      <c r="AT43" s="23">
        <f t="shared" si="25"/>
        <v>0</v>
      </c>
      <c r="AU43" s="23">
        <f t="shared" si="25"/>
        <v>0</v>
      </c>
      <c r="AV43" s="23">
        <f t="shared" si="23"/>
        <v>0</v>
      </c>
      <c r="AW43" s="23">
        <f t="shared" si="23"/>
        <v>0</v>
      </c>
      <c r="AX43" s="23">
        <f t="shared" si="23"/>
        <v>0</v>
      </c>
      <c r="AY43" s="23">
        <f t="shared" si="23"/>
        <v>0</v>
      </c>
      <c r="AZ43" s="23">
        <f t="shared" si="23"/>
        <v>0</v>
      </c>
      <c r="BA43" s="23">
        <f t="shared" si="23"/>
        <v>0</v>
      </c>
      <c r="BB43" s="23">
        <f t="shared" si="23"/>
        <v>0</v>
      </c>
      <c r="BC43" s="23">
        <f t="shared" si="23"/>
        <v>22</v>
      </c>
      <c r="BD43" s="23">
        <f t="shared" si="23"/>
        <v>0</v>
      </c>
      <c r="BE43" s="23">
        <f t="shared" si="23"/>
        <v>0</v>
      </c>
      <c r="BF43" s="23">
        <f t="shared" si="23"/>
        <v>0</v>
      </c>
      <c r="BG43" s="23">
        <f t="shared" si="23"/>
        <v>0</v>
      </c>
      <c r="BH43" s="23">
        <f t="shared" si="23"/>
        <v>0</v>
      </c>
      <c r="BI43" s="23">
        <f t="shared" si="23"/>
        <v>0</v>
      </c>
      <c r="BJ43" s="23">
        <f t="shared" si="23"/>
        <v>68.19</v>
      </c>
      <c r="BK43" s="23">
        <f t="shared" si="24"/>
        <v>68.19</v>
      </c>
      <c r="BL43" s="23">
        <f t="shared" si="24"/>
        <v>0</v>
      </c>
      <c r="BM43" s="23">
        <f t="shared" si="24"/>
        <v>0</v>
      </c>
      <c r="BN43" s="23">
        <f t="shared" si="24"/>
        <v>0</v>
      </c>
      <c r="BO43" s="23">
        <f t="shared" si="24"/>
        <v>0</v>
      </c>
      <c r="BP43" s="23">
        <f t="shared" si="24"/>
        <v>0</v>
      </c>
      <c r="BQ43" s="23">
        <f t="shared" si="24"/>
        <v>0</v>
      </c>
      <c r="BR43" s="23">
        <f t="shared" si="24"/>
        <v>100</v>
      </c>
      <c r="BS43" s="23">
        <f t="shared" si="24"/>
        <v>100</v>
      </c>
      <c r="BT43" s="23">
        <f t="shared" si="24"/>
        <v>100</v>
      </c>
      <c r="BU43" s="23">
        <f t="shared" si="24"/>
        <v>100</v>
      </c>
      <c r="BV43" s="23">
        <f t="shared" si="22"/>
        <v>200</v>
      </c>
      <c r="BW43" s="23">
        <f t="shared" si="22"/>
        <v>200</v>
      </c>
      <c r="BX43" s="23">
        <f t="shared" si="22"/>
        <v>200</v>
      </c>
      <c r="BY43" s="23">
        <f t="shared" si="22"/>
        <v>200</v>
      </c>
      <c r="BZ43" s="23">
        <f t="shared" si="22"/>
        <v>200</v>
      </c>
      <c r="CA43" s="23">
        <f t="shared" si="17"/>
        <v>200</v>
      </c>
      <c r="CB43" s="23">
        <f t="shared" si="17"/>
        <v>200</v>
      </c>
      <c r="CC43" s="23">
        <f t="shared" si="17"/>
        <v>200</v>
      </c>
      <c r="CD43" s="23">
        <f t="shared" si="17"/>
        <v>200</v>
      </c>
      <c r="CE43" s="23">
        <f t="shared" si="17"/>
        <v>200</v>
      </c>
      <c r="CF43" s="23">
        <f t="shared" si="17"/>
        <v>200</v>
      </c>
      <c r="CG43" s="23">
        <f t="shared" si="17"/>
        <v>200</v>
      </c>
      <c r="CH43" s="23">
        <f t="shared" si="17"/>
        <v>200</v>
      </c>
      <c r="CI43" s="23">
        <f t="shared" si="17"/>
        <v>200</v>
      </c>
      <c r="CJ43" s="23">
        <f t="shared" si="17"/>
        <v>200</v>
      </c>
      <c r="CK43" s="23">
        <f t="shared" si="17"/>
        <v>200</v>
      </c>
      <c r="CL43" s="23">
        <f t="shared" si="19"/>
        <v>200</v>
      </c>
      <c r="CM43" s="23">
        <f t="shared" si="19"/>
        <v>200</v>
      </c>
      <c r="CN43" s="23">
        <f t="shared" si="19"/>
        <v>200</v>
      </c>
      <c r="CO43" s="23">
        <f t="shared" si="19"/>
        <v>200</v>
      </c>
      <c r="CP43" s="23">
        <f t="shared" si="2"/>
        <v>393.18</v>
      </c>
      <c r="CQ43" s="67">
        <f t="shared" si="11"/>
        <v>0</v>
      </c>
      <c r="CR43" s="67">
        <v>0.85</v>
      </c>
      <c r="CS43" s="80">
        <f t="shared" si="6"/>
        <v>437.74892704454413</v>
      </c>
      <c r="CT43" s="81">
        <f t="shared" si="3"/>
        <v>372.08658798786252</v>
      </c>
      <c r="CU43" s="23">
        <f t="shared" si="4"/>
        <v>4793.18</v>
      </c>
      <c r="CV43" s="67">
        <f t="shared" si="11"/>
        <v>2.043660768661688E-2</v>
      </c>
      <c r="CW43" s="80">
        <f t="shared" si="12"/>
        <v>5336.5110181885357</v>
      </c>
      <c r="CX43" s="81">
        <f t="shared" si="7"/>
        <v>4536.0343654602548</v>
      </c>
      <c r="CY43" s="65">
        <f>'Base Model'!J53*1000/365/24</f>
        <v>9463.2598713718889</v>
      </c>
      <c r="CZ43" s="65">
        <f>'Sensitivity - Population'!S42 + 'Sensitivity - GDP'!P43 +'Sensitivity - GDP'!P105</f>
        <v>86808.461807427637</v>
      </c>
      <c r="DA43" s="65">
        <f t="shared" si="8"/>
        <v>9909.6417588387703</v>
      </c>
      <c r="DB43" s="65">
        <f>'Sensitivity - Population'!E42+'Sensitivity - GDP'!D43+'Sensitivity - GDP'!D105</f>
        <v>79590.421622561043</v>
      </c>
      <c r="DC43" s="65">
        <f t="shared" si="9"/>
        <v>9085.6645687855071</v>
      </c>
      <c r="EQ43" s="92"/>
    </row>
    <row r="44" spans="2:147" x14ac:dyDescent="0.35">
      <c r="B44" s="90"/>
      <c r="C44" s="23">
        <v>30</v>
      </c>
      <c r="D44" s="23" t="s">
        <v>189</v>
      </c>
      <c r="E44" s="23" t="s">
        <v>154</v>
      </c>
      <c r="F44" s="23" t="s">
        <v>193</v>
      </c>
      <c r="G44" s="23">
        <v>47</v>
      </c>
      <c r="H44" s="23">
        <f>SUM(G41:G44)</f>
        <v>314</v>
      </c>
      <c r="I44" s="82">
        <v>43035</v>
      </c>
      <c r="J44" s="83">
        <f t="shared" ca="1" si="10"/>
        <v>4.3041095890410963</v>
      </c>
      <c r="K44" s="23"/>
      <c r="L44" s="92"/>
      <c r="N44" s="90"/>
      <c r="EQ44" s="92"/>
    </row>
    <row r="45" spans="2:147" x14ac:dyDescent="0.35">
      <c r="B45" s="90"/>
      <c r="C45" s="23">
        <v>31</v>
      </c>
      <c r="D45" s="23" t="s">
        <v>194</v>
      </c>
      <c r="E45" s="23" t="s">
        <v>154</v>
      </c>
      <c r="F45" s="23" t="s">
        <v>195</v>
      </c>
      <c r="G45" s="23">
        <v>250</v>
      </c>
      <c r="H45" s="23"/>
      <c r="I45" s="82">
        <v>38604</v>
      </c>
      <c r="J45" s="83">
        <f t="shared" ca="1" si="10"/>
        <v>16.443835616438356</v>
      </c>
      <c r="K45" s="84" t="s">
        <v>196</v>
      </c>
      <c r="L45" s="92"/>
      <c r="N45" s="90"/>
      <c r="CS45" s="99"/>
      <c r="EQ45" s="92"/>
    </row>
    <row r="46" spans="2:147" x14ac:dyDescent="0.35">
      <c r="B46" s="90"/>
      <c r="C46" s="23">
        <v>32</v>
      </c>
      <c r="D46" s="23" t="s">
        <v>194</v>
      </c>
      <c r="E46" s="23" t="s">
        <v>154</v>
      </c>
      <c r="F46" s="23" t="s">
        <v>197</v>
      </c>
      <c r="G46" s="23">
        <v>250</v>
      </c>
      <c r="H46" s="23"/>
      <c r="I46" s="82">
        <v>38565</v>
      </c>
      <c r="J46" s="83">
        <f t="shared" ca="1" si="10"/>
        <v>16.550684931506851</v>
      </c>
      <c r="K46" s="84" t="s">
        <v>198</v>
      </c>
      <c r="L46" s="92"/>
      <c r="N46" s="90"/>
      <c r="EQ46" s="92"/>
    </row>
    <row r="47" spans="2:147" x14ac:dyDescent="0.35">
      <c r="B47" s="90"/>
      <c r="C47" s="23">
        <v>33</v>
      </c>
      <c r="D47" s="23" t="s">
        <v>194</v>
      </c>
      <c r="E47" s="23" t="s">
        <v>154</v>
      </c>
      <c r="F47" s="23" t="s">
        <v>199</v>
      </c>
      <c r="G47" s="23">
        <v>250</v>
      </c>
      <c r="H47" s="23"/>
      <c r="I47" s="82">
        <v>38529</v>
      </c>
      <c r="J47" s="83">
        <f t="shared" ca="1" si="10"/>
        <v>16.649315068493152</v>
      </c>
      <c r="K47" s="84" t="s">
        <v>200</v>
      </c>
      <c r="L47" s="92"/>
      <c r="N47" s="90"/>
      <c r="EQ47" s="92"/>
    </row>
    <row r="48" spans="2:147" ht="43.5" x14ac:dyDescent="0.35">
      <c r="B48" s="90"/>
      <c r="C48" s="23">
        <v>34</v>
      </c>
      <c r="D48" s="23" t="s">
        <v>194</v>
      </c>
      <c r="E48" s="23" t="s">
        <v>154</v>
      </c>
      <c r="F48" s="23" t="s">
        <v>201</v>
      </c>
      <c r="G48" s="23">
        <v>90</v>
      </c>
      <c r="H48" s="23"/>
      <c r="I48" s="82">
        <v>31472</v>
      </c>
      <c r="J48" s="83">
        <f t="shared" ca="1" si="10"/>
        <v>35.983561643835614</v>
      </c>
      <c r="K48" s="23"/>
      <c r="L48" s="92"/>
      <c r="N48" s="90"/>
      <c r="O48" s="72" t="s">
        <v>130</v>
      </c>
      <c r="P48" s="100">
        <v>35</v>
      </c>
      <c r="EQ48" s="92"/>
    </row>
    <row r="49" spans="2:147" ht="15" customHeight="1" x14ac:dyDescent="0.35">
      <c r="B49" s="90"/>
      <c r="C49" s="23">
        <v>35</v>
      </c>
      <c r="D49" s="23" t="s">
        <v>194</v>
      </c>
      <c r="E49" s="23" t="s">
        <v>154</v>
      </c>
      <c r="F49" s="23" t="s">
        <v>202</v>
      </c>
      <c r="G49" s="23">
        <v>90</v>
      </c>
      <c r="H49" s="23"/>
      <c r="I49" s="82">
        <v>31564</v>
      </c>
      <c r="J49" s="83">
        <f t="shared" ca="1" si="10"/>
        <v>35.731506849315068</v>
      </c>
      <c r="K49" s="23"/>
      <c r="L49" s="92"/>
      <c r="N49" s="90"/>
      <c r="BN49" s="330" t="s">
        <v>132</v>
      </c>
      <c r="BO49" s="331"/>
      <c r="BP49" s="331"/>
      <c r="BQ49" s="331"/>
      <c r="BR49" s="331"/>
      <c r="BS49" s="331"/>
      <c r="BT49" s="331"/>
      <c r="BU49" s="331"/>
      <c r="BV49" s="331"/>
      <c r="BW49" s="331"/>
      <c r="BX49" s="331"/>
      <c r="BY49" s="331"/>
      <c r="BZ49" s="331"/>
      <c r="CA49" s="331"/>
      <c r="CB49" s="331"/>
      <c r="CC49" s="331"/>
      <c r="CD49" s="331"/>
      <c r="CE49" s="331"/>
      <c r="CF49" s="331"/>
      <c r="CG49" s="331"/>
      <c r="CH49" s="331"/>
      <c r="CI49" s="331"/>
      <c r="CJ49" s="331"/>
      <c r="CK49" s="331"/>
      <c r="CL49" s="331"/>
      <c r="CM49" s="331"/>
      <c r="CN49" s="331"/>
      <c r="CO49" s="331"/>
      <c r="CP49" s="332" t="s">
        <v>133</v>
      </c>
      <c r="CQ49" s="333"/>
      <c r="CR49" s="333"/>
      <c r="CS49" s="333"/>
      <c r="CT49" s="334"/>
      <c r="CU49" s="335" t="s">
        <v>134</v>
      </c>
      <c r="CV49" s="336"/>
      <c r="CW49" s="336"/>
      <c r="CX49" s="337"/>
      <c r="EQ49" s="92"/>
    </row>
    <row r="50" spans="2:147" ht="29" x14ac:dyDescent="0.35">
      <c r="B50" s="90"/>
      <c r="C50" s="23">
        <v>36</v>
      </c>
      <c r="D50" s="23" t="s">
        <v>194</v>
      </c>
      <c r="E50" s="23" t="s">
        <v>154</v>
      </c>
      <c r="F50" s="23" t="s">
        <v>203</v>
      </c>
      <c r="G50" s="23">
        <v>368</v>
      </c>
      <c r="H50" s="23"/>
      <c r="I50" s="82">
        <v>37554</v>
      </c>
      <c r="J50" s="83">
        <f t="shared" ca="1" si="10"/>
        <v>19.32054794520548</v>
      </c>
      <c r="K50" s="23"/>
      <c r="L50" s="92"/>
      <c r="N50" s="90"/>
      <c r="O50" s="3"/>
      <c r="P50" s="74">
        <v>1</v>
      </c>
      <c r="Q50" s="74">
        <v>2</v>
      </c>
      <c r="R50" s="74">
        <v>3</v>
      </c>
      <c r="S50" s="74">
        <v>4</v>
      </c>
      <c r="T50" s="74">
        <v>5</v>
      </c>
      <c r="U50" s="74">
        <v>6</v>
      </c>
      <c r="V50" s="74">
        <v>7</v>
      </c>
      <c r="W50" s="74">
        <v>8</v>
      </c>
      <c r="X50" s="74">
        <v>9</v>
      </c>
      <c r="Y50" s="74">
        <v>10</v>
      </c>
      <c r="Z50" s="74">
        <v>11</v>
      </c>
      <c r="AA50" s="74">
        <v>12</v>
      </c>
      <c r="AB50" s="74">
        <v>13</v>
      </c>
      <c r="AC50" s="74">
        <v>14</v>
      </c>
      <c r="AD50" s="74">
        <v>15</v>
      </c>
      <c r="AE50" s="74">
        <v>16</v>
      </c>
      <c r="AF50" s="74">
        <v>17</v>
      </c>
      <c r="AG50" s="74">
        <v>18</v>
      </c>
      <c r="AH50" s="74">
        <v>19</v>
      </c>
      <c r="AI50" s="74">
        <v>20</v>
      </c>
      <c r="AJ50" s="74">
        <v>21</v>
      </c>
      <c r="AK50" s="74">
        <v>22</v>
      </c>
      <c r="AL50" s="74">
        <v>23</v>
      </c>
      <c r="AM50" s="74">
        <v>24</v>
      </c>
      <c r="AN50" s="74">
        <v>25</v>
      </c>
      <c r="AO50" s="74">
        <v>26</v>
      </c>
      <c r="AP50" s="74">
        <v>27</v>
      </c>
      <c r="AQ50" s="74">
        <v>28</v>
      </c>
      <c r="AR50" s="74">
        <v>29</v>
      </c>
      <c r="AS50" s="74">
        <v>30</v>
      </c>
      <c r="AT50" s="74">
        <v>31</v>
      </c>
      <c r="AU50" s="74">
        <v>32</v>
      </c>
      <c r="AV50" s="74">
        <v>33</v>
      </c>
      <c r="AW50" s="74">
        <v>34</v>
      </c>
      <c r="AX50" s="74">
        <v>35</v>
      </c>
      <c r="AY50" s="74">
        <v>36</v>
      </c>
      <c r="AZ50" s="74">
        <v>37</v>
      </c>
      <c r="BA50" s="74">
        <v>38</v>
      </c>
      <c r="BB50" s="74">
        <v>39</v>
      </c>
      <c r="BC50" s="74">
        <v>40</v>
      </c>
      <c r="BD50" s="74">
        <v>41</v>
      </c>
      <c r="BE50" s="74">
        <v>42</v>
      </c>
      <c r="BF50" s="74">
        <v>43</v>
      </c>
      <c r="BG50" s="74">
        <v>44</v>
      </c>
      <c r="BH50" s="74">
        <v>45</v>
      </c>
      <c r="BI50" s="74">
        <v>46</v>
      </c>
      <c r="BJ50" s="74">
        <v>47</v>
      </c>
      <c r="BK50" s="74">
        <v>48</v>
      </c>
      <c r="BL50" s="74">
        <v>49</v>
      </c>
      <c r="BM50" s="74">
        <v>50</v>
      </c>
      <c r="BN50" s="75">
        <v>51</v>
      </c>
      <c r="BO50" s="75">
        <v>52</v>
      </c>
      <c r="BP50" s="75">
        <v>53</v>
      </c>
      <c r="BQ50" s="75">
        <v>54</v>
      </c>
      <c r="BR50" s="75">
        <v>55</v>
      </c>
      <c r="BS50" s="75">
        <v>56</v>
      </c>
      <c r="BT50" s="75">
        <v>57</v>
      </c>
      <c r="BU50" s="75">
        <v>58</v>
      </c>
      <c r="BV50" s="75">
        <v>59</v>
      </c>
      <c r="BW50" s="75">
        <v>60</v>
      </c>
      <c r="BX50" s="75">
        <v>61</v>
      </c>
      <c r="BY50" s="75">
        <v>62</v>
      </c>
      <c r="BZ50" s="75">
        <v>63</v>
      </c>
      <c r="CA50" s="75">
        <v>64</v>
      </c>
      <c r="CB50" s="75">
        <v>65</v>
      </c>
      <c r="CC50" s="75">
        <v>66</v>
      </c>
      <c r="CD50" s="75">
        <v>67</v>
      </c>
      <c r="CE50" s="75">
        <v>68</v>
      </c>
      <c r="CF50" s="75">
        <v>69</v>
      </c>
      <c r="CG50" s="75">
        <v>70</v>
      </c>
      <c r="CH50" s="75">
        <v>71</v>
      </c>
      <c r="CI50" s="75">
        <v>72</v>
      </c>
      <c r="CJ50" s="75">
        <v>73</v>
      </c>
      <c r="CK50" s="75">
        <v>74</v>
      </c>
      <c r="CL50" s="75">
        <v>75</v>
      </c>
      <c r="CM50" s="75">
        <v>76</v>
      </c>
      <c r="CN50" s="75">
        <v>77</v>
      </c>
      <c r="CO50" s="75">
        <v>78</v>
      </c>
      <c r="CP50" s="76" t="s">
        <v>138</v>
      </c>
      <c r="CQ50" s="76" t="s">
        <v>139</v>
      </c>
      <c r="CR50" s="77" t="s">
        <v>140</v>
      </c>
      <c r="CS50" s="76" t="s">
        <v>141</v>
      </c>
      <c r="CT50" s="76" t="s">
        <v>142</v>
      </c>
      <c r="CU50" s="78" t="s">
        <v>138</v>
      </c>
      <c r="CV50" s="78" t="s">
        <v>139</v>
      </c>
      <c r="CW50" s="78" t="s">
        <v>141</v>
      </c>
      <c r="CX50" s="78" t="s">
        <v>142</v>
      </c>
      <c r="CY50" s="86" t="s">
        <v>143</v>
      </c>
      <c r="CZ50" s="86" t="s">
        <v>339</v>
      </c>
      <c r="DA50" s="86" t="s">
        <v>341</v>
      </c>
      <c r="DB50" s="86" t="s">
        <v>340</v>
      </c>
      <c r="DC50" s="86" t="s">
        <v>342</v>
      </c>
      <c r="DW50" s="91" t="s">
        <v>204</v>
      </c>
      <c r="EQ50" s="92"/>
    </row>
    <row r="51" spans="2:147" x14ac:dyDescent="0.35">
      <c r="B51" s="90"/>
      <c r="C51" s="23">
        <v>37</v>
      </c>
      <c r="D51" s="23" t="s">
        <v>194</v>
      </c>
      <c r="E51" s="23" t="s">
        <v>154</v>
      </c>
      <c r="F51" s="23" t="s">
        <v>205</v>
      </c>
      <c r="G51" s="23">
        <v>364</v>
      </c>
      <c r="H51" s="23"/>
      <c r="I51" s="82">
        <v>37589</v>
      </c>
      <c r="J51" s="83">
        <f t="shared" ca="1" si="10"/>
        <v>19.224657534246575</v>
      </c>
      <c r="K51" s="23"/>
      <c r="L51" s="92"/>
      <c r="N51" s="90"/>
      <c r="O51" s="79">
        <v>44561</v>
      </c>
      <c r="P51" s="23">
        <f>IF(VLOOKUP(P$13,$C$15:$J$92,3,FALSE) &lt;&gt; "Incineration", IF(DATEDIF(VLOOKUP(P$13,$C$15:$J$92,7,FALSE),$O51,"y")&gt;=$P$48,0,VLOOKUP(P$13,$C$15:$J$92,5,FALSE)), VLOOKUP(P$13,$C$15:$J$92,5,FALSE))</f>
        <v>392.5</v>
      </c>
      <c r="Q51" s="23">
        <f t="shared" ref="Q51:CB54" si="26">IF(VLOOKUP(Q$13,$C$15:$J$92,3,FALSE) &lt;&gt; "Incineration", IF(DATEDIF(VLOOKUP(Q$13,$C$15:$J$92,7,FALSE),$O51,"y")&gt;=$P$48,0,VLOOKUP(Q$13,$C$15:$J$92,5,FALSE)), VLOOKUP(Q$13,$C$15:$J$92,5,FALSE))</f>
        <v>392.5</v>
      </c>
      <c r="R51" s="23">
        <f t="shared" si="26"/>
        <v>403.8</v>
      </c>
      <c r="S51" s="23">
        <f t="shared" si="26"/>
        <v>400</v>
      </c>
      <c r="T51" s="23">
        <f t="shared" si="26"/>
        <v>400</v>
      </c>
      <c r="U51" s="23">
        <f t="shared" si="26"/>
        <v>250</v>
      </c>
      <c r="V51" s="23">
        <f t="shared" si="26"/>
        <v>250</v>
      </c>
      <c r="W51" s="23">
        <f t="shared" si="26"/>
        <v>420</v>
      </c>
      <c r="X51" s="23">
        <f t="shared" si="26"/>
        <v>420</v>
      </c>
      <c r="Y51" s="23">
        <f t="shared" si="26"/>
        <v>47.8</v>
      </c>
      <c r="Z51" s="23">
        <f t="shared" si="26"/>
        <v>132</v>
      </c>
      <c r="AA51" s="23">
        <f t="shared" si="26"/>
        <v>367.5</v>
      </c>
      <c r="AB51" s="23">
        <f t="shared" si="26"/>
        <v>367.5</v>
      </c>
      <c r="AC51" s="23">
        <f t="shared" si="26"/>
        <v>367.5</v>
      </c>
      <c r="AD51" s="23">
        <f t="shared" si="26"/>
        <v>367.5</v>
      </c>
      <c r="AE51" s="23">
        <f t="shared" si="26"/>
        <v>405.9</v>
      </c>
      <c r="AF51" s="23">
        <f t="shared" si="26"/>
        <v>60</v>
      </c>
      <c r="AG51" s="23">
        <f t="shared" si="26"/>
        <v>67.8</v>
      </c>
      <c r="AH51" s="23">
        <f t="shared" si="26"/>
        <v>55</v>
      </c>
      <c r="AI51" s="23">
        <f t="shared" si="26"/>
        <v>262</v>
      </c>
      <c r="AJ51" s="23">
        <f t="shared" si="26"/>
        <v>425</v>
      </c>
      <c r="AK51" s="23">
        <f t="shared" si="26"/>
        <v>365</v>
      </c>
      <c r="AL51" s="23">
        <f t="shared" si="26"/>
        <v>365</v>
      </c>
      <c r="AM51" s="23">
        <f t="shared" si="26"/>
        <v>365</v>
      </c>
      <c r="AN51" s="23">
        <f t="shared" si="26"/>
        <v>431</v>
      </c>
      <c r="AO51" s="23">
        <f t="shared" si="26"/>
        <v>431</v>
      </c>
      <c r="AP51" s="23">
        <f t="shared" si="26"/>
        <v>110</v>
      </c>
      <c r="AQ51" s="23">
        <f t="shared" si="26"/>
        <v>110</v>
      </c>
      <c r="AR51" s="23">
        <f t="shared" si="26"/>
        <v>47</v>
      </c>
      <c r="AS51" s="23">
        <f t="shared" si="26"/>
        <v>47</v>
      </c>
      <c r="AT51" s="23">
        <f t="shared" si="26"/>
        <v>250</v>
      </c>
      <c r="AU51" s="23">
        <f t="shared" si="26"/>
        <v>250</v>
      </c>
      <c r="AV51" s="23">
        <f t="shared" si="26"/>
        <v>250</v>
      </c>
      <c r="AW51" s="23">
        <f t="shared" si="26"/>
        <v>0</v>
      </c>
      <c r="AX51" s="23">
        <f t="shared" si="26"/>
        <v>0</v>
      </c>
      <c r="AY51" s="23">
        <f t="shared" si="26"/>
        <v>368</v>
      </c>
      <c r="AZ51" s="23">
        <f t="shared" si="26"/>
        <v>364</v>
      </c>
      <c r="BA51" s="23">
        <f t="shared" si="26"/>
        <v>370</v>
      </c>
      <c r="BB51" s="23">
        <f t="shared" si="26"/>
        <v>370</v>
      </c>
      <c r="BC51" s="23">
        <f t="shared" si="26"/>
        <v>22</v>
      </c>
      <c r="BD51" s="23">
        <f t="shared" si="26"/>
        <v>395.7</v>
      </c>
      <c r="BE51" s="23">
        <f t="shared" si="26"/>
        <v>101</v>
      </c>
      <c r="BF51" s="23">
        <f t="shared" si="26"/>
        <v>32.5</v>
      </c>
      <c r="BG51" s="23">
        <f t="shared" si="26"/>
        <v>37.5</v>
      </c>
      <c r="BH51" s="23">
        <f t="shared" si="26"/>
        <v>37.5</v>
      </c>
      <c r="BI51" s="23">
        <f t="shared" si="26"/>
        <v>1.95</v>
      </c>
      <c r="BJ51" s="23">
        <f t="shared" si="26"/>
        <v>68.19</v>
      </c>
      <c r="BK51" s="23">
        <f t="shared" si="26"/>
        <v>68.19</v>
      </c>
      <c r="BL51" s="23">
        <f t="shared" si="26"/>
        <v>40</v>
      </c>
      <c r="BM51" s="23">
        <f t="shared" si="26"/>
        <v>14</v>
      </c>
      <c r="BN51" s="23" t="e">
        <f t="shared" si="26"/>
        <v>#NUM!</v>
      </c>
      <c r="BO51" s="23" t="e">
        <f t="shared" si="26"/>
        <v>#NUM!</v>
      </c>
      <c r="BP51" s="23" t="e">
        <f t="shared" si="26"/>
        <v>#NUM!</v>
      </c>
      <c r="BQ51" s="23" t="e">
        <f t="shared" si="26"/>
        <v>#NUM!</v>
      </c>
      <c r="BR51" s="23" t="e">
        <f t="shared" si="26"/>
        <v>#NUM!</v>
      </c>
      <c r="BS51" s="23" t="e">
        <f t="shared" si="26"/>
        <v>#NUM!</v>
      </c>
      <c r="BT51" s="23" t="e">
        <f t="shared" si="26"/>
        <v>#NUM!</v>
      </c>
      <c r="BU51" s="23" t="e">
        <f t="shared" si="26"/>
        <v>#NUM!</v>
      </c>
      <c r="BV51" s="23" t="e">
        <f t="shared" si="26"/>
        <v>#NUM!</v>
      </c>
      <c r="BW51" s="23" t="e">
        <f t="shared" si="26"/>
        <v>#NUM!</v>
      </c>
      <c r="BX51" s="23" t="e">
        <f t="shared" si="26"/>
        <v>#NUM!</v>
      </c>
      <c r="BY51" s="23" t="e">
        <f t="shared" si="26"/>
        <v>#NUM!</v>
      </c>
      <c r="BZ51" s="23" t="e">
        <f t="shared" si="26"/>
        <v>#NUM!</v>
      </c>
      <c r="CA51" s="23" t="e">
        <f t="shared" si="26"/>
        <v>#NUM!</v>
      </c>
      <c r="CB51" s="23" t="e">
        <f t="shared" si="26"/>
        <v>#NUM!</v>
      </c>
      <c r="CC51" s="23" t="e">
        <f t="shared" ref="CC51:CO66" si="27">IF(VLOOKUP(CC$13,$C$15:$J$92,3,FALSE) &lt;&gt; "Incineration", IF(DATEDIF(VLOOKUP(CC$13,$C$15:$J$92,7,FALSE),$O51,"y")&gt;=$P$48,0,VLOOKUP(CC$13,$C$15:$J$92,5,FALSE)), VLOOKUP(CC$13,$C$15:$J$92,5,FALSE))</f>
        <v>#NUM!</v>
      </c>
      <c r="CD51" s="23" t="e">
        <f t="shared" si="27"/>
        <v>#NUM!</v>
      </c>
      <c r="CE51" s="23" t="e">
        <f t="shared" si="27"/>
        <v>#NUM!</v>
      </c>
      <c r="CF51" s="23" t="e">
        <f t="shared" si="27"/>
        <v>#NUM!</v>
      </c>
      <c r="CG51" s="23" t="e">
        <f t="shared" si="27"/>
        <v>#NUM!</v>
      </c>
      <c r="CH51" s="23" t="e">
        <f t="shared" si="27"/>
        <v>#NUM!</v>
      </c>
      <c r="CI51" s="23" t="e">
        <f t="shared" si="27"/>
        <v>#NUM!</v>
      </c>
      <c r="CJ51" s="23" t="e">
        <f t="shared" si="27"/>
        <v>#NUM!</v>
      </c>
      <c r="CK51" s="23" t="e">
        <f t="shared" si="27"/>
        <v>#NUM!</v>
      </c>
      <c r="CL51" s="23" t="e">
        <f t="shared" si="27"/>
        <v>#NUM!</v>
      </c>
      <c r="CM51" s="23" t="e">
        <f t="shared" si="27"/>
        <v>#NUM!</v>
      </c>
      <c r="CN51" s="23" t="e">
        <f t="shared" si="27"/>
        <v>#NUM!</v>
      </c>
      <c r="CO51" s="23" t="e">
        <f t="shared" si="27"/>
        <v>#NUM!</v>
      </c>
      <c r="CP51" s="23">
        <f t="shared" ref="CP51:CP80" si="28">SUM(P51:BM51)</f>
        <v>11565.830000000002</v>
      </c>
      <c r="CQ51" s="23"/>
      <c r="CR51" s="67">
        <v>0.85</v>
      </c>
      <c r="CS51" s="80">
        <f>12112</f>
        <v>12112</v>
      </c>
      <c r="CT51" s="81">
        <f t="shared" ref="CT51:CT80" si="29">CS51*CR51</f>
        <v>10295.199999999999</v>
      </c>
      <c r="CU51" s="23">
        <f t="shared" ref="CU51:CU80" si="30">SUMIF(P51:CO51, "&gt;=0")</f>
        <v>11565.830000000002</v>
      </c>
      <c r="CV51" s="23"/>
      <c r="CW51" s="80">
        <v>12112</v>
      </c>
      <c r="CX51" s="81">
        <f>CW51*CR51</f>
        <v>10295.199999999999</v>
      </c>
      <c r="CY51" s="65">
        <f t="shared" ref="CY51:CY80" si="31">CY14</f>
        <v>6068.3664805815779</v>
      </c>
      <c r="CZ51" s="65">
        <f>'Sensitivity - Population'!S13 + 'Sensitivity - GDP'!P14 +'Sensitivity - GDP'!P76</f>
        <v>52072.34163523504</v>
      </c>
      <c r="DA51" s="65">
        <f>CZ51*1000/(365*24)</f>
        <v>5944.3312368989773</v>
      </c>
      <c r="DB51" s="65">
        <f>'Sensitivity - Population'!E13+'Sensitivity - GDP'!D14+'Sensitivity - GDP'!D76</f>
        <v>48596.064963780576</v>
      </c>
      <c r="DC51" s="65">
        <f>DB51*1000/(365*24)</f>
        <v>5547.4960004315726</v>
      </c>
      <c r="DW51" s="71" t="s">
        <v>206</v>
      </c>
      <c r="EQ51" s="92"/>
    </row>
    <row r="52" spans="2:147" x14ac:dyDescent="0.35">
      <c r="B52" s="90"/>
      <c r="C52" s="23">
        <v>38</v>
      </c>
      <c r="D52" s="23" t="s">
        <v>194</v>
      </c>
      <c r="E52" s="23" t="s">
        <v>154</v>
      </c>
      <c r="F52" s="23" t="s">
        <v>207</v>
      </c>
      <c r="G52" s="23">
        <v>370</v>
      </c>
      <c r="H52" s="23"/>
      <c r="I52" s="82">
        <v>40365</v>
      </c>
      <c r="J52" s="83">
        <f t="shared" ca="1" si="10"/>
        <v>11.61917808219178</v>
      </c>
      <c r="K52" s="23"/>
      <c r="L52" s="92"/>
      <c r="N52" s="90"/>
      <c r="O52" s="79">
        <v>44926</v>
      </c>
      <c r="P52" s="23">
        <f t="shared" ref="P52:AE70" si="32">IF(VLOOKUP(P$13,$C$15:$J$92,3,FALSE) &lt;&gt; "Incineration", IF(DATEDIF(VLOOKUP(P$13,$C$15:$J$92,7,FALSE),$O52,"y")&gt;=$P$48,0,VLOOKUP(P$13,$C$15:$J$92,5,FALSE)), VLOOKUP(P$13,$C$15:$J$92,5,FALSE))</f>
        <v>392.5</v>
      </c>
      <c r="Q52" s="23">
        <f t="shared" si="26"/>
        <v>392.5</v>
      </c>
      <c r="R52" s="23">
        <f t="shared" si="26"/>
        <v>403.8</v>
      </c>
      <c r="S52" s="23">
        <f t="shared" si="26"/>
        <v>400</v>
      </c>
      <c r="T52" s="23">
        <f t="shared" si="26"/>
        <v>400</v>
      </c>
      <c r="U52" s="23">
        <f t="shared" si="26"/>
        <v>250</v>
      </c>
      <c r="V52" s="23">
        <f t="shared" si="26"/>
        <v>250</v>
      </c>
      <c r="W52" s="23">
        <f t="shared" si="26"/>
        <v>420</v>
      </c>
      <c r="X52" s="23">
        <f t="shared" si="26"/>
        <v>420</v>
      </c>
      <c r="Y52" s="23">
        <f t="shared" si="26"/>
        <v>47.8</v>
      </c>
      <c r="Z52" s="23">
        <f t="shared" si="26"/>
        <v>132</v>
      </c>
      <c r="AA52" s="23">
        <f t="shared" si="26"/>
        <v>367.5</v>
      </c>
      <c r="AB52" s="23">
        <f t="shared" si="26"/>
        <v>367.5</v>
      </c>
      <c r="AC52" s="23">
        <f t="shared" si="26"/>
        <v>367.5</v>
      </c>
      <c r="AD52" s="23">
        <f t="shared" si="26"/>
        <v>367.5</v>
      </c>
      <c r="AE52" s="23">
        <f t="shared" si="26"/>
        <v>405.9</v>
      </c>
      <c r="AF52" s="23">
        <f t="shared" si="26"/>
        <v>60</v>
      </c>
      <c r="AG52" s="23">
        <f t="shared" si="26"/>
        <v>67.8</v>
      </c>
      <c r="AH52" s="23">
        <f t="shared" si="26"/>
        <v>55</v>
      </c>
      <c r="AI52" s="23">
        <f t="shared" si="26"/>
        <v>262</v>
      </c>
      <c r="AJ52" s="23">
        <f t="shared" si="26"/>
        <v>425</v>
      </c>
      <c r="AK52" s="23">
        <f t="shared" si="26"/>
        <v>365</v>
      </c>
      <c r="AL52" s="23">
        <f t="shared" si="26"/>
        <v>365</v>
      </c>
      <c r="AM52" s="23">
        <f t="shared" si="26"/>
        <v>365</v>
      </c>
      <c r="AN52" s="23">
        <f t="shared" si="26"/>
        <v>431</v>
      </c>
      <c r="AO52" s="23">
        <f t="shared" si="26"/>
        <v>431</v>
      </c>
      <c r="AP52" s="23">
        <f t="shared" si="26"/>
        <v>110</v>
      </c>
      <c r="AQ52" s="23">
        <f t="shared" si="26"/>
        <v>110</v>
      </c>
      <c r="AR52" s="23">
        <f t="shared" si="26"/>
        <v>47</v>
      </c>
      <c r="AS52" s="23">
        <f t="shared" si="26"/>
        <v>47</v>
      </c>
      <c r="AT52" s="23">
        <f t="shared" si="26"/>
        <v>250</v>
      </c>
      <c r="AU52" s="23">
        <f t="shared" si="26"/>
        <v>250</v>
      </c>
      <c r="AV52" s="23">
        <f t="shared" si="26"/>
        <v>250</v>
      </c>
      <c r="AW52" s="23">
        <f t="shared" si="26"/>
        <v>0</v>
      </c>
      <c r="AX52" s="23">
        <f t="shared" si="26"/>
        <v>0</v>
      </c>
      <c r="AY52" s="23">
        <f t="shared" si="26"/>
        <v>368</v>
      </c>
      <c r="AZ52" s="23">
        <f t="shared" si="26"/>
        <v>364</v>
      </c>
      <c r="BA52" s="23">
        <f t="shared" si="26"/>
        <v>370</v>
      </c>
      <c r="BB52" s="23">
        <f t="shared" si="26"/>
        <v>370</v>
      </c>
      <c r="BC52" s="23">
        <f t="shared" si="26"/>
        <v>22</v>
      </c>
      <c r="BD52" s="23">
        <f t="shared" si="26"/>
        <v>395.7</v>
      </c>
      <c r="BE52" s="23">
        <f t="shared" si="26"/>
        <v>101</v>
      </c>
      <c r="BF52" s="23">
        <f t="shared" si="26"/>
        <v>32.5</v>
      </c>
      <c r="BG52" s="23">
        <f t="shared" si="26"/>
        <v>37.5</v>
      </c>
      <c r="BH52" s="23">
        <f t="shared" si="26"/>
        <v>37.5</v>
      </c>
      <c r="BI52" s="23">
        <f t="shared" si="26"/>
        <v>1.95</v>
      </c>
      <c r="BJ52" s="23">
        <f t="shared" si="26"/>
        <v>68.19</v>
      </c>
      <c r="BK52" s="23">
        <f t="shared" si="26"/>
        <v>68.19</v>
      </c>
      <c r="BL52" s="23">
        <f t="shared" si="26"/>
        <v>40</v>
      </c>
      <c r="BM52" s="23">
        <f t="shared" si="26"/>
        <v>14</v>
      </c>
      <c r="BN52" s="23">
        <f t="shared" si="26"/>
        <v>439.33333333333331</v>
      </c>
      <c r="BO52" s="23" t="e">
        <f t="shared" si="26"/>
        <v>#NUM!</v>
      </c>
      <c r="BP52" s="23" t="e">
        <f t="shared" si="26"/>
        <v>#NUM!</v>
      </c>
      <c r="BQ52" s="23" t="e">
        <f t="shared" si="26"/>
        <v>#NUM!</v>
      </c>
      <c r="BR52" s="23" t="e">
        <f t="shared" si="26"/>
        <v>#NUM!</v>
      </c>
      <c r="BS52" s="23" t="e">
        <f t="shared" si="26"/>
        <v>#NUM!</v>
      </c>
      <c r="BT52" s="23" t="e">
        <f t="shared" si="26"/>
        <v>#NUM!</v>
      </c>
      <c r="BU52" s="23" t="e">
        <f t="shared" si="26"/>
        <v>#NUM!</v>
      </c>
      <c r="BV52" s="23" t="e">
        <f t="shared" si="26"/>
        <v>#NUM!</v>
      </c>
      <c r="BW52" s="23" t="e">
        <f t="shared" si="26"/>
        <v>#NUM!</v>
      </c>
      <c r="BX52" s="23" t="e">
        <f t="shared" si="26"/>
        <v>#NUM!</v>
      </c>
      <c r="BY52" s="23" t="e">
        <f t="shared" si="26"/>
        <v>#NUM!</v>
      </c>
      <c r="BZ52" s="23" t="e">
        <f t="shared" si="26"/>
        <v>#NUM!</v>
      </c>
      <c r="CA52" s="23" t="e">
        <f t="shared" si="26"/>
        <v>#NUM!</v>
      </c>
      <c r="CB52" s="23" t="e">
        <f t="shared" si="26"/>
        <v>#NUM!</v>
      </c>
      <c r="CC52" s="23" t="e">
        <f t="shared" si="27"/>
        <v>#NUM!</v>
      </c>
      <c r="CD52" s="23" t="e">
        <f t="shared" si="27"/>
        <v>#NUM!</v>
      </c>
      <c r="CE52" s="23" t="e">
        <f t="shared" si="27"/>
        <v>#NUM!</v>
      </c>
      <c r="CF52" s="23" t="e">
        <f t="shared" si="27"/>
        <v>#NUM!</v>
      </c>
      <c r="CG52" s="23" t="e">
        <f t="shared" si="27"/>
        <v>#NUM!</v>
      </c>
      <c r="CH52" s="23" t="e">
        <f t="shared" si="27"/>
        <v>#NUM!</v>
      </c>
      <c r="CI52" s="23" t="e">
        <f t="shared" si="27"/>
        <v>#NUM!</v>
      </c>
      <c r="CJ52" s="23" t="e">
        <f t="shared" si="27"/>
        <v>#NUM!</v>
      </c>
      <c r="CK52" s="23" t="e">
        <f t="shared" si="27"/>
        <v>#NUM!</v>
      </c>
      <c r="CL52" s="23" t="e">
        <f t="shared" si="27"/>
        <v>#NUM!</v>
      </c>
      <c r="CM52" s="23" t="e">
        <f t="shared" si="27"/>
        <v>#NUM!</v>
      </c>
      <c r="CN52" s="23" t="e">
        <f t="shared" si="27"/>
        <v>#NUM!</v>
      </c>
      <c r="CO52" s="23" t="e">
        <f t="shared" si="27"/>
        <v>#NUM!</v>
      </c>
      <c r="CP52" s="23">
        <f t="shared" si="28"/>
        <v>11565.830000000002</v>
      </c>
      <c r="CQ52" s="67">
        <f>(CP51-CP52)/CP51</f>
        <v>0</v>
      </c>
      <c r="CR52" s="67">
        <v>0.85</v>
      </c>
      <c r="CS52" s="80">
        <f t="shared" ref="CS52:CS80" si="33">(CS51*(1-CQ52))</f>
        <v>12112</v>
      </c>
      <c r="CT52" s="81">
        <f t="shared" si="29"/>
        <v>10295.199999999999</v>
      </c>
      <c r="CU52" s="23">
        <f t="shared" si="30"/>
        <v>12005.163333333336</v>
      </c>
      <c r="CV52" s="67">
        <f>(CU51-CU52)/CU51</f>
        <v>-3.798545658489999E-2</v>
      </c>
      <c r="CW52" s="80">
        <f>CW51*(1-CV52)</f>
        <v>12572.079850156309</v>
      </c>
      <c r="CX52" s="81">
        <f t="shared" ref="CX52:CX80" si="34">CW52*CR52</f>
        <v>10686.267872632863</v>
      </c>
      <c r="CY52" s="65">
        <f t="shared" si="31"/>
        <v>6186.8714118140279</v>
      </c>
      <c r="CZ52" s="65">
        <f>'Sensitivity - Population'!S14 + 'Sensitivity - GDP'!P15 +'Sensitivity - GDP'!P77</f>
        <v>55635.492601307182</v>
      </c>
      <c r="DA52" s="65">
        <f t="shared" ref="DA52:DA80" si="35">CZ52*1000/(365*24)</f>
        <v>6351.0836302862081</v>
      </c>
      <c r="DB52" s="65">
        <f>'Sensitivity - Population'!E14+'Sensitivity - GDP'!D15+'Sensitivity - GDP'!D77</f>
        <v>51769.551514694031</v>
      </c>
      <c r="DC52" s="65">
        <f t="shared" ref="DC52:DC80" si="36">DB52*1000/(365*24)</f>
        <v>5909.7661546454374</v>
      </c>
      <c r="DX52" s="71" t="s">
        <v>208</v>
      </c>
      <c r="EQ52" s="92"/>
    </row>
    <row r="53" spans="2:147" x14ac:dyDescent="0.35">
      <c r="B53" s="90"/>
      <c r="C53" s="23">
        <v>39</v>
      </c>
      <c r="D53" s="23" t="s">
        <v>194</v>
      </c>
      <c r="E53" s="23" t="s">
        <v>154</v>
      </c>
      <c r="F53" s="23" t="s">
        <v>209</v>
      </c>
      <c r="G53" s="23">
        <v>370</v>
      </c>
      <c r="H53" s="23">
        <f>SUM(G45:G53)</f>
        <v>2402</v>
      </c>
      <c r="I53" s="82">
        <v>40365</v>
      </c>
      <c r="J53" s="83">
        <f t="shared" ca="1" si="10"/>
        <v>11.61917808219178</v>
      </c>
      <c r="K53" s="23"/>
      <c r="L53" s="92"/>
      <c r="N53" s="90"/>
      <c r="O53" s="79">
        <v>45291</v>
      </c>
      <c r="P53" s="23">
        <f t="shared" si="32"/>
        <v>392.5</v>
      </c>
      <c r="Q53" s="23">
        <f t="shared" si="26"/>
        <v>392.5</v>
      </c>
      <c r="R53" s="23">
        <f t="shared" si="26"/>
        <v>403.8</v>
      </c>
      <c r="S53" s="23">
        <f t="shared" si="26"/>
        <v>400</v>
      </c>
      <c r="T53" s="23">
        <f t="shared" si="26"/>
        <v>400</v>
      </c>
      <c r="U53" s="23">
        <f t="shared" si="26"/>
        <v>250</v>
      </c>
      <c r="V53" s="23">
        <f t="shared" si="26"/>
        <v>250</v>
      </c>
      <c r="W53" s="23">
        <f t="shared" si="26"/>
        <v>420</v>
      </c>
      <c r="X53" s="23">
        <f t="shared" si="26"/>
        <v>420</v>
      </c>
      <c r="Y53" s="23">
        <f t="shared" si="26"/>
        <v>47.8</v>
      </c>
      <c r="Z53" s="23">
        <f t="shared" si="26"/>
        <v>132</v>
      </c>
      <c r="AA53" s="23">
        <f t="shared" si="26"/>
        <v>367.5</v>
      </c>
      <c r="AB53" s="23">
        <f t="shared" si="26"/>
        <v>367.5</v>
      </c>
      <c r="AC53" s="23">
        <f t="shared" si="26"/>
        <v>367.5</v>
      </c>
      <c r="AD53" s="23">
        <f t="shared" si="26"/>
        <v>367.5</v>
      </c>
      <c r="AE53" s="23">
        <f t="shared" si="26"/>
        <v>405.9</v>
      </c>
      <c r="AF53" s="23">
        <f t="shared" si="26"/>
        <v>60</v>
      </c>
      <c r="AG53" s="23">
        <f t="shared" si="26"/>
        <v>67.8</v>
      </c>
      <c r="AH53" s="23">
        <f t="shared" si="26"/>
        <v>55</v>
      </c>
      <c r="AI53" s="23">
        <f t="shared" si="26"/>
        <v>262</v>
      </c>
      <c r="AJ53" s="23">
        <f t="shared" si="26"/>
        <v>425</v>
      </c>
      <c r="AK53" s="23">
        <f t="shared" si="26"/>
        <v>365</v>
      </c>
      <c r="AL53" s="23">
        <f t="shared" si="26"/>
        <v>365</v>
      </c>
      <c r="AM53" s="23">
        <f t="shared" si="26"/>
        <v>365</v>
      </c>
      <c r="AN53" s="23">
        <f t="shared" si="26"/>
        <v>431</v>
      </c>
      <c r="AO53" s="23">
        <f t="shared" si="26"/>
        <v>431</v>
      </c>
      <c r="AP53" s="23">
        <f t="shared" si="26"/>
        <v>110</v>
      </c>
      <c r="AQ53" s="23">
        <f t="shared" si="26"/>
        <v>110</v>
      </c>
      <c r="AR53" s="23">
        <f t="shared" si="26"/>
        <v>47</v>
      </c>
      <c r="AS53" s="23">
        <f t="shared" si="26"/>
        <v>47</v>
      </c>
      <c r="AT53" s="23">
        <f t="shared" si="26"/>
        <v>250</v>
      </c>
      <c r="AU53" s="23">
        <f t="shared" si="26"/>
        <v>250</v>
      </c>
      <c r="AV53" s="23">
        <f t="shared" si="26"/>
        <v>250</v>
      </c>
      <c r="AW53" s="23">
        <f t="shared" si="26"/>
        <v>0</v>
      </c>
      <c r="AX53" s="23">
        <f t="shared" si="26"/>
        <v>0</v>
      </c>
      <c r="AY53" s="23">
        <f t="shared" si="26"/>
        <v>368</v>
      </c>
      <c r="AZ53" s="23">
        <f t="shared" si="26"/>
        <v>364</v>
      </c>
      <c r="BA53" s="23">
        <f t="shared" si="26"/>
        <v>370</v>
      </c>
      <c r="BB53" s="23">
        <f t="shared" si="26"/>
        <v>370</v>
      </c>
      <c r="BC53" s="23">
        <f t="shared" si="26"/>
        <v>22</v>
      </c>
      <c r="BD53" s="23">
        <f t="shared" si="26"/>
        <v>395.7</v>
      </c>
      <c r="BE53" s="23">
        <f t="shared" si="26"/>
        <v>101</v>
      </c>
      <c r="BF53" s="23">
        <f t="shared" si="26"/>
        <v>32.5</v>
      </c>
      <c r="BG53" s="23">
        <f t="shared" si="26"/>
        <v>37.5</v>
      </c>
      <c r="BH53" s="23">
        <f t="shared" si="26"/>
        <v>37.5</v>
      </c>
      <c r="BI53" s="23">
        <f t="shared" si="26"/>
        <v>1.95</v>
      </c>
      <c r="BJ53" s="23">
        <f t="shared" si="26"/>
        <v>68.19</v>
      </c>
      <c r="BK53" s="23">
        <f t="shared" si="26"/>
        <v>68.19</v>
      </c>
      <c r="BL53" s="23">
        <f t="shared" si="26"/>
        <v>40</v>
      </c>
      <c r="BM53" s="23">
        <f t="shared" si="26"/>
        <v>14</v>
      </c>
      <c r="BN53" s="23">
        <f t="shared" si="26"/>
        <v>439.33333333333331</v>
      </c>
      <c r="BO53" s="23">
        <f t="shared" si="26"/>
        <v>439.33333333333331</v>
      </c>
      <c r="BP53" s="23" t="e">
        <f t="shared" si="26"/>
        <v>#NUM!</v>
      </c>
      <c r="BQ53" s="23" t="e">
        <f t="shared" si="26"/>
        <v>#NUM!</v>
      </c>
      <c r="BR53" s="23" t="e">
        <f t="shared" si="26"/>
        <v>#NUM!</v>
      </c>
      <c r="BS53" s="23" t="e">
        <f t="shared" si="26"/>
        <v>#NUM!</v>
      </c>
      <c r="BT53" s="23" t="e">
        <f t="shared" si="26"/>
        <v>#NUM!</v>
      </c>
      <c r="BU53" s="23" t="e">
        <f t="shared" si="26"/>
        <v>#NUM!</v>
      </c>
      <c r="BV53" s="23" t="e">
        <f t="shared" si="26"/>
        <v>#NUM!</v>
      </c>
      <c r="BW53" s="23" t="e">
        <f t="shared" si="26"/>
        <v>#NUM!</v>
      </c>
      <c r="BX53" s="23" t="e">
        <f t="shared" si="26"/>
        <v>#NUM!</v>
      </c>
      <c r="BY53" s="23" t="e">
        <f t="shared" si="26"/>
        <v>#NUM!</v>
      </c>
      <c r="BZ53" s="23" t="e">
        <f t="shared" si="26"/>
        <v>#NUM!</v>
      </c>
      <c r="CA53" s="23" t="e">
        <f t="shared" si="26"/>
        <v>#NUM!</v>
      </c>
      <c r="CB53" s="23" t="e">
        <f t="shared" si="26"/>
        <v>#NUM!</v>
      </c>
      <c r="CC53" s="23" t="e">
        <f t="shared" si="27"/>
        <v>#NUM!</v>
      </c>
      <c r="CD53" s="23" t="e">
        <f t="shared" si="27"/>
        <v>#NUM!</v>
      </c>
      <c r="CE53" s="23" t="e">
        <f t="shared" si="27"/>
        <v>#NUM!</v>
      </c>
      <c r="CF53" s="23" t="e">
        <f t="shared" si="27"/>
        <v>#NUM!</v>
      </c>
      <c r="CG53" s="23" t="e">
        <f t="shared" si="27"/>
        <v>#NUM!</v>
      </c>
      <c r="CH53" s="23" t="e">
        <f t="shared" si="27"/>
        <v>#NUM!</v>
      </c>
      <c r="CI53" s="23" t="e">
        <f t="shared" si="27"/>
        <v>#NUM!</v>
      </c>
      <c r="CJ53" s="23" t="e">
        <f t="shared" si="27"/>
        <v>#NUM!</v>
      </c>
      <c r="CK53" s="23" t="e">
        <f t="shared" si="27"/>
        <v>#NUM!</v>
      </c>
      <c r="CL53" s="23" t="e">
        <f t="shared" si="27"/>
        <v>#NUM!</v>
      </c>
      <c r="CM53" s="23" t="e">
        <f t="shared" si="27"/>
        <v>#NUM!</v>
      </c>
      <c r="CN53" s="23" t="e">
        <f t="shared" si="27"/>
        <v>#NUM!</v>
      </c>
      <c r="CO53" s="23" t="e">
        <f t="shared" si="27"/>
        <v>#NUM!</v>
      </c>
      <c r="CP53" s="23">
        <f t="shared" si="28"/>
        <v>11565.830000000002</v>
      </c>
      <c r="CQ53" s="67">
        <f t="shared" ref="CQ53:CQ80" si="37">(CP52-CP53)/CP52</f>
        <v>0</v>
      </c>
      <c r="CR53" s="67">
        <v>0.85</v>
      </c>
      <c r="CS53" s="80">
        <f t="shared" si="33"/>
        <v>12112</v>
      </c>
      <c r="CT53" s="81">
        <f t="shared" si="29"/>
        <v>10295.199999999999</v>
      </c>
      <c r="CU53" s="23">
        <f t="shared" si="30"/>
        <v>12444.49666666667</v>
      </c>
      <c r="CV53" s="67">
        <f t="shared" ref="CV53:CV80" si="38">(CU52-CU53)/CU52</f>
        <v>-3.6595364938808314E-2</v>
      </c>
      <c r="CW53" s="80">
        <f t="shared" ref="CW53:CW80" si="39">CW52*(1-CV53)</f>
        <v>13032.159700312617</v>
      </c>
      <c r="CX53" s="81">
        <f t="shared" si="34"/>
        <v>11077.335745265724</v>
      </c>
      <c r="CY53" s="65">
        <f t="shared" si="31"/>
        <v>6305.2953080940742</v>
      </c>
      <c r="CZ53" s="65">
        <f>'Sensitivity - Population'!S15 + 'Sensitivity - GDP'!P16 +'Sensitivity - GDP'!P78</f>
        <v>56760.998905574736</v>
      </c>
      <c r="DA53" s="65">
        <f t="shared" si="35"/>
        <v>6479.5660851112716</v>
      </c>
      <c r="DB53" s="65">
        <f>'Sensitivity - Population'!E15+'Sensitivity - GDP'!D16+'Sensitivity - GDP'!D78</f>
        <v>52775.170912104542</v>
      </c>
      <c r="DC53" s="65">
        <f t="shared" si="36"/>
        <v>6024.5628895096506</v>
      </c>
      <c r="DY53" s="71" t="s">
        <v>210</v>
      </c>
      <c r="EQ53" s="92"/>
    </row>
    <row r="54" spans="2:147" x14ac:dyDescent="0.35">
      <c r="B54" s="90"/>
      <c r="C54" s="23">
        <v>40</v>
      </c>
      <c r="D54" s="23" t="s">
        <v>211</v>
      </c>
      <c r="E54" s="23" t="s">
        <v>167</v>
      </c>
      <c r="F54" s="23" t="s">
        <v>212</v>
      </c>
      <c r="G54" s="23">
        <v>22</v>
      </c>
      <c r="H54" s="23">
        <f>SUM(G54)</f>
        <v>22</v>
      </c>
      <c r="I54" s="82">
        <v>40092</v>
      </c>
      <c r="J54" s="83">
        <f t="shared" ca="1" si="10"/>
        <v>12.367123287671232</v>
      </c>
      <c r="K54" s="23"/>
      <c r="L54" s="92"/>
      <c r="N54" s="90"/>
      <c r="O54" s="79">
        <v>45657</v>
      </c>
      <c r="P54" s="23">
        <f t="shared" si="32"/>
        <v>392.5</v>
      </c>
      <c r="Q54" s="23">
        <f t="shared" si="26"/>
        <v>392.5</v>
      </c>
      <c r="R54" s="23">
        <f t="shared" si="26"/>
        <v>403.8</v>
      </c>
      <c r="S54" s="23">
        <f t="shared" si="26"/>
        <v>400</v>
      </c>
      <c r="T54" s="23">
        <f t="shared" si="26"/>
        <v>400</v>
      </c>
      <c r="U54" s="23">
        <f t="shared" si="26"/>
        <v>250</v>
      </c>
      <c r="V54" s="23">
        <f t="shared" si="26"/>
        <v>250</v>
      </c>
      <c r="W54" s="23">
        <f t="shared" si="26"/>
        <v>420</v>
      </c>
      <c r="X54" s="23">
        <f t="shared" si="26"/>
        <v>420</v>
      </c>
      <c r="Y54" s="23">
        <f t="shared" si="26"/>
        <v>47.8</v>
      </c>
      <c r="Z54" s="23">
        <f t="shared" si="26"/>
        <v>132</v>
      </c>
      <c r="AA54" s="23">
        <f t="shared" si="26"/>
        <v>367.5</v>
      </c>
      <c r="AB54" s="23">
        <f t="shared" si="26"/>
        <v>367.5</v>
      </c>
      <c r="AC54" s="23">
        <f t="shared" si="26"/>
        <v>367.5</v>
      </c>
      <c r="AD54" s="23">
        <f t="shared" si="26"/>
        <v>367.5</v>
      </c>
      <c r="AE54" s="23">
        <f t="shared" si="26"/>
        <v>405.9</v>
      </c>
      <c r="AF54" s="23">
        <f t="shared" si="26"/>
        <v>60</v>
      </c>
      <c r="AG54" s="23">
        <f t="shared" si="26"/>
        <v>67.8</v>
      </c>
      <c r="AH54" s="23">
        <f t="shared" si="26"/>
        <v>55</v>
      </c>
      <c r="AI54" s="23">
        <f t="shared" si="26"/>
        <v>262</v>
      </c>
      <c r="AJ54" s="23">
        <f t="shared" si="26"/>
        <v>425</v>
      </c>
      <c r="AK54" s="23">
        <f t="shared" si="26"/>
        <v>365</v>
      </c>
      <c r="AL54" s="23">
        <f t="shared" si="26"/>
        <v>365</v>
      </c>
      <c r="AM54" s="23">
        <f t="shared" si="26"/>
        <v>365</v>
      </c>
      <c r="AN54" s="23">
        <f t="shared" si="26"/>
        <v>431</v>
      </c>
      <c r="AO54" s="23">
        <f t="shared" si="26"/>
        <v>431</v>
      </c>
      <c r="AP54" s="23">
        <f t="shared" si="26"/>
        <v>110</v>
      </c>
      <c r="AQ54" s="23">
        <f t="shared" si="26"/>
        <v>110</v>
      </c>
      <c r="AR54" s="23">
        <f t="shared" si="26"/>
        <v>47</v>
      </c>
      <c r="AS54" s="23">
        <f t="shared" si="26"/>
        <v>47</v>
      </c>
      <c r="AT54" s="23">
        <f t="shared" si="26"/>
        <v>250</v>
      </c>
      <c r="AU54" s="23">
        <f t="shared" si="26"/>
        <v>250</v>
      </c>
      <c r="AV54" s="23">
        <f t="shared" si="26"/>
        <v>250</v>
      </c>
      <c r="AW54" s="23">
        <f t="shared" si="26"/>
        <v>0</v>
      </c>
      <c r="AX54" s="23">
        <f t="shared" si="26"/>
        <v>0</v>
      </c>
      <c r="AY54" s="23">
        <f t="shared" si="26"/>
        <v>368</v>
      </c>
      <c r="AZ54" s="23">
        <f t="shared" si="26"/>
        <v>364</v>
      </c>
      <c r="BA54" s="23">
        <f t="shared" si="26"/>
        <v>370</v>
      </c>
      <c r="BB54" s="23">
        <f t="shared" si="26"/>
        <v>370</v>
      </c>
      <c r="BC54" s="23">
        <f t="shared" si="26"/>
        <v>22</v>
      </c>
      <c r="BD54" s="23">
        <f t="shared" si="26"/>
        <v>395.7</v>
      </c>
      <c r="BE54" s="23">
        <f t="shared" si="26"/>
        <v>101</v>
      </c>
      <c r="BF54" s="23">
        <f t="shared" si="26"/>
        <v>32.5</v>
      </c>
      <c r="BG54" s="23">
        <f t="shared" si="26"/>
        <v>37.5</v>
      </c>
      <c r="BH54" s="23">
        <f t="shared" si="26"/>
        <v>37.5</v>
      </c>
      <c r="BI54" s="23">
        <f t="shared" si="26"/>
        <v>1.95</v>
      </c>
      <c r="BJ54" s="23">
        <f t="shared" si="26"/>
        <v>68.19</v>
      </c>
      <c r="BK54" s="23">
        <f t="shared" si="26"/>
        <v>68.19</v>
      </c>
      <c r="BL54" s="23">
        <f t="shared" si="26"/>
        <v>40</v>
      </c>
      <c r="BM54" s="23">
        <f t="shared" si="26"/>
        <v>14</v>
      </c>
      <c r="BN54" s="23">
        <f t="shared" si="26"/>
        <v>439.33333333333331</v>
      </c>
      <c r="BO54" s="23">
        <f t="shared" si="26"/>
        <v>439.33333333333331</v>
      </c>
      <c r="BP54" s="23">
        <f t="shared" si="26"/>
        <v>439.33333333333331</v>
      </c>
      <c r="BQ54" s="23" t="e">
        <f t="shared" si="26"/>
        <v>#NUM!</v>
      </c>
      <c r="BR54" s="23" t="e">
        <f t="shared" si="26"/>
        <v>#NUM!</v>
      </c>
      <c r="BS54" s="23" t="e">
        <f t="shared" si="26"/>
        <v>#NUM!</v>
      </c>
      <c r="BT54" s="23" t="e">
        <f t="shared" si="26"/>
        <v>#NUM!</v>
      </c>
      <c r="BU54" s="23" t="e">
        <f t="shared" si="26"/>
        <v>#NUM!</v>
      </c>
      <c r="BV54" s="23" t="e">
        <f t="shared" si="26"/>
        <v>#NUM!</v>
      </c>
      <c r="BW54" s="23" t="e">
        <f t="shared" si="26"/>
        <v>#NUM!</v>
      </c>
      <c r="BX54" s="23" t="e">
        <f t="shared" si="26"/>
        <v>#NUM!</v>
      </c>
      <c r="BY54" s="23" t="e">
        <f t="shared" si="26"/>
        <v>#NUM!</v>
      </c>
      <c r="BZ54" s="23" t="e">
        <f t="shared" si="26"/>
        <v>#NUM!</v>
      </c>
      <c r="CA54" s="23" t="e">
        <f t="shared" si="26"/>
        <v>#NUM!</v>
      </c>
      <c r="CB54" s="23" t="e">
        <f t="shared" ref="CB54" si="40">IF(VLOOKUP(CB$13,$C$15:$J$92,3,FALSE) &lt;&gt; "Incineration", IF(DATEDIF(VLOOKUP(CB$13,$C$15:$J$92,7,FALSE),$O54,"y")&gt;=$P$48,0,VLOOKUP(CB$13,$C$15:$J$92,5,FALSE)), VLOOKUP(CB$13,$C$15:$J$92,5,FALSE))</f>
        <v>#NUM!</v>
      </c>
      <c r="CC54" s="23" t="e">
        <f t="shared" si="27"/>
        <v>#NUM!</v>
      </c>
      <c r="CD54" s="23" t="e">
        <f t="shared" si="27"/>
        <v>#NUM!</v>
      </c>
      <c r="CE54" s="23" t="e">
        <f t="shared" si="27"/>
        <v>#NUM!</v>
      </c>
      <c r="CF54" s="23" t="e">
        <f t="shared" si="27"/>
        <v>#NUM!</v>
      </c>
      <c r="CG54" s="23" t="e">
        <f t="shared" si="27"/>
        <v>#NUM!</v>
      </c>
      <c r="CH54" s="23" t="e">
        <f t="shared" si="27"/>
        <v>#NUM!</v>
      </c>
      <c r="CI54" s="23" t="e">
        <f t="shared" si="27"/>
        <v>#NUM!</v>
      </c>
      <c r="CJ54" s="23" t="e">
        <f t="shared" si="27"/>
        <v>#NUM!</v>
      </c>
      <c r="CK54" s="23" t="e">
        <f t="shared" si="27"/>
        <v>#NUM!</v>
      </c>
      <c r="CL54" s="23" t="e">
        <f t="shared" si="27"/>
        <v>#NUM!</v>
      </c>
      <c r="CM54" s="23" t="e">
        <f t="shared" si="27"/>
        <v>#NUM!</v>
      </c>
      <c r="CN54" s="23" t="e">
        <f t="shared" si="27"/>
        <v>#NUM!</v>
      </c>
      <c r="CO54" s="23" t="e">
        <f t="shared" si="27"/>
        <v>#NUM!</v>
      </c>
      <c r="CP54" s="23">
        <f t="shared" si="28"/>
        <v>11565.830000000002</v>
      </c>
      <c r="CQ54" s="67">
        <f t="shared" si="37"/>
        <v>0</v>
      </c>
      <c r="CR54" s="67">
        <v>0.85</v>
      </c>
      <c r="CS54" s="80">
        <f t="shared" si="33"/>
        <v>12112</v>
      </c>
      <c r="CT54" s="81">
        <f t="shared" si="29"/>
        <v>10295.199999999999</v>
      </c>
      <c r="CU54" s="23">
        <f t="shared" si="30"/>
        <v>12883.830000000004</v>
      </c>
      <c r="CV54" s="67">
        <f t="shared" si="38"/>
        <v>-3.5303423280277343E-2</v>
      </c>
      <c r="CW54" s="80">
        <f t="shared" si="39"/>
        <v>13492.239550468927</v>
      </c>
      <c r="CX54" s="81">
        <f t="shared" si="34"/>
        <v>11468.403617898588</v>
      </c>
      <c r="CY54" s="65">
        <f t="shared" si="31"/>
        <v>6423.635511917023</v>
      </c>
      <c r="CZ54" s="65">
        <f>'Sensitivity - Population'!S16 + 'Sensitivity - GDP'!P17 +'Sensitivity - GDP'!P79</f>
        <v>57885.788954863579</v>
      </c>
      <c r="DA54" s="65">
        <f t="shared" si="35"/>
        <v>6607.966775669358</v>
      </c>
      <c r="DB54" s="65">
        <f>'Sensitivity - Population'!E16+'Sensitivity - GDP'!D17+'Sensitivity - GDP'!D79</f>
        <v>53780.083992662927</v>
      </c>
      <c r="DC54" s="65">
        <f t="shared" si="36"/>
        <v>6139.2789945962249</v>
      </c>
      <c r="DW54" s="71" t="s">
        <v>213</v>
      </c>
      <c r="EQ54" s="92"/>
    </row>
    <row r="55" spans="2:147" x14ac:dyDescent="0.35">
      <c r="B55" s="90"/>
      <c r="C55" s="23">
        <v>41</v>
      </c>
      <c r="D55" s="23" t="s">
        <v>214</v>
      </c>
      <c r="E55" s="23" t="s">
        <v>154</v>
      </c>
      <c r="F55" s="23" t="s">
        <v>215</v>
      </c>
      <c r="G55" s="23">
        <v>395.7</v>
      </c>
      <c r="H55" s="23">
        <f>SUM(G55)</f>
        <v>395.7</v>
      </c>
      <c r="I55" s="82">
        <v>42430</v>
      </c>
      <c r="J55" s="83">
        <f t="shared" ca="1" si="10"/>
        <v>5.9616438356164387</v>
      </c>
      <c r="K55" s="23"/>
      <c r="L55" s="92"/>
      <c r="N55" s="90"/>
      <c r="O55" s="79">
        <v>46022</v>
      </c>
      <c r="P55" s="23">
        <f t="shared" si="32"/>
        <v>392.5</v>
      </c>
      <c r="Q55" s="23">
        <f t="shared" si="32"/>
        <v>392.5</v>
      </c>
      <c r="R55" s="23">
        <f t="shared" si="32"/>
        <v>403.8</v>
      </c>
      <c r="S55" s="23">
        <f t="shared" si="32"/>
        <v>400</v>
      </c>
      <c r="T55" s="23">
        <f t="shared" si="32"/>
        <v>400</v>
      </c>
      <c r="U55" s="23">
        <f t="shared" si="32"/>
        <v>250</v>
      </c>
      <c r="V55" s="23">
        <f t="shared" si="32"/>
        <v>250</v>
      </c>
      <c r="W55" s="23">
        <f t="shared" si="32"/>
        <v>420</v>
      </c>
      <c r="X55" s="23">
        <f t="shared" si="32"/>
        <v>420</v>
      </c>
      <c r="Y55" s="23">
        <f t="shared" si="32"/>
        <v>47.8</v>
      </c>
      <c r="Z55" s="23">
        <f t="shared" si="32"/>
        <v>132</v>
      </c>
      <c r="AA55" s="23">
        <f t="shared" si="32"/>
        <v>367.5</v>
      </c>
      <c r="AB55" s="23">
        <f t="shared" si="32"/>
        <v>367.5</v>
      </c>
      <c r="AC55" s="23">
        <f t="shared" si="32"/>
        <v>367.5</v>
      </c>
      <c r="AD55" s="23">
        <f t="shared" si="32"/>
        <v>367.5</v>
      </c>
      <c r="AE55" s="23">
        <f t="shared" si="32"/>
        <v>405.9</v>
      </c>
      <c r="AF55" s="23">
        <f t="shared" ref="AF55:CB60" si="41">IF(VLOOKUP(AF$13,$C$15:$J$92,3,FALSE) &lt;&gt; "Incineration", IF(DATEDIF(VLOOKUP(AF$13,$C$15:$J$92,7,FALSE),$O55,"y")&gt;=$P$48,0,VLOOKUP(AF$13,$C$15:$J$92,5,FALSE)), VLOOKUP(AF$13,$C$15:$J$92,5,FALSE))</f>
        <v>60</v>
      </c>
      <c r="AG55" s="23">
        <f t="shared" si="41"/>
        <v>67.8</v>
      </c>
      <c r="AH55" s="23">
        <f t="shared" si="41"/>
        <v>55</v>
      </c>
      <c r="AI55" s="23">
        <f t="shared" si="41"/>
        <v>262</v>
      </c>
      <c r="AJ55" s="23">
        <f t="shared" si="41"/>
        <v>425</v>
      </c>
      <c r="AK55" s="23">
        <f t="shared" si="41"/>
        <v>365</v>
      </c>
      <c r="AL55" s="23">
        <f t="shared" si="41"/>
        <v>365</v>
      </c>
      <c r="AM55" s="23">
        <f t="shared" si="41"/>
        <v>365</v>
      </c>
      <c r="AN55" s="23">
        <f t="shared" si="41"/>
        <v>431</v>
      </c>
      <c r="AO55" s="23">
        <f t="shared" si="41"/>
        <v>431</v>
      </c>
      <c r="AP55" s="23">
        <f t="shared" si="41"/>
        <v>110</v>
      </c>
      <c r="AQ55" s="23">
        <f t="shared" si="41"/>
        <v>110</v>
      </c>
      <c r="AR55" s="23">
        <f t="shared" si="41"/>
        <v>47</v>
      </c>
      <c r="AS55" s="23">
        <f t="shared" si="41"/>
        <v>47</v>
      </c>
      <c r="AT55" s="23">
        <f t="shared" si="41"/>
        <v>250</v>
      </c>
      <c r="AU55" s="23">
        <f t="shared" si="41"/>
        <v>250</v>
      </c>
      <c r="AV55" s="23">
        <f t="shared" si="41"/>
        <v>250</v>
      </c>
      <c r="AW55" s="23">
        <f t="shared" si="41"/>
        <v>0</v>
      </c>
      <c r="AX55" s="23">
        <f t="shared" si="41"/>
        <v>0</v>
      </c>
      <c r="AY55" s="23">
        <f t="shared" si="41"/>
        <v>368</v>
      </c>
      <c r="AZ55" s="23">
        <f t="shared" si="41"/>
        <v>364</v>
      </c>
      <c r="BA55" s="23">
        <f t="shared" si="41"/>
        <v>370</v>
      </c>
      <c r="BB55" s="23">
        <f t="shared" si="41"/>
        <v>370</v>
      </c>
      <c r="BC55" s="23">
        <f t="shared" si="41"/>
        <v>22</v>
      </c>
      <c r="BD55" s="23">
        <f t="shared" si="41"/>
        <v>395.7</v>
      </c>
      <c r="BE55" s="23">
        <f t="shared" si="41"/>
        <v>101</v>
      </c>
      <c r="BF55" s="23">
        <f t="shared" si="41"/>
        <v>32.5</v>
      </c>
      <c r="BG55" s="23">
        <f t="shared" si="41"/>
        <v>37.5</v>
      </c>
      <c r="BH55" s="23">
        <f t="shared" si="41"/>
        <v>37.5</v>
      </c>
      <c r="BI55" s="23">
        <f t="shared" si="41"/>
        <v>1.95</v>
      </c>
      <c r="BJ55" s="23">
        <f t="shared" si="41"/>
        <v>68.19</v>
      </c>
      <c r="BK55" s="23">
        <f t="shared" si="41"/>
        <v>68.19</v>
      </c>
      <c r="BL55" s="23">
        <f t="shared" si="41"/>
        <v>40</v>
      </c>
      <c r="BM55" s="23">
        <f t="shared" si="41"/>
        <v>14</v>
      </c>
      <c r="BN55" s="23">
        <f t="shared" si="41"/>
        <v>439.33333333333331</v>
      </c>
      <c r="BO55" s="23">
        <f t="shared" si="41"/>
        <v>439.33333333333331</v>
      </c>
      <c r="BP55" s="23">
        <f t="shared" si="41"/>
        <v>439.33333333333331</v>
      </c>
      <c r="BQ55" s="23">
        <f t="shared" si="41"/>
        <v>100</v>
      </c>
      <c r="BR55" s="23" t="e">
        <f t="shared" si="41"/>
        <v>#NUM!</v>
      </c>
      <c r="BS55" s="23" t="e">
        <f t="shared" si="41"/>
        <v>#NUM!</v>
      </c>
      <c r="BT55" s="23" t="e">
        <f t="shared" si="41"/>
        <v>#NUM!</v>
      </c>
      <c r="BU55" s="23" t="e">
        <f t="shared" si="41"/>
        <v>#NUM!</v>
      </c>
      <c r="BV55" s="23" t="e">
        <f t="shared" si="41"/>
        <v>#NUM!</v>
      </c>
      <c r="BW55" s="23" t="e">
        <f t="shared" si="41"/>
        <v>#NUM!</v>
      </c>
      <c r="BX55" s="23" t="e">
        <f t="shared" si="41"/>
        <v>#NUM!</v>
      </c>
      <c r="BY55" s="23" t="e">
        <f t="shared" si="41"/>
        <v>#NUM!</v>
      </c>
      <c r="BZ55" s="23" t="e">
        <f t="shared" si="41"/>
        <v>#NUM!</v>
      </c>
      <c r="CA55" s="23" t="e">
        <f t="shared" si="41"/>
        <v>#NUM!</v>
      </c>
      <c r="CB55" s="23" t="e">
        <f t="shared" si="41"/>
        <v>#NUM!</v>
      </c>
      <c r="CC55" s="23" t="e">
        <f t="shared" si="27"/>
        <v>#NUM!</v>
      </c>
      <c r="CD55" s="23" t="e">
        <f t="shared" si="27"/>
        <v>#NUM!</v>
      </c>
      <c r="CE55" s="23" t="e">
        <f t="shared" si="27"/>
        <v>#NUM!</v>
      </c>
      <c r="CF55" s="23" t="e">
        <f t="shared" si="27"/>
        <v>#NUM!</v>
      </c>
      <c r="CG55" s="23" t="e">
        <f t="shared" si="27"/>
        <v>#NUM!</v>
      </c>
      <c r="CH55" s="23" t="e">
        <f t="shared" si="27"/>
        <v>#NUM!</v>
      </c>
      <c r="CI55" s="23" t="e">
        <f t="shared" si="27"/>
        <v>#NUM!</v>
      </c>
      <c r="CJ55" s="23" t="e">
        <f t="shared" si="27"/>
        <v>#NUM!</v>
      </c>
      <c r="CK55" s="23" t="e">
        <f t="shared" si="27"/>
        <v>#NUM!</v>
      </c>
      <c r="CL55" s="23" t="e">
        <f t="shared" si="27"/>
        <v>#NUM!</v>
      </c>
      <c r="CM55" s="23" t="e">
        <f t="shared" si="27"/>
        <v>#NUM!</v>
      </c>
      <c r="CN55" s="23" t="e">
        <f t="shared" si="27"/>
        <v>#NUM!</v>
      </c>
      <c r="CO55" s="23" t="e">
        <f t="shared" si="27"/>
        <v>#NUM!</v>
      </c>
      <c r="CP55" s="23">
        <f t="shared" si="28"/>
        <v>11565.830000000002</v>
      </c>
      <c r="CQ55" s="67">
        <f t="shared" si="37"/>
        <v>0</v>
      </c>
      <c r="CR55" s="67">
        <v>0.85</v>
      </c>
      <c r="CS55" s="80">
        <f t="shared" si="33"/>
        <v>12112</v>
      </c>
      <c r="CT55" s="81">
        <f t="shared" si="29"/>
        <v>10295.199999999999</v>
      </c>
      <c r="CU55" s="23">
        <f t="shared" si="30"/>
        <v>12983.830000000004</v>
      </c>
      <c r="CV55" s="67">
        <f t="shared" si="38"/>
        <v>-7.7616671440091942E-3</v>
      </c>
      <c r="CW55" s="80">
        <f t="shared" si="39"/>
        <v>13596.961822886904</v>
      </c>
      <c r="CX55" s="81">
        <f t="shared" si="34"/>
        <v>11557.417549453869</v>
      </c>
      <c r="CY55" s="65">
        <f t="shared" si="31"/>
        <v>6541.8893913947832</v>
      </c>
      <c r="CZ55" s="65">
        <f>'Sensitivity - Population'!S17 + 'Sensitivity - GDP'!P18 +'Sensitivity - GDP'!P80</f>
        <v>59009.839259914923</v>
      </c>
      <c r="DA55" s="65">
        <f t="shared" si="35"/>
        <v>6736.2830205382324</v>
      </c>
      <c r="DB55" s="65">
        <f>'Sensitivity - Population'!E17+'Sensitivity - GDP'!D18+'Sensitivity - GDP'!D80</f>
        <v>54784.267593026729</v>
      </c>
      <c r="DC55" s="65">
        <f t="shared" si="36"/>
        <v>6253.9118256879829</v>
      </c>
      <c r="DX55" s="71" t="s">
        <v>216</v>
      </c>
      <c r="EQ55" s="92"/>
    </row>
    <row r="56" spans="2:147" x14ac:dyDescent="0.35">
      <c r="B56" s="90"/>
      <c r="C56" s="23">
        <v>42</v>
      </c>
      <c r="D56" s="23" t="s">
        <v>217</v>
      </c>
      <c r="E56" s="23" t="s">
        <v>154</v>
      </c>
      <c r="F56" s="23" t="s">
        <v>218</v>
      </c>
      <c r="G56" s="23">
        <v>101</v>
      </c>
      <c r="H56" s="23"/>
      <c r="I56" s="82">
        <v>41485</v>
      </c>
      <c r="J56" s="83">
        <f t="shared" ca="1" si="10"/>
        <v>8.5506849315068489</v>
      </c>
      <c r="K56" s="23"/>
      <c r="L56" s="92"/>
      <c r="N56" s="90"/>
      <c r="O56" s="79">
        <v>46387</v>
      </c>
      <c r="P56" s="23">
        <f t="shared" si="32"/>
        <v>392.5</v>
      </c>
      <c r="Q56" s="23">
        <f t="shared" si="32"/>
        <v>392.5</v>
      </c>
      <c r="R56" s="23">
        <f t="shared" si="32"/>
        <v>403.8</v>
      </c>
      <c r="S56" s="23">
        <f t="shared" si="32"/>
        <v>400</v>
      </c>
      <c r="T56" s="23">
        <f t="shared" si="32"/>
        <v>400</v>
      </c>
      <c r="U56" s="23">
        <f t="shared" si="32"/>
        <v>250</v>
      </c>
      <c r="V56" s="23">
        <f t="shared" si="32"/>
        <v>250</v>
      </c>
      <c r="W56" s="23">
        <f t="shared" si="32"/>
        <v>420</v>
      </c>
      <c r="X56" s="23">
        <f t="shared" si="32"/>
        <v>420</v>
      </c>
      <c r="Y56" s="23">
        <f t="shared" si="32"/>
        <v>47.8</v>
      </c>
      <c r="Z56" s="23">
        <f t="shared" si="32"/>
        <v>132</v>
      </c>
      <c r="AA56" s="23">
        <f t="shared" si="32"/>
        <v>367.5</v>
      </c>
      <c r="AB56" s="23">
        <f t="shared" si="32"/>
        <v>367.5</v>
      </c>
      <c r="AC56" s="23">
        <f t="shared" si="32"/>
        <v>367.5</v>
      </c>
      <c r="AD56" s="23">
        <f t="shared" si="32"/>
        <v>367.5</v>
      </c>
      <c r="AE56" s="23">
        <f t="shared" si="32"/>
        <v>405.9</v>
      </c>
      <c r="AF56" s="23">
        <f t="shared" si="41"/>
        <v>60</v>
      </c>
      <c r="AG56" s="23">
        <f t="shared" si="41"/>
        <v>67.8</v>
      </c>
      <c r="AH56" s="23">
        <f t="shared" si="41"/>
        <v>55</v>
      </c>
      <c r="AI56" s="23">
        <f t="shared" si="41"/>
        <v>262</v>
      </c>
      <c r="AJ56" s="23">
        <f t="shared" si="41"/>
        <v>425</v>
      </c>
      <c r="AK56" s="23">
        <f t="shared" si="41"/>
        <v>365</v>
      </c>
      <c r="AL56" s="23">
        <f t="shared" si="41"/>
        <v>365</v>
      </c>
      <c r="AM56" s="23">
        <f t="shared" si="41"/>
        <v>365</v>
      </c>
      <c r="AN56" s="23">
        <f t="shared" si="41"/>
        <v>431</v>
      </c>
      <c r="AO56" s="23">
        <f t="shared" si="41"/>
        <v>431</v>
      </c>
      <c r="AP56" s="23">
        <f t="shared" si="41"/>
        <v>110</v>
      </c>
      <c r="AQ56" s="23">
        <f t="shared" si="41"/>
        <v>110</v>
      </c>
      <c r="AR56" s="23">
        <f t="shared" si="41"/>
        <v>47</v>
      </c>
      <c r="AS56" s="23">
        <f t="shared" si="41"/>
        <v>47</v>
      </c>
      <c r="AT56" s="23">
        <f t="shared" si="41"/>
        <v>250</v>
      </c>
      <c r="AU56" s="23">
        <f t="shared" si="41"/>
        <v>250</v>
      </c>
      <c r="AV56" s="23">
        <f t="shared" si="41"/>
        <v>250</v>
      </c>
      <c r="AW56" s="23">
        <f t="shared" si="41"/>
        <v>0</v>
      </c>
      <c r="AX56" s="23">
        <f t="shared" si="41"/>
        <v>0</v>
      </c>
      <c r="AY56" s="23">
        <f t="shared" si="41"/>
        <v>368</v>
      </c>
      <c r="AZ56" s="23">
        <f t="shared" si="41"/>
        <v>364</v>
      </c>
      <c r="BA56" s="23">
        <f t="shared" si="41"/>
        <v>370</v>
      </c>
      <c r="BB56" s="23">
        <f t="shared" si="41"/>
        <v>370</v>
      </c>
      <c r="BC56" s="23">
        <f t="shared" si="41"/>
        <v>22</v>
      </c>
      <c r="BD56" s="23">
        <f t="shared" si="41"/>
        <v>395.7</v>
      </c>
      <c r="BE56" s="23">
        <f t="shared" si="41"/>
        <v>101</v>
      </c>
      <c r="BF56" s="23">
        <f t="shared" si="41"/>
        <v>32.5</v>
      </c>
      <c r="BG56" s="23">
        <f t="shared" si="41"/>
        <v>37.5</v>
      </c>
      <c r="BH56" s="23">
        <f t="shared" si="41"/>
        <v>37.5</v>
      </c>
      <c r="BI56" s="23">
        <f t="shared" si="41"/>
        <v>1.95</v>
      </c>
      <c r="BJ56" s="23">
        <f t="shared" si="41"/>
        <v>68.19</v>
      </c>
      <c r="BK56" s="23">
        <f t="shared" si="41"/>
        <v>68.19</v>
      </c>
      <c r="BL56" s="23">
        <f t="shared" si="41"/>
        <v>40</v>
      </c>
      <c r="BM56" s="23">
        <f t="shared" si="41"/>
        <v>14</v>
      </c>
      <c r="BN56" s="23">
        <f t="shared" si="41"/>
        <v>439.33333333333331</v>
      </c>
      <c r="BO56" s="23">
        <f t="shared" si="41"/>
        <v>439.33333333333331</v>
      </c>
      <c r="BP56" s="23">
        <f t="shared" si="41"/>
        <v>439.33333333333331</v>
      </c>
      <c r="BQ56" s="23">
        <f t="shared" si="41"/>
        <v>100</v>
      </c>
      <c r="BR56" s="23">
        <f t="shared" si="41"/>
        <v>100</v>
      </c>
      <c r="BS56" s="23" t="e">
        <f t="shared" si="41"/>
        <v>#NUM!</v>
      </c>
      <c r="BT56" s="23" t="e">
        <f t="shared" si="41"/>
        <v>#NUM!</v>
      </c>
      <c r="BU56" s="23" t="e">
        <f t="shared" si="41"/>
        <v>#NUM!</v>
      </c>
      <c r="BV56" s="23" t="e">
        <f t="shared" si="41"/>
        <v>#NUM!</v>
      </c>
      <c r="BW56" s="23" t="e">
        <f t="shared" si="41"/>
        <v>#NUM!</v>
      </c>
      <c r="BX56" s="23" t="e">
        <f t="shared" si="41"/>
        <v>#NUM!</v>
      </c>
      <c r="BY56" s="23" t="e">
        <f t="shared" si="41"/>
        <v>#NUM!</v>
      </c>
      <c r="BZ56" s="23" t="e">
        <f t="shared" si="41"/>
        <v>#NUM!</v>
      </c>
      <c r="CA56" s="23" t="e">
        <f t="shared" si="41"/>
        <v>#NUM!</v>
      </c>
      <c r="CB56" s="23" t="e">
        <f t="shared" si="41"/>
        <v>#NUM!</v>
      </c>
      <c r="CC56" s="23" t="e">
        <f t="shared" si="27"/>
        <v>#NUM!</v>
      </c>
      <c r="CD56" s="23" t="e">
        <f t="shared" si="27"/>
        <v>#NUM!</v>
      </c>
      <c r="CE56" s="23" t="e">
        <f t="shared" si="27"/>
        <v>#NUM!</v>
      </c>
      <c r="CF56" s="23" t="e">
        <f t="shared" si="27"/>
        <v>#NUM!</v>
      </c>
      <c r="CG56" s="23" t="e">
        <f t="shared" si="27"/>
        <v>#NUM!</v>
      </c>
      <c r="CH56" s="23" t="e">
        <f t="shared" si="27"/>
        <v>#NUM!</v>
      </c>
      <c r="CI56" s="23" t="e">
        <f t="shared" si="27"/>
        <v>#NUM!</v>
      </c>
      <c r="CJ56" s="23" t="e">
        <f t="shared" si="27"/>
        <v>#NUM!</v>
      </c>
      <c r="CK56" s="23" t="e">
        <f t="shared" si="27"/>
        <v>#NUM!</v>
      </c>
      <c r="CL56" s="23" t="e">
        <f t="shared" si="27"/>
        <v>#NUM!</v>
      </c>
      <c r="CM56" s="23" t="e">
        <f t="shared" si="27"/>
        <v>#NUM!</v>
      </c>
      <c r="CN56" s="23" t="e">
        <f t="shared" si="27"/>
        <v>#NUM!</v>
      </c>
      <c r="CO56" s="23" t="e">
        <f t="shared" si="27"/>
        <v>#NUM!</v>
      </c>
      <c r="CP56" s="23">
        <f t="shared" si="28"/>
        <v>11565.830000000002</v>
      </c>
      <c r="CQ56" s="67">
        <f t="shared" si="37"/>
        <v>0</v>
      </c>
      <c r="CR56" s="67">
        <v>0.85</v>
      </c>
      <c r="CS56" s="80">
        <f t="shared" si="33"/>
        <v>12112</v>
      </c>
      <c r="CT56" s="81">
        <f t="shared" si="29"/>
        <v>10295.199999999999</v>
      </c>
      <c r="CU56" s="23">
        <f t="shared" si="30"/>
        <v>13083.830000000004</v>
      </c>
      <c r="CV56" s="67">
        <f t="shared" si="38"/>
        <v>-7.7018876556455198E-3</v>
      </c>
      <c r="CW56" s="80">
        <f t="shared" si="39"/>
        <v>13701.684095304881</v>
      </c>
      <c r="CX56" s="81">
        <f t="shared" si="34"/>
        <v>11646.431481009149</v>
      </c>
      <c r="CY56" s="65">
        <f t="shared" si="31"/>
        <v>6660.0543424500529</v>
      </c>
      <c r="CZ56" s="65">
        <f>'Sensitivity - Population'!S18 + 'Sensitivity - GDP'!P19 +'Sensitivity - GDP'!P81</f>
        <v>60133.126557891039</v>
      </c>
      <c r="DA56" s="65">
        <f t="shared" si="35"/>
        <v>6864.5121641428132</v>
      </c>
      <c r="DB56" s="65">
        <f>'Sensitivity - Population'!E18+'Sensitivity - GDP'!D19+'Sensitivity - GDP'!D81</f>
        <v>55787.698773133015</v>
      </c>
      <c r="DC56" s="65">
        <f t="shared" si="36"/>
        <v>6368.4587640562804</v>
      </c>
      <c r="DX56" s="71" t="s">
        <v>219</v>
      </c>
      <c r="EQ56" s="92"/>
    </row>
    <row r="57" spans="2:147" x14ac:dyDescent="0.35">
      <c r="B57" s="90"/>
      <c r="C57" s="23">
        <v>43</v>
      </c>
      <c r="D57" s="23" t="s">
        <v>217</v>
      </c>
      <c r="E57" s="23" t="s">
        <v>154</v>
      </c>
      <c r="F57" s="23" t="s">
        <v>220</v>
      </c>
      <c r="G57" s="23">
        <v>32.5</v>
      </c>
      <c r="H57" s="23">
        <f>SUM(G56:G57)</f>
        <v>133.5</v>
      </c>
      <c r="I57" s="82">
        <v>41789</v>
      </c>
      <c r="J57" s="83">
        <f t="shared" ca="1" si="10"/>
        <v>7.7178082191780826</v>
      </c>
      <c r="K57" s="23"/>
      <c r="L57" s="92"/>
      <c r="N57" s="90"/>
      <c r="O57" s="79">
        <v>46752</v>
      </c>
      <c r="P57" s="23">
        <f t="shared" si="32"/>
        <v>392.5</v>
      </c>
      <c r="Q57" s="23">
        <f t="shared" si="32"/>
        <v>392.5</v>
      </c>
      <c r="R57" s="23">
        <f t="shared" si="32"/>
        <v>403.8</v>
      </c>
      <c r="S57" s="23">
        <f t="shared" si="32"/>
        <v>400</v>
      </c>
      <c r="T57" s="23">
        <f t="shared" si="32"/>
        <v>400</v>
      </c>
      <c r="U57" s="23">
        <f t="shared" si="32"/>
        <v>250</v>
      </c>
      <c r="V57" s="23">
        <f t="shared" si="32"/>
        <v>250</v>
      </c>
      <c r="W57" s="23">
        <f t="shared" si="32"/>
        <v>420</v>
      </c>
      <c r="X57" s="23">
        <f t="shared" si="32"/>
        <v>420</v>
      </c>
      <c r="Y57" s="23">
        <f t="shared" si="32"/>
        <v>47.8</v>
      </c>
      <c r="Z57" s="23">
        <f t="shared" si="32"/>
        <v>132</v>
      </c>
      <c r="AA57" s="23">
        <f t="shared" si="32"/>
        <v>367.5</v>
      </c>
      <c r="AB57" s="23">
        <f t="shared" si="32"/>
        <v>367.5</v>
      </c>
      <c r="AC57" s="23">
        <f t="shared" si="32"/>
        <v>367.5</v>
      </c>
      <c r="AD57" s="23">
        <f t="shared" si="32"/>
        <v>367.5</v>
      </c>
      <c r="AE57" s="23">
        <f t="shared" si="32"/>
        <v>405.9</v>
      </c>
      <c r="AF57" s="23">
        <f t="shared" si="41"/>
        <v>60</v>
      </c>
      <c r="AG57" s="23">
        <f t="shared" si="41"/>
        <v>67.8</v>
      </c>
      <c r="AH57" s="23">
        <f t="shared" si="41"/>
        <v>55</v>
      </c>
      <c r="AI57" s="23">
        <f t="shared" si="41"/>
        <v>262</v>
      </c>
      <c r="AJ57" s="23">
        <f t="shared" si="41"/>
        <v>425</v>
      </c>
      <c r="AK57" s="23">
        <f t="shared" si="41"/>
        <v>365</v>
      </c>
      <c r="AL57" s="23">
        <f t="shared" si="41"/>
        <v>365</v>
      </c>
      <c r="AM57" s="23">
        <f t="shared" si="41"/>
        <v>365</v>
      </c>
      <c r="AN57" s="23">
        <f t="shared" si="41"/>
        <v>431</v>
      </c>
      <c r="AO57" s="23">
        <f t="shared" si="41"/>
        <v>431</v>
      </c>
      <c r="AP57" s="23">
        <f t="shared" si="41"/>
        <v>110</v>
      </c>
      <c r="AQ57" s="23">
        <f t="shared" si="41"/>
        <v>110</v>
      </c>
      <c r="AR57" s="23">
        <f t="shared" si="41"/>
        <v>47</v>
      </c>
      <c r="AS57" s="23">
        <f t="shared" si="41"/>
        <v>47</v>
      </c>
      <c r="AT57" s="23">
        <f t="shared" si="41"/>
        <v>250</v>
      </c>
      <c r="AU57" s="23">
        <f t="shared" si="41"/>
        <v>250</v>
      </c>
      <c r="AV57" s="23">
        <f t="shared" si="41"/>
        <v>250</v>
      </c>
      <c r="AW57" s="23">
        <f t="shared" si="41"/>
        <v>0</v>
      </c>
      <c r="AX57" s="23">
        <f t="shared" si="41"/>
        <v>0</v>
      </c>
      <c r="AY57" s="23">
        <f t="shared" si="41"/>
        <v>368</v>
      </c>
      <c r="AZ57" s="23">
        <f t="shared" si="41"/>
        <v>364</v>
      </c>
      <c r="BA57" s="23">
        <f t="shared" si="41"/>
        <v>370</v>
      </c>
      <c r="BB57" s="23">
        <f t="shared" si="41"/>
        <v>370</v>
      </c>
      <c r="BC57" s="23">
        <f t="shared" si="41"/>
        <v>22</v>
      </c>
      <c r="BD57" s="23">
        <f t="shared" si="41"/>
        <v>395.7</v>
      </c>
      <c r="BE57" s="23">
        <f t="shared" si="41"/>
        <v>101</v>
      </c>
      <c r="BF57" s="23">
        <f t="shared" si="41"/>
        <v>32.5</v>
      </c>
      <c r="BG57" s="23">
        <f t="shared" si="41"/>
        <v>37.5</v>
      </c>
      <c r="BH57" s="23">
        <f t="shared" si="41"/>
        <v>37.5</v>
      </c>
      <c r="BI57" s="23">
        <f t="shared" si="41"/>
        <v>1.95</v>
      </c>
      <c r="BJ57" s="23">
        <f t="shared" si="41"/>
        <v>68.19</v>
      </c>
      <c r="BK57" s="23">
        <f t="shared" si="41"/>
        <v>68.19</v>
      </c>
      <c r="BL57" s="23">
        <f t="shared" si="41"/>
        <v>40</v>
      </c>
      <c r="BM57" s="23">
        <f t="shared" si="41"/>
        <v>14</v>
      </c>
      <c r="BN57" s="23">
        <f t="shared" si="41"/>
        <v>439.33333333333331</v>
      </c>
      <c r="BO57" s="23">
        <f t="shared" si="41"/>
        <v>439.33333333333331</v>
      </c>
      <c r="BP57" s="23">
        <f t="shared" si="41"/>
        <v>439.33333333333331</v>
      </c>
      <c r="BQ57" s="23">
        <f t="shared" si="41"/>
        <v>100</v>
      </c>
      <c r="BR57" s="23">
        <f t="shared" si="41"/>
        <v>100</v>
      </c>
      <c r="BS57" s="23">
        <f t="shared" si="41"/>
        <v>100</v>
      </c>
      <c r="BT57" s="23" t="e">
        <f t="shared" si="41"/>
        <v>#NUM!</v>
      </c>
      <c r="BU57" s="23" t="e">
        <f t="shared" si="41"/>
        <v>#NUM!</v>
      </c>
      <c r="BV57" s="23" t="e">
        <f t="shared" si="41"/>
        <v>#NUM!</v>
      </c>
      <c r="BW57" s="23" t="e">
        <f t="shared" si="41"/>
        <v>#NUM!</v>
      </c>
      <c r="BX57" s="23" t="e">
        <f t="shared" si="41"/>
        <v>#NUM!</v>
      </c>
      <c r="BY57" s="23" t="e">
        <f t="shared" si="41"/>
        <v>#NUM!</v>
      </c>
      <c r="BZ57" s="23" t="e">
        <f t="shared" si="41"/>
        <v>#NUM!</v>
      </c>
      <c r="CA57" s="23" t="e">
        <f t="shared" si="41"/>
        <v>#NUM!</v>
      </c>
      <c r="CB57" s="23" t="e">
        <f t="shared" si="41"/>
        <v>#NUM!</v>
      </c>
      <c r="CC57" s="23" t="e">
        <f t="shared" si="27"/>
        <v>#NUM!</v>
      </c>
      <c r="CD57" s="23" t="e">
        <f t="shared" si="27"/>
        <v>#NUM!</v>
      </c>
      <c r="CE57" s="23" t="e">
        <f t="shared" si="27"/>
        <v>#NUM!</v>
      </c>
      <c r="CF57" s="23" t="e">
        <f t="shared" si="27"/>
        <v>#NUM!</v>
      </c>
      <c r="CG57" s="23" t="e">
        <f t="shared" si="27"/>
        <v>#NUM!</v>
      </c>
      <c r="CH57" s="23" t="e">
        <f t="shared" si="27"/>
        <v>#NUM!</v>
      </c>
      <c r="CI57" s="23" t="e">
        <f t="shared" si="27"/>
        <v>#NUM!</v>
      </c>
      <c r="CJ57" s="23" t="e">
        <f t="shared" si="27"/>
        <v>#NUM!</v>
      </c>
      <c r="CK57" s="23" t="e">
        <f t="shared" si="27"/>
        <v>#NUM!</v>
      </c>
      <c r="CL57" s="23" t="e">
        <f t="shared" si="27"/>
        <v>#NUM!</v>
      </c>
      <c r="CM57" s="23" t="e">
        <f t="shared" si="27"/>
        <v>#NUM!</v>
      </c>
      <c r="CN57" s="23" t="e">
        <f t="shared" si="27"/>
        <v>#NUM!</v>
      </c>
      <c r="CO57" s="23" t="e">
        <f t="shared" si="27"/>
        <v>#NUM!</v>
      </c>
      <c r="CP57" s="23">
        <f t="shared" si="28"/>
        <v>11565.830000000002</v>
      </c>
      <c r="CQ57" s="67">
        <f t="shared" si="37"/>
        <v>0</v>
      </c>
      <c r="CR57" s="67">
        <v>0.85</v>
      </c>
      <c r="CS57" s="80">
        <f t="shared" si="33"/>
        <v>12112</v>
      </c>
      <c r="CT57" s="81">
        <f t="shared" si="29"/>
        <v>10295.199999999999</v>
      </c>
      <c r="CU57" s="23">
        <f t="shared" si="30"/>
        <v>13183.830000000004</v>
      </c>
      <c r="CV57" s="67">
        <f t="shared" si="38"/>
        <v>-7.6430219591663885E-3</v>
      </c>
      <c r="CW57" s="80">
        <f t="shared" si="39"/>
        <v>13806.406367722857</v>
      </c>
      <c r="CX57" s="81">
        <f t="shared" si="34"/>
        <v>11735.445412564428</v>
      </c>
      <c r="CY57" s="65">
        <f t="shared" si="31"/>
        <v>6778.1277910022154</v>
      </c>
      <c r="CZ57" s="65">
        <f>'Sensitivity - Population'!S19 + 'Sensitivity - GDP'!P20 +'Sensitivity - GDP'!P82</f>
        <v>61255.627831769314</v>
      </c>
      <c r="DA57" s="65">
        <f t="shared" si="35"/>
        <v>6992.6515789691002</v>
      </c>
      <c r="DB57" s="65">
        <f>'Sensitivity - Population'!E19+'Sensitivity - GDP'!D20+'Sensitivity - GDP'!D82</f>
        <v>56790.354835323189</v>
      </c>
      <c r="DC57" s="65">
        <f t="shared" si="36"/>
        <v>6482.9172186442001</v>
      </c>
      <c r="EQ57" s="92"/>
    </row>
    <row r="58" spans="2:147" x14ac:dyDescent="0.35">
      <c r="B58" s="90"/>
      <c r="C58" s="23">
        <v>44</v>
      </c>
      <c r="D58" s="23" t="s">
        <v>221</v>
      </c>
      <c r="E58" s="23" t="s">
        <v>154</v>
      </c>
      <c r="F58" s="23" t="s">
        <v>222</v>
      </c>
      <c r="G58" s="23">
        <v>37.5</v>
      </c>
      <c r="H58" s="23"/>
      <c r="I58" s="82">
        <v>42962</v>
      </c>
      <c r="J58" s="83">
        <f t="shared" ca="1" si="10"/>
        <v>4.5041095890410956</v>
      </c>
      <c r="K58" s="23"/>
      <c r="L58" s="92"/>
      <c r="N58" s="90"/>
      <c r="O58" s="79">
        <v>47118</v>
      </c>
      <c r="P58" s="23">
        <f t="shared" si="32"/>
        <v>392.5</v>
      </c>
      <c r="Q58" s="23">
        <f t="shared" si="32"/>
        <v>392.5</v>
      </c>
      <c r="R58" s="23">
        <f t="shared" si="32"/>
        <v>403.8</v>
      </c>
      <c r="S58" s="23">
        <f t="shared" si="32"/>
        <v>400</v>
      </c>
      <c r="T58" s="23">
        <f t="shared" si="32"/>
        <v>400</v>
      </c>
      <c r="U58" s="23">
        <f t="shared" si="32"/>
        <v>250</v>
      </c>
      <c r="V58" s="23">
        <f t="shared" si="32"/>
        <v>250</v>
      </c>
      <c r="W58" s="23">
        <f t="shared" si="32"/>
        <v>420</v>
      </c>
      <c r="X58" s="23">
        <f t="shared" si="32"/>
        <v>420</v>
      </c>
      <c r="Y58" s="23">
        <f t="shared" si="32"/>
        <v>47.8</v>
      </c>
      <c r="Z58" s="23">
        <f t="shared" si="32"/>
        <v>132</v>
      </c>
      <c r="AA58" s="23">
        <f t="shared" si="32"/>
        <v>367.5</v>
      </c>
      <c r="AB58" s="23">
        <f t="shared" si="32"/>
        <v>367.5</v>
      </c>
      <c r="AC58" s="23">
        <f t="shared" si="32"/>
        <v>367.5</v>
      </c>
      <c r="AD58" s="23">
        <f t="shared" si="32"/>
        <v>367.5</v>
      </c>
      <c r="AE58" s="23">
        <f t="shared" si="32"/>
        <v>405.9</v>
      </c>
      <c r="AF58" s="23">
        <f t="shared" si="41"/>
        <v>60</v>
      </c>
      <c r="AG58" s="23">
        <f t="shared" si="41"/>
        <v>67.8</v>
      </c>
      <c r="AH58" s="23">
        <f t="shared" si="41"/>
        <v>55</v>
      </c>
      <c r="AI58" s="23">
        <f t="shared" si="41"/>
        <v>262</v>
      </c>
      <c r="AJ58" s="23">
        <f t="shared" si="41"/>
        <v>425</v>
      </c>
      <c r="AK58" s="23">
        <f t="shared" si="41"/>
        <v>365</v>
      </c>
      <c r="AL58" s="23">
        <f t="shared" si="41"/>
        <v>365</v>
      </c>
      <c r="AM58" s="23">
        <f t="shared" si="41"/>
        <v>365</v>
      </c>
      <c r="AN58" s="23">
        <f t="shared" si="41"/>
        <v>431</v>
      </c>
      <c r="AO58" s="23">
        <f t="shared" si="41"/>
        <v>431</v>
      </c>
      <c r="AP58" s="23">
        <f t="shared" si="41"/>
        <v>110</v>
      </c>
      <c r="AQ58" s="23">
        <f t="shared" si="41"/>
        <v>110</v>
      </c>
      <c r="AR58" s="23">
        <f t="shared" si="41"/>
        <v>47</v>
      </c>
      <c r="AS58" s="23">
        <f t="shared" si="41"/>
        <v>47</v>
      </c>
      <c r="AT58" s="23">
        <f t="shared" si="41"/>
        <v>250</v>
      </c>
      <c r="AU58" s="23">
        <f t="shared" si="41"/>
        <v>250</v>
      </c>
      <c r="AV58" s="23">
        <f t="shared" si="41"/>
        <v>250</v>
      </c>
      <c r="AW58" s="23">
        <f t="shared" si="41"/>
        <v>0</v>
      </c>
      <c r="AX58" s="23">
        <f t="shared" si="41"/>
        <v>0</v>
      </c>
      <c r="AY58" s="23">
        <f t="shared" si="41"/>
        <v>368</v>
      </c>
      <c r="AZ58" s="23">
        <f t="shared" si="41"/>
        <v>364</v>
      </c>
      <c r="BA58" s="23">
        <f t="shared" si="41"/>
        <v>370</v>
      </c>
      <c r="BB58" s="23">
        <f t="shared" si="41"/>
        <v>370</v>
      </c>
      <c r="BC58" s="23">
        <f t="shared" si="41"/>
        <v>22</v>
      </c>
      <c r="BD58" s="23">
        <f t="shared" si="41"/>
        <v>395.7</v>
      </c>
      <c r="BE58" s="23">
        <f t="shared" si="41"/>
        <v>101</v>
      </c>
      <c r="BF58" s="23">
        <f t="shared" si="41"/>
        <v>32.5</v>
      </c>
      <c r="BG58" s="23">
        <f t="shared" si="41"/>
        <v>37.5</v>
      </c>
      <c r="BH58" s="23">
        <f t="shared" si="41"/>
        <v>37.5</v>
      </c>
      <c r="BI58" s="23">
        <f t="shared" si="41"/>
        <v>1.95</v>
      </c>
      <c r="BJ58" s="23">
        <f t="shared" si="41"/>
        <v>68.19</v>
      </c>
      <c r="BK58" s="23">
        <f t="shared" si="41"/>
        <v>68.19</v>
      </c>
      <c r="BL58" s="23">
        <f t="shared" si="41"/>
        <v>40</v>
      </c>
      <c r="BM58" s="23">
        <f t="shared" si="41"/>
        <v>14</v>
      </c>
      <c r="BN58" s="23">
        <f t="shared" si="41"/>
        <v>439.33333333333331</v>
      </c>
      <c r="BO58" s="23">
        <f t="shared" si="41"/>
        <v>439.33333333333331</v>
      </c>
      <c r="BP58" s="23">
        <f t="shared" si="41"/>
        <v>439.33333333333331</v>
      </c>
      <c r="BQ58" s="23">
        <f t="shared" si="41"/>
        <v>100</v>
      </c>
      <c r="BR58" s="23">
        <f t="shared" si="41"/>
        <v>100</v>
      </c>
      <c r="BS58" s="23">
        <f t="shared" si="41"/>
        <v>100</v>
      </c>
      <c r="BT58" s="23">
        <f t="shared" si="41"/>
        <v>100</v>
      </c>
      <c r="BU58" s="23" t="e">
        <f t="shared" si="41"/>
        <v>#NUM!</v>
      </c>
      <c r="BV58" s="23" t="e">
        <f t="shared" si="41"/>
        <v>#NUM!</v>
      </c>
      <c r="BW58" s="23" t="e">
        <f t="shared" si="41"/>
        <v>#NUM!</v>
      </c>
      <c r="BX58" s="23" t="e">
        <f t="shared" si="41"/>
        <v>#NUM!</v>
      </c>
      <c r="BY58" s="23" t="e">
        <f t="shared" si="41"/>
        <v>#NUM!</v>
      </c>
      <c r="BZ58" s="23" t="e">
        <f t="shared" si="41"/>
        <v>#NUM!</v>
      </c>
      <c r="CA58" s="23" t="e">
        <f t="shared" si="41"/>
        <v>#NUM!</v>
      </c>
      <c r="CB58" s="23" t="e">
        <f t="shared" si="41"/>
        <v>#NUM!</v>
      </c>
      <c r="CC58" s="23" t="e">
        <f t="shared" si="27"/>
        <v>#NUM!</v>
      </c>
      <c r="CD58" s="23" t="e">
        <f t="shared" si="27"/>
        <v>#NUM!</v>
      </c>
      <c r="CE58" s="23" t="e">
        <f t="shared" si="27"/>
        <v>#NUM!</v>
      </c>
      <c r="CF58" s="23" t="e">
        <f t="shared" si="27"/>
        <v>#NUM!</v>
      </c>
      <c r="CG58" s="23" t="e">
        <f t="shared" si="27"/>
        <v>#NUM!</v>
      </c>
      <c r="CH58" s="23" t="e">
        <f t="shared" si="27"/>
        <v>#NUM!</v>
      </c>
      <c r="CI58" s="23" t="e">
        <f t="shared" si="27"/>
        <v>#NUM!</v>
      </c>
      <c r="CJ58" s="23" t="e">
        <f t="shared" si="27"/>
        <v>#NUM!</v>
      </c>
      <c r="CK58" s="23" t="e">
        <f t="shared" si="27"/>
        <v>#NUM!</v>
      </c>
      <c r="CL58" s="23" t="e">
        <f t="shared" si="27"/>
        <v>#NUM!</v>
      </c>
      <c r="CM58" s="23" t="e">
        <f t="shared" si="27"/>
        <v>#NUM!</v>
      </c>
      <c r="CN58" s="23" t="e">
        <f t="shared" si="27"/>
        <v>#NUM!</v>
      </c>
      <c r="CO58" s="23" t="e">
        <f t="shared" si="27"/>
        <v>#NUM!</v>
      </c>
      <c r="CP58" s="23">
        <f t="shared" si="28"/>
        <v>11565.830000000002</v>
      </c>
      <c r="CQ58" s="67">
        <f t="shared" si="37"/>
        <v>0</v>
      </c>
      <c r="CR58" s="67">
        <v>0.85</v>
      </c>
      <c r="CS58" s="80">
        <f t="shared" si="33"/>
        <v>12112</v>
      </c>
      <c r="CT58" s="81">
        <f t="shared" si="29"/>
        <v>10295.199999999999</v>
      </c>
      <c r="CU58" s="23">
        <f t="shared" si="30"/>
        <v>13283.830000000004</v>
      </c>
      <c r="CV58" s="67">
        <f t="shared" si="38"/>
        <v>-7.5850492611024244E-3</v>
      </c>
      <c r="CW58" s="80">
        <f t="shared" si="39"/>
        <v>13911.128640140834</v>
      </c>
      <c r="CX58" s="81">
        <f t="shared" si="34"/>
        <v>11824.459344119708</v>
      </c>
      <c r="CY58" s="65">
        <f t="shared" si="31"/>
        <v>6896.1071951422828</v>
      </c>
      <c r="CZ58" s="65">
        <f>'Sensitivity - Population'!S20 + 'Sensitivity - GDP'!P21 +'Sensitivity - GDP'!P83</f>
        <v>62377.320329663038</v>
      </c>
      <c r="DA58" s="65">
        <f t="shared" si="35"/>
        <v>7120.6986677697532</v>
      </c>
      <c r="DB58" s="65">
        <f>'Sensitivity - Population'!E20+'Sensitivity - GDP'!D21+'Sensitivity - GDP'!D83</f>
        <v>57792.213343395779</v>
      </c>
      <c r="DC58" s="65">
        <f t="shared" si="36"/>
        <v>6597.2846282415267</v>
      </c>
      <c r="EQ58" s="92"/>
    </row>
    <row r="59" spans="2:147" x14ac:dyDescent="0.35">
      <c r="B59" s="90"/>
      <c r="C59" s="23">
        <v>45</v>
      </c>
      <c r="D59" s="23" t="s">
        <v>221</v>
      </c>
      <c r="E59" s="23" t="s">
        <v>154</v>
      </c>
      <c r="F59" s="23" t="s">
        <v>223</v>
      </c>
      <c r="G59" s="23">
        <v>37.5</v>
      </c>
      <c r="H59" s="23"/>
      <c r="I59" s="82">
        <v>43011</v>
      </c>
      <c r="J59" s="83">
        <f t="shared" ca="1" si="10"/>
        <v>4.3698630136986303</v>
      </c>
      <c r="K59" s="23"/>
      <c r="L59" s="92"/>
      <c r="N59" s="90"/>
      <c r="O59" s="79">
        <v>47483</v>
      </c>
      <c r="P59" s="23">
        <f t="shared" si="32"/>
        <v>392.5</v>
      </c>
      <c r="Q59" s="23">
        <f t="shared" si="32"/>
        <v>392.5</v>
      </c>
      <c r="R59" s="23">
        <f t="shared" si="32"/>
        <v>403.8</v>
      </c>
      <c r="S59" s="23">
        <f t="shared" si="32"/>
        <v>400</v>
      </c>
      <c r="T59" s="23">
        <f t="shared" si="32"/>
        <v>400</v>
      </c>
      <c r="U59" s="23">
        <f t="shared" si="32"/>
        <v>250</v>
      </c>
      <c r="V59" s="23">
        <f t="shared" si="32"/>
        <v>250</v>
      </c>
      <c r="W59" s="23">
        <f t="shared" si="32"/>
        <v>420</v>
      </c>
      <c r="X59" s="23">
        <f t="shared" si="32"/>
        <v>420</v>
      </c>
      <c r="Y59" s="23">
        <f t="shared" si="32"/>
        <v>47.8</v>
      </c>
      <c r="Z59" s="23">
        <f t="shared" si="32"/>
        <v>132</v>
      </c>
      <c r="AA59" s="23">
        <f t="shared" si="32"/>
        <v>367.5</v>
      </c>
      <c r="AB59" s="23">
        <f t="shared" si="32"/>
        <v>367.5</v>
      </c>
      <c r="AC59" s="23">
        <f t="shared" si="32"/>
        <v>367.5</v>
      </c>
      <c r="AD59" s="23">
        <f t="shared" si="32"/>
        <v>367.5</v>
      </c>
      <c r="AE59" s="23">
        <f t="shared" si="32"/>
        <v>405.9</v>
      </c>
      <c r="AF59" s="23">
        <f t="shared" si="41"/>
        <v>60</v>
      </c>
      <c r="AG59" s="23">
        <f t="shared" si="41"/>
        <v>67.8</v>
      </c>
      <c r="AH59" s="23">
        <f t="shared" si="41"/>
        <v>55</v>
      </c>
      <c r="AI59" s="23">
        <f t="shared" si="41"/>
        <v>262</v>
      </c>
      <c r="AJ59" s="23">
        <f t="shared" si="41"/>
        <v>425</v>
      </c>
      <c r="AK59" s="23">
        <f t="shared" si="41"/>
        <v>365</v>
      </c>
      <c r="AL59" s="23">
        <f t="shared" si="41"/>
        <v>365</v>
      </c>
      <c r="AM59" s="23">
        <f t="shared" si="41"/>
        <v>365</v>
      </c>
      <c r="AN59" s="23">
        <f t="shared" si="41"/>
        <v>431</v>
      </c>
      <c r="AO59" s="23">
        <f t="shared" si="41"/>
        <v>431</v>
      </c>
      <c r="AP59" s="23">
        <f t="shared" si="41"/>
        <v>110</v>
      </c>
      <c r="AQ59" s="23">
        <f t="shared" si="41"/>
        <v>110</v>
      </c>
      <c r="AR59" s="23">
        <f t="shared" si="41"/>
        <v>47</v>
      </c>
      <c r="AS59" s="23">
        <f t="shared" si="41"/>
        <v>47</v>
      </c>
      <c r="AT59" s="23">
        <f t="shared" si="41"/>
        <v>250</v>
      </c>
      <c r="AU59" s="23">
        <f t="shared" si="41"/>
        <v>250</v>
      </c>
      <c r="AV59" s="23">
        <f t="shared" si="41"/>
        <v>250</v>
      </c>
      <c r="AW59" s="23">
        <f t="shared" si="41"/>
        <v>0</v>
      </c>
      <c r="AX59" s="23">
        <f t="shared" si="41"/>
        <v>0</v>
      </c>
      <c r="AY59" s="23">
        <f t="shared" si="41"/>
        <v>368</v>
      </c>
      <c r="AZ59" s="23">
        <f t="shared" si="41"/>
        <v>364</v>
      </c>
      <c r="BA59" s="23">
        <f t="shared" si="41"/>
        <v>370</v>
      </c>
      <c r="BB59" s="23">
        <f t="shared" si="41"/>
        <v>370</v>
      </c>
      <c r="BC59" s="23">
        <f t="shared" si="41"/>
        <v>22</v>
      </c>
      <c r="BD59" s="23">
        <f t="shared" si="41"/>
        <v>395.7</v>
      </c>
      <c r="BE59" s="23">
        <f t="shared" si="41"/>
        <v>101</v>
      </c>
      <c r="BF59" s="23">
        <f t="shared" si="41"/>
        <v>32.5</v>
      </c>
      <c r="BG59" s="23">
        <f t="shared" si="41"/>
        <v>37.5</v>
      </c>
      <c r="BH59" s="23">
        <f t="shared" si="41"/>
        <v>37.5</v>
      </c>
      <c r="BI59" s="23">
        <f t="shared" si="41"/>
        <v>1.95</v>
      </c>
      <c r="BJ59" s="23">
        <f t="shared" si="41"/>
        <v>68.19</v>
      </c>
      <c r="BK59" s="23">
        <f t="shared" si="41"/>
        <v>68.19</v>
      </c>
      <c r="BL59" s="23">
        <f t="shared" si="41"/>
        <v>40</v>
      </c>
      <c r="BM59" s="23">
        <f t="shared" si="41"/>
        <v>14</v>
      </c>
      <c r="BN59" s="23">
        <f t="shared" si="41"/>
        <v>439.33333333333331</v>
      </c>
      <c r="BO59" s="23">
        <f t="shared" si="41"/>
        <v>439.33333333333331</v>
      </c>
      <c r="BP59" s="23">
        <f t="shared" si="41"/>
        <v>439.33333333333331</v>
      </c>
      <c r="BQ59" s="23">
        <f t="shared" si="41"/>
        <v>100</v>
      </c>
      <c r="BR59" s="23">
        <f t="shared" si="41"/>
        <v>100</v>
      </c>
      <c r="BS59" s="23">
        <f t="shared" si="41"/>
        <v>100</v>
      </c>
      <c r="BT59" s="23">
        <f t="shared" si="41"/>
        <v>100</v>
      </c>
      <c r="BU59" s="23">
        <f t="shared" si="41"/>
        <v>100</v>
      </c>
      <c r="BV59" s="23" t="e">
        <f t="shared" si="41"/>
        <v>#NUM!</v>
      </c>
      <c r="BW59" s="23" t="e">
        <f t="shared" si="41"/>
        <v>#NUM!</v>
      </c>
      <c r="BX59" s="23" t="e">
        <f t="shared" si="41"/>
        <v>#NUM!</v>
      </c>
      <c r="BY59" s="23" t="e">
        <f t="shared" si="41"/>
        <v>#NUM!</v>
      </c>
      <c r="BZ59" s="23" t="e">
        <f t="shared" si="41"/>
        <v>#NUM!</v>
      </c>
      <c r="CA59" s="23" t="e">
        <f t="shared" si="41"/>
        <v>#NUM!</v>
      </c>
      <c r="CB59" s="23" t="e">
        <f t="shared" si="41"/>
        <v>#NUM!</v>
      </c>
      <c r="CC59" s="23" t="e">
        <f t="shared" si="27"/>
        <v>#NUM!</v>
      </c>
      <c r="CD59" s="23" t="e">
        <f t="shared" si="27"/>
        <v>#NUM!</v>
      </c>
      <c r="CE59" s="23" t="e">
        <f t="shared" si="27"/>
        <v>#NUM!</v>
      </c>
      <c r="CF59" s="23" t="e">
        <f t="shared" si="27"/>
        <v>#NUM!</v>
      </c>
      <c r="CG59" s="23" t="e">
        <f t="shared" si="27"/>
        <v>#NUM!</v>
      </c>
      <c r="CH59" s="23" t="e">
        <f t="shared" si="27"/>
        <v>#NUM!</v>
      </c>
      <c r="CI59" s="23" t="e">
        <f t="shared" si="27"/>
        <v>#NUM!</v>
      </c>
      <c r="CJ59" s="23" t="e">
        <f t="shared" si="27"/>
        <v>#NUM!</v>
      </c>
      <c r="CK59" s="23" t="e">
        <f t="shared" si="27"/>
        <v>#NUM!</v>
      </c>
      <c r="CL59" s="23" t="e">
        <f t="shared" si="27"/>
        <v>#NUM!</v>
      </c>
      <c r="CM59" s="23" t="e">
        <f t="shared" si="27"/>
        <v>#NUM!</v>
      </c>
      <c r="CN59" s="23" t="e">
        <f t="shared" si="27"/>
        <v>#NUM!</v>
      </c>
      <c r="CO59" s="23" t="e">
        <f t="shared" si="27"/>
        <v>#NUM!</v>
      </c>
      <c r="CP59" s="23">
        <f t="shared" si="28"/>
        <v>11565.830000000002</v>
      </c>
      <c r="CQ59" s="67">
        <f t="shared" si="37"/>
        <v>0</v>
      </c>
      <c r="CR59" s="67">
        <v>0.85</v>
      </c>
      <c r="CS59" s="80">
        <f t="shared" si="33"/>
        <v>12112</v>
      </c>
      <c r="CT59" s="81">
        <f t="shared" si="29"/>
        <v>10295.199999999999</v>
      </c>
      <c r="CU59" s="23">
        <f t="shared" si="30"/>
        <v>13383.830000000004</v>
      </c>
      <c r="CV59" s="67">
        <f t="shared" si="38"/>
        <v>-7.5279493941129913E-3</v>
      </c>
      <c r="CW59" s="80">
        <f t="shared" si="39"/>
        <v>14015.85091255881</v>
      </c>
      <c r="CX59" s="81">
        <f t="shared" si="34"/>
        <v>11913.473275674987</v>
      </c>
      <c r="CY59" s="65">
        <f t="shared" si="31"/>
        <v>7013.9900472946683</v>
      </c>
      <c r="CZ59" s="65">
        <f>'Sensitivity - Population'!S21 + 'Sensitivity - GDP'!P22 +'Sensitivity - GDP'!P84</f>
        <v>63498.181584045356</v>
      </c>
      <c r="DA59" s="65">
        <f t="shared" si="35"/>
        <v>7248.6508657586028</v>
      </c>
      <c r="DB59" s="65">
        <f>'Sensitivity - Population'!E21+'Sensitivity - GDP'!D22+'Sensitivity - GDP'!D84</f>
        <v>58793.252141563673</v>
      </c>
      <c r="DC59" s="65">
        <f t="shared" si="36"/>
        <v>6711.5584636488211</v>
      </c>
      <c r="EQ59" s="92"/>
    </row>
    <row r="60" spans="2:147" x14ac:dyDescent="0.35">
      <c r="B60" s="90"/>
      <c r="C60" s="23">
        <v>46</v>
      </c>
      <c r="D60" s="23" t="s">
        <v>221</v>
      </c>
      <c r="E60" s="23" t="s">
        <v>154</v>
      </c>
      <c r="F60" s="23" t="s">
        <v>224</v>
      </c>
      <c r="G60" s="23">
        <v>1.95</v>
      </c>
      <c r="H60" s="23">
        <f>SUM(G58:G60)</f>
        <v>76.95</v>
      </c>
      <c r="I60" s="82">
        <v>43011</v>
      </c>
      <c r="J60" s="83">
        <f t="shared" ca="1" si="10"/>
        <v>4.3698630136986303</v>
      </c>
      <c r="K60" s="23"/>
      <c r="L60" s="92"/>
      <c r="N60" s="90"/>
      <c r="O60" s="79">
        <v>47848</v>
      </c>
      <c r="P60" s="23">
        <f t="shared" si="32"/>
        <v>392.5</v>
      </c>
      <c r="Q60" s="23">
        <f t="shared" si="32"/>
        <v>392.5</v>
      </c>
      <c r="R60" s="23">
        <f t="shared" si="32"/>
        <v>403.8</v>
      </c>
      <c r="S60" s="23">
        <f t="shared" si="32"/>
        <v>400</v>
      </c>
      <c r="T60" s="23">
        <f t="shared" si="32"/>
        <v>400</v>
      </c>
      <c r="U60" s="23">
        <f t="shared" si="32"/>
        <v>250</v>
      </c>
      <c r="V60" s="23">
        <f t="shared" si="32"/>
        <v>250</v>
      </c>
      <c r="W60" s="23">
        <f t="shared" si="32"/>
        <v>420</v>
      </c>
      <c r="X60" s="23">
        <f t="shared" si="32"/>
        <v>420</v>
      </c>
      <c r="Y60" s="23">
        <f t="shared" si="32"/>
        <v>47.8</v>
      </c>
      <c r="Z60" s="23">
        <f t="shared" si="32"/>
        <v>132</v>
      </c>
      <c r="AA60" s="23">
        <f t="shared" si="32"/>
        <v>367.5</v>
      </c>
      <c r="AB60" s="23">
        <f t="shared" si="32"/>
        <v>367.5</v>
      </c>
      <c r="AC60" s="23">
        <f t="shared" si="32"/>
        <v>367.5</v>
      </c>
      <c r="AD60" s="23">
        <f t="shared" si="32"/>
        <v>367.5</v>
      </c>
      <c r="AE60" s="23">
        <f t="shared" si="32"/>
        <v>405.9</v>
      </c>
      <c r="AF60" s="23">
        <f t="shared" si="41"/>
        <v>60</v>
      </c>
      <c r="AG60" s="23">
        <f t="shared" si="41"/>
        <v>67.8</v>
      </c>
      <c r="AH60" s="23">
        <f t="shared" si="41"/>
        <v>55</v>
      </c>
      <c r="AI60" s="23">
        <f t="shared" si="41"/>
        <v>262</v>
      </c>
      <c r="AJ60" s="23">
        <f t="shared" si="41"/>
        <v>425</v>
      </c>
      <c r="AK60" s="23">
        <f t="shared" si="41"/>
        <v>365</v>
      </c>
      <c r="AL60" s="23">
        <f t="shared" si="41"/>
        <v>365</v>
      </c>
      <c r="AM60" s="23">
        <f t="shared" si="41"/>
        <v>365</v>
      </c>
      <c r="AN60" s="23">
        <f t="shared" si="41"/>
        <v>431</v>
      </c>
      <c r="AO60" s="23">
        <f t="shared" si="41"/>
        <v>431</v>
      </c>
      <c r="AP60" s="23">
        <f t="shared" ref="AP60:BE76" si="42">IF(VLOOKUP(AP$13,$C$15:$J$92,3,FALSE) &lt;&gt; "Incineration", IF(DATEDIF(VLOOKUP(AP$13,$C$15:$J$92,7,FALSE),$O60,"y")&gt;=$P$48,0,VLOOKUP(AP$13,$C$15:$J$92,5,FALSE)), VLOOKUP(AP$13,$C$15:$J$92,5,FALSE))</f>
        <v>110</v>
      </c>
      <c r="AQ60" s="23">
        <f t="shared" si="42"/>
        <v>110</v>
      </c>
      <c r="AR60" s="23">
        <f t="shared" si="42"/>
        <v>47</v>
      </c>
      <c r="AS60" s="23">
        <f t="shared" si="42"/>
        <v>47</v>
      </c>
      <c r="AT60" s="23">
        <f t="shared" si="42"/>
        <v>250</v>
      </c>
      <c r="AU60" s="23">
        <f t="shared" si="42"/>
        <v>250</v>
      </c>
      <c r="AV60" s="23">
        <f t="shared" si="42"/>
        <v>250</v>
      </c>
      <c r="AW60" s="23">
        <f t="shared" si="42"/>
        <v>0</v>
      </c>
      <c r="AX60" s="23">
        <f t="shared" si="42"/>
        <v>0</v>
      </c>
      <c r="AY60" s="23">
        <f t="shared" si="42"/>
        <v>368</v>
      </c>
      <c r="AZ60" s="23">
        <f t="shared" si="42"/>
        <v>364</v>
      </c>
      <c r="BA60" s="23">
        <f t="shared" si="42"/>
        <v>370</v>
      </c>
      <c r="BB60" s="23">
        <f t="shared" si="42"/>
        <v>370</v>
      </c>
      <c r="BC60" s="23">
        <f t="shared" si="42"/>
        <v>22</v>
      </c>
      <c r="BD60" s="23">
        <f t="shared" si="42"/>
        <v>395.7</v>
      </c>
      <c r="BE60" s="23">
        <f t="shared" si="42"/>
        <v>101</v>
      </c>
      <c r="BF60" s="23">
        <f t="shared" ref="BF60:BU75" si="43">IF(VLOOKUP(BF$13,$C$15:$J$92,3,FALSE) &lt;&gt; "Incineration", IF(DATEDIF(VLOOKUP(BF$13,$C$15:$J$92,7,FALSE),$O60,"y")&gt;=$P$48,0,VLOOKUP(BF$13,$C$15:$J$92,5,FALSE)), VLOOKUP(BF$13,$C$15:$J$92,5,FALSE))</f>
        <v>32.5</v>
      </c>
      <c r="BG60" s="23">
        <f t="shared" si="43"/>
        <v>37.5</v>
      </c>
      <c r="BH60" s="23">
        <f t="shared" si="43"/>
        <v>37.5</v>
      </c>
      <c r="BI60" s="23">
        <f t="shared" si="43"/>
        <v>1.95</v>
      </c>
      <c r="BJ60" s="23">
        <f t="shared" si="43"/>
        <v>68.19</v>
      </c>
      <c r="BK60" s="23">
        <f t="shared" si="43"/>
        <v>68.19</v>
      </c>
      <c r="BL60" s="23">
        <f t="shared" si="43"/>
        <v>40</v>
      </c>
      <c r="BM60" s="23">
        <f t="shared" si="43"/>
        <v>14</v>
      </c>
      <c r="BN60" s="23">
        <f t="shared" si="43"/>
        <v>439.33333333333331</v>
      </c>
      <c r="BO60" s="23">
        <f t="shared" si="43"/>
        <v>439.33333333333331</v>
      </c>
      <c r="BP60" s="23">
        <f t="shared" si="43"/>
        <v>439.33333333333331</v>
      </c>
      <c r="BQ60" s="23">
        <f t="shared" si="43"/>
        <v>100</v>
      </c>
      <c r="BR60" s="23">
        <f t="shared" si="43"/>
        <v>100</v>
      </c>
      <c r="BS60" s="23">
        <f t="shared" si="43"/>
        <v>100</v>
      </c>
      <c r="BT60" s="23">
        <f t="shared" si="43"/>
        <v>100</v>
      </c>
      <c r="BU60" s="23">
        <f t="shared" si="43"/>
        <v>100</v>
      </c>
      <c r="BV60" s="23">
        <f t="shared" ref="BV60:CK80" si="44">IF(VLOOKUP(BV$13,$C$15:$J$92,3,FALSE) &lt;&gt; "Incineration", IF(DATEDIF(VLOOKUP(BV$13,$C$15:$J$92,7,FALSE),$O60,"y")&gt;=$P$48,0,VLOOKUP(BV$13,$C$15:$J$92,5,FALSE)), VLOOKUP(BV$13,$C$15:$J$92,5,FALSE))</f>
        <v>200</v>
      </c>
      <c r="BW60" s="23" t="e">
        <f t="shared" si="44"/>
        <v>#NUM!</v>
      </c>
      <c r="BX60" s="23" t="e">
        <f t="shared" si="44"/>
        <v>#NUM!</v>
      </c>
      <c r="BY60" s="23" t="e">
        <f t="shared" si="44"/>
        <v>#NUM!</v>
      </c>
      <c r="BZ60" s="23" t="e">
        <f t="shared" si="44"/>
        <v>#NUM!</v>
      </c>
      <c r="CA60" s="23" t="e">
        <f t="shared" si="44"/>
        <v>#NUM!</v>
      </c>
      <c r="CB60" s="23" t="e">
        <f t="shared" si="44"/>
        <v>#NUM!</v>
      </c>
      <c r="CC60" s="23" t="e">
        <f t="shared" si="27"/>
        <v>#NUM!</v>
      </c>
      <c r="CD60" s="23" t="e">
        <f t="shared" si="27"/>
        <v>#NUM!</v>
      </c>
      <c r="CE60" s="23" t="e">
        <f t="shared" si="27"/>
        <v>#NUM!</v>
      </c>
      <c r="CF60" s="23" t="e">
        <f t="shared" si="27"/>
        <v>#NUM!</v>
      </c>
      <c r="CG60" s="23" t="e">
        <f t="shared" si="27"/>
        <v>#NUM!</v>
      </c>
      <c r="CH60" s="23" t="e">
        <f t="shared" si="27"/>
        <v>#NUM!</v>
      </c>
      <c r="CI60" s="23" t="e">
        <f t="shared" si="27"/>
        <v>#NUM!</v>
      </c>
      <c r="CJ60" s="23" t="e">
        <f t="shared" si="27"/>
        <v>#NUM!</v>
      </c>
      <c r="CK60" s="23" t="e">
        <f t="shared" si="27"/>
        <v>#NUM!</v>
      </c>
      <c r="CL60" s="23" t="e">
        <f t="shared" si="27"/>
        <v>#NUM!</v>
      </c>
      <c r="CM60" s="23" t="e">
        <f t="shared" si="27"/>
        <v>#NUM!</v>
      </c>
      <c r="CN60" s="23" t="e">
        <f t="shared" si="27"/>
        <v>#NUM!</v>
      </c>
      <c r="CO60" s="23" t="e">
        <f t="shared" si="27"/>
        <v>#NUM!</v>
      </c>
      <c r="CP60" s="23">
        <f t="shared" si="28"/>
        <v>11565.830000000002</v>
      </c>
      <c r="CQ60" s="67">
        <f t="shared" si="37"/>
        <v>0</v>
      </c>
      <c r="CR60" s="67">
        <v>0.85</v>
      </c>
      <c r="CS60" s="80">
        <f t="shared" si="33"/>
        <v>12112</v>
      </c>
      <c r="CT60" s="81">
        <f t="shared" si="29"/>
        <v>10295.199999999999</v>
      </c>
      <c r="CU60" s="23">
        <f t="shared" si="30"/>
        <v>13583.830000000004</v>
      </c>
      <c r="CV60" s="67">
        <f t="shared" si="38"/>
        <v>-1.4943405587189911E-2</v>
      </c>
      <c r="CW60" s="80">
        <f t="shared" si="39"/>
        <v>14225.295457394763</v>
      </c>
      <c r="CX60" s="81">
        <f t="shared" si="34"/>
        <v>12091.501138785548</v>
      </c>
      <c r="CY60" s="65">
        <f t="shared" si="31"/>
        <v>7131.7738763628868</v>
      </c>
      <c r="CZ60" s="65">
        <f>'Sensitivity - Population'!S22 + 'Sensitivity - GDP'!P23 +'Sensitivity - GDP'!P85</f>
        <v>64618.189430856866</v>
      </c>
      <c r="DA60" s="65">
        <f t="shared" si="35"/>
        <v>7376.5056427918798</v>
      </c>
      <c r="DB60" s="65">
        <f>'Sensitivity - Population'!E22+'Sensitivity - GDP'!D23+'Sensitivity - GDP'!D85</f>
        <v>59793.44937329652</v>
      </c>
      <c r="DC60" s="65">
        <f t="shared" si="36"/>
        <v>6825.7362298283697</v>
      </c>
      <c r="EQ60" s="92"/>
    </row>
    <row r="61" spans="2:147" x14ac:dyDescent="0.35">
      <c r="B61" s="90"/>
      <c r="C61" s="23">
        <v>47</v>
      </c>
      <c r="D61" s="23" t="s">
        <v>225</v>
      </c>
      <c r="E61" s="23" t="s">
        <v>167</v>
      </c>
      <c r="F61" s="23" t="s">
        <v>218</v>
      </c>
      <c r="G61" s="23">
        <v>68.19</v>
      </c>
      <c r="H61" s="23"/>
      <c r="I61" s="82">
        <v>44494</v>
      </c>
      <c r="J61" s="83">
        <f t="shared" ca="1" si="10"/>
        <v>0.30684931506849317</v>
      </c>
      <c r="K61" s="23"/>
      <c r="L61" s="92"/>
      <c r="N61" s="90"/>
      <c r="O61" s="79">
        <v>48213</v>
      </c>
      <c r="P61" s="23">
        <f t="shared" si="32"/>
        <v>392.5</v>
      </c>
      <c r="Q61" s="23">
        <f t="shared" si="32"/>
        <v>392.5</v>
      </c>
      <c r="R61" s="23">
        <f t="shared" si="32"/>
        <v>403.8</v>
      </c>
      <c r="S61" s="23">
        <f t="shared" si="32"/>
        <v>400</v>
      </c>
      <c r="T61" s="23">
        <f t="shared" si="32"/>
        <v>400</v>
      </c>
      <c r="U61" s="23">
        <f t="shared" si="32"/>
        <v>250</v>
      </c>
      <c r="V61" s="23">
        <f t="shared" si="32"/>
        <v>250</v>
      </c>
      <c r="W61" s="23">
        <f t="shared" si="32"/>
        <v>420</v>
      </c>
      <c r="X61" s="23">
        <f t="shared" si="32"/>
        <v>420</v>
      </c>
      <c r="Y61" s="23">
        <f t="shared" si="32"/>
        <v>47.8</v>
      </c>
      <c r="Z61" s="23">
        <f t="shared" si="32"/>
        <v>132</v>
      </c>
      <c r="AA61" s="23">
        <f t="shared" si="32"/>
        <v>367.5</v>
      </c>
      <c r="AB61" s="23">
        <f t="shared" si="32"/>
        <v>367.5</v>
      </c>
      <c r="AC61" s="23">
        <f t="shared" si="32"/>
        <v>367.5</v>
      </c>
      <c r="AD61" s="23">
        <f t="shared" si="32"/>
        <v>367.5</v>
      </c>
      <c r="AE61" s="23">
        <f t="shared" si="32"/>
        <v>405.9</v>
      </c>
      <c r="AF61" s="23">
        <f t="shared" ref="AF61:AU76" si="45">IF(VLOOKUP(AF$13,$C$15:$J$92,3,FALSE) &lt;&gt; "Incineration", IF(DATEDIF(VLOOKUP(AF$13,$C$15:$J$92,7,FALSE),$O61,"y")&gt;=$P$48,0,VLOOKUP(AF$13,$C$15:$J$92,5,FALSE)), VLOOKUP(AF$13,$C$15:$J$92,5,FALSE))</f>
        <v>60</v>
      </c>
      <c r="AG61" s="23">
        <f t="shared" si="45"/>
        <v>67.8</v>
      </c>
      <c r="AH61" s="23">
        <f t="shared" si="45"/>
        <v>55</v>
      </c>
      <c r="AI61" s="23">
        <f t="shared" si="45"/>
        <v>0</v>
      </c>
      <c r="AJ61" s="23">
        <f t="shared" si="45"/>
        <v>0</v>
      </c>
      <c r="AK61" s="23">
        <f t="shared" si="45"/>
        <v>365</v>
      </c>
      <c r="AL61" s="23">
        <f t="shared" si="45"/>
        <v>365</v>
      </c>
      <c r="AM61" s="23">
        <f t="shared" si="45"/>
        <v>365</v>
      </c>
      <c r="AN61" s="23">
        <f t="shared" si="45"/>
        <v>431</v>
      </c>
      <c r="AO61" s="23">
        <f t="shared" si="45"/>
        <v>431</v>
      </c>
      <c r="AP61" s="23">
        <f t="shared" si="45"/>
        <v>110</v>
      </c>
      <c r="AQ61" s="23">
        <f t="shared" si="45"/>
        <v>110</v>
      </c>
      <c r="AR61" s="23">
        <f t="shared" si="45"/>
        <v>47</v>
      </c>
      <c r="AS61" s="23">
        <f t="shared" si="45"/>
        <v>47</v>
      </c>
      <c r="AT61" s="23">
        <f t="shared" si="45"/>
        <v>250</v>
      </c>
      <c r="AU61" s="23">
        <f t="shared" si="45"/>
        <v>250</v>
      </c>
      <c r="AV61" s="23">
        <f t="shared" si="42"/>
        <v>250</v>
      </c>
      <c r="AW61" s="23">
        <f t="shared" si="42"/>
        <v>0</v>
      </c>
      <c r="AX61" s="23">
        <f t="shared" si="42"/>
        <v>0</v>
      </c>
      <c r="AY61" s="23">
        <f t="shared" si="42"/>
        <v>368</v>
      </c>
      <c r="AZ61" s="23">
        <f t="shared" si="42"/>
        <v>364</v>
      </c>
      <c r="BA61" s="23">
        <f t="shared" si="42"/>
        <v>370</v>
      </c>
      <c r="BB61" s="23">
        <f t="shared" si="42"/>
        <v>370</v>
      </c>
      <c r="BC61" s="23">
        <f t="shared" si="42"/>
        <v>22</v>
      </c>
      <c r="BD61" s="23">
        <f t="shared" si="42"/>
        <v>395.7</v>
      </c>
      <c r="BE61" s="23">
        <f t="shared" si="42"/>
        <v>101</v>
      </c>
      <c r="BF61" s="23">
        <f t="shared" si="43"/>
        <v>32.5</v>
      </c>
      <c r="BG61" s="23">
        <f t="shared" si="43"/>
        <v>37.5</v>
      </c>
      <c r="BH61" s="23">
        <f t="shared" si="43"/>
        <v>37.5</v>
      </c>
      <c r="BI61" s="23">
        <f t="shared" si="43"/>
        <v>1.95</v>
      </c>
      <c r="BJ61" s="23">
        <f t="shared" si="43"/>
        <v>68.19</v>
      </c>
      <c r="BK61" s="23">
        <f t="shared" si="43"/>
        <v>68.19</v>
      </c>
      <c r="BL61" s="23">
        <f t="shared" si="43"/>
        <v>40</v>
      </c>
      <c r="BM61" s="23">
        <f t="shared" si="43"/>
        <v>14</v>
      </c>
      <c r="BN61" s="23">
        <f t="shared" si="43"/>
        <v>439.33333333333331</v>
      </c>
      <c r="BO61" s="23">
        <f t="shared" si="43"/>
        <v>439.33333333333331</v>
      </c>
      <c r="BP61" s="23">
        <f t="shared" si="43"/>
        <v>439.33333333333331</v>
      </c>
      <c r="BQ61" s="23">
        <f t="shared" si="43"/>
        <v>100</v>
      </c>
      <c r="BR61" s="23">
        <f t="shared" si="43"/>
        <v>100</v>
      </c>
      <c r="BS61" s="23">
        <f t="shared" si="43"/>
        <v>100</v>
      </c>
      <c r="BT61" s="23">
        <f t="shared" si="43"/>
        <v>100</v>
      </c>
      <c r="BU61" s="23">
        <f t="shared" si="43"/>
        <v>100</v>
      </c>
      <c r="BV61" s="23">
        <f t="shared" si="44"/>
        <v>200</v>
      </c>
      <c r="BW61" s="23">
        <f t="shared" si="44"/>
        <v>200</v>
      </c>
      <c r="BX61" s="23" t="e">
        <f t="shared" si="44"/>
        <v>#NUM!</v>
      </c>
      <c r="BY61" s="23" t="e">
        <f t="shared" si="44"/>
        <v>#NUM!</v>
      </c>
      <c r="BZ61" s="23" t="e">
        <f t="shared" si="44"/>
        <v>#NUM!</v>
      </c>
      <c r="CA61" s="23" t="e">
        <f t="shared" si="44"/>
        <v>#NUM!</v>
      </c>
      <c r="CB61" s="23" t="e">
        <f t="shared" si="44"/>
        <v>#NUM!</v>
      </c>
      <c r="CC61" s="23" t="e">
        <f t="shared" si="27"/>
        <v>#NUM!</v>
      </c>
      <c r="CD61" s="23" t="e">
        <f t="shared" si="27"/>
        <v>#NUM!</v>
      </c>
      <c r="CE61" s="23" t="e">
        <f t="shared" si="27"/>
        <v>#NUM!</v>
      </c>
      <c r="CF61" s="23" t="e">
        <f t="shared" si="27"/>
        <v>#NUM!</v>
      </c>
      <c r="CG61" s="23" t="e">
        <f t="shared" si="27"/>
        <v>#NUM!</v>
      </c>
      <c r="CH61" s="23" t="e">
        <f t="shared" si="27"/>
        <v>#NUM!</v>
      </c>
      <c r="CI61" s="23" t="e">
        <f t="shared" si="27"/>
        <v>#NUM!</v>
      </c>
      <c r="CJ61" s="23" t="e">
        <f t="shared" si="27"/>
        <v>#NUM!</v>
      </c>
      <c r="CK61" s="23" t="e">
        <f t="shared" si="27"/>
        <v>#NUM!</v>
      </c>
      <c r="CL61" s="23" t="e">
        <f t="shared" si="27"/>
        <v>#NUM!</v>
      </c>
      <c r="CM61" s="23" t="e">
        <f t="shared" si="27"/>
        <v>#NUM!</v>
      </c>
      <c r="CN61" s="23" t="e">
        <f t="shared" si="27"/>
        <v>#NUM!</v>
      </c>
      <c r="CO61" s="23" t="e">
        <f t="shared" si="27"/>
        <v>#NUM!</v>
      </c>
      <c r="CP61" s="23">
        <f t="shared" si="28"/>
        <v>10878.830000000002</v>
      </c>
      <c r="CQ61" s="67">
        <f t="shared" si="37"/>
        <v>5.9399109272745658E-2</v>
      </c>
      <c r="CR61" s="67">
        <v>0.85</v>
      </c>
      <c r="CS61" s="80">
        <f t="shared" si="33"/>
        <v>11392.557988488505</v>
      </c>
      <c r="CT61" s="81">
        <f t="shared" si="29"/>
        <v>9683.6742902152291</v>
      </c>
      <c r="CU61" s="23">
        <f t="shared" si="30"/>
        <v>13096.830000000004</v>
      </c>
      <c r="CV61" s="67">
        <f t="shared" si="38"/>
        <v>3.5851449848827606E-2</v>
      </c>
      <c r="CW61" s="80">
        <f t="shared" si="39"/>
        <v>13715.297990719218</v>
      </c>
      <c r="CX61" s="81">
        <f t="shared" si="34"/>
        <v>11658.003292111336</v>
      </c>
      <c r="CY61" s="65">
        <f t="shared" si="31"/>
        <v>7249.4562498569203</v>
      </c>
      <c r="CZ61" s="65">
        <f>'Sensitivity - Population'!S23 + 'Sensitivity - GDP'!P24 +'Sensitivity - GDP'!P86</f>
        <v>65737.322028471113</v>
      </c>
      <c r="DA61" s="65">
        <f t="shared" si="35"/>
        <v>7504.2605055332324</v>
      </c>
      <c r="DB61" s="65">
        <f>'Sensitivity - Population'!E23+'Sensitivity - GDP'!D24+'Sensitivity - GDP'!D86</f>
        <v>60792.783500023172</v>
      </c>
      <c r="DC61" s="65">
        <f t="shared" si="36"/>
        <v>6939.8154680391744</v>
      </c>
      <c r="EQ61" s="92"/>
    </row>
    <row r="62" spans="2:147" x14ac:dyDescent="0.35">
      <c r="B62" s="90"/>
      <c r="C62" s="23">
        <v>48</v>
      </c>
      <c r="D62" s="23" t="s">
        <v>225</v>
      </c>
      <c r="E62" s="23" t="s">
        <v>167</v>
      </c>
      <c r="F62" s="23" t="s">
        <v>220</v>
      </c>
      <c r="G62" s="23">
        <v>68.19</v>
      </c>
      <c r="H62" s="23">
        <f>SUM(G61:G62)</f>
        <v>136.38</v>
      </c>
      <c r="I62" s="82">
        <v>44494</v>
      </c>
      <c r="J62" s="83">
        <f t="shared" ca="1" si="10"/>
        <v>0.30684931506849317</v>
      </c>
      <c r="K62" s="23"/>
      <c r="L62" s="92"/>
      <c r="N62" s="90"/>
      <c r="O62" s="79">
        <v>48579</v>
      </c>
      <c r="P62" s="23">
        <f t="shared" si="32"/>
        <v>392.5</v>
      </c>
      <c r="Q62" s="23">
        <f t="shared" si="32"/>
        <v>392.5</v>
      </c>
      <c r="R62" s="23">
        <f t="shared" si="32"/>
        <v>403.8</v>
      </c>
      <c r="S62" s="23">
        <f t="shared" si="32"/>
        <v>400</v>
      </c>
      <c r="T62" s="23">
        <f t="shared" si="32"/>
        <v>400</v>
      </c>
      <c r="U62" s="23">
        <f t="shared" si="32"/>
        <v>250</v>
      </c>
      <c r="V62" s="23">
        <f t="shared" si="32"/>
        <v>250</v>
      </c>
      <c r="W62" s="23">
        <f t="shared" si="32"/>
        <v>420</v>
      </c>
      <c r="X62" s="23">
        <f t="shared" si="32"/>
        <v>420</v>
      </c>
      <c r="Y62" s="23">
        <f t="shared" si="32"/>
        <v>47.8</v>
      </c>
      <c r="Z62" s="23">
        <f t="shared" si="32"/>
        <v>132</v>
      </c>
      <c r="AA62" s="23">
        <f t="shared" si="32"/>
        <v>367.5</v>
      </c>
      <c r="AB62" s="23">
        <f t="shared" si="32"/>
        <v>367.5</v>
      </c>
      <c r="AC62" s="23">
        <f t="shared" si="32"/>
        <v>367.5</v>
      </c>
      <c r="AD62" s="23">
        <f t="shared" si="32"/>
        <v>367.5</v>
      </c>
      <c r="AE62" s="23">
        <f t="shared" si="32"/>
        <v>405.9</v>
      </c>
      <c r="AF62" s="23">
        <f t="shared" si="45"/>
        <v>60</v>
      </c>
      <c r="AG62" s="23">
        <f t="shared" si="45"/>
        <v>67.8</v>
      </c>
      <c r="AH62" s="23">
        <f t="shared" si="45"/>
        <v>55</v>
      </c>
      <c r="AI62" s="23">
        <f t="shared" si="45"/>
        <v>0</v>
      </c>
      <c r="AJ62" s="23">
        <f t="shared" si="45"/>
        <v>0</v>
      </c>
      <c r="AK62" s="23">
        <f t="shared" si="45"/>
        <v>365</v>
      </c>
      <c r="AL62" s="23">
        <f t="shared" si="45"/>
        <v>365</v>
      </c>
      <c r="AM62" s="23">
        <f t="shared" si="45"/>
        <v>365</v>
      </c>
      <c r="AN62" s="23">
        <f t="shared" si="45"/>
        <v>431</v>
      </c>
      <c r="AO62" s="23">
        <f t="shared" si="45"/>
        <v>431</v>
      </c>
      <c r="AP62" s="23">
        <f t="shared" si="45"/>
        <v>110</v>
      </c>
      <c r="AQ62" s="23">
        <f t="shared" si="45"/>
        <v>110</v>
      </c>
      <c r="AR62" s="23">
        <f t="shared" si="45"/>
        <v>47</v>
      </c>
      <c r="AS62" s="23">
        <f t="shared" si="45"/>
        <v>47</v>
      </c>
      <c r="AT62" s="23">
        <f t="shared" si="45"/>
        <v>250</v>
      </c>
      <c r="AU62" s="23">
        <f t="shared" si="45"/>
        <v>250</v>
      </c>
      <c r="AV62" s="23">
        <f t="shared" si="42"/>
        <v>250</v>
      </c>
      <c r="AW62" s="23">
        <f t="shared" si="42"/>
        <v>0</v>
      </c>
      <c r="AX62" s="23">
        <f t="shared" si="42"/>
        <v>0</v>
      </c>
      <c r="AY62" s="23">
        <f t="shared" si="42"/>
        <v>368</v>
      </c>
      <c r="AZ62" s="23">
        <f t="shared" si="42"/>
        <v>364</v>
      </c>
      <c r="BA62" s="23">
        <f t="shared" si="42"/>
        <v>370</v>
      </c>
      <c r="BB62" s="23">
        <f t="shared" si="42"/>
        <v>370</v>
      </c>
      <c r="BC62" s="23">
        <f t="shared" si="42"/>
        <v>22</v>
      </c>
      <c r="BD62" s="23">
        <f t="shared" si="42"/>
        <v>395.7</v>
      </c>
      <c r="BE62" s="23">
        <f t="shared" si="42"/>
        <v>101</v>
      </c>
      <c r="BF62" s="23">
        <f t="shared" si="43"/>
        <v>32.5</v>
      </c>
      <c r="BG62" s="23">
        <f t="shared" si="43"/>
        <v>37.5</v>
      </c>
      <c r="BH62" s="23">
        <f t="shared" si="43"/>
        <v>37.5</v>
      </c>
      <c r="BI62" s="23">
        <f t="shared" si="43"/>
        <v>1.95</v>
      </c>
      <c r="BJ62" s="23">
        <f t="shared" si="43"/>
        <v>68.19</v>
      </c>
      <c r="BK62" s="23">
        <f t="shared" si="43"/>
        <v>68.19</v>
      </c>
      <c r="BL62" s="23">
        <f t="shared" si="43"/>
        <v>40</v>
      </c>
      <c r="BM62" s="23">
        <f t="shared" si="43"/>
        <v>14</v>
      </c>
      <c r="BN62" s="23">
        <f t="shared" si="43"/>
        <v>439.33333333333331</v>
      </c>
      <c r="BO62" s="23">
        <f t="shared" si="43"/>
        <v>439.33333333333331</v>
      </c>
      <c r="BP62" s="23">
        <f t="shared" si="43"/>
        <v>439.33333333333331</v>
      </c>
      <c r="BQ62" s="23">
        <f t="shared" si="43"/>
        <v>100</v>
      </c>
      <c r="BR62" s="23">
        <f t="shared" si="43"/>
        <v>100</v>
      </c>
      <c r="BS62" s="23">
        <f t="shared" si="43"/>
        <v>100</v>
      </c>
      <c r="BT62" s="23">
        <f t="shared" si="43"/>
        <v>100</v>
      </c>
      <c r="BU62" s="23">
        <f t="shared" si="43"/>
        <v>100</v>
      </c>
      <c r="BV62" s="23">
        <f t="shared" si="44"/>
        <v>200</v>
      </c>
      <c r="BW62" s="23">
        <f t="shared" si="44"/>
        <v>200</v>
      </c>
      <c r="BX62" s="23">
        <f t="shared" si="44"/>
        <v>200</v>
      </c>
      <c r="BY62" s="23" t="e">
        <f t="shared" si="44"/>
        <v>#NUM!</v>
      </c>
      <c r="BZ62" s="23" t="e">
        <f t="shared" si="44"/>
        <v>#NUM!</v>
      </c>
      <c r="CA62" s="23" t="e">
        <f t="shared" si="44"/>
        <v>#NUM!</v>
      </c>
      <c r="CB62" s="23" t="e">
        <f t="shared" si="44"/>
        <v>#NUM!</v>
      </c>
      <c r="CC62" s="23" t="e">
        <f t="shared" si="27"/>
        <v>#NUM!</v>
      </c>
      <c r="CD62" s="23" t="e">
        <f t="shared" si="27"/>
        <v>#NUM!</v>
      </c>
      <c r="CE62" s="23" t="e">
        <f t="shared" si="27"/>
        <v>#NUM!</v>
      </c>
      <c r="CF62" s="23" t="e">
        <f t="shared" si="27"/>
        <v>#NUM!</v>
      </c>
      <c r="CG62" s="23" t="e">
        <f t="shared" si="27"/>
        <v>#NUM!</v>
      </c>
      <c r="CH62" s="23" t="e">
        <f t="shared" si="27"/>
        <v>#NUM!</v>
      </c>
      <c r="CI62" s="23" t="e">
        <f t="shared" si="27"/>
        <v>#NUM!</v>
      </c>
      <c r="CJ62" s="23" t="e">
        <f t="shared" si="27"/>
        <v>#NUM!</v>
      </c>
      <c r="CK62" s="23" t="e">
        <f t="shared" si="27"/>
        <v>#NUM!</v>
      </c>
      <c r="CL62" s="23" t="e">
        <f t="shared" si="27"/>
        <v>#NUM!</v>
      </c>
      <c r="CM62" s="23" t="e">
        <f t="shared" si="27"/>
        <v>#NUM!</v>
      </c>
      <c r="CN62" s="23" t="e">
        <f t="shared" si="27"/>
        <v>#NUM!</v>
      </c>
      <c r="CO62" s="23" t="e">
        <f t="shared" si="27"/>
        <v>#NUM!</v>
      </c>
      <c r="CP62" s="23">
        <f t="shared" si="28"/>
        <v>10878.830000000002</v>
      </c>
      <c r="CQ62" s="67">
        <f t="shared" si="37"/>
        <v>0</v>
      </c>
      <c r="CR62" s="67">
        <v>0.85</v>
      </c>
      <c r="CS62" s="80">
        <f t="shared" si="33"/>
        <v>11392.557988488505</v>
      </c>
      <c r="CT62" s="81">
        <f t="shared" si="29"/>
        <v>9683.6742902152291</v>
      </c>
      <c r="CU62" s="23">
        <f t="shared" si="30"/>
        <v>13296.830000000004</v>
      </c>
      <c r="CV62" s="67">
        <f t="shared" si="38"/>
        <v>-1.5270870890131424E-2</v>
      </c>
      <c r="CW62" s="80">
        <f t="shared" si="39"/>
        <v>13924.742535555171</v>
      </c>
      <c r="CX62" s="81">
        <f t="shared" si="34"/>
        <v>11836.031155221895</v>
      </c>
      <c r="CY62" s="65">
        <f t="shared" si="31"/>
        <v>7367.0347759993565</v>
      </c>
      <c r="CZ62" s="65">
        <f>'Sensitivity - Population'!S24 + 'Sensitivity - GDP'!P25 +'Sensitivity - GDP'!P87</f>
        <v>66855.557876498031</v>
      </c>
      <c r="DA62" s="65">
        <f t="shared" si="35"/>
        <v>7631.9129996002312</v>
      </c>
      <c r="DB62" s="65">
        <f>'Sensitivity - Population'!E24+'Sensitivity - GDP'!D25+'Sensitivity - GDP'!D87</f>
        <v>61791.23331967408</v>
      </c>
      <c r="DC62" s="65">
        <f t="shared" si="36"/>
        <v>7053.793757953662</v>
      </c>
      <c r="EQ62" s="92"/>
    </row>
    <row r="63" spans="2:147" x14ac:dyDescent="0.35">
      <c r="B63" s="90"/>
      <c r="C63" s="23">
        <v>49</v>
      </c>
      <c r="D63" s="23" t="s">
        <v>226</v>
      </c>
      <c r="E63" s="23" t="s">
        <v>227</v>
      </c>
      <c r="F63" s="23" t="s">
        <v>228</v>
      </c>
      <c r="G63" s="23">
        <v>40</v>
      </c>
      <c r="H63" s="23">
        <f>SUM(G63)</f>
        <v>40</v>
      </c>
      <c r="I63" s="82">
        <v>44347</v>
      </c>
      <c r="J63" s="83">
        <f t="shared" ca="1" si="10"/>
        <v>0.70958904109589038</v>
      </c>
      <c r="K63" s="23"/>
      <c r="L63" s="92"/>
      <c r="N63" s="90"/>
      <c r="O63" s="79">
        <v>48944</v>
      </c>
      <c r="P63" s="23">
        <f t="shared" si="32"/>
        <v>392.5</v>
      </c>
      <c r="Q63" s="23">
        <f t="shared" si="32"/>
        <v>392.5</v>
      </c>
      <c r="R63" s="23">
        <f t="shared" si="32"/>
        <v>403.8</v>
      </c>
      <c r="S63" s="23">
        <f t="shared" si="32"/>
        <v>400</v>
      </c>
      <c r="T63" s="23">
        <f t="shared" si="32"/>
        <v>400</v>
      </c>
      <c r="U63" s="23">
        <f t="shared" si="32"/>
        <v>250</v>
      </c>
      <c r="V63" s="23">
        <f t="shared" si="32"/>
        <v>250</v>
      </c>
      <c r="W63" s="23">
        <f t="shared" si="32"/>
        <v>420</v>
      </c>
      <c r="X63" s="23">
        <f t="shared" si="32"/>
        <v>420</v>
      </c>
      <c r="Y63" s="23">
        <f t="shared" si="32"/>
        <v>47.8</v>
      </c>
      <c r="Z63" s="23">
        <f t="shared" si="32"/>
        <v>132</v>
      </c>
      <c r="AA63" s="23">
        <f t="shared" si="32"/>
        <v>367.5</v>
      </c>
      <c r="AB63" s="23">
        <f t="shared" si="32"/>
        <v>367.5</v>
      </c>
      <c r="AC63" s="23">
        <f t="shared" si="32"/>
        <v>367.5</v>
      </c>
      <c r="AD63" s="23">
        <f t="shared" si="32"/>
        <v>367.5</v>
      </c>
      <c r="AE63" s="23">
        <f t="shared" si="32"/>
        <v>405.9</v>
      </c>
      <c r="AF63" s="23">
        <f t="shared" si="45"/>
        <v>60</v>
      </c>
      <c r="AG63" s="23">
        <f t="shared" si="45"/>
        <v>67.8</v>
      </c>
      <c r="AH63" s="23">
        <f t="shared" si="45"/>
        <v>55</v>
      </c>
      <c r="AI63" s="23">
        <f t="shared" si="45"/>
        <v>0</v>
      </c>
      <c r="AJ63" s="23">
        <f t="shared" si="45"/>
        <v>0</v>
      </c>
      <c r="AK63" s="23">
        <f t="shared" si="45"/>
        <v>365</v>
      </c>
      <c r="AL63" s="23">
        <f t="shared" si="45"/>
        <v>365</v>
      </c>
      <c r="AM63" s="23">
        <f t="shared" si="45"/>
        <v>365</v>
      </c>
      <c r="AN63" s="23">
        <f t="shared" si="45"/>
        <v>431</v>
      </c>
      <c r="AO63" s="23">
        <f t="shared" si="45"/>
        <v>431</v>
      </c>
      <c r="AP63" s="23">
        <f t="shared" si="45"/>
        <v>110</v>
      </c>
      <c r="AQ63" s="23">
        <f t="shared" si="45"/>
        <v>110</v>
      </c>
      <c r="AR63" s="23">
        <f t="shared" si="45"/>
        <v>47</v>
      </c>
      <c r="AS63" s="23">
        <f t="shared" si="45"/>
        <v>47</v>
      </c>
      <c r="AT63" s="23">
        <f t="shared" si="45"/>
        <v>250</v>
      </c>
      <c r="AU63" s="23">
        <f t="shared" si="45"/>
        <v>250</v>
      </c>
      <c r="AV63" s="23">
        <f t="shared" si="42"/>
        <v>250</v>
      </c>
      <c r="AW63" s="23">
        <f t="shared" si="42"/>
        <v>0</v>
      </c>
      <c r="AX63" s="23">
        <f t="shared" si="42"/>
        <v>0</v>
      </c>
      <c r="AY63" s="23">
        <f t="shared" si="42"/>
        <v>368</v>
      </c>
      <c r="AZ63" s="23">
        <f t="shared" si="42"/>
        <v>364</v>
      </c>
      <c r="BA63" s="23">
        <f t="shared" si="42"/>
        <v>370</v>
      </c>
      <c r="BB63" s="23">
        <f t="shared" si="42"/>
        <v>370</v>
      </c>
      <c r="BC63" s="23">
        <f t="shared" si="42"/>
        <v>22</v>
      </c>
      <c r="BD63" s="23">
        <f t="shared" si="42"/>
        <v>395.7</v>
      </c>
      <c r="BE63" s="23">
        <f t="shared" si="42"/>
        <v>101</v>
      </c>
      <c r="BF63" s="23">
        <f t="shared" si="43"/>
        <v>32.5</v>
      </c>
      <c r="BG63" s="23">
        <f t="shared" si="43"/>
        <v>37.5</v>
      </c>
      <c r="BH63" s="23">
        <f t="shared" si="43"/>
        <v>37.5</v>
      </c>
      <c r="BI63" s="23">
        <f t="shared" si="43"/>
        <v>1.95</v>
      </c>
      <c r="BJ63" s="23">
        <f t="shared" si="43"/>
        <v>68.19</v>
      </c>
      <c r="BK63" s="23">
        <f t="shared" si="43"/>
        <v>68.19</v>
      </c>
      <c r="BL63" s="23">
        <f t="shared" si="43"/>
        <v>40</v>
      </c>
      <c r="BM63" s="23">
        <f t="shared" si="43"/>
        <v>14</v>
      </c>
      <c r="BN63" s="23">
        <f t="shared" si="43"/>
        <v>439.33333333333331</v>
      </c>
      <c r="BO63" s="23">
        <f t="shared" si="43"/>
        <v>439.33333333333331</v>
      </c>
      <c r="BP63" s="23">
        <f t="shared" si="43"/>
        <v>439.33333333333331</v>
      </c>
      <c r="BQ63" s="23">
        <f t="shared" si="43"/>
        <v>100</v>
      </c>
      <c r="BR63" s="23">
        <f t="shared" si="43"/>
        <v>100</v>
      </c>
      <c r="BS63" s="23">
        <f t="shared" si="43"/>
        <v>100</v>
      </c>
      <c r="BT63" s="23">
        <f t="shared" si="43"/>
        <v>100</v>
      </c>
      <c r="BU63" s="23">
        <f t="shared" si="43"/>
        <v>100</v>
      </c>
      <c r="BV63" s="23">
        <f t="shared" si="44"/>
        <v>200</v>
      </c>
      <c r="BW63" s="23">
        <f t="shared" si="44"/>
        <v>200</v>
      </c>
      <c r="BX63" s="23">
        <f t="shared" si="44"/>
        <v>200</v>
      </c>
      <c r="BY63" s="23">
        <f t="shared" si="44"/>
        <v>200</v>
      </c>
      <c r="BZ63" s="23" t="e">
        <f t="shared" si="44"/>
        <v>#NUM!</v>
      </c>
      <c r="CA63" s="23" t="e">
        <f t="shared" si="44"/>
        <v>#NUM!</v>
      </c>
      <c r="CB63" s="23" t="e">
        <f t="shared" si="44"/>
        <v>#NUM!</v>
      </c>
      <c r="CC63" s="23" t="e">
        <f t="shared" si="27"/>
        <v>#NUM!</v>
      </c>
      <c r="CD63" s="23" t="e">
        <f t="shared" si="27"/>
        <v>#NUM!</v>
      </c>
      <c r="CE63" s="23" t="e">
        <f t="shared" si="27"/>
        <v>#NUM!</v>
      </c>
      <c r="CF63" s="23" t="e">
        <f t="shared" si="27"/>
        <v>#NUM!</v>
      </c>
      <c r="CG63" s="23" t="e">
        <f t="shared" si="27"/>
        <v>#NUM!</v>
      </c>
      <c r="CH63" s="23" t="e">
        <f t="shared" si="27"/>
        <v>#NUM!</v>
      </c>
      <c r="CI63" s="23" t="e">
        <f t="shared" si="27"/>
        <v>#NUM!</v>
      </c>
      <c r="CJ63" s="23" t="e">
        <f t="shared" si="27"/>
        <v>#NUM!</v>
      </c>
      <c r="CK63" s="23" t="e">
        <f t="shared" si="27"/>
        <v>#NUM!</v>
      </c>
      <c r="CL63" s="23" t="e">
        <f t="shared" si="27"/>
        <v>#NUM!</v>
      </c>
      <c r="CM63" s="23" t="e">
        <f t="shared" si="27"/>
        <v>#NUM!</v>
      </c>
      <c r="CN63" s="23" t="e">
        <f t="shared" si="27"/>
        <v>#NUM!</v>
      </c>
      <c r="CO63" s="23" t="e">
        <f t="shared" si="27"/>
        <v>#NUM!</v>
      </c>
      <c r="CP63" s="23">
        <f t="shared" si="28"/>
        <v>10878.830000000002</v>
      </c>
      <c r="CQ63" s="67">
        <f t="shared" si="37"/>
        <v>0</v>
      </c>
      <c r="CR63" s="67">
        <v>0.85</v>
      </c>
      <c r="CS63" s="80">
        <f t="shared" si="33"/>
        <v>11392.557988488505</v>
      </c>
      <c r="CT63" s="81">
        <f t="shared" si="29"/>
        <v>9683.6742902152291</v>
      </c>
      <c r="CU63" s="23">
        <f t="shared" si="30"/>
        <v>13496.830000000004</v>
      </c>
      <c r="CV63" s="67">
        <f t="shared" si="38"/>
        <v>-1.5041178987773773E-2</v>
      </c>
      <c r="CW63" s="80">
        <f t="shared" si="39"/>
        <v>14134.187080391124</v>
      </c>
      <c r="CX63" s="81">
        <f t="shared" si="34"/>
        <v>12014.059018332455</v>
      </c>
      <c r="CY63" s="65">
        <f t="shared" si="31"/>
        <v>7484.5071058082076</v>
      </c>
      <c r="CZ63" s="65">
        <f>'Sensitivity - Population'!S25 + 'Sensitivity - GDP'!P26 +'Sensitivity - GDP'!P88</f>
        <v>67972.875834399776</v>
      </c>
      <c r="DA63" s="65">
        <f t="shared" si="35"/>
        <v>7759.4607116894722</v>
      </c>
      <c r="DB63" s="65">
        <f>'Sensitivity - Population'!E25+'Sensitivity - GDP'!D26+'Sensitivity - GDP'!D88</f>
        <v>62788.777985039022</v>
      </c>
      <c r="DC63" s="65">
        <f t="shared" si="36"/>
        <v>7167.6687197533129</v>
      </c>
      <c r="EQ63" s="92"/>
    </row>
    <row r="64" spans="2:147" x14ac:dyDescent="0.35">
      <c r="B64" s="90"/>
      <c r="C64" s="23">
        <v>50</v>
      </c>
      <c r="D64" s="23" t="s">
        <v>229</v>
      </c>
      <c r="E64" s="23" t="s">
        <v>227</v>
      </c>
      <c r="F64" s="23" t="s">
        <v>230</v>
      </c>
      <c r="G64" s="23">
        <v>14</v>
      </c>
      <c r="H64" s="23">
        <f>SUM(G64)</f>
        <v>14</v>
      </c>
      <c r="I64" s="82">
        <v>44530</v>
      </c>
      <c r="J64" s="83">
        <f t="shared" ca="1" si="10"/>
        <v>0.20821917808219179</v>
      </c>
      <c r="K64" s="23"/>
      <c r="L64" s="92"/>
      <c r="N64" s="90"/>
      <c r="O64" s="79">
        <v>49309</v>
      </c>
      <c r="P64" s="23">
        <f t="shared" si="32"/>
        <v>392.5</v>
      </c>
      <c r="Q64" s="23">
        <f t="shared" si="32"/>
        <v>392.5</v>
      </c>
      <c r="R64" s="23">
        <f t="shared" si="32"/>
        <v>403.8</v>
      </c>
      <c r="S64" s="23">
        <f t="shared" si="32"/>
        <v>400</v>
      </c>
      <c r="T64" s="23">
        <f t="shared" si="32"/>
        <v>400</v>
      </c>
      <c r="U64" s="23">
        <f t="shared" si="32"/>
        <v>250</v>
      </c>
      <c r="V64" s="23">
        <f t="shared" si="32"/>
        <v>250</v>
      </c>
      <c r="W64" s="23">
        <f t="shared" si="32"/>
        <v>420</v>
      </c>
      <c r="X64" s="23">
        <f t="shared" si="32"/>
        <v>420</v>
      </c>
      <c r="Y64" s="23">
        <f t="shared" si="32"/>
        <v>47.8</v>
      </c>
      <c r="Z64" s="23">
        <f t="shared" si="32"/>
        <v>132</v>
      </c>
      <c r="AA64" s="23">
        <f t="shared" si="32"/>
        <v>367.5</v>
      </c>
      <c r="AB64" s="23">
        <f t="shared" si="32"/>
        <v>367.5</v>
      </c>
      <c r="AC64" s="23">
        <f t="shared" si="32"/>
        <v>367.5</v>
      </c>
      <c r="AD64" s="23">
        <f t="shared" si="32"/>
        <v>367.5</v>
      </c>
      <c r="AE64" s="23">
        <f t="shared" si="32"/>
        <v>405.9</v>
      </c>
      <c r="AF64" s="23">
        <f t="shared" si="45"/>
        <v>60</v>
      </c>
      <c r="AG64" s="23">
        <f t="shared" si="45"/>
        <v>67.8</v>
      </c>
      <c r="AH64" s="23">
        <f t="shared" si="45"/>
        <v>55</v>
      </c>
      <c r="AI64" s="23">
        <f t="shared" si="45"/>
        <v>0</v>
      </c>
      <c r="AJ64" s="23">
        <f t="shared" si="45"/>
        <v>0</v>
      </c>
      <c r="AK64" s="23">
        <f t="shared" si="45"/>
        <v>365</v>
      </c>
      <c r="AL64" s="23">
        <f t="shared" si="45"/>
        <v>365</v>
      </c>
      <c r="AM64" s="23">
        <f t="shared" si="45"/>
        <v>365</v>
      </c>
      <c r="AN64" s="23">
        <f t="shared" si="45"/>
        <v>431</v>
      </c>
      <c r="AO64" s="23">
        <f t="shared" si="45"/>
        <v>431</v>
      </c>
      <c r="AP64" s="23">
        <f t="shared" si="45"/>
        <v>110</v>
      </c>
      <c r="AQ64" s="23">
        <f t="shared" si="45"/>
        <v>110</v>
      </c>
      <c r="AR64" s="23">
        <f t="shared" si="45"/>
        <v>47</v>
      </c>
      <c r="AS64" s="23">
        <f t="shared" si="45"/>
        <v>47</v>
      </c>
      <c r="AT64" s="23">
        <f t="shared" si="45"/>
        <v>250</v>
      </c>
      <c r="AU64" s="23">
        <f t="shared" si="45"/>
        <v>250</v>
      </c>
      <c r="AV64" s="23">
        <f t="shared" si="42"/>
        <v>250</v>
      </c>
      <c r="AW64" s="23">
        <f t="shared" si="42"/>
        <v>0</v>
      </c>
      <c r="AX64" s="23">
        <f t="shared" si="42"/>
        <v>0</v>
      </c>
      <c r="AY64" s="23">
        <f t="shared" si="42"/>
        <v>368</v>
      </c>
      <c r="AZ64" s="23">
        <f t="shared" si="42"/>
        <v>364</v>
      </c>
      <c r="BA64" s="23">
        <f t="shared" si="42"/>
        <v>370</v>
      </c>
      <c r="BB64" s="23">
        <f t="shared" si="42"/>
        <v>370</v>
      </c>
      <c r="BC64" s="23">
        <f t="shared" si="42"/>
        <v>22</v>
      </c>
      <c r="BD64" s="23">
        <f t="shared" si="42"/>
        <v>395.7</v>
      </c>
      <c r="BE64" s="23">
        <f t="shared" si="42"/>
        <v>101</v>
      </c>
      <c r="BF64" s="23">
        <f t="shared" si="43"/>
        <v>32.5</v>
      </c>
      <c r="BG64" s="23">
        <f t="shared" si="43"/>
        <v>37.5</v>
      </c>
      <c r="BH64" s="23">
        <f t="shared" si="43"/>
        <v>37.5</v>
      </c>
      <c r="BI64" s="23">
        <f t="shared" si="43"/>
        <v>1.95</v>
      </c>
      <c r="BJ64" s="23">
        <f t="shared" si="43"/>
        <v>68.19</v>
      </c>
      <c r="BK64" s="23">
        <f t="shared" si="43"/>
        <v>68.19</v>
      </c>
      <c r="BL64" s="23">
        <f t="shared" si="43"/>
        <v>40</v>
      </c>
      <c r="BM64" s="23">
        <f t="shared" si="43"/>
        <v>14</v>
      </c>
      <c r="BN64" s="23">
        <f t="shared" si="43"/>
        <v>439.33333333333331</v>
      </c>
      <c r="BO64" s="23">
        <f t="shared" si="43"/>
        <v>439.33333333333331</v>
      </c>
      <c r="BP64" s="23">
        <f t="shared" si="43"/>
        <v>439.33333333333331</v>
      </c>
      <c r="BQ64" s="23">
        <f t="shared" si="43"/>
        <v>100</v>
      </c>
      <c r="BR64" s="23">
        <f t="shared" si="43"/>
        <v>100</v>
      </c>
      <c r="BS64" s="23">
        <f t="shared" si="43"/>
        <v>100</v>
      </c>
      <c r="BT64" s="23">
        <f t="shared" si="43"/>
        <v>100</v>
      </c>
      <c r="BU64" s="23">
        <f t="shared" si="43"/>
        <v>100</v>
      </c>
      <c r="BV64" s="23">
        <f t="shared" si="44"/>
        <v>200</v>
      </c>
      <c r="BW64" s="23">
        <f t="shared" si="44"/>
        <v>200</v>
      </c>
      <c r="BX64" s="23">
        <f t="shared" si="44"/>
        <v>200</v>
      </c>
      <c r="BY64" s="23">
        <f t="shared" si="44"/>
        <v>200</v>
      </c>
      <c r="BZ64" s="23">
        <f t="shared" si="44"/>
        <v>200</v>
      </c>
      <c r="CA64" s="23" t="e">
        <f t="shared" si="44"/>
        <v>#NUM!</v>
      </c>
      <c r="CB64" s="23" t="e">
        <f t="shared" si="44"/>
        <v>#NUM!</v>
      </c>
      <c r="CC64" s="23" t="e">
        <f t="shared" si="27"/>
        <v>#NUM!</v>
      </c>
      <c r="CD64" s="23" t="e">
        <f t="shared" si="27"/>
        <v>#NUM!</v>
      </c>
      <c r="CE64" s="23" t="e">
        <f t="shared" si="27"/>
        <v>#NUM!</v>
      </c>
      <c r="CF64" s="23" t="e">
        <f t="shared" si="27"/>
        <v>#NUM!</v>
      </c>
      <c r="CG64" s="23" t="e">
        <f t="shared" si="27"/>
        <v>#NUM!</v>
      </c>
      <c r="CH64" s="23" t="e">
        <f t="shared" si="27"/>
        <v>#NUM!</v>
      </c>
      <c r="CI64" s="23" t="e">
        <f t="shared" si="27"/>
        <v>#NUM!</v>
      </c>
      <c r="CJ64" s="23" t="e">
        <f t="shared" si="27"/>
        <v>#NUM!</v>
      </c>
      <c r="CK64" s="23" t="e">
        <f t="shared" si="27"/>
        <v>#NUM!</v>
      </c>
      <c r="CL64" s="23" t="e">
        <f t="shared" si="27"/>
        <v>#NUM!</v>
      </c>
      <c r="CM64" s="23" t="e">
        <f t="shared" si="27"/>
        <v>#NUM!</v>
      </c>
      <c r="CN64" s="23" t="e">
        <f t="shared" si="27"/>
        <v>#NUM!</v>
      </c>
      <c r="CO64" s="23" t="e">
        <f t="shared" si="27"/>
        <v>#NUM!</v>
      </c>
      <c r="CP64" s="23">
        <f t="shared" si="28"/>
        <v>10878.830000000002</v>
      </c>
      <c r="CQ64" s="67">
        <f t="shared" si="37"/>
        <v>0</v>
      </c>
      <c r="CR64" s="67">
        <v>0.85</v>
      </c>
      <c r="CS64" s="80">
        <f t="shared" si="33"/>
        <v>11392.557988488505</v>
      </c>
      <c r="CT64" s="81">
        <f t="shared" si="29"/>
        <v>9683.6742902152291</v>
      </c>
      <c r="CU64" s="23">
        <f t="shared" si="30"/>
        <v>13696.830000000004</v>
      </c>
      <c r="CV64" s="67">
        <f t="shared" si="38"/>
        <v>-1.4818294369863141E-2</v>
      </c>
      <c r="CW64" s="80">
        <f t="shared" si="39"/>
        <v>14343.631625227077</v>
      </c>
      <c r="CX64" s="81">
        <f t="shared" si="34"/>
        <v>12192.086881443016</v>
      </c>
      <c r="CY64" s="65">
        <f t="shared" si="31"/>
        <v>7601.8709351536054</v>
      </c>
      <c r="CZ64" s="65">
        <f>'Sensitivity - Population'!S26 + 'Sensitivity - GDP'!P27 +'Sensitivity - GDP'!P89</f>
        <v>69089.255139900342</v>
      </c>
      <c r="DA64" s="65">
        <f t="shared" si="35"/>
        <v>7886.9012716781208</v>
      </c>
      <c r="DB64" s="65">
        <f>'Sensitivity - Population'!E26+'Sensitivity - GDP'!D27+'Sensitivity - GDP'!D89</f>
        <v>63785.397021921162</v>
      </c>
      <c r="DC64" s="65">
        <f t="shared" si="36"/>
        <v>7281.4380162010466</v>
      </c>
      <c r="EQ64" s="92"/>
    </row>
    <row r="65" spans="2:147" x14ac:dyDescent="0.35">
      <c r="B65" s="90"/>
      <c r="C65" s="23">
        <v>51</v>
      </c>
      <c r="D65" s="85" t="s">
        <v>231</v>
      </c>
      <c r="E65" s="23" t="s">
        <v>227</v>
      </c>
      <c r="F65" s="23" t="s">
        <v>232</v>
      </c>
      <c r="G65" s="65">
        <f>1318/3</f>
        <v>439.33333333333331</v>
      </c>
      <c r="H65" s="23"/>
      <c r="I65" s="82">
        <v>44926</v>
      </c>
      <c r="J65" s="83">
        <f t="shared" ca="1" si="10"/>
        <v>-0.87671232876712324</v>
      </c>
      <c r="K65" s="23" t="s">
        <v>233</v>
      </c>
      <c r="L65" s="92"/>
      <c r="N65" s="90"/>
      <c r="O65" s="79">
        <v>49674</v>
      </c>
      <c r="P65" s="23">
        <f t="shared" si="32"/>
        <v>392.5</v>
      </c>
      <c r="Q65" s="23">
        <f t="shared" si="32"/>
        <v>392.5</v>
      </c>
      <c r="R65" s="23">
        <f t="shared" si="32"/>
        <v>403.8</v>
      </c>
      <c r="S65" s="23">
        <f t="shared" si="32"/>
        <v>400</v>
      </c>
      <c r="T65" s="23">
        <f t="shared" si="32"/>
        <v>400</v>
      </c>
      <c r="U65" s="23">
        <f t="shared" si="32"/>
        <v>250</v>
      </c>
      <c r="V65" s="23">
        <f t="shared" si="32"/>
        <v>250</v>
      </c>
      <c r="W65" s="23">
        <f t="shared" si="32"/>
        <v>420</v>
      </c>
      <c r="X65" s="23">
        <f t="shared" si="32"/>
        <v>420</v>
      </c>
      <c r="Y65" s="23">
        <f t="shared" si="32"/>
        <v>47.8</v>
      </c>
      <c r="Z65" s="23">
        <f t="shared" si="32"/>
        <v>132</v>
      </c>
      <c r="AA65" s="23">
        <f t="shared" si="32"/>
        <v>367.5</v>
      </c>
      <c r="AB65" s="23">
        <f t="shared" si="32"/>
        <v>367.5</v>
      </c>
      <c r="AC65" s="23">
        <f t="shared" si="32"/>
        <v>367.5</v>
      </c>
      <c r="AD65" s="23">
        <f t="shared" si="32"/>
        <v>367.5</v>
      </c>
      <c r="AE65" s="23">
        <f t="shared" si="32"/>
        <v>405.9</v>
      </c>
      <c r="AF65" s="23">
        <f t="shared" si="45"/>
        <v>60</v>
      </c>
      <c r="AG65" s="23">
        <f t="shared" si="45"/>
        <v>67.8</v>
      </c>
      <c r="AH65" s="23">
        <f t="shared" si="45"/>
        <v>55</v>
      </c>
      <c r="AI65" s="23">
        <f t="shared" si="45"/>
        <v>0</v>
      </c>
      <c r="AJ65" s="23">
        <f t="shared" si="45"/>
        <v>0</v>
      </c>
      <c r="AK65" s="23">
        <f t="shared" si="45"/>
        <v>365</v>
      </c>
      <c r="AL65" s="23">
        <f t="shared" si="45"/>
        <v>365</v>
      </c>
      <c r="AM65" s="23">
        <f t="shared" si="45"/>
        <v>365</v>
      </c>
      <c r="AN65" s="23">
        <f t="shared" si="45"/>
        <v>431</v>
      </c>
      <c r="AO65" s="23">
        <f t="shared" si="45"/>
        <v>431</v>
      </c>
      <c r="AP65" s="23">
        <f t="shared" si="45"/>
        <v>110</v>
      </c>
      <c r="AQ65" s="23">
        <f t="shared" si="45"/>
        <v>110</v>
      </c>
      <c r="AR65" s="23">
        <f t="shared" si="45"/>
        <v>47</v>
      </c>
      <c r="AS65" s="23">
        <f t="shared" si="45"/>
        <v>47</v>
      </c>
      <c r="AT65" s="23">
        <f t="shared" si="45"/>
        <v>250</v>
      </c>
      <c r="AU65" s="23">
        <f t="shared" si="45"/>
        <v>250</v>
      </c>
      <c r="AV65" s="23">
        <f t="shared" si="42"/>
        <v>250</v>
      </c>
      <c r="AW65" s="23">
        <f t="shared" si="42"/>
        <v>0</v>
      </c>
      <c r="AX65" s="23">
        <f t="shared" si="42"/>
        <v>0</v>
      </c>
      <c r="AY65" s="23">
        <f t="shared" si="42"/>
        <v>368</v>
      </c>
      <c r="AZ65" s="23">
        <f t="shared" si="42"/>
        <v>364</v>
      </c>
      <c r="BA65" s="23">
        <f t="shared" si="42"/>
        <v>370</v>
      </c>
      <c r="BB65" s="23">
        <f t="shared" si="42"/>
        <v>370</v>
      </c>
      <c r="BC65" s="23">
        <f t="shared" si="42"/>
        <v>22</v>
      </c>
      <c r="BD65" s="23">
        <f t="shared" si="42"/>
        <v>395.7</v>
      </c>
      <c r="BE65" s="23">
        <f t="shared" si="42"/>
        <v>101</v>
      </c>
      <c r="BF65" s="23">
        <f t="shared" si="43"/>
        <v>32.5</v>
      </c>
      <c r="BG65" s="23">
        <f t="shared" si="43"/>
        <v>37.5</v>
      </c>
      <c r="BH65" s="23">
        <f t="shared" si="43"/>
        <v>37.5</v>
      </c>
      <c r="BI65" s="23">
        <f t="shared" si="43"/>
        <v>1.95</v>
      </c>
      <c r="BJ65" s="23">
        <f t="shared" si="43"/>
        <v>68.19</v>
      </c>
      <c r="BK65" s="23">
        <f t="shared" si="43"/>
        <v>68.19</v>
      </c>
      <c r="BL65" s="23">
        <f t="shared" si="43"/>
        <v>40</v>
      </c>
      <c r="BM65" s="23">
        <f t="shared" si="43"/>
        <v>14</v>
      </c>
      <c r="BN65" s="23">
        <f t="shared" si="43"/>
        <v>439.33333333333331</v>
      </c>
      <c r="BO65" s="23">
        <f t="shared" si="43"/>
        <v>439.33333333333331</v>
      </c>
      <c r="BP65" s="23">
        <f t="shared" si="43"/>
        <v>439.33333333333331</v>
      </c>
      <c r="BQ65" s="23">
        <f t="shared" si="43"/>
        <v>100</v>
      </c>
      <c r="BR65" s="23">
        <f t="shared" si="43"/>
        <v>100</v>
      </c>
      <c r="BS65" s="23">
        <f t="shared" si="43"/>
        <v>100</v>
      </c>
      <c r="BT65" s="23">
        <f t="shared" si="43"/>
        <v>100</v>
      </c>
      <c r="BU65" s="23">
        <f t="shared" si="43"/>
        <v>100</v>
      </c>
      <c r="BV65" s="23">
        <f t="shared" si="44"/>
        <v>200</v>
      </c>
      <c r="BW65" s="23">
        <f t="shared" si="44"/>
        <v>200</v>
      </c>
      <c r="BX65" s="23">
        <f t="shared" si="44"/>
        <v>200</v>
      </c>
      <c r="BY65" s="23">
        <f t="shared" si="44"/>
        <v>200</v>
      </c>
      <c r="BZ65" s="23">
        <f t="shared" si="44"/>
        <v>200</v>
      </c>
      <c r="CA65" s="23">
        <f t="shared" si="44"/>
        <v>200</v>
      </c>
      <c r="CB65" s="23" t="e">
        <f t="shared" si="44"/>
        <v>#NUM!</v>
      </c>
      <c r="CC65" s="23" t="e">
        <f t="shared" si="27"/>
        <v>#NUM!</v>
      </c>
      <c r="CD65" s="23" t="e">
        <f t="shared" si="27"/>
        <v>#NUM!</v>
      </c>
      <c r="CE65" s="23" t="e">
        <f t="shared" si="27"/>
        <v>#NUM!</v>
      </c>
      <c r="CF65" s="23" t="e">
        <f t="shared" si="27"/>
        <v>#NUM!</v>
      </c>
      <c r="CG65" s="23" t="e">
        <f t="shared" si="27"/>
        <v>#NUM!</v>
      </c>
      <c r="CH65" s="23" t="e">
        <f t="shared" si="27"/>
        <v>#NUM!</v>
      </c>
      <c r="CI65" s="23" t="e">
        <f t="shared" si="27"/>
        <v>#NUM!</v>
      </c>
      <c r="CJ65" s="23" t="e">
        <f t="shared" si="27"/>
        <v>#NUM!</v>
      </c>
      <c r="CK65" s="23" t="e">
        <f t="shared" si="27"/>
        <v>#NUM!</v>
      </c>
      <c r="CL65" s="23" t="e">
        <f t="shared" si="27"/>
        <v>#NUM!</v>
      </c>
      <c r="CM65" s="23" t="e">
        <f t="shared" si="27"/>
        <v>#NUM!</v>
      </c>
      <c r="CN65" s="23" t="e">
        <f t="shared" si="27"/>
        <v>#NUM!</v>
      </c>
      <c r="CO65" s="23" t="e">
        <f t="shared" si="27"/>
        <v>#NUM!</v>
      </c>
      <c r="CP65" s="23">
        <f t="shared" si="28"/>
        <v>10878.830000000002</v>
      </c>
      <c r="CQ65" s="67">
        <f t="shared" si="37"/>
        <v>0</v>
      </c>
      <c r="CR65" s="67">
        <v>0.85</v>
      </c>
      <c r="CS65" s="80">
        <f t="shared" si="33"/>
        <v>11392.557988488505</v>
      </c>
      <c r="CT65" s="81">
        <f t="shared" si="29"/>
        <v>9683.6742902152291</v>
      </c>
      <c r="CU65" s="23">
        <f t="shared" si="30"/>
        <v>13896.830000000004</v>
      </c>
      <c r="CV65" s="67">
        <f t="shared" si="38"/>
        <v>-1.4601918838154518E-2</v>
      </c>
      <c r="CW65" s="80">
        <f t="shared" si="39"/>
        <v>14553.07617006303</v>
      </c>
      <c r="CX65" s="81">
        <f t="shared" si="34"/>
        <v>12370.114744553575</v>
      </c>
      <c r="CY65" s="65">
        <f t="shared" si="31"/>
        <v>7719.1240067857725</v>
      </c>
      <c r="CZ65" s="65">
        <f>'Sensitivity - Population'!S27 + 'Sensitivity - GDP'!P28 +'Sensitivity - GDP'!P90</f>
        <v>70204.675427164533</v>
      </c>
      <c r="DA65" s="65">
        <f t="shared" si="35"/>
        <v>8014.2323546991483</v>
      </c>
      <c r="DB65" s="65">
        <f>'Sensitivity - Population'!E27+'Sensitivity - GDP'!D28+'Sensitivity - GDP'!D90</f>
        <v>64781.070347063753</v>
      </c>
      <c r="DC65" s="65">
        <f t="shared" si="36"/>
        <v>7395.0993546876425</v>
      </c>
      <c r="EQ65" s="92"/>
    </row>
    <row r="66" spans="2:147" x14ac:dyDescent="0.35">
      <c r="B66" s="90"/>
      <c r="C66" s="23">
        <v>52</v>
      </c>
      <c r="D66" s="85" t="s">
        <v>234</v>
      </c>
      <c r="E66" s="23" t="s">
        <v>227</v>
      </c>
      <c r="F66" s="23" t="s">
        <v>232</v>
      </c>
      <c r="G66" s="65">
        <f>1318/3</f>
        <v>439.33333333333331</v>
      </c>
      <c r="H66" s="65"/>
      <c r="I66" s="82">
        <v>45291</v>
      </c>
      <c r="J66" s="83">
        <f t="shared" ca="1" si="10"/>
        <v>-1.8767123287671232</v>
      </c>
      <c r="K66" s="23" t="s">
        <v>233</v>
      </c>
      <c r="L66" s="92"/>
      <c r="N66" s="90"/>
      <c r="O66" s="79">
        <v>50040</v>
      </c>
      <c r="P66" s="23">
        <f t="shared" si="32"/>
        <v>0</v>
      </c>
      <c r="Q66" s="23">
        <f t="shared" si="32"/>
        <v>0</v>
      </c>
      <c r="R66" s="23">
        <f t="shared" si="32"/>
        <v>403.8</v>
      </c>
      <c r="S66" s="23">
        <f t="shared" si="32"/>
        <v>400</v>
      </c>
      <c r="T66" s="23">
        <f t="shared" si="32"/>
        <v>400</v>
      </c>
      <c r="U66" s="23">
        <f t="shared" si="32"/>
        <v>250</v>
      </c>
      <c r="V66" s="23">
        <f t="shared" si="32"/>
        <v>250</v>
      </c>
      <c r="W66" s="23">
        <f t="shared" si="32"/>
        <v>420</v>
      </c>
      <c r="X66" s="23">
        <f t="shared" si="32"/>
        <v>420</v>
      </c>
      <c r="Y66" s="23">
        <f t="shared" si="32"/>
        <v>47.8</v>
      </c>
      <c r="Z66" s="23">
        <f t="shared" si="32"/>
        <v>132</v>
      </c>
      <c r="AA66" s="23">
        <f t="shared" si="32"/>
        <v>0</v>
      </c>
      <c r="AB66" s="23">
        <f t="shared" si="32"/>
        <v>367.5</v>
      </c>
      <c r="AC66" s="23">
        <f t="shared" si="32"/>
        <v>367.5</v>
      </c>
      <c r="AD66" s="23">
        <f t="shared" si="32"/>
        <v>367.5</v>
      </c>
      <c r="AE66" s="23">
        <f t="shared" si="32"/>
        <v>405.9</v>
      </c>
      <c r="AF66" s="23">
        <f t="shared" si="45"/>
        <v>60</v>
      </c>
      <c r="AG66" s="23">
        <f t="shared" si="45"/>
        <v>67.8</v>
      </c>
      <c r="AH66" s="23">
        <f t="shared" si="45"/>
        <v>55</v>
      </c>
      <c r="AI66" s="23">
        <f t="shared" si="45"/>
        <v>0</v>
      </c>
      <c r="AJ66" s="23">
        <f t="shared" si="45"/>
        <v>0</v>
      </c>
      <c r="AK66" s="23">
        <f t="shared" si="45"/>
        <v>365</v>
      </c>
      <c r="AL66" s="23">
        <f t="shared" si="45"/>
        <v>365</v>
      </c>
      <c r="AM66" s="23">
        <f t="shared" si="45"/>
        <v>365</v>
      </c>
      <c r="AN66" s="23">
        <f t="shared" si="45"/>
        <v>431</v>
      </c>
      <c r="AO66" s="23">
        <f t="shared" si="45"/>
        <v>431</v>
      </c>
      <c r="AP66" s="23">
        <f t="shared" si="45"/>
        <v>110</v>
      </c>
      <c r="AQ66" s="23">
        <f t="shared" si="45"/>
        <v>110</v>
      </c>
      <c r="AR66" s="23">
        <f t="shared" si="45"/>
        <v>47</v>
      </c>
      <c r="AS66" s="23">
        <f t="shared" si="45"/>
        <v>47</v>
      </c>
      <c r="AT66" s="23">
        <f t="shared" si="45"/>
        <v>250</v>
      </c>
      <c r="AU66" s="23">
        <f t="shared" si="45"/>
        <v>250</v>
      </c>
      <c r="AV66" s="23">
        <f t="shared" si="42"/>
        <v>250</v>
      </c>
      <c r="AW66" s="23">
        <f t="shared" si="42"/>
        <v>0</v>
      </c>
      <c r="AX66" s="23">
        <f t="shared" si="42"/>
        <v>0</v>
      </c>
      <c r="AY66" s="23">
        <f t="shared" si="42"/>
        <v>368</v>
      </c>
      <c r="AZ66" s="23">
        <f t="shared" si="42"/>
        <v>364</v>
      </c>
      <c r="BA66" s="23">
        <f t="shared" si="42"/>
        <v>370</v>
      </c>
      <c r="BB66" s="23">
        <f t="shared" si="42"/>
        <v>370</v>
      </c>
      <c r="BC66" s="23">
        <f t="shared" si="42"/>
        <v>22</v>
      </c>
      <c r="BD66" s="23">
        <f t="shared" si="42"/>
        <v>395.7</v>
      </c>
      <c r="BE66" s="23">
        <f t="shared" si="42"/>
        <v>101</v>
      </c>
      <c r="BF66" s="23">
        <f t="shared" si="43"/>
        <v>32.5</v>
      </c>
      <c r="BG66" s="23">
        <f t="shared" si="43"/>
        <v>37.5</v>
      </c>
      <c r="BH66" s="23">
        <f t="shared" si="43"/>
        <v>37.5</v>
      </c>
      <c r="BI66" s="23">
        <f t="shared" si="43"/>
        <v>1.95</v>
      </c>
      <c r="BJ66" s="23">
        <f t="shared" si="43"/>
        <v>68.19</v>
      </c>
      <c r="BK66" s="23">
        <f t="shared" si="43"/>
        <v>68.19</v>
      </c>
      <c r="BL66" s="23">
        <f t="shared" si="43"/>
        <v>40</v>
      </c>
      <c r="BM66" s="23">
        <f t="shared" si="43"/>
        <v>14</v>
      </c>
      <c r="BN66" s="23">
        <f t="shared" si="43"/>
        <v>439.33333333333331</v>
      </c>
      <c r="BO66" s="23">
        <f t="shared" si="43"/>
        <v>439.33333333333331</v>
      </c>
      <c r="BP66" s="23">
        <f t="shared" si="43"/>
        <v>439.33333333333331</v>
      </c>
      <c r="BQ66" s="23">
        <f t="shared" si="43"/>
        <v>100</v>
      </c>
      <c r="BR66" s="23">
        <f t="shared" si="43"/>
        <v>100</v>
      </c>
      <c r="BS66" s="23">
        <f t="shared" si="43"/>
        <v>100</v>
      </c>
      <c r="BT66" s="23">
        <f t="shared" si="43"/>
        <v>100</v>
      </c>
      <c r="BU66" s="23">
        <f t="shared" si="43"/>
        <v>100</v>
      </c>
      <c r="BV66" s="23">
        <f t="shared" si="44"/>
        <v>200</v>
      </c>
      <c r="BW66" s="23">
        <f t="shared" si="44"/>
        <v>200</v>
      </c>
      <c r="BX66" s="23">
        <f t="shared" si="44"/>
        <v>200</v>
      </c>
      <c r="BY66" s="23">
        <f t="shared" si="44"/>
        <v>200</v>
      </c>
      <c r="BZ66" s="23">
        <f t="shared" si="44"/>
        <v>200</v>
      </c>
      <c r="CA66" s="23">
        <f t="shared" si="44"/>
        <v>200</v>
      </c>
      <c r="CB66" s="23">
        <f t="shared" si="44"/>
        <v>200</v>
      </c>
      <c r="CC66" s="23" t="e">
        <f t="shared" si="27"/>
        <v>#NUM!</v>
      </c>
      <c r="CD66" s="23" t="e">
        <f t="shared" si="27"/>
        <v>#NUM!</v>
      </c>
      <c r="CE66" s="23" t="e">
        <f t="shared" si="27"/>
        <v>#NUM!</v>
      </c>
      <c r="CF66" s="23" t="e">
        <f t="shared" si="27"/>
        <v>#NUM!</v>
      </c>
      <c r="CG66" s="23" t="e">
        <f t="shared" si="27"/>
        <v>#NUM!</v>
      </c>
      <c r="CH66" s="23" t="e">
        <f t="shared" si="27"/>
        <v>#NUM!</v>
      </c>
      <c r="CI66" s="23" t="e">
        <f t="shared" si="27"/>
        <v>#NUM!</v>
      </c>
      <c r="CJ66" s="23" t="e">
        <f t="shared" si="27"/>
        <v>#NUM!</v>
      </c>
      <c r="CK66" s="23" t="e">
        <f t="shared" si="27"/>
        <v>#NUM!</v>
      </c>
      <c r="CL66" s="23" t="e">
        <f t="shared" si="27"/>
        <v>#NUM!</v>
      </c>
      <c r="CM66" s="23" t="e">
        <f t="shared" si="27"/>
        <v>#NUM!</v>
      </c>
      <c r="CN66" s="23" t="e">
        <f t="shared" si="27"/>
        <v>#NUM!</v>
      </c>
      <c r="CO66" s="23" t="e">
        <f t="shared" si="27"/>
        <v>#NUM!</v>
      </c>
      <c r="CP66" s="23">
        <f t="shared" si="28"/>
        <v>9726.3300000000017</v>
      </c>
      <c r="CQ66" s="67">
        <f t="shared" si="37"/>
        <v>0.10593970123625425</v>
      </c>
      <c r="CR66" s="67">
        <v>0.85</v>
      </c>
      <c r="CS66" s="80">
        <f t="shared" si="33"/>
        <v>10185.633798871329</v>
      </c>
      <c r="CT66" s="81">
        <f t="shared" si="29"/>
        <v>8657.7887290406306</v>
      </c>
      <c r="CU66" s="23">
        <f t="shared" si="30"/>
        <v>12944.330000000004</v>
      </c>
      <c r="CV66" s="67">
        <f t="shared" si="38"/>
        <v>6.8540811105842106E-2</v>
      </c>
      <c r="CW66" s="80">
        <f t="shared" si="39"/>
        <v>13555.596525281808</v>
      </c>
      <c r="CX66" s="81">
        <f t="shared" si="34"/>
        <v>11522.257046489536</v>
      </c>
      <c r="CY66" s="65">
        <f t="shared" si="31"/>
        <v>7836.2641123321218</v>
      </c>
      <c r="CZ66" s="65">
        <f>'Sensitivity - Population'!S28 + 'Sensitivity - GDP'!P29 +'Sensitivity - GDP'!P91</f>
        <v>71319.116744722734</v>
      </c>
      <c r="DA66" s="65">
        <f t="shared" si="35"/>
        <v>8141.4516831875271</v>
      </c>
      <c r="DB66" s="65">
        <f>'Sensitivity - Population'!E28+'Sensitivity - GDP'!D29+'Sensitivity - GDP'!D91</f>
        <v>65775.77828582628</v>
      </c>
      <c r="DC66" s="65">
        <f t="shared" si="36"/>
        <v>7508.650489249575</v>
      </c>
      <c r="EQ66" s="92"/>
    </row>
    <row r="67" spans="2:147" x14ac:dyDescent="0.35">
      <c r="B67" s="90"/>
      <c r="C67" s="23">
        <v>53</v>
      </c>
      <c r="D67" s="85" t="s">
        <v>235</v>
      </c>
      <c r="E67" s="23" t="s">
        <v>227</v>
      </c>
      <c r="F67" s="23" t="s">
        <v>232</v>
      </c>
      <c r="G67" s="65">
        <f>1318/3</f>
        <v>439.33333333333331</v>
      </c>
      <c r="H67" s="65">
        <f>SUM(G65:G67)</f>
        <v>1318</v>
      </c>
      <c r="I67" s="82">
        <v>45657</v>
      </c>
      <c r="J67" s="83">
        <f t="shared" ca="1" si="10"/>
        <v>-2.8794520547945206</v>
      </c>
      <c r="K67" s="23" t="s">
        <v>233</v>
      </c>
      <c r="L67" s="92"/>
      <c r="N67" s="90"/>
      <c r="O67" s="79">
        <v>50405</v>
      </c>
      <c r="P67" s="23">
        <f t="shared" si="32"/>
        <v>0</v>
      </c>
      <c r="Q67" s="23">
        <f t="shared" si="32"/>
        <v>0</v>
      </c>
      <c r="R67" s="23">
        <f t="shared" si="32"/>
        <v>403.8</v>
      </c>
      <c r="S67" s="23">
        <f t="shared" si="32"/>
        <v>400</v>
      </c>
      <c r="T67" s="23">
        <f t="shared" si="32"/>
        <v>400</v>
      </c>
      <c r="U67" s="23">
        <f t="shared" si="32"/>
        <v>250</v>
      </c>
      <c r="V67" s="23">
        <f t="shared" si="32"/>
        <v>250</v>
      </c>
      <c r="W67" s="23">
        <f t="shared" si="32"/>
        <v>420</v>
      </c>
      <c r="X67" s="23">
        <f t="shared" si="32"/>
        <v>420</v>
      </c>
      <c r="Y67" s="23">
        <f t="shared" si="32"/>
        <v>47.8</v>
      </c>
      <c r="Z67" s="23">
        <f t="shared" si="32"/>
        <v>132</v>
      </c>
      <c r="AA67" s="23">
        <f t="shared" si="32"/>
        <v>0</v>
      </c>
      <c r="AB67" s="23">
        <f t="shared" si="32"/>
        <v>0</v>
      </c>
      <c r="AC67" s="23">
        <f t="shared" si="32"/>
        <v>367.5</v>
      </c>
      <c r="AD67" s="23">
        <f t="shared" si="32"/>
        <v>367.5</v>
      </c>
      <c r="AE67" s="23">
        <f t="shared" si="32"/>
        <v>405.9</v>
      </c>
      <c r="AF67" s="23">
        <f t="shared" si="45"/>
        <v>60</v>
      </c>
      <c r="AG67" s="23">
        <f t="shared" si="45"/>
        <v>67.8</v>
      </c>
      <c r="AH67" s="23">
        <f t="shared" si="45"/>
        <v>55</v>
      </c>
      <c r="AI67" s="23">
        <f t="shared" si="45"/>
        <v>0</v>
      </c>
      <c r="AJ67" s="23">
        <f t="shared" si="45"/>
        <v>0</v>
      </c>
      <c r="AK67" s="23">
        <f t="shared" si="45"/>
        <v>0</v>
      </c>
      <c r="AL67" s="23">
        <f t="shared" si="45"/>
        <v>365</v>
      </c>
      <c r="AM67" s="23">
        <f t="shared" si="45"/>
        <v>365</v>
      </c>
      <c r="AN67" s="23">
        <f t="shared" si="45"/>
        <v>431</v>
      </c>
      <c r="AO67" s="23">
        <f t="shared" si="45"/>
        <v>431</v>
      </c>
      <c r="AP67" s="23">
        <f t="shared" si="45"/>
        <v>110</v>
      </c>
      <c r="AQ67" s="23">
        <f t="shared" si="45"/>
        <v>110</v>
      </c>
      <c r="AR67" s="23">
        <f t="shared" si="45"/>
        <v>47</v>
      </c>
      <c r="AS67" s="23">
        <f t="shared" si="45"/>
        <v>47</v>
      </c>
      <c r="AT67" s="23">
        <f t="shared" si="45"/>
        <v>250</v>
      </c>
      <c r="AU67" s="23">
        <f t="shared" si="45"/>
        <v>250</v>
      </c>
      <c r="AV67" s="23">
        <f t="shared" si="42"/>
        <v>250</v>
      </c>
      <c r="AW67" s="23">
        <f t="shared" si="42"/>
        <v>0</v>
      </c>
      <c r="AX67" s="23">
        <f t="shared" si="42"/>
        <v>0</v>
      </c>
      <c r="AY67" s="23">
        <f t="shared" si="42"/>
        <v>0</v>
      </c>
      <c r="AZ67" s="23">
        <f t="shared" si="42"/>
        <v>0</v>
      </c>
      <c r="BA67" s="23">
        <f t="shared" si="42"/>
        <v>370</v>
      </c>
      <c r="BB67" s="23">
        <f t="shared" si="42"/>
        <v>370</v>
      </c>
      <c r="BC67" s="23">
        <f t="shared" si="42"/>
        <v>22</v>
      </c>
      <c r="BD67" s="23">
        <f t="shared" si="42"/>
        <v>395.7</v>
      </c>
      <c r="BE67" s="23">
        <f t="shared" si="42"/>
        <v>101</v>
      </c>
      <c r="BF67" s="23">
        <f t="shared" si="43"/>
        <v>32.5</v>
      </c>
      <c r="BG67" s="23">
        <f t="shared" si="43"/>
        <v>37.5</v>
      </c>
      <c r="BH67" s="23">
        <f t="shared" si="43"/>
        <v>37.5</v>
      </c>
      <c r="BI67" s="23">
        <f t="shared" si="43"/>
        <v>1.95</v>
      </c>
      <c r="BJ67" s="23">
        <f t="shared" si="43"/>
        <v>68.19</v>
      </c>
      <c r="BK67" s="23">
        <f t="shared" si="43"/>
        <v>68.19</v>
      </c>
      <c r="BL67" s="23">
        <f t="shared" si="43"/>
        <v>40</v>
      </c>
      <c r="BM67" s="23">
        <f t="shared" si="43"/>
        <v>14</v>
      </c>
      <c r="BN67" s="23">
        <f t="shared" si="43"/>
        <v>439.33333333333331</v>
      </c>
      <c r="BO67" s="23">
        <f t="shared" si="43"/>
        <v>439.33333333333331</v>
      </c>
      <c r="BP67" s="23">
        <f t="shared" si="43"/>
        <v>439.33333333333331</v>
      </c>
      <c r="BQ67" s="23">
        <f t="shared" si="43"/>
        <v>100</v>
      </c>
      <c r="BR67" s="23">
        <f t="shared" si="43"/>
        <v>100</v>
      </c>
      <c r="BS67" s="23">
        <f t="shared" si="43"/>
        <v>100</v>
      </c>
      <c r="BT67" s="23">
        <f t="shared" si="43"/>
        <v>100</v>
      </c>
      <c r="BU67" s="23">
        <f t="shared" si="43"/>
        <v>100</v>
      </c>
      <c r="BV67" s="23">
        <f t="shared" si="44"/>
        <v>200</v>
      </c>
      <c r="BW67" s="23">
        <f t="shared" si="44"/>
        <v>200</v>
      </c>
      <c r="BX67" s="23">
        <f t="shared" si="44"/>
        <v>200</v>
      </c>
      <c r="BY67" s="23">
        <f t="shared" si="44"/>
        <v>200</v>
      </c>
      <c r="BZ67" s="23">
        <f t="shared" si="44"/>
        <v>200</v>
      </c>
      <c r="CA67" s="23">
        <f t="shared" si="44"/>
        <v>200</v>
      </c>
      <c r="CB67" s="23">
        <f t="shared" si="44"/>
        <v>200</v>
      </c>
      <c r="CC67" s="23">
        <f t="shared" si="44"/>
        <v>200</v>
      </c>
      <c r="CD67" s="23" t="e">
        <f t="shared" si="44"/>
        <v>#NUM!</v>
      </c>
      <c r="CE67" s="23" t="e">
        <f t="shared" si="44"/>
        <v>#NUM!</v>
      </c>
      <c r="CF67" s="23" t="e">
        <f t="shared" si="44"/>
        <v>#NUM!</v>
      </c>
      <c r="CG67" s="23" t="e">
        <f t="shared" si="44"/>
        <v>#NUM!</v>
      </c>
      <c r="CH67" s="23" t="e">
        <f t="shared" si="44"/>
        <v>#NUM!</v>
      </c>
      <c r="CI67" s="23" t="e">
        <f t="shared" si="44"/>
        <v>#NUM!</v>
      </c>
      <c r="CJ67" s="23" t="e">
        <f t="shared" si="44"/>
        <v>#NUM!</v>
      </c>
      <c r="CK67" s="23" t="e">
        <f t="shared" si="44"/>
        <v>#NUM!</v>
      </c>
      <c r="CL67" s="23" t="e">
        <f t="shared" ref="CL67:CO80" si="46">IF(VLOOKUP(CL$13,$C$15:$J$92,3,FALSE) &lt;&gt; "Incineration", IF(DATEDIF(VLOOKUP(CL$13,$C$15:$J$92,7,FALSE),$O67,"y")&gt;=$P$48,0,VLOOKUP(CL$13,$C$15:$J$92,5,FALSE)), VLOOKUP(CL$13,$C$15:$J$92,5,FALSE))</f>
        <v>#NUM!</v>
      </c>
      <c r="CM67" s="23" t="e">
        <f t="shared" si="46"/>
        <v>#NUM!</v>
      </c>
      <c r="CN67" s="23" t="e">
        <f t="shared" si="46"/>
        <v>#NUM!</v>
      </c>
      <c r="CO67" s="23" t="e">
        <f t="shared" si="46"/>
        <v>#NUM!</v>
      </c>
      <c r="CP67" s="23">
        <f t="shared" si="28"/>
        <v>8261.83</v>
      </c>
      <c r="CQ67" s="67">
        <f t="shared" si="37"/>
        <v>0.15057066745627606</v>
      </c>
      <c r="CR67" s="67">
        <v>0.85</v>
      </c>
      <c r="CS67" s="80">
        <f t="shared" si="33"/>
        <v>8651.9761193100676</v>
      </c>
      <c r="CT67" s="81">
        <f t="shared" si="29"/>
        <v>7354.1797014135573</v>
      </c>
      <c r="CU67" s="23">
        <f t="shared" si="30"/>
        <v>11679.830000000002</v>
      </c>
      <c r="CV67" s="67">
        <f t="shared" si="38"/>
        <v>9.7687558954383996E-2</v>
      </c>
      <c r="CW67" s="80">
        <f t="shared" si="39"/>
        <v>12231.383390556499</v>
      </c>
      <c r="CX67" s="81">
        <f t="shared" si="34"/>
        <v>10396.675881973024</v>
      </c>
      <c r="CY67" s="65">
        <f t="shared" si="31"/>
        <v>7953.2890942607619</v>
      </c>
      <c r="CZ67" s="65">
        <f>'Sensitivity - Population'!S29 + 'Sensitivity - GDP'!P30 +'Sensitivity - GDP'!P92</f>
        <v>72432.55957312294</v>
      </c>
      <c r="DA67" s="65">
        <f t="shared" si="35"/>
        <v>8268.5570288953113</v>
      </c>
      <c r="DB67" s="65">
        <f>'Sensitivity - Population'!E29+'Sensitivity - GDP'!D30+'Sensitivity - GDP'!D92</f>
        <v>66769.5015895916</v>
      </c>
      <c r="DC67" s="65">
        <f t="shared" si="36"/>
        <v>7622.0892225561183</v>
      </c>
      <c r="EQ67" s="92"/>
    </row>
    <row r="68" spans="2:147" x14ac:dyDescent="0.35">
      <c r="B68" s="90"/>
      <c r="C68" s="23">
        <v>54</v>
      </c>
      <c r="D68" s="85" t="s">
        <v>236</v>
      </c>
      <c r="E68" s="23" t="s">
        <v>227</v>
      </c>
      <c r="F68" s="23" t="s">
        <v>232</v>
      </c>
      <c r="G68" s="23">
        <f t="shared" ref="G68:G72" si="47">500/5</f>
        <v>100</v>
      </c>
      <c r="H68" s="23"/>
      <c r="I68" s="82">
        <v>46022</v>
      </c>
      <c r="J68" s="83">
        <f t="shared" ca="1" si="10"/>
        <v>-3.8794520547945206</v>
      </c>
      <c r="K68" s="23" t="s">
        <v>233</v>
      </c>
      <c r="L68" s="92"/>
      <c r="N68" s="90"/>
      <c r="O68" s="79">
        <v>50770</v>
      </c>
      <c r="P68" s="23">
        <f t="shared" si="32"/>
        <v>0</v>
      </c>
      <c r="Q68" s="23">
        <f t="shared" si="32"/>
        <v>0</v>
      </c>
      <c r="R68" s="23">
        <f t="shared" si="32"/>
        <v>403.8</v>
      </c>
      <c r="S68" s="23">
        <f t="shared" si="32"/>
        <v>400</v>
      </c>
      <c r="T68" s="23">
        <f t="shared" si="32"/>
        <v>400</v>
      </c>
      <c r="U68" s="23">
        <f t="shared" si="32"/>
        <v>250</v>
      </c>
      <c r="V68" s="23">
        <f t="shared" si="32"/>
        <v>250</v>
      </c>
      <c r="W68" s="23">
        <f t="shared" si="32"/>
        <v>420</v>
      </c>
      <c r="X68" s="23">
        <f t="shared" si="32"/>
        <v>420</v>
      </c>
      <c r="Y68" s="23">
        <f t="shared" si="32"/>
        <v>47.8</v>
      </c>
      <c r="Z68" s="23">
        <f t="shared" si="32"/>
        <v>132</v>
      </c>
      <c r="AA68" s="23">
        <f t="shared" si="32"/>
        <v>0</v>
      </c>
      <c r="AB68" s="23">
        <f t="shared" si="32"/>
        <v>0</v>
      </c>
      <c r="AC68" s="23">
        <f t="shared" si="32"/>
        <v>367.5</v>
      </c>
      <c r="AD68" s="23">
        <f t="shared" si="32"/>
        <v>367.5</v>
      </c>
      <c r="AE68" s="23">
        <f t="shared" si="32"/>
        <v>405.9</v>
      </c>
      <c r="AF68" s="23">
        <f t="shared" si="45"/>
        <v>60</v>
      </c>
      <c r="AG68" s="23">
        <f t="shared" si="45"/>
        <v>67.8</v>
      </c>
      <c r="AH68" s="23">
        <f t="shared" si="45"/>
        <v>55</v>
      </c>
      <c r="AI68" s="23">
        <f t="shared" si="45"/>
        <v>0</v>
      </c>
      <c r="AJ68" s="23">
        <f t="shared" si="45"/>
        <v>0</v>
      </c>
      <c r="AK68" s="23">
        <f t="shared" si="45"/>
        <v>0</v>
      </c>
      <c r="AL68" s="23">
        <f t="shared" si="45"/>
        <v>365</v>
      </c>
      <c r="AM68" s="23">
        <f t="shared" si="45"/>
        <v>365</v>
      </c>
      <c r="AN68" s="23">
        <f t="shared" si="45"/>
        <v>431</v>
      </c>
      <c r="AO68" s="23">
        <f t="shared" si="45"/>
        <v>431</v>
      </c>
      <c r="AP68" s="23">
        <f t="shared" si="45"/>
        <v>110</v>
      </c>
      <c r="AQ68" s="23">
        <f t="shared" si="45"/>
        <v>110</v>
      </c>
      <c r="AR68" s="23">
        <f t="shared" si="45"/>
        <v>47</v>
      </c>
      <c r="AS68" s="23">
        <f t="shared" si="45"/>
        <v>47</v>
      </c>
      <c r="AT68" s="23">
        <f t="shared" si="45"/>
        <v>250</v>
      </c>
      <c r="AU68" s="23">
        <f t="shared" si="45"/>
        <v>250</v>
      </c>
      <c r="AV68" s="23">
        <f t="shared" si="42"/>
        <v>250</v>
      </c>
      <c r="AW68" s="23">
        <f t="shared" si="42"/>
        <v>0</v>
      </c>
      <c r="AX68" s="23">
        <f t="shared" si="42"/>
        <v>0</v>
      </c>
      <c r="AY68" s="23">
        <f t="shared" si="42"/>
        <v>0</v>
      </c>
      <c r="AZ68" s="23">
        <f t="shared" si="42"/>
        <v>0</v>
      </c>
      <c r="BA68" s="23">
        <f t="shared" si="42"/>
        <v>370</v>
      </c>
      <c r="BB68" s="23">
        <f t="shared" si="42"/>
        <v>370</v>
      </c>
      <c r="BC68" s="23">
        <f t="shared" si="42"/>
        <v>22</v>
      </c>
      <c r="BD68" s="23">
        <f t="shared" si="42"/>
        <v>395.7</v>
      </c>
      <c r="BE68" s="23">
        <f t="shared" si="42"/>
        <v>101</v>
      </c>
      <c r="BF68" s="23">
        <f t="shared" si="43"/>
        <v>32.5</v>
      </c>
      <c r="BG68" s="23">
        <f t="shared" si="43"/>
        <v>37.5</v>
      </c>
      <c r="BH68" s="23">
        <f t="shared" si="43"/>
        <v>37.5</v>
      </c>
      <c r="BI68" s="23">
        <f t="shared" si="43"/>
        <v>1.95</v>
      </c>
      <c r="BJ68" s="23">
        <f t="shared" si="43"/>
        <v>68.19</v>
      </c>
      <c r="BK68" s="23">
        <f t="shared" si="43"/>
        <v>68.19</v>
      </c>
      <c r="BL68" s="23">
        <f t="shared" si="43"/>
        <v>40</v>
      </c>
      <c r="BM68" s="23">
        <f t="shared" si="43"/>
        <v>14</v>
      </c>
      <c r="BN68" s="23">
        <f t="shared" si="43"/>
        <v>439.33333333333331</v>
      </c>
      <c r="BO68" s="23">
        <f t="shared" si="43"/>
        <v>439.33333333333331</v>
      </c>
      <c r="BP68" s="23">
        <f t="shared" si="43"/>
        <v>439.33333333333331</v>
      </c>
      <c r="BQ68" s="23">
        <f t="shared" si="43"/>
        <v>100</v>
      </c>
      <c r="BR68" s="23">
        <f t="shared" si="43"/>
        <v>100</v>
      </c>
      <c r="BS68" s="23">
        <f t="shared" si="43"/>
        <v>100</v>
      </c>
      <c r="BT68" s="23">
        <f t="shared" si="43"/>
        <v>100</v>
      </c>
      <c r="BU68" s="23">
        <f t="shared" si="43"/>
        <v>100</v>
      </c>
      <c r="BV68" s="23">
        <f t="shared" si="44"/>
        <v>200</v>
      </c>
      <c r="BW68" s="23">
        <f t="shared" si="44"/>
        <v>200</v>
      </c>
      <c r="BX68" s="23">
        <f t="shared" si="44"/>
        <v>200</v>
      </c>
      <c r="BY68" s="23">
        <f t="shared" si="44"/>
        <v>200</v>
      </c>
      <c r="BZ68" s="23">
        <f t="shared" si="44"/>
        <v>200</v>
      </c>
      <c r="CA68" s="23">
        <f t="shared" si="44"/>
        <v>200</v>
      </c>
      <c r="CB68" s="23">
        <f t="shared" si="44"/>
        <v>200</v>
      </c>
      <c r="CC68" s="23">
        <f t="shared" si="44"/>
        <v>200</v>
      </c>
      <c r="CD68" s="23">
        <f t="shared" si="44"/>
        <v>200</v>
      </c>
      <c r="CE68" s="23" t="e">
        <f t="shared" si="44"/>
        <v>#NUM!</v>
      </c>
      <c r="CF68" s="23" t="e">
        <f t="shared" si="44"/>
        <v>#NUM!</v>
      </c>
      <c r="CG68" s="23" t="e">
        <f t="shared" si="44"/>
        <v>#NUM!</v>
      </c>
      <c r="CH68" s="23" t="e">
        <f t="shared" si="44"/>
        <v>#NUM!</v>
      </c>
      <c r="CI68" s="23" t="e">
        <f t="shared" si="44"/>
        <v>#NUM!</v>
      </c>
      <c r="CJ68" s="23" t="e">
        <f t="shared" si="44"/>
        <v>#NUM!</v>
      </c>
      <c r="CK68" s="23" t="e">
        <f t="shared" si="44"/>
        <v>#NUM!</v>
      </c>
      <c r="CL68" s="23" t="e">
        <f t="shared" si="46"/>
        <v>#NUM!</v>
      </c>
      <c r="CM68" s="23" t="e">
        <f t="shared" si="46"/>
        <v>#NUM!</v>
      </c>
      <c r="CN68" s="23" t="e">
        <f t="shared" si="46"/>
        <v>#NUM!</v>
      </c>
      <c r="CO68" s="23" t="e">
        <f t="shared" si="46"/>
        <v>#NUM!</v>
      </c>
      <c r="CP68" s="23">
        <f t="shared" si="28"/>
        <v>8261.83</v>
      </c>
      <c r="CQ68" s="67">
        <f t="shared" si="37"/>
        <v>0</v>
      </c>
      <c r="CR68" s="67">
        <v>0.85</v>
      </c>
      <c r="CS68" s="80">
        <f t="shared" si="33"/>
        <v>8651.9761193100676</v>
      </c>
      <c r="CT68" s="81">
        <f t="shared" si="29"/>
        <v>7354.1797014135573</v>
      </c>
      <c r="CU68" s="23">
        <f t="shared" si="30"/>
        <v>11879.830000000002</v>
      </c>
      <c r="CV68" s="67">
        <f t="shared" si="38"/>
        <v>-1.7123536900793931E-2</v>
      </c>
      <c r="CW68" s="80">
        <f t="shared" si="39"/>
        <v>12440.82793539245</v>
      </c>
      <c r="CX68" s="81">
        <f t="shared" si="34"/>
        <v>10574.703745083581</v>
      </c>
      <c r="CY68" s="65">
        <f t="shared" si="31"/>
        <v>8070.1968478080753</v>
      </c>
      <c r="CZ68" s="65">
        <f>'Sensitivity - Population'!S30 + 'Sensitivity - GDP'!P31 +'Sensitivity - GDP'!P93</f>
        <v>73544.984842286009</v>
      </c>
      <c r="DA68" s="65">
        <f t="shared" si="35"/>
        <v>8395.5462148728311</v>
      </c>
      <c r="DB68" s="65">
        <f>'Sensitivity - Population'!E30+'Sensitivity - GDP'!D31+'Sensitivity - GDP'!D93</f>
        <v>67762.221452880243</v>
      </c>
      <c r="DC68" s="65">
        <f t="shared" si="36"/>
        <v>7735.4134078630423</v>
      </c>
      <c r="EQ68" s="92"/>
    </row>
    <row r="69" spans="2:147" x14ac:dyDescent="0.35">
      <c r="B69" s="90"/>
      <c r="C69" s="23">
        <v>55</v>
      </c>
      <c r="D69" s="85" t="s">
        <v>237</v>
      </c>
      <c r="E69" s="23" t="s">
        <v>227</v>
      </c>
      <c r="F69" s="23" t="s">
        <v>232</v>
      </c>
      <c r="G69" s="23">
        <f t="shared" si="47"/>
        <v>100</v>
      </c>
      <c r="H69" s="23"/>
      <c r="I69" s="82">
        <v>46387</v>
      </c>
      <c r="J69" s="83">
        <f t="shared" ca="1" si="10"/>
        <v>-4.8794520547945206</v>
      </c>
      <c r="K69" s="23" t="s">
        <v>233</v>
      </c>
      <c r="L69" s="92"/>
      <c r="N69" s="90"/>
      <c r="O69" s="79">
        <v>51135</v>
      </c>
      <c r="P69" s="23">
        <f t="shared" si="32"/>
        <v>0</v>
      </c>
      <c r="Q69" s="23">
        <f t="shared" si="32"/>
        <v>0</v>
      </c>
      <c r="R69" s="23">
        <f t="shared" si="32"/>
        <v>403.8</v>
      </c>
      <c r="S69" s="23">
        <f t="shared" si="32"/>
        <v>400</v>
      </c>
      <c r="T69" s="23">
        <f t="shared" si="32"/>
        <v>400</v>
      </c>
      <c r="U69" s="23">
        <f t="shared" si="32"/>
        <v>250</v>
      </c>
      <c r="V69" s="23">
        <f t="shared" si="32"/>
        <v>250</v>
      </c>
      <c r="W69" s="23">
        <f t="shared" si="32"/>
        <v>420</v>
      </c>
      <c r="X69" s="23">
        <f t="shared" si="32"/>
        <v>420</v>
      </c>
      <c r="Y69" s="23">
        <f t="shared" si="32"/>
        <v>47.8</v>
      </c>
      <c r="Z69" s="23">
        <f t="shared" si="32"/>
        <v>132</v>
      </c>
      <c r="AA69" s="23">
        <f t="shared" si="32"/>
        <v>0</v>
      </c>
      <c r="AB69" s="23">
        <f t="shared" si="32"/>
        <v>0</v>
      </c>
      <c r="AC69" s="23">
        <f t="shared" si="32"/>
        <v>367.5</v>
      </c>
      <c r="AD69" s="23">
        <f t="shared" si="32"/>
        <v>367.5</v>
      </c>
      <c r="AE69" s="23">
        <f t="shared" si="32"/>
        <v>405.9</v>
      </c>
      <c r="AF69" s="23">
        <f t="shared" si="45"/>
        <v>60</v>
      </c>
      <c r="AG69" s="23">
        <f t="shared" si="45"/>
        <v>67.8</v>
      </c>
      <c r="AH69" s="23">
        <f t="shared" si="45"/>
        <v>55</v>
      </c>
      <c r="AI69" s="23">
        <f t="shared" si="45"/>
        <v>0</v>
      </c>
      <c r="AJ69" s="23">
        <f t="shared" si="45"/>
        <v>0</v>
      </c>
      <c r="AK69" s="23">
        <f t="shared" si="45"/>
        <v>0</v>
      </c>
      <c r="AL69" s="23">
        <f t="shared" si="45"/>
        <v>0</v>
      </c>
      <c r="AM69" s="23">
        <f t="shared" si="45"/>
        <v>0</v>
      </c>
      <c r="AN69" s="23">
        <f t="shared" si="45"/>
        <v>431</v>
      </c>
      <c r="AO69" s="23">
        <f t="shared" si="45"/>
        <v>431</v>
      </c>
      <c r="AP69" s="23">
        <f t="shared" si="45"/>
        <v>110</v>
      </c>
      <c r="AQ69" s="23">
        <f t="shared" si="45"/>
        <v>110</v>
      </c>
      <c r="AR69" s="23">
        <f t="shared" si="45"/>
        <v>47</v>
      </c>
      <c r="AS69" s="23">
        <f t="shared" si="45"/>
        <v>47</v>
      </c>
      <c r="AT69" s="23">
        <f t="shared" si="45"/>
        <v>250</v>
      </c>
      <c r="AU69" s="23">
        <f t="shared" si="45"/>
        <v>250</v>
      </c>
      <c r="AV69" s="23">
        <f t="shared" si="42"/>
        <v>250</v>
      </c>
      <c r="AW69" s="23">
        <f t="shared" si="42"/>
        <v>0</v>
      </c>
      <c r="AX69" s="23">
        <f t="shared" si="42"/>
        <v>0</v>
      </c>
      <c r="AY69" s="23">
        <f t="shared" si="42"/>
        <v>0</v>
      </c>
      <c r="AZ69" s="23">
        <f t="shared" si="42"/>
        <v>0</v>
      </c>
      <c r="BA69" s="23">
        <f t="shared" si="42"/>
        <v>370</v>
      </c>
      <c r="BB69" s="23">
        <f t="shared" si="42"/>
        <v>370</v>
      </c>
      <c r="BC69" s="23">
        <f t="shared" si="42"/>
        <v>22</v>
      </c>
      <c r="BD69" s="23">
        <f t="shared" si="42"/>
        <v>395.7</v>
      </c>
      <c r="BE69" s="23">
        <f t="shared" si="42"/>
        <v>101</v>
      </c>
      <c r="BF69" s="23">
        <f t="shared" si="43"/>
        <v>32.5</v>
      </c>
      <c r="BG69" s="23">
        <f t="shared" si="43"/>
        <v>37.5</v>
      </c>
      <c r="BH69" s="23">
        <f t="shared" si="43"/>
        <v>37.5</v>
      </c>
      <c r="BI69" s="23">
        <f t="shared" si="43"/>
        <v>1.95</v>
      </c>
      <c r="BJ69" s="23">
        <f t="shared" si="43"/>
        <v>68.19</v>
      </c>
      <c r="BK69" s="23">
        <f t="shared" si="43"/>
        <v>68.19</v>
      </c>
      <c r="BL69" s="23">
        <f t="shared" si="43"/>
        <v>40</v>
      </c>
      <c r="BM69" s="23">
        <f t="shared" si="43"/>
        <v>14</v>
      </c>
      <c r="BN69" s="23">
        <f t="shared" si="43"/>
        <v>439.33333333333331</v>
      </c>
      <c r="BO69" s="23">
        <f t="shared" si="43"/>
        <v>439.33333333333331</v>
      </c>
      <c r="BP69" s="23">
        <f t="shared" si="43"/>
        <v>439.33333333333331</v>
      </c>
      <c r="BQ69" s="23">
        <f t="shared" si="43"/>
        <v>100</v>
      </c>
      <c r="BR69" s="23">
        <f t="shared" si="43"/>
        <v>100</v>
      </c>
      <c r="BS69" s="23">
        <f t="shared" si="43"/>
        <v>100</v>
      </c>
      <c r="BT69" s="23">
        <f t="shared" si="43"/>
        <v>100</v>
      </c>
      <c r="BU69" s="23">
        <f t="shared" si="43"/>
        <v>100</v>
      </c>
      <c r="BV69" s="23">
        <f t="shared" si="44"/>
        <v>200</v>
      </c>
      <c r="BW69" s="23">
        <f t="shared" si="44"/>
        <v>200</v>
      </c>
      <c r="BX69" s="23">
        <f t="shared" si="44"/>
        <v>200</v>
      </c>
      <c r="BY69" s="23">
        <f t="shared" si="44"/>
        <v>200</v>
      </c>
      <c r="BZ69" s="23">
        <f t="shared" si="44"/>
        <v>200</v>
      </c>
      <c r="CA69" s="23">
        <f t="shared" si="44"/>
        <v>200</v>
      </c>
      <c r="CB69" s="23">
        <f t="shared" si="44"/>
        <v>200</v>
      </c>
      <c r="CC69" s="23">
        <f t="shared" si="44"/>
        <v>200</v>
      </c>
      <c r="CD69" s="23">
        <f t="shared" si="44"/>
        <v>200</v>
      </c>
      <c r="CE69" s="23">
        <f t="shared" si="44"/>
        <v>200</v>
      </c>
      <c r="CF69" s="23" t="e">
        <f t="shared" si="44"/>
        <v>#NUM!</v>
      </c>
      <c r="CG69" s="23" t="e">
        <f t="shared" si="44"/>
        <v>#NUM!</v>
      </c>
      <c r="CH69" s="23" t="e">
        <f t="shared" si="44"/>
        <v>#NUM!</v>
      </c>
      <c r="CI69" s="23" t="e">
        <f t="shared" si="44"/>
        <v>#NUM!</v>
      </c>
      <c r="CJ69" s="23" t="e">
        <f t="shared" si="44"/>
        <v>#NUM!</v>
      </c>
      <c r="CK69" s="23" t="e">
        <f t="shared" si="44"/>
        <v>#NUM!</v>
      </c>
      <c r="CL69" s="23" t="e">
        <f t="shared" si="46"/>
        <v>#NUM!</v>
      </c>
      <c r="CM69" s="23" t="e">
        <f t="shared" si="46"/>
        <v>#NUM!</v>
      </c>
      <c r="CN69" s="23" t="e">
        <f t="shared" si="46"/>
        <v>#NUM!</v>
      </c>
      <c r="CO69" s="23" t="e">
        <f t="shared" si="46"/>
        <v>#NUM!</v>
      </c>
      <c r="CP69" s="23">
        <f t="shared" si="28"/>
        <v>7531.83</v>
      </c>
      <c r="CQ69" s="67">
        <f t="shared" si="37"/>
        <v>8.835814825528969E-2</v>
      </c>
      <c r="CR69" s="67">
        <v>0.85</v>
      </c>
      <c r="CS69" s="80">
        <f t="shared" si="33"/>
        <v>7887.5035306588434</v>
      </c>
      <c r="CT69" s="81">
        <f t="shared" si="29"/>
        <v>6704.3780010600167</v>
      </c>
      <c r="CU69" s="23">
        <f t="shared" si="30"/>
        <v>11349.83</v>
      </c>
      <c r="CV69" s="67">
        <f t="shared" si="38"/>
        <v>4.4613433020506334E-2</v>
      </c>
      <c r="CW69" s="80">
        <f t="shared" si="39"/>
        <v>11885.799891577175</v>
      </c>
      <c r="CX69" s="81">
        <f t="shared" si="34"/>
        <v>10102.929907840598</v>
      </c>
      <c r="CY69" s="65">
        <f t="shared" si="31"/>
        <v>8186.9853228678649</v>
      </c>
      <c r="CZ69" s="65">
        <f>'Sensitivity - Population'!S31 + 'Sensitivity - GDP'!P32 +'Sensitivity - GDP'!P94</f>
        <v>74656.373948543056</v>
      </c>
      <c r="DA69" s="65">
        <f t="shared" si="35"/>
        <v>8522.4171174135918</v>
      </c>
      <c r="DB69" s="65">
        <f>'Sensitivity - Population'!E31+'Sensitivity - GDP'!D32+'Sensitivity - GDP'!D94</f>
        <v>68753.919530151587</v>
      </c>
      <c r="DC69" s="65">
        <f t="shared" si="36"/>
        <v>7848.6209509305472</v>
      </c>
      <c r="EQ69" s="92"/>
    </row>
    <row r="70" spans="2:147" x14ac:dyDescent="0.35">
      <c r="B70" s="90"/>
      <c r="C70" s="23">
        <v>56</v>
      </c>
      <c r="D70" s="85" t="s">
        <v>238</v>
      </c>
      <c r="E70" s="23" t="s">
        <v>227</v>
      </c>
      <c r="F70" s="23" t="s">
        <v>232</v>
      </c>
      <c r="G70" s="23">
        <f t="shared" si="47"/>
        <v>100</v>
      </c>
      <c r="H70" s="23"/>
      <c r="I70" s="82">
        <v>46752</v>
      </c>
      <c r="J70" s="83">
        <f t="shared" ca="1" si="10"/>
        <v>-5.8794520547945206</v>
      </c>
      <c r="K70" s="23" t="s">
        <v>233</v>
      </c>
      <c r="L70" s="92"/>
      <c r="N70" s="90"/>
      <c r="O70" s="79">
        <v>51501</v>
      </c>
      <c r="P70" s="23">
        <f t="shared" si="32"/>
        <v>0</v>
      </c>
      <c r="Q70" s="23">
        <f t="shared" si="32"/>
        <v>0</v>
      </c>
      <c r="R70" s="23">
        <f t="shared" si="32"/>
        <v>403.8</v>
      </c>
      <c r="S70" s="23">
        <f t="shared" si="32"/>
        <v>400</v>
      </c>
      <c r="T70" s="23">
        <f t="shared" si="32"/>
        <v>400</v>
      </c>
      <c r="U70" s="23">
        <f t="shared" si="32"/>
        <v>250</v>
      </c>
      <c r="V70" s="23">
        <f t="shared" si="32"/>
        <v>250</v>
      </c>
      <c r="W70" s="23">
        <f t="shared" si="32"/>
        <v>420</v>
      </c>
      <c r="X70" s="23">
        <f t="shared" si="32"/>
        <v>420</v>
      </c>
      <c r="Y70" s="23">
        <f t="shared" si="32"/>
        <v>47.8</v>
      </c>
      <c r="Z70" s="23">
        <f t="shared" si="32"/>
        <v>132</v>
      </c>
      <c r="AA70" s="23">
        <f t="shared" si="32"/>
        <v>0</v>
      </c>
      <c r="AB70" s="23">
        <f t="shared" ref="AB70:AE70" si="48">IF(VLOOKUP(AB$13,$C$15:$J$92,3,FALSE) &lt;&gt; "Incineration", IF(DATEDIF(VLOOKUP(AB$13,$C$15:$J$92,7,FALSE),$O70,"y")&gt;=$P$48,0,VLOOKUP(AB$13,$C$15:$J$92,5,FALSE)), VLOOKUP(AB$13,$C$15:$J$92,5,FALSE))</f>
        <v>0</v>
      </c>
      <c r="AC70" s="23">
        <f t="shared" si="48"/>
        <v>0</v>
      </c>
      <c r="AD70" s="23">
        <f t="shared" si="48"/>
        <v>0</v>
      </c>
      <c r="AE70" s="23">
        <f t="shared" si="48"/>
        <v>405.9</v>
      </c>
      <c r="AF70" s="23">
        <f t="shared" si="45"/>
        <v>60</v>
      </c>
      <c r="AG70" s="23">
        <f t="shared" si="45"/>
        <v>67.8</v>
      </c>
      <c r="AH70" s="23">
        <f t="shared" si="45"/>
        <v>55</v>
      </c>
      <c r="AI70" s="23">
        <f t="shared" si="45"/>
        <v>0</v>
      </c>
      <c r="AJ70" s="23">
        <f t="shared" si="45"/>
        <v>0</v>
      </c>
      <c r="AK70" s="23">
        <f t="shared" si="45"/>
        <v>0</v>
      </c>
      <c r="AL70" s="23">
        <f t="shared" si="45"/>
        <v>0</v>
      </c>
      <c r="AM70" s="23">
        <f t="shared" si="45"/>
        <v>0</v>
      </c>
      <c r="AN70" s="23">
        <f t="shared" si="45"/>
        <v>431</v>
      </c>
      <c r="AO70" s="23">
        <f t="shared" si="45"/>
        <v>431</v>
      </c>
      <c r="AP70" s="23">
        <f t="shared" si="45"/>
        <v>110</v>
      </c>
      <c r="AQ70" s="23">
        <f t="shared" si="45"/>
        <v>110</v>
      </c>
      <c r="AR70" s="23">
        <f t="shared" si="45"/>
        <v>47</v>
      </c>
      <c r="AS70" s="23">
        <f t="shared" si="45"/>
        <v>47</v>
      </c>
      <c r="AT70" s="23">
        <f t="shared" si="45"/>
        <v>0</v>
      </c>
      <c r="AU70" s="23">
        <f t="shared" si="45"/>
        <v>0</v>
      </c>
      <c r="AV70" s="23">
        <f t="shared" si="42"/>
        <v>0</v>
      </c>
      <c r="AW70" s="23">
        <f t="shared" si="42"/>
        <v>0</v>
      </c>
      <c r="AX70" s="23">
        <f t="shared" si="42"/>
        <v>0</v>
      </c>
      <c r="AY70" s="23">
        <f t="shared" si="42"/>
        <v>0</v>
      </c>
      <c r="AZ70" s="23">
        <f t="shared" si="42"/>
        <v>0</v>
      </c>
      <c r="BA70" s="23">
        <f t="shared" si="42"/>
        <v>370</v>
      </c>
      <c r="BB70" s="23">
        <f t="shared" si="42"/>
        <v>370</v>
      </c>
      <c r="BC70" s="23">
        <f t="shared" si="42"/>
        <v>22</v>
      </c>
      <c r="BD70" s="23">
        <f t="shared" si="42"/>
        <v>395.7</v>
      </c>
      <c r="BE70" s="23">
        <f t="shared" si="42"/>
        <v>101</v>
      </c>
      <c r="BF70" s="23">
        <f t="shared" si="43"/>
        <v>32.5</v>
      </c>
      <c r="BG70" s="23">
        <f t="shared" si="43"/>
        <v>37.5</v>
      </c>
      <c r="BH70" s="23">
        <f t="shared" si="43"/>
        <v>37.5</v>
      </c>
      <c r="BI70" s="23">
        <f t="shared" si="43"/>
        <v>1.95</v>
      </c>
      <c r="BJ70" s="23">
        <f t="shared" si="43"/>
        <v>68.19</v>
      </c>
      <c r="BK70" s="23">
        <f t="shared" si="43"/>
        <v>68.19</v>
      </c>
      <c r="BL70" s="23">
        <f t="shared" si="43"/>
        <v>40</v>
      </c>
      <c r="BM70" s="23">
        <f t="shared" si="43"/>
        <v>14</v>
      </c>
      <c r="BN70" s="23">
        <f t="shared" si="43"/>
        <v>439.33333333333331</v>
      </c>
      <c r="BO70" s="23">
        <f t="shared" si="43"/>
        <v>439.33333333333331</v>
      </c>
      <c r="BP70" s="23">
        <f t="shared" si="43"/>
        <v>439.33333333333331</v>
      </c>
      <c r="BQ70" s="23">
        <f t="shared" si="43"/>
        <v>100</v>
      </c>
      <c r="BR70" s="23">
        <f t="shared" si="43"/>
        <v>100</v>
      </c>
      <c r="BS70" s="23">
        <f t="shared" si="43"/>
        <v>100</v>
      </c>
      <c r="BT70" s="23">
        <f t="shared" si="43"/>
        <v>100</v>
      </c>
      <c r="BU70" s="23">
        <f t="shared" si="43"/>
        <v>100</v>
      </c>
      <c r="BV70" s="23">
        <f t="shared" si="44"/>
        <v>200</v>
      </c>
      <c r="BW70" s="23">
        <f t="shared" si="44"/>
        <v>200</v>
      </c>
      <c r="BX70" s="23">
        <f t="shared" si="44"/>
        <v>200</v>
      </c>
      <c r="BY70" s="23">
        <f t="shared" si="44"/>
        <v>200</v>
      </c>
      <c r="BZ70" s="23">
        <f t="shared" si="44"/>
        <v>200</v>
      </c>
      <c r="CA70" s="23">
        <f t="shared" si="44"/>
        <v>200</v>
      </c>
      <c r="CB70" s="23">
        <f t="shared" si="44"/>
        <v>200</v>
      </c>
      <c r="CC70" s="23">
        <f t="shared" si="44"/>
        <v>200</v>
      </c>
      <c r="CD70" s="23">
        <f t="shared" si="44"/>
        <v>200</v>
      </c>
      <c r="CE70" s="23">
        <f t="shared" si="44"/>
        <v>200</v>
      </c>
      <c r="CF70" s="23">
        <f t="shared" si="44"/>
        <v>200</v>
      </c>
      <c r="CG70" s="23" t="e">
        <f t="shared" si="44"/>
        <v>#NUM!</v>
      </c>
      <c r="CH70" s="23" t="e">
        <f t="shared" si="44"/>
        <v>#NUM!</v>
      </c>
      <c r="CI70" s="23" t="e">
        <f t="shared" si="44"/>
        <v>#NUM!</v>
      </c>
      <c r="CJ70" s="23" t="e">
        <f t="shared" si="44"/>
        <v>#NUM!</v>
      </c>
      <c r="CK70" s="23" t="e">
        <f t="shared" si="44"/>
        <v>#NUM!</v>
      </c>
      <c r="CL70" s="23" t="e">
        <f t="shared" si="46"/>
        <v>#NUM!</v>
      </c>
      <c r="CM70" s="23" t="e">
        <f t="shared" si="46"/>
        <v>#NUM!</v>
      </c>
      <c r="CN70" s="23" t="e">
        <f t="shared" si="46"/>
        <v>#NUM!</v>
      </c>
      <c r="CO70" s="23" t="e">
        <f t="shared" si="46"/>
        <v>#NUM!</v>
      </c>
      <c r="CP70" s="23">
        <f t="shared" si="28"/>
        <v>6046.83</v>
      </c>
      <c r="CQ70" s="67">
        <f t="shared" si="37"/>
        <v>0.19716323921278095</v>
      </c>
      <c r="CR70" s="67">
        <v>0.85</v>
      </c>
      <c r="CS70" s="80">
        <f t="shared" si="33"/>
        <v>6332.3777852518997</v>
      </c>
      <c r="CT70" s="81">
        <f t="shared" si="29"/>
        <v>5382.5211174641145</v>
      </c>
      <c r="CU70" s="23">
        <f t="shared" si="30"/>
        <v>10064.829999999998</v>
      </c>
      <c r="CV70" s="67">
        <f t="shared" si="38"/>
        <v>0.11321755480038043</v>
      </c>
      <c r="CW70" s="80">
        <f t="shared" si="39"/>
        <v>10540.118691006181</v>
      </c>
      <c r="CX70" s="81">
        <f t="shared" si="34"/>
        <v>8959.1008873552528</v>
      </c>
      <c r="CY70" s="65">
        <f t="shared" si="31"/>
        <v>8303.6525258398833</v>
      </c>
      <c r="CZ70" s="65">
        <f>'Sensitivity - Population'!S32 + 'Sensitivity - GDP'!P33 +'Sensitivity - GDP'!P95</f>
        <v>75766.708771333448</v>
      </c>
      <c r="DA70" s="65">
        <f t="shared" si="35"/>
        <v>8649.1676679604388</v>
      </c>
      <c r="DB70" s="65">
        <f>'Sensitivity - Population'!E32+'Sensitivity - GDP'!D33+'Sensitivity - GDP'!D95</f>
        <v>69744.57795226993</v>
      </c>
      <c r="DC70" s="65">
        <f t="shared" si="36"/>
        <v>7961.7098119029597</v>
      </c>
      <c r="EQ70" s="92"/>
    </row>
    <row r="71" spans="2:147" x14ac:dyDescent="0.35">
      <c r="B71" s="90"/>
      <c r="C71" s="23">
        <v>57</v>
      </c>
      <c r="D71" s="85" t="s">
        <v>239</v>
      </c>
      <c r="E71" s="23" t="s">
        <v>227</v>
      </c>
      <c r="F71" s="23" t="s">
        <v>232</v>
      </c>
      <c r="G71" s="23">
        <f t="shared" si="47"/>
        <v>100</v>
      </c>
      <c r="H71" s="23"/>
      <c r="I71" s="82">
        <v>47118</v>
      </c>
      <c r="J71" s="83">
        <f t="shared" ca="1" si="10"/>
        <v>-6.882191780821918</v>
      </c>
      <c r="K71" s="23" t="s">
        <v>233</v>
      </c>
      <c r="L71" s="92"/>
      <c r="N71" s="90"/>
      <c r="O71" s="79">
        <v>51866</v>
      </c>
      <c r="P71" s="23">
        <f t="shared" ref="P71:AE80" si="49">IF(VLOOKUP(P$13,$C$15:$J$92,3,FALSE) &lt;&gt; "Incineration", IF(DATEDIF(VLOOKUP(P$13,$C$15:$J$92,7,FALSE),$O71,"y")&gt;=$P$48,0,VLOOKUP(P$13,$C$15:$J$92,5,FALSE)), VLOOKUP(P$13,$C$15:$J$92,5,FALSE))</f>
        <v>0</v>
      </c>
      <c r="Q71" s="23">
        <f t="shared" si="49"/>
        <v>0</v>
      </c>
      <c r="R71" s="23">
        <f t="shared" si="49"/>
        <v>403.8</v>
      </c>
      <c r="S71" s="23">
        <f t="shared" si="49"/>
        <v>400</v>
      </c>
      <c r="T71" s="23">
        <f t="shared" si="49"/>
        <v>400</v>
      </c>
      <c r="U71" s="23">
        <f t="shared" si="49"/>
        <v>250</v>
      </c>
      <c r="V71" s="23">
        <f t="shared" si="49"/>
        <v>250</v>
      </c>
      <c r="W71" s="23">
        <f t="shared" si="49"/>
        <v>420</v>
      </c>
      <c r="X71" s="23">
        <f t="shared" si="49"/>
        <v>420</v>
      </c>
      <c r="Y71" s="23">
        <f t="shared" si="49"/>
        <v>47.8</v>
      </c>
      <c r="Z71" s="23">
        <f t="shared" si="49"/>
        <v>132</v>
      </c>
      <c r="AA71" s="23">
        <f t="shared" si="49"/>
        <v>0</v>
      </c>
      <c r="AB71" s="23">
        <f t="shared" si="49"/>
        <v>0</v>
      </c>
      <c r="AC71" s="23">
        <f t="shared" si="49"/>
        <v>0</v>
      </c>
      <c r="AD71" s="23">
        <f t="shared" si="49"/>
        <v>0</v>
      </c>
      <c r="AE71" s="23">
        <f t="shared" si="49"/>
        <v>405.9</v>
      </c>
      <c r="AF71" s="23">
        <f t="shared" si="45"/>
        <v>60</v>
      </c>
      <c r="AG71" s="23">
        <f t="shared" si="45"/>
        <v>67.8</v>
      </c>
      <c r="AH71" s="23">
        <f t="shared" si="45"/>
        <v>55</v>
      </c>
      <c r="AI71" s="23">
        <f t="shared" si="45"/>
        <v>0</v>
      </c>
      <c r="AJ71" s="23">
        <f t="shared" si="45"/>
        <v>0</v>
      </c>
      <c r="AK71" s="23">
        <f t="shared" si="45"/>
        <v>0</v>
      </c>
      <c r="AL71" s="23">
        <f t="shared" si="45"/>
        <v>0</v>
      </c>
      <c r="AM71" s="23">
        <f t="shared" si="45"/>
        <v>0</v>
      </c>
      <c r="AN71" s="23">
        <f t="shared" si="45"/>
        <v>431</v>
      </c>
      <c r="AO71" s="23">
        <f t="shared" si="45"/>
        <v>431</v>
      </c>
      <c r="AP71" s="23">
        <f t="shared" si="45"/>
        <v>110</v>
      </c>
      <c r="AQ71" s="23">
        <f t="shared" si="45"/>
        <v>110</v>
      </c>
      <c r="AR71" s="23">
        <f t="shared" si="45"/>
        <v>47</v>
      </c>
      <c r="AS71" s="23">
        <f t="shared" si="45"/>
        <v>47</v>
      </c>
      <c r="AT71" s="23">
        <f t="shared" si="45"/>
        <v>0</v>
      </c>
      <c r="AU71" s="23">
        <f t="shared" si="45"/>
        <v>0</v>
      </c>
      <c r="AV71" s="23">
        <f t="shared" si="42"/>
        <v>0</v>
      </c>
      <c r="AW71" s="23">
        <f t="shared" si="42"/>
        <v>0</v>
      </c>
      <c r="AX71" s="23">
        <f t="shared" si="42"/>
        <v>0</v>
      </c>
      <c r="AY71" s="23">
        <f t="shared" si="42"/>
        <v>0</v>
      </c>
      <c r="AZ71" s="23">
        <f t="shared" si="42"/>
        <v>0</v>
      </c>
      <c r="BA71" s="23">
        <f t="shared" si="42"/>
        <v>370</v>
      </c>
      <c r="BB71" s="23">
        <f t="shared" si="42"/>
        <v>370</v>
      </c>
      <c r="BC71" s="23">
        <f t="shared" si="42"/>
        <v>22</v>
      </c>
      <c r="BD71" s="23">
        <f t="shared" si="42"/>
        <v>395.7</v>
      </c>
      <c r="BE71" s="23">
        <f t="shared" si="42"/>
        <v>101</v>
      </c>
      <c r="BF71" s="23">
        <f t="shared" si="43"/>
        <v>32.5</v>
      </c>
      <c r="BG71" s="23">
        <f t="shared" si="43"/>
        <v>37.5</v>
      </c>
      <c r="BH71" s="23">
        <f t="shared" si="43"/>
        <v>37.5</v>
      </c>
      <c r="BI71" s="23">
        <f t="shared" si="43"/>
        <v>1.95</v>
      </c>
      <c r="BJ71" s="23">
        <f t="shared" si="43"/>
        <v>68.19</v>
      </c>
      <c r="BK71" s="23">
        <f t="shared" si="43"/>
        <v>68.19</v>
      </c>
      <c r="BL71" s="23">
        <f t="shared" si="43"/>
        <v>40</v>
      </c>
      <c r="BM71" s="23">
        <f t="shared" si="43"/>
        <v>14</v>
      </c>
      <c r="BN71" s="23">
        <f t="shared" si="43"/>
        <v>439.33333333333331</v>
      </c>
      <c r="BO71" s="23">
        <f t="shared" si="43"/>
        <v>439.33333333333331</v>
      </c>
      <c r="BP71" s="23">
        <f t="shared" si="43"/>
        <v>439.33333333333331</v>
      </c>
      <c r="BQ71" s="23">
        <f t="shared" si="43"/>
        <v>100</v>
      </c>
      <c r="BR71" s="23">
        <f t="shared" si="43"/>
        <v>100</v>
      </c>
      <c r="BS71" s="23">
        <f t="shared" si="43"/>
        <v>100</v>
      </c>
      <c r="BT71" s="23">
        <f t="shared" si="43"/>
        <v>100</v>
      </c>
      <c r="BU71" s="23">
        <f t="shared" si="43"/>
        <v>100</v>
      </c>
      <c r="BV71" s="23">
        <f t="shared" si="44"/>
        <v>200</v>
      </c>
      <c r="BW71" s="23">
        <f t="shared" si="44"/>
        <v>200</v>
      </c>
      <c r="BX71" s="23">
        <f t="shared" si="44"/>
        <v>200</v>
      </c>
      <c r="BY71" s="23">
        <f t="shared" si="44"/>
        <v>200</v>
      </c>
      <c r="BZ71" s="23">
        <f t="shared" si="44"/>
        <v>200</v>
      </c>
      <c r="CA71" s="23">
        <f t="shared" si="44"/>
        <v>200</v>
      </c>
      <c r="CB71" s="23">
        <f t="shared" si="44"/>
        <v>200</v>
      </c>
      <c r="CC71" s="23">
        <f t="shared" si="44"/>
        <v>200</v>
      </c>
      <c r="CD71" s="23">
        <f t="shared" si="44"/>
        <v>200</v>
      </c>
      <c r="CE71" s="23">
        <f t="shared" si="44"/>
        <v>200</v>
      </c>
      <c r="CF71" s="23">
        <f t="shared" si="44"/>
        <v>200</v>
      </c>
      <c r="CG71" s="23">
        <f t="shared" si="44"/>
        <v>200</v>
      </c>
      <c r="CH71" s="23" t="e">
        <f t="shared" si="44"/>
        <v>#NUM!</v>
      </c>
      <c r="CI71" s="23" t="e">
        <f t="shared" si="44"/>
        <v>#NUM!</v>
      </c>
      <c r="CJ71" s="23" t="e">
        <f t="shared" si="44"/>
        <v>#NUM!</v>
      </c>
      <c r="CK71" s="23" t="e">
        <f t="shared" si="44"/>
        <v>#NUM!</v>
      </c>
      <c r="CL71" s="23" t="e">
        <f t="shared" si="46"/>
        <v>#NUM!</v>
      </c>
      <c r="CM71" s="23" t="e">
        <f t="shared" si="46"/>
        <v>#NUM!</v>
      </c>
      <c r="CN71" s="23" t="e">
        <f t="shared" si="46"/>
        <v>#NUM!</v>
      </c>
      <c r="CO71" s="23" t="e">
        <f t="shared" si="46"/>
        <v>#NUM!</v>
      </c>
      <c r="CP71" s="23">
        <f t="shared" si="28"/>
        <v>6046.83</v>
      </c>
      <c r="CQ71" s="67">
        <f t="shared" si="37"/>
        <v>0</v>
      </c>
      <c r="CR71" s="67">
        <v>0.85</v>
      </c>
      <c r="CS71" s="80">
        <f t="shared" si="33"/>
        <v>6332.3777852518997</v>
      </c>
      <c r="CT71" s="81">
        <f t="shared" si="29"/>
        <v>5382.5211174641145</v>
      </c>
      <c r="CU71" s="23">
        <f t="shared" si="30"/>
        <v>10264.829999999998</v>
      </c>
      <c r="CV71" s="67">
        <f t="shared" si="38"/>
        <v>-1.9871175171364049E-2</v>
      </c>
      <c r="CW71" s="80">
        <f t="shared" si="39"/>
        <v>10749.563235842134</v>
      </c>
      <c r="CX71" s="81">
        <f t="shared" si="34"/>
        <v>9137.1287504658139</v>
      </c>
      <c r="CY71" s="65">
        <f t="shared" si="31"/>
        <v>8420.1965214353331</v>
      </c>
      <c r="CZ71" s="65">
        <f>'Sensitivity - Population'!S33 + 'Sensitivity - GDP'!P34 +'Sensitivity - GDP'!P96</f>
        <v>76875.971689543556</v>
      </c>
      <c r="DA71" s="65">
        <f t="shared" si="35"/>
        <v>8775.7958549707255</v>
      </c>
      <c r="DB71" s="65">
        <f>'Sensitivity - Population'!E33+'Sensitivity - GDP'!D34+'Sensitivity - GDP'!D96</f>
        <v>70734.179342616902</v>
      </c>
      <c r="DC71" s="65">
        <f t="shared" si="36"/>
        <v>8074.678007148048</v>
      </c>
      <c r="EQ71" s="92"/>
    </row>
    <row r="72" spans="2:147" x14ac:dyDescent="0.35">
      <c r="B72" s="290"/>
      <c r="C72" s="278">
        <v>58</v>
      </c>
      <c r="D72" s="85" t="s">
        <v>240</v>
      </c>
      <c r="E72" s="23" t="s">
        <v>227</v>
      </c>
      <c r="F72" s="23" t="s">
        <v>232</v>
      </c>
      <c r="G72" s="23">
        <f t="shared" si="47"/>
        <v>100</v>
      </c>
      <c r="H72" s="65">
        <f>SUM(G68:G72)</f>
        <v>500</v>
      </c>
      <c r="I72" s="82">
        <v>47483</v>
      </c>
      <c r="J72" s="83">
        <f t="shared" ca="1" si="10"/>
        <v>-7.882191780821918</v>
      </c>
      <c r="K72" s="277" t="s">
        <v>233</v>
      </c>
      <c r="L72" s="290"/>
      <c r="N72" s="90"/>
      <c r="O72" s="79">
        <v>52231</v>
      </c>
      <c r="P72" s="23">
        <f t="shared" si="49"/>
        <v>0</v>
      </c>
      <c r="Q72" s="23">
        <f t="shared" si="49"/>
        <v>0</v>
      </c>
      <c r="R72" s="23">
        <f t="shared" si="49"/>
        <v>403.8</v>
      </c>
      <c r="S72" s="23">
        <f t="shared" si="49"/>
        <v>400</v>
      </c>
      <c r="T72" s="23">
        <f t="shared" si="49"/>
        <v>400</v>
      </c>
      <c r="U72" s="23">
        <f t="shared" si="49"/>
        <v>0</v>
      </c>
      <c r="V72" s="23">
        <f t="shared" si="49"/>
        <v>0</v>
      </c>
      <c r="W72" s="23">
        <f t="shared" si="49"/>
        <v>420</v>
      </c>
      <c r="X72" s="23">
        <f t="shared" si="49"/>
        <v>420</v>
      </c>
      <c r="Y72" s="23">
        <f t="shared" si="49"/>
        <v>47.8</v>
      </c>
      <c r="Z72" s="23">
        <f t="shared" si="49"/>
        <v>132</v>
      </c>
      <c r="AA72" s="23">
        <f t="shared" si="49"/>
        <v>0</v>
      </c>
      <c r="AB72" s="23">
        <f t="shared" si="49"/>
        <v>0</v>
      </c>
      <c r="AC72" s="23">
        <f t="shared" si="49"/>
        <v>0</v>
      </c>
      <c r="AD72" s="23">
        <f t="shared" si="49"/>
        <v>0</v>
      </c>
      <c r="AE72" s="23">
        <f t="shared" si="49"/>
        <v>405.9</v>
      </c>
      <c r="AF72" s="23">
        <f t="shared" si="45"/>
        <v>60</v>
      </c>
      <c r="AG72" s="23">
        <f t="shared" si="45"/>
        <v>67.8</v>
      </c>
      <c r="AH72" s="23">
        <f t="shared" si="45"/>
        <v>55</v>
      </c>
      <c r="AI72" s="23">
        <f t="shared" si="45"/>
        <v>0</v>
      </c>
      <c r="AJ72" s="23">
        <f t="shared" si="45"/>
        <v>0</v>
      </c>
      <c r="AK72" s="23">
        <f t="shared" si="45"/>
        <v>0</v>
      </c>
      <c r="AL72" s="23">
        <f t="shared" si="45"/>
        <v>0</v>
      </c>
      <c r="AM72" s="23">
        <f t="shared" si="45"/>
        <v>0</v>
      </c>
      <c r="AN72" s="23">
        <f t="shared" si="45"/>
        <v>431</v>
      </c>
      <c r="AO72" s="23">
        <f t="shared" si="45"/>
        <v>431</v>
      </c>
      <c r="AP72" s="23">
        <f t="shared" si="45"/>
        <v>110</v>
      </c>
      <c r="AQ72" s="23">
        <f t="shared" si="45"/>
        <v>110</v>
      </c>
      <c r="AR72" s="23">
        <f t="shared" si="45"/>
        <v>47</v>
      </c>
      <c r="AS72" s="23">
        <f t="shared" si="45"/>
        <v>47</v>
      </c>
      <c r="AT72" s="23">
        <f t="shared" si="45"/>
        <v>0</v>
      </c>
      <c r="AU72" s="23">
        <f t="shared" si="45"/>
        <v>0</v>
      </c>
      <c r="AV72" s="23">
        <f t="shared" si="42"/>
        <v>0</v>
      </c>
      <c r="AW72" s="23">
        <f t="shared" si="42"/>
        <v>0</v>
      </c>
      <c r="AX72" s="23">
        <f t="shared" si="42"/>
        <v>0</v>
      </c>
      <c r="AY72" s="23">
        <f t="shared" si="42"/>
        <v>0</v>
      </c>
      <c r="AZ72" s="23">
        <f t="shared" si="42"/>
        <v>0</v>
      </c>
      <c r="BA72" s="23">
        <f t="shared" si="42"/>
        <v>370</v>
      </c>
      <c r="BB72" s="23">
        <f t="shared" si="42"/>
        <v>370</v>
      </c>
      <c r="BC72" s="23">
        <f t="shared" si="42"/>
        <v>22</v>
      </c>
      <c r="BD72" s="23">
        <f t="shared" si="42"/>
        <v>395.7</v>
      </c>
      <c r="BE72" s="23">
        <f t="shared" si="42"/>
        <v>101</v>
      </c>
      <c r="BF72" s="23">
        <f t="shared" si="43"/>
        <v>32.5</v>
      </c>
      <c r="BG72" s="23">
        <f t="shared" si="43"/>
        <v>37.5</v>
      </c>
      <c r="BH72" s="23">
        <f t="shared" si="43"/>
        <v>37.5</v>
      </c>
      <c r="BI72" s="23">
        <f t="shared" si="43"/>
        <v>1.95</v>
      </c>
      <c r="BJ72" s="23">
        <f t="shared" si="43"/>
        <v>68.19</v>
      </c>
      <c r="BK72" s="23">
        <f t="shared" si="43"/>
        <v>68.19</v>
      </c>
      <c r="BL72" s="23">
        <f t="shared" si="43"/>
        <v>40</v>
      </c>
      <c r="BM72" s="23">
        <f t="shared" si="43"/>
        <v>14</v>
      </c>
      <c r="BN72" s="23">
        <f t="shared" si="43"/>
        <v>439.33333333333331</v>
      </c>
      <c r="BO72" s="23">
        <f t="shared" si="43"/>
        <v>439.33333333333331</v>
      </c>
      <c r="BP72" s="23">
        <f t="shared" si="43"/>
        <v>439.33333333333331</v>
      </c>
      <c r="BQ72" s="23">
        <f t="shared" si="43"/>
        <v>100</v>
      </c>
      <c r="BR72" s="23">
        <f t="shared" si="43"/>
        <v>100</v>
      </c>
      <c r="BS72" s="23">
        <f t="shared" si="43"/>
        <v>100</v>
      </c>
      <c r="BT72" s="23">
        <f t="shared" si="43"/>
        <v>100</v>
      </c>
      <c r="BU72" s="23">
        <f t="shared" si="43"/>
        <v>100</v>
      </c>
      <c r="BV72" s="23">
        <f t="shared" si="44"/>
        <v>200</v>
      </c>
      <c r="BW72" s="23">
        <f t="shared" si="44"/>
        <v>200</v>
      </c>
      <c r="BX72" s="23">
        <f t="shared" si="44"/>
        <v>200</v>
      </c>
      <c r="BY72" s="23">
        <f t="shared" si="44"/>
        <v>200</v>
      </c>
      <c r="BZ72" s="23">
        <f t="shared" si="44"/>
        <v>200</v>
      </c>
      <c r="CA72" s="23">
        <f t="shared" si="44"/>
        <v>200</v>
      </c>
      <c r="CB72" s="23">
        <f t="shared" si="44"/>
        <v>200</v>
      </c>
      <c r="CC72" s="23">
        <f t="shared" si="44"/>
        <v>200</v>
      </c>
      <c r="CD72" s="23">
        <f t="shared" si="44"/>
        <v>200</v>
      </c>
      <c r="CE72" s="23">
        <f t="shared" si="44"/>
        <v>200</v>
      </c>
      <c r="CF72" s="23">
        <f t="shared" si="44"/>
        <v>200</v>
      </c>
      <c r="CG72" s="23">
        <f t="shared" si="44"/>
        <v>200</v>
      </c>
      <c r="CH72" s="23">
        <f t="shared" si="44"/>
        <v>200</v>
      </c>
      <c r="CI72" s="23" t="e">
        <f t="shared" si="44"/>
        <v>#NUM!</v>
      </c>
      <c r="CJ72" s="23" t="e">
        <f t="shared" si="44"/>
        <v>#NUM!</v>
      </c>
      <c r="CK72" s="23" t="e">
        <f t="shared" si="44"/>
        <v>#NUM!</v>
      </c>
      <c r="CL72" s="23" t="e">
        <f t="shared" si="46"/>
        <v>#NUM!</v>
      </c>
      <c r="CM72" s="23" t="e">
        <f t="shared" si="46"/>
        <v>#NUM!</v>
      </c>
      <c r="CN72" s="23" t="e">
        <f t="shared" si="46"/>
        <v>#NUM!</v>
      </c>
      <c r="CO72" s="23" t="e">
        <f t="shared" si="46"/>
        <v>#NUM!</v>
      </c>
      <c r="CP72" s="23">
        <f t="shared" si="28"/>
        <v>5546.829999999999</v>
      </c>
      <c r="CQ72" s="67">
        <f t="shared" si="37"/>
        <v>8.2687953853506871E-2</v>
      </c>
      <c r="CR72" s="67">
        <v>0.85</v>
      </c>
      <c r="CS72" s="80">
        <f t="shared" si="33"/>
        <v>5808.7664231620183</v>
      </c>
      <c r="CT72" s="81">
        <f t="shared" si="29"/>
        <v>4937.4514596877152</v>
      </c>
      <c r="CU72" s="23">
        <f t="shared" si="30"/>
        <v>9964.8299999999981</v>
      </c>
      <c r="CV72" s="67">
        <f t="shared" si="38"/>
        <v>2.9226007639678402E-2</v>
      </c>
      <c r="CW72" s="80">
        <f t="shared" si="39"/>
        <v>10435.396418588205</v>
      </c>
      <c r="CX72" s="81">
        <f t="shared" si="34"/>
        <v>8870.086955799974</v>
      </c>
      <c r="CY72" s="65">
        <f t="shared" si="31"/>
        <v>8536.615434436937</v>
      </c>
      <c r="CZ72" s="65">
        <f>'Sensitivity - Population'!S34 + 'Sensitivity - GDP'!P35 +'Sensitivity - GDP'!P97</f>
        <v>77984.145597465336</v>
      </c>
      <c r="DA72" s="65">
        <f t="shared" si="35"/>
        <v>8902.2997257380521</v>
      </c>
      <c r="DB72" s="65">
        <f>'Sensitivity - Population'!E34+'Sensitivity - GDP'!D35+'Sensitivity - GDP'!D97</f>
        <v>71722.706832828175</v>
      </c>
      <c r="DC72" s="65">
        <f t="shared" si="36"/>
        <v>8187.5236110534452</v>
      </c>
      <c r="EQ72" s="92"/>
    </row>
    <row r="73" spans="2:147" x14ac:dyDescent="0.35">
      <c r="B73" s="90"/>
      <c r="C73" s="23">
        <v>59</v>
      </c>
      <c r="D73" s="85" t="s">
        <v>241</v>
      </c>
      <c r="E73" s="23" t="s">
        <v>227</v>
      </c>
      <c r="F73" s="23" t="s">
        <v>232</v>
      </c>
      <c r="G73" s="23">
        <f>4000/20</f>
        <v>200</v>
      </c>
      <c r="H73" s="23"/>
      <c r="I73" s="82">
        <v>47848</v>
      </c>
      <c r="J73" s="83">
        <f t="shared" ca="1" si="10"/>
        <v>-8.882191780821918</v>
      </c>
      <c r="K73" s="23" t="s">
        <v>233</v>
      </c>
      <c r="L73" s="92"/>
      <c r="N73" s="90"/>
      <c r="O73" s="79">
        <v>52596</v>
      </c>
      <c r="P73" s="23">
        <f t="shared" si="49"/>
        <v>0</v>
      </c>
      <c r="Q73" s="23">
        <f t="shared" si="49"/>
        <v>0</v>
      </c>
      <c r="R73" s="23">
        <f t="shared" si="49"/>
        <v>403.8</v>
      </c>
      <c r="S73" s="23">
        <f t="shared" si="49"/>
        <v>400</v>
      </c>
      <c r="T73" s="23">
        <f t="shared" si="49"/>
        <v>400</v>
      </c>
      <c r="U73" s="23">
        <f t="shared" si="49"/>
        <v>0</v>
      </c>
      <c r="V73" s="23">
        <f t="shared" si="49"/>
        <v>0</v>
      </c>
      <c r="W73" s="23">
        <f t="shared" si="49"/>
        <v>420</v>
      </c>
      <c r="X73" s="23">
        <f t="shared" si="49"/>
        <v>420</v>
      </c>
      <c r="Y73" s="23">
        <f t="shared" si="49"/>
        <v>47.8</v>
      </c>
      <c r="Z73" s="23">
        <f t="shared" si="49"/>
        <v>132</v>
      </c>
      <c r="AA73" s="23">
        <f t="shared" si="49"/>
        <v>0</v>
      </c>
      <c r="AB73" s="23">
        <f t="shared" si="49"/>
        <v>0</v>
      </c>
      <c r="AC73" s="23">
        <f t="shared" si="49"/>
        <v>0</v>
      </c>
      <c r="AD73" s="23">
        <f t="shared" si="49"/>
        <v>0</v>
      </c>
      <c r="AE73" s="23">
        <f t="shared" si="49"/>
        <v>405.9</v>
      </c>
      <c r="AF73" s="23">
        <f t="shared" si="45"/>
        <v>60</v>
      </c>
      <c r="AG73" s="23">
        <f t="shared" si="45"/>
        <v>67.8</v>
      </c>
      <c r="AH73" s="23">
        <f t="shared" si="45"/>
        <v>55</v>
      </c>
      <c r="AI73" s="23">
        <f t="shared" si="45"/>
        <v>0</v>
      </c>
      <c r="AJ73" s="23">
        <f t="shared" si="45"/>
        <v>0</v>
      </c>
      <c r="AK73" s="23">
        <f t="shared" si="45"/>
        <v>0</v>
      </c>
      <c r="AL73" s="23">
        <f t="shared" si="45"/>
        <v>0</v>
      </c>
      <c r="AM73" s="23">
        <f t="shared" si="45"/>
        <v>0</v>
      </c>
      <c r="AN73" s="23">
        <f t="shared" si="45"/>
        <v>431</v>
      </c>
      <c r="AO73" s="23">
        <f t="shared" si="45"/>
        <v>431</v>
      </c>
      <c r="AP73" s="23">
        <f t="shared" si="45"/>
        <v>110</v>
      </c>
      <c r="AQ73" s="23">
        <f t="shared" si="45"/>
        <v>110</v>
      </c>
      <c r="AR73" s="23">
        <f t="shared" si="45"/>
        <v>47</v>
      </c>
      <c r="AS73" s="23">
        <f t="shared" si="45"/>
        <v>47</v>
      </c>
      <c r="AT73" s="23">
        <f t="shared" si="45"/>
        <v>0</v>
      </c>
      <c r="AU73" s="23">
        <f t="shared" si="45"/>
        <v>0</v>
      </c>
      <c r="AV73" s="23">
        <f t="shared" si="42"/>
        <v>0</v>
      </c>
      <c r="AW73" s="23">
        <f t="shared" si="42"/>
        <v>0</v>
      </c>
      <c r="AX73" s="23">
        <f t="shared" si="42"/>
        <v>0</v>
      </c>
      <c r="AY73" s="23">
        <f t="shared" si="42"/>
        <v>0</v>
      </c>
      <c r="AZ73" s="23">
        <f t="shared" si="42"/>
        <v>0</v>
      </c>
      <c r="BA73" s="23">
        <f t="shared" si="42"/>
        <v>370</v>
      </c>
      <c r="BB73" s="23">
        <f t="shared" si="42"/>
        <v>370</v>
      </c>
      <c r="BC73" s="23">
        <f t="shared" si="42"/>
        <v>22</v>
      </c>
      <c r="BD73" s="23">
        <f t="shared" si="42"/>
        <v>395.7</v>
      </c>
      <c r="BE73" s="23">
        <f t="shared" si="42"/>
        <v>101</v>
      </c>
      <c r="BF73" s="23">
        <f t="shared" si="43"/>
        <v>32.5</v>
      </c>
      <c r="BG73" s="23">
        <f t="shared" si="43"/>
        <v>37.5</v>
      </c>
      <c r="BH73" s="23">
        <f t="shared" si="43"/>
        <v>37.5</v>
      </c>
      <c r="BI73" s="23">
        <f t="shared" si="43"/>
        <v>1.95</v>
      </c>
      <c r="BJ73" s="23">
        <f t="shared" si="43"/>
        <v>68.19</v>
      </c>
      <c r="BK73" s="23">
        <f t="shared" si="43"/>
        <v>68.19</v>
      </c>
      <c r="BL73" s="23">
        <f t="shared" si="43"/>
        <v>40</v>
      </c>
      <c r="BM73" s="23">
        <f t="shared" si="43"/>
        <v>14</v>
      </c>
      <c r="BN73" s="23">
        <f t="shared" si="43"/>
        <v>439.33333333333331</v>
      </c>
      <c r="BO73" s="23">
        <f t="shared" si="43"/>
        <v>439.33333333333331</v>
      </c>
      <c r="BP73" s="23">
        <f t="shared" si="43"/>
        <v>439.33333333333331</v>
      </c>
      <c r="BQ73" s="23">
        <f t="shared" si="43"/>
        <v>100</v>
      </c>
      <c r="BR73" s="23">
        <f t="shared" si="43"/>
        <v>100</v>
      </c>
      <c r="BS73" s="23">
        <f t="shared" si="43"/>
        <v>100</v>
      </c>
      <c r="BT73" s="23">
        <f t="shared" si="43"/>
        <v>100</v>
      </c>
      <c r="BU73" s="23">
        <f t="shared" si="43"/>
        <v>100</v>
      </c>
      <c r="BV73" s="23">
        <f t="shared" si="44"/>
        <v>200</v>
      </c>
      <c r="BW73" s="23">
        <f t="shared" si="44"/>
        <v>200</v>
      </c>
      <c r="BX73" s="23">
        <f t="shared" si="44"/>
        <v>200</v>
      </c>
      <c r="BY73" s="23">
        <f t="shared" si="44"/>
        <v>200</v>
      </c>
      <c r="BZ73" s="23">
        <f t="shared" si="44"/>
        <v>200</v>
      </c>
      <c r="CA73" s="23">
        <f t="shared" si="44"/>
        <v>200</v>
      </c>
      <c r="CB73" s="23">
        <f t="shared" si="44"/>
        <v>200</v>
      </c>
      <c r="CC73" s="23">
        <f t="shared" si="44"/>
        <v>200</v>
      </c>
      <c r="CD73" s="23">
        <f t="shared" si="44"/>
        <v>200</v>
      </c>
      <c r="CE73" s="23">
        <f t="shared" si="44"/>
        <v>200</v>
      </c>
      <c r="CF73" s="23">
        <f t="shared" si="44"/>
        <v>200</v>
      </c>
      <c r="CG73" s="23">
        <f t="shared" si="44"/>
        <v>200</v>
      </c>
      <c r="CH73" s="23">
        <f t="shared" si="44"/>
        <v>200</v>
      </c>
      <c r="CI73" s="23">
        <f t="shared" si="44"/>
        <v>200</v>
      </c>
      <c r="CJ73" s="23" t="e">
        <f t="shared" si="44"/>
        <v>#NUM!</v>
      </c>
      <c r="CK73" s="23" t="e">
        <f t="shared" si="44"/>
        <v>#NUM!</v>
      </c>
      <c r="CL73" s="23" t="e">
        <f t="shared" si="46"/>
        <v>#NUM!</v>
      </c>
      <c r="CM73" s="23" t="e">
        <f t="shared" si="46"/>
        <v>#NUM!</v>
      </c>
      <c r="CN73" s="23" t="e">
        <f t="shared" si="46"/>
        <v>#NUM!</v>
      </c>
      <c r="CO73" s="23" t="e">
        <f t="shared" si="46"/>
        <v>#NUM!</v>
      </c>
      <c r="CP73" s="23">
        <f t="shared" si="28"/>
        <v>5546.829999999999</v>
      </c>
      <c r="CQ73" s="67">
        <f t="shared" si="37"/>
        <v>0</v>
      </c>
      <c r="CR73" s="67">
        <v>0.85</v>
      </c>
      <c r="CS73" s="80">
        <f t="shared" si="33"/>
        <v>5808.7664231620183</v>
      </c>
      <c r="CT73" s="81">
        <f t="shared" si="29"/>
        <v>4937.4514596877152</v>
      </c>
      <c r="CU73" s="23">
        <f t="shared" si="30"/>
        <v>10164.829999999998</v>
      </c>
      <c r="CV73" s="67">
        <f t="shared" si="38"/>
        <v>-2.0070588258906577E-2</v>
      </c>
      <c r="CW73" s="80">
        <f t="shared" si="39"/>
        <v>10644.840963424156</v>
      </c>
      <c r="CX73" s="81">
        <f t="shared" si="34"/>
        <v>9048.1148189105334</v>
      </c>
      <c r="CY73" s="65">
        <f t="shared" si="31"/>
        <v>8652.9074514115582</v>
      </c>
      <c r="CZ73" s="65">
        <f>'Sensitivity - Population'!S35 + 'Sensitivity - GDP'!P36 +'Sensitivity - GDP'!P98</f>
        <v>79091.213920353359</v>
      </c>
      <c r="DA73" s="65">
        <f t="shared" si="35"/>
        <v>9028.6773881681911</v>
      </c>
      <c r="DB73" s="65">
        <f>'Sensitivity - Population'!E35+'Sensitivity - GDP'!D36+'Sensitivity - GDP'!D98</f>
        <v>72710.144078134981</v>
      </c>
      <c r="DC73" s="65">
        <f t="shared" si="36"/>
        <v>8300.2447577779658</v>
      </c>
      <c r="EQ73" s="92"/>
    </row>
    <row r="74" spans="2:147" x14ac:dyDescent="0.35">
      <c r="B74" s="90"/>
      <c r="C74" s="23">
        <v>60</v>
      </c>
      <c r="D74" s="85" t="s">
        <v>242</v>
      </c>
      <c r="E74" s="23" t="s">
        <v>227</v>
      </c>
      <c r="F74" s="23" t="s">
        <v>232</v>
      </c>
      <c r="G74" s="23">
        <f t="shared" ref="G74:G92" si="50">4000/20</f>
        <v>200</v>
      </c>
      <c r="H74" s="23"/>
      <c r="I74" s="82">
        <v>48213</v>
      </c>
      <c r="J74" s="83">
        <f t="shared" ca="1" si="10"/>
        <v>-9.882191780821918</v>
      </c>
      <c r="K74" s="23" t="s">
        <v>233</v>
      </c>
      <c r="L74" s="92"/>
      <c r="N74" s="90"/>
      <c r="O74" s="79">
        <v>52962</v>
      </c>
      <c r="P74" s="23">
        <f t="shared" si="49"/>
        <v>0</v>
      </c>
      <c r="Q74" s="23">
        <f t="shared" si="49"/>
        <v>0</v>
      </c>
      <c r="R74" s="23">
        <f t="shared" si="49"/>
        <v>403.8</v>
      </c>
      <c r="S74" s="23">
        <f t="shared" si="49"/>
        <v>400</v>
      </c>
      <c r="T74" s="23">
        <f t="shared" si="49"/>
        <v>400</v>
      </c>
      <c r="U74" s="23">
        <f t="shared" si="49"/>
        <v>0</v>
      </c>
      <c r="V74" s="23">
        <f t="shared" si="49"/>
        <v>0</v>
      </c>
      <c r="W74" s="23">
        <f t="shared" si="49"/>
        <v>420</v>
      </c>
      <c r="X74" s="23">
        <f t="shared" si="49"/>
        <v>420</v>
      </c>
      <c r="Y74" s="23">
        <f t="shared" si="49"/>
        <v>47.8</v>
      </c>
      <c r="Z74" s="23">
        <f t="shared" si="49"/>
        <v>132</v>
      </c>
      <c r="AA74" s="23">
        <f t="shared" si="49"/>
        <v>0</v>
      </c>
      <c r="AB74" s="23">
        <f t="shared" si="49"/>
        <v>0</v>
      </c>
      <c r="AC74" s="23">
        <f t="shared" si="49"/>
        <v>0</v>
      </c>
      <c r="AD74" s="23">
        <f t="shared" si="49"/>
        <v>0</v>
      </c>
      <c r="AE74" s="23">
        <f t="shared" si="49"/>
        <v>405.9</v>
      </c>
      <c r="AF74" s="23">
        <f t="shared" si="45"/>
        <v>60</v>
      </c>
      <c r="AG74" s="23">
        <f t="shared" si="45"/>
        <v>67.8</v>
      </c>
      <c r="AH74" s="23">
        <f t="shared" si="45"/>
        <v>55</v>
      </c>
      <c r="AI74" s="23">
        <f t="shared" si="45"/>
        <v>0</v>
      </c>
      <c r="AJ74" s="23">
        <f t="shared" si="45"/>
        <v>0</v>
      </c>
      <c r="AK74" s="23">
        <f t="shared" si="45"/>
        <v>0</v>
      </c>
      <c r="AL74" s="23">
        <f t="shared" si="45"/>
        <v>0</v>
      </c>
      <c r="AM74" s="23">
        <f t="shared" si="45"/>
        <v>0</v>
      </c>
      <c r="AN74" s="23">
        <f t="shared" si="45"/>
        <v>431</v>
      </c>
      <c r="AO74" s="23">
        <f t="shared" si="45"/>
        <v>431</v>
      </c>
      <c r="AP74" s="23">
        <f t="shared" si="45"/>
        <v>110</v>
      </c>
      <c r="AQ74" s="23">
        <f t="shared" si="45"/>
        <v>110</v>
      </c>
      <c r="AR74" s="23">
        <f t="shared" si="45"/>
        <v>47</v>
      </c>
      <c r="AS74" s="23">
        <f t="shared" si="45"/>
        <v>47</v>
      </c>
      <c r="AT74" s="23">
        <f t="shared" si="45"/>
        <v>0</v>
      </c>
      <c r="AU74" s="23">
        <f t="shared" si="45"/>
        <v>0</v>
      </c>
      <c r="AV74" s="23">
        <f t="shared" si="42"/>
        <v>0</v>
      </c>
      <c r="AW74" s="23">
        <f t="shared" si="42"/>
        <v>0</v>
      </c>
      <c r="AX74" s="23">
        <f t="shared" si="42"/>
        <v>0</v>
      </c>
      <c r="AY74" s="23">
        <f t="shared" si="42"/>
        <v>0</v>
      </c>
      <c r="AZ74" s="23">
        <f t="shared" si="42"/>
        <v>0</v>
      </c>
      <c r="BA74" s="23">
        <f t="shared" si="42"/>
        <v>370</v>
      </c>
      <c r="BB74" s="23">
        <f t="shared" si="42"/>
        <v>370</v>
      </c>
      <c r="BC74" s="23">
        <f t="shared" si="42"/>
        <v>22</v>
      </c>
      <c r="BD74" s="23">
        <f t="shared" si="42"/>
        <v>395.7</v>
      </c>
      <c r="BE74" s="23">
        <f t="shared" si="42"/>
        <v>101</v>
      </c>
      <c r="BF74" s="23">
        <f t="shared" si="43"/>
        <v>32.5</v>
      </c>
      <c r="BG74" s="23">
        <f t="shared" si="43"/>
        <v>37.5</v>
      </c>
      <c r="BH74" s="23">
        <f t="shared" si="43"/>
        <v>37.5</v>
      </c>
      <c r="BI74" s="23">
        <f t="shared" si="43"/>
        <v>1.95</v>
      </c>
      <c r="BJ74" s="23">
        <f t="shared" si="43"/>
        <v>68.19</v>
      </c>
      <c r="BK74" s="23">
        <f t="shared" si="43"/>
        <v>68.19</v>
      </c>
      <c r="BL74" s="23">
        <f t="shared" si="43"/>
        <v>40</v>
      </c>
      <c r="BM74" s="23">
        <f t="shared" si="43"/>
        <v>14</v>
      </c>
      <c r="BN74" s="23">
        <f t="shared" si="43"/>
        <v>439.33333333333331</v>
      </c>
      <c r="BO74" s="23">
        <f t="shared" si="43"/>
        <v>439.33333333333331</v>
      </c>
      <c r="BP74" s="23">
        <f t="shared" si="43"/>
        <v>439.33333333333331</v>
      </c>
      <c r="BQ74" s="23">
        <f t="shared" si="43"/>
        <v>100</v>
      </c>
      <c r="BR74" s="23">
        <f t="shared" si="43"/>
        <v>100</v>
      </c>
      <c r="BS74" s="23">
        <f t="shared" si="43"/>
        <v>100</v>
      </c>
      <c r="BT74" s="23">
        <f t="shared" si="43"/>
        <v>100</v>
      </c>
      <c r="BU74" s="23">
        <f t="shared" si="43"/>
        <v>100</v>
      </c>
      <c r="BV74" s="23">
        <f t="shared" si="44"/>
        <v>200</v>
      </c>
      <c r="BW74" s="23">
        <f t="shared" si="44"/>
        <v>200</v>
      </c>
      <c r="BX74" s="23">
        <f t="shared" si="44"/>
        <v>200</v>
      </c>
      <c r="BY74" s="23">
        <f t="shared" si="44"/>
        <v>200</v>
      </c>
      <c r="BZ74" s="23">
        <f t="shared" si="44"/>
        <v>200</v>
      </c>
      <c r="CA74" s="23">
        <f t="shared" si="44"/>
        <v>200</v>
      </c>
      <c r="CB74" s="23">
        <f t="shared" si="44"/>
        <v>200</v>
      </c>
      <c r="CC74" s="23">
        <f t="shared" si="44"/>
        <v>200</v>
      </c>
      <c r="CD74" s="23">
        <f t="shared" si="44"/>
        <v>200</v>
      </c>
      <c r="CE74" s="23">
        <f t="shared" si="44"/>
        <v>200</v>
      </c>
      <c r="CF74" s="23">
        <f t="shared" si="44"/>
        <v>200</v>
      </c>
      <c r="CG74" s="23">
        <f t="shared" si="44"/>
        <v>200</v>
      </c>
      <c r="CH74" s="23">
        <f t="shared" si="44"/>
        <v>200</v>
      </c>
      <c r="CI74" s="23">
        <f t="shared" si="44"/>
        <v>200</v>
      </c>
      <c r="CJ74" s="23">
        <f t="shared" si="44"/>
        <v>200</v>
      </c>
      <c r="CK74" s="23" t="e">
        <f t="shared" si="44"/>
        <v>#NUM!</v>
      </c>
      <c r="CL74" s="23" t="e">
        <f t="shared" si="46"/>
        <v>#NUM!</v>
      </c>
      <c r="CM74" s="23" t="e">
        <f t="shared" si="46"/>
        <v>#NUM!</v>
      </c>
      <c r="CN74" s="23" t="e">
        <f t="shared" si="46"/>
        <v>#NUM!</v>
      </c>
      <c r="CO74" s="23" t="e">
        <f t="shared" si="46"/>
        <v>#NUM!</v>
      </c>
      <c r="CP74" s="23">
        <f t="shared" si="28"/>
        <v>5546.829999999999</v>
      </c>
      <c r="CQ74" s="67">
        <f t="shared" si="37"/>
        <v>0</v>
      </c>
      <c r="CR74" s="67">
        <v>0.85</v>
      </c>
      <c r="CS74" s="80">
        <f t="shared" si="33"/>
        <v>5808.7664231620183</v>
      </c>
      <c r="CT74" s="81">
        <f t="shared" si="29"/>
        <v>4937.4514596877152</v>
      </c>
      <c r="CU74" s="23">
        <f t="shared" si="30"/>
        <v>10364.829999999998</v>
      </c>
      <c r="CV74" s="67">
        <f t="shared" si="38"/>
        <v>-1.9675685673051103E-2</v>
      </c>
      <c r="CW74" s="80">
        <f t="shared" si="39"/>
        <v>10854.285508260109</v>
      </c>
      <c r="CX74" s="81">
        <f t="shared" si="34"/>
        <v>9226.1426820210927</v>
      </c>
      <c r="CY74" s="65">
        <f t="shared" si="31"/>
        <v>8769.0708223730744</v>
      </c>
      <c r="CZ74" s="65">
        <f>'Sensitivity - Population'!S36 + 'Sensitivity - GDP'!P37 +'Sensitivity - GDP'!P99</f>
        <v>80197.160629562233</v>
      </c>
      <c r="DA74" s="65">
        <f t="shared" si="35"/>
        <v>9154.9270125071034</v>
      </c>
      <c r="DB74" s="65">
        <f>'Sensitivity - Population'!E36+'Sensitivity - GDP'!D37+'Sensitivity - GDP'!D99</f>
        <v>73696.475272291398</v>
      </c>
      <c r="DC74" s="65">
        <f t="shared" si="36"/>
        <v>8412.8396429556378</v>
      </c>
      <c r="EQ74" s="92"/>
    </row>
    <row r="75" spans="2:147" x14ac:dyDescent="0.35">
      <c r="B75" s="90"/>
      <c r="C75" s="23">
        <v>61</v>
      </c>
      <c r="D75" s="85" t="s">
        <v>243</v>
      </c>
      <c r="E75" s="23" t="s">
        <v>227</v>
      </c>
      <c r="F75" s="23" t="s">
        <v>232</v>
      </c>
      <c r="G75" s="23">
        <f t="shared" si="50"/>
        <v>200</v>
      </c>
      <c r="H75" s="23"/>
      <c r="I75" s="82">
        <v>48579</v>
      </c>
      <c r="J75" s="83">
        <f t="shared" ca="1" si="10"/>
        <v>-10.884931506849314</v>
      </c>
      <c r="K75" s="23" t="s">
        <v>233</v>
      </c>
      <c r="L75" s="92"/>
      <c r="N75" s="90"/>
      <c r="O75" s="79">
        <v>53327</v>
      </c>
      <c r="P75" s="23">
        <f t="shared" si="49"/>
        <v>0</v>
      </c>
      <c r="Q75" s="23">
        <f t="shared" si="49"/>
        <v>0</v>
      </c>
      <c r="R75" s="23">
        <f t="shared" si="49"/>
        <v>403.8</v>
      </c>
      <c r="S75" s="23">
        <f t="shared" si="49"/>
        <v>400</v>
      </c>
      <c r="T75" s="23">
        <f t="shared" si="49"/>
        <v>400</v>
      </c>
      <c r="U75" s="23">
        <f t="shared" si="49"/>
        <v>0</v>
      </c>
      <c r="V75" s="23">
        <f t="shared" si="49"/>
        <v>0</v>
      </c>
      <c r="W75" s="23">
        <f t="shared" si="49"/>
        <v>420</v>
      </c>
      <c r="X75" s="23">
        <f t="shared" si="49"/>
        <v>420</v>
      </c>
      <c r="Y75" s="23">
        <f t="shared" si="49"/>
        <v>47.8</v>
      </c>
      <c r="Z75" s="23">
        <f t="shared" si="49"/>
        <v>132</v>
      </c>
      <c r="AA75" s="23">
        <f t="shared" si="49"/>
        <v>0</v>
      </c>
      <c r="AB75" s="23">
        <f t="shared" si="49"/>
        <v>0</v>
      </c>
      <c r="AC75" s="23">
        <f t="shared" si="49"/>
        <v>0</v>
      </c>
      <c r="AD75" s="23">
        <f t="shared" si="49"/>
        <v>0</v>
      </c>
      <c r="AE75" s="23">
        <f t="shared" si="49"/>
        <v>405.9</v>
      </c>
      <c r="AF75" s="23">
        <f t="shared" si="45"/>
        <v>60</v>
      </c>
      <c r="AG75" s="23">
        <f t="shared" si="45"/>
        <v>67.8</v>
      </c>
      <c r="AH75" s="23">
        <f t="shared" si="45"/>
        <v>55</v>
      </c>
      <c r="AI75" s="23">
        <f t="shared" si="45"/>
        <v>0</v>
      </c>
      <c r="AJ75" s="23">
        <f t="shared" si="45"/>
        <v>0</v>
      </c>
      <c r="AK75" s="23">
        <f t="shared" si="45"/>
        <v>0</v>
      </c>
      <c r="AL75" s="23">
        <f t="shared" si="45"/>
        <v>0</v>
      </c>
      <c r="AM75" s="23">
        <f t="shared" si="45"/>
        <v>0</v>
      </c>
      <c r="AN75" s="23">
        <f t="shared" si="45"/>
        <v>431</v>
      </c>
      <c r="AO75" s="23">
        <f t="shared" si="45"/>
        <v>431</v>
      </c>
      <c r="AP75" s="23">
        <f t="shared" si="45"/>
        <v>110</v>
      </c>
      <c r="AQ75" s="23">
        <f t="shared" si="45"/>
        <v>110</v>
      </c>
      <c r="AR75" s="23">
        <f t="shared" si="45"/>
        <v>47</v>
      </c>
      <c r="AS75" s="23">
        <f t="shared" si="45"/>
        <v>47</v>
      </c>
      <c r="AT75" s="23">
        <f t="shared" si="45"/>
        <v>0</v>
      </c>
      <c r="AU75" s="23">
        <f t="shared" si="45"/>
        <v>0</v>
      </c>
      <c r="AV75" s="23">
        <f t="shared" si="42"/>
        <v>0</v>
      </c>
      <c r="AW75" s="23">
        <f t="shared" si="42"/>
        <v>0</v>
      </c>
      <c r="AX75" s="23">
        <f t="shared" si="42"/>
        <v>0</v>
      </c>
      <c r="AY75" s="23">
        <f t="shared" si="42"/>
        <v>0</v>
      </c>
      <c r="AZ75" s="23">
        <f t="shared" si="42"/>
        <v>0</v>
      </c>
      <c r="BA75" s="23">
        <f t="shared" si="42"/>
        <v>0</v>
      </c>
      <c r="BB75" s="23">
        <f t="shared" si="42"/>
        <v>0</v>
      </c>
      <c r="BC75" s="23">
        <f t="shared" si="42"/>
        <v>22</v>
      </c>
      <c r="BD75" s="23">
        <f t="shared" si="42"/>
        <v>395.7</v>
      </c>
      <c r="BE75" s="23">
        <f t="shared" si="42"/>
        <v>101</v>
      </c>
      <c r="BF75" s="23">
        <f t="shared" si="43"/>
        <v>32.5</v>
      </c>
      <c r="BG75" s="23">
        <f t="shared" si="43"/>
        <v>37.5</v>
      </c>
      <c r="BH75" s="23">
        <f t="shared" si="43"/>
        <v>37.5</v>
      </c>
      <c r="BI75" s="23">
        <f t="shared" si="43"/>
        <v>1.95</v>
      </c>
      <c r="BJ75" s="23">
        <f t="shared" si="43"/>
        <v>68.19</v>
      </c>
      <c r="BK75" s="23">
        <f t="shared" si="43"/>
        <v>68.19</v>
      </c>
      <c r="BL75" s="23">
        <f t="shared" si="43"/>
        <v>40</v>
      </c>
      <c r="BM75" s="23">
        <f t="shared" si="43"/>
        <v>14</v>
      </c>
      <c r="BN75" s="23">
        <f t="shared" si="43"/>
        <v>439.33333333333331</v>
      </c>
      <c r="BO75" s="23">
        <f t="shared" si="43"/>
        <v>439.33333333333331</v>
      </c>
      <c r="BP75" s="23">
        <f t="shared" si="43"/>
        <v>439.33333333333331</v>
      </c>
      <c r="BQ75" s="23">
        <f t="shared" si="43"/>
        <v>100</v>
      </c>
      <c r="BR75" s="23">
        <f t="shared" si="43"/>
        <v>100</v>
      </c>
      <c r="BS75" s="23">
        <f t="shared" si="43"/>
        <v>100</v>
      </c>
      <c r="BT75" s="23">
        <f t="shared" si="43"/>
        <v>100</v>
      </c>
      <c r="BU75" s="23">
        <f t="shared" ref="BU75:BZ80" si="51">IF(VLOOKUP(BU$13,$C$15:$J$92,3,FALSE) &lt;&gt; "Incineration", IF(DATEDIF(VLOOKUP(BU$13,$C$15:$J$92,7,FALSE),$O75,"y")&gt;=$P$48,0,VLOOKUP(BU$13,$C$15:$J$92,5,FALSE)), VLOOKUP(BU$13,$C$15:$J$92,5,FALSE))</f>
        <v>100</v>
      </c>
      <c r="BV75" s="23">
        <f t="shared" si="51"/>
        <v>200</v>
      </c>
      <c r="BW75" s="23">
        <f t="shared" si="51"/>
        <v>200</v>
      </c>
      <c r="BX75" s="23">
        <f t="shared" si="51"/>
        <v>200</v>
      </c>
      <c r="BY75" s="23">
        <f t="shared" si="51"/>
        <v>200</v>
      </c>
      <c r="BZ75" s="23">
        <f t="shared" si="51"/>
        <v>200</v>
      </c>
      <c r="CA75" s="23">
        <f t="shared" si="44"/>
        <v>200</v>
      </c>
      <c r="CB75" s="23">
        <f t="shared" si="44"/>
        <v>200</v>
      </c>
      <c r="CC75" s="23">
        <f t="shared" si="44"/>
        <v>200</v>
      </c>
      <c r="CD75" s="23">
        <f t="shared" si="44"/>
        <v>200</v>
      </c>
      <c r="CE75" s="23">
        <f t="shared" si="44"/>
        <v>200</v>
      </c>
      <c r="CF75" s="23">
        <f t="shared" si="44"/>
        <v>200</v>
      </c>
      <c r="CG75" s="23">
        <f t="shared" si="44"/>
        <v>200</v>
      </c>
      <c r="CH75" s="23">
        <f t="shared" si="44"/>
        <v>200</v>
      </c>
      <c r="CI75" s="23">
        <f t="shared" si="44"/>
        <v>200</v>
      </c>
      <c r="CJ75" s="23">
        <f t="shared" si="44"/>
        <v>200</v>
      </c>
      <c r="CK75" s="23">
        <f t="shared" si="44"/>
        <v>200</v>
      </c>
      <c r="CL75" s="23" t="e">
        <f t="shared" si="46"/>
        <v>#NUM!</v>
      </c>
      <c r="CM75" s="23" t="e">
        <f t="shared" si="46"/>
        <v>#NUM!</v>
      </c>
      <c r="CN75" s="23" t="e">
        <f t="shared" si="46"/>
        <v>#NUM!</v>
      </c>
      <c r="CO75" s="23" t="e">
        <f t="shared" si="46"/>
        <v>#NUM!</v>
      </c>
      <c r="CP75" s="23">
        <f t="shared" si="28"/>
        <v>4806.829999999999</v>
      </c>
      <c r="CQ75" s="67">
        <f t="shared" si="37"/>
        <v>0.13340953301254954</v>
      </c>
      <c r="CR75" s="67">
        <v>0.85</v>
      </c>
      <c r="CS75" s="80">
        <f t="shared" si="33"/>
        <v>5033.8216072689956</v>
      </c>
      <c r="CT75" s="81">
        <f t="shared" si="29"/>
        <v>4278.7483661786464</v>
      </c>
      <c r="CU75" s="23">
        <f t="shared" si="30"/>
        <v>9824.8299999999981</v>
      </c>
      <c r="CV75" s="67">
        <f t="shared" si="38"/>
        <v>5.2099262602473953E-2</v>
      </c>
      <c r="CW75" s="80">
        <f t="shared" si="39"/>
        <v>10288.785237203037</v>
      </c>
      <c r="CX75" s="81">
        <f t="shared" si="34"/>
        <v>8745.4674516225823</v>
      </c>
      <c r="CY75" s="65">
        <f t="shared" si="31"/>
        <v>8885.1038623933546</v>
      </c>
      <c r="CZ75" s="65">
        <f>'Sensitivity - Population'!S37 + 'Sensitivity - GDP'!P38 +'Sensitivity - GDP'!P100</f>
        <v>81301.970257244655</v>
      </c>
      <c r="DA75" s="65">
        <f t="shared" si="35"/>
        <v>9281.0468330187978</v>
      </c>
      <c r="DB75" s="65">
        <f>'Sensitivity - Population'!E37+'Sensitivity - GDP'!D38+'Sensitivity - GDP'!D100</f>
        <v>74681.685162068417</v>
      </c>
      <c r="DC75" s="65">
        <f t="shared" si="36"/>
        <v>8525.3065253502755</v>
      </c>
      <c r="EQ75" s="92"/>
    </row>
    <row r="76" spans="2:147" x14ac:dyDescent="0.35">
      <c r="B76" s="90"/>
      <c r="C76" s="23">
        <v>62</v>
      </c>
      <c r="D76" s="85" t="s">
        <v>244</v>
      </c>
      <c r="E76" s="23" t="s">
        <v>227</v>
      </c>
      <c r="F76" s="23" t="s">
        <v>232</v>
      </c>
      <c r="G76" s="23">
        <f t="shared" si="50"/>
        <v>200</v>
      </c>
      <c r="H76" s="23"/>
      <c r="I76" s="82">
        <v>48944</v>
      </c>
      <c r="J76" s="83">
        <f t="shared" ca="1" si="10"/>
        <v>-11.884931506849314</v>
      </c>
      <c r="K76" s="23" t="s">
        <v>233</v>
      </c>
      <c r="L76" s="92"/>
      <c r="N76" s="90"/>
      <c r="O76" s="79">
        <v>53692</v>
      </c>
      <c r="P76" s="23">
        <f t="shared" si="49"/>
        <v>0</v>
      </c>
      <c r="Q76" s="23">
        <f t="shared" si="49"/>
        <v>0</v>
      </c>
      <c r="R76" s="23">
        <f t="shared" si="49"/>
        <v>403.8</v>
      </c>
      <c r="S76" s="23">
        <f t="shared" si="49"/>
        <v>400</v>
      </c>
      <c r="T76" s="23">
        <f t="shared" si="49"/>
        <v>400</v>
      </c>
      <c r="U76" s="23">
        <f t="shared" si="49"/>
        <v>0</v>
      </c>
      <c r="V76" s="23">
        <f t="shared" si="49"/>
        <v>0</v>
      </c>
      <c r="W76" s="23">
        <f t="shared" si="49"/>
        <v>420</v>
      </c>
      <c r="X76" s="23">
        <f t="shared" si="49"/>
        <v>420</v>
      </c>
      <c r="Y76" s="23">
        <f t="shared" si="49"/>
        <v>47.8</v>
      </c>
      <c r="Z76" s="23">
        <f t="shared" si="49"/>
        <v>132</v>
      </c>
      <c r="AA76" s="23">
        <f t="shared" si="49"/>
        <v>0</v>
      </c>
      <c r="AB76" s="23">
        <f t="shared" si="49"/>
        <v>0</v>
      </c>
      <c r="AC76" s="23">
        <f t="shared" si="49"/>
        <v>0</v>
      </c>
      <c r="AD76" s="23">
        <f t="shared" si="49"/>
        <v>0</v>
      </c>
      <c r="AE76" s="23">
        <f t="shared" si="49"/>
        <v>405.9</v>
      </c>
      <c r="AF76" s="23">
        <f t="shared" si="45"/>
        <v>0</v>
      </c>
      <c r="AG76" s="23">
        <f t="shared" si="45"/>
        <v>67.8</v>
      </c>
      <c r="AH76" s="23">
        <f t="shared" si="45"/>
        <v>55</v>
      </c>
      <c r="AI76" s="23">
        <f t="shared" si="45"/>
        <v>0</v>
      </c>
      <c r="AJ76" s="23">
        <f t="shared" si="45"/>
        <v>0</v>
      </c>
      <c r="AK76" s="23">
        <f t="shared" si="45"/>
        <v>0</v>
      </c>
      <c r="AL76" s="23">
        <f t="shared" si="45"/>
        <v>0</v>
      </c>
      <c r="AM76" s="23">
        <f t="shared" si="45"/>
        <v>0</v>
      </c>
      <c r="AN76" s="23">
        <f t="shared" si="45"/>
        <v>431</v>
      </c>
      <c r="AO76" s="23">
        <f t="shared" si="45"/>
        <v>431</v>
      </c>
      <c r="AP76" s="23">
        <f t="shared" si="45"/>
        <v>110</v>
      </c>
      <c r="AQ76" s="23">
        <f t="shared" si="45"/>
        <v>110</v>
      </c>
      <c r="AR76" s="23">
        <f t="shared" si="45"/>
        <v>47</v>
      </c>
      <c r="AS76" s="23">
        <f t="shared" si="45"/>
        <v>47</v>
      </c>
      <c r="AT76" s="23">
        <f t="shared" si="45"/>
        <v>0</v>
      </c>
      <c r="AU76" s="23">
        <f t="shared" ref="AU76:BJ80" si="52">IF(VLOOKUP(AU$13,$C$15:$J$92,3,FALSE) &lt;&gt; "Incineration", IF(DATEDIF(VLOOKUP(AU$13,$C$15:$J$92,7,FALSE),$O76,"y")&gt;=$P$48,0,VLOOKUP(AU$13,$C$15:$J$92,5,FALSE)), VLOOKUP(AU$13,$C$15:$J$92,5,FALSE))</f>
        <v>0</v>
      </c>
      <c r="AV76" s="23">
        <f t="shared" si="52"/>
        <v>0</v>
      </c>
      <c r="AW76" s="23">
        <f t="shared" si="52"/>
        <v>0</v>
      </c>
      <c r="AX76" s="23">
        <f t="shared" si="52"/>
        <v>0</v>
      </c>
      <c r="AY76" s="23">
        <f t="shared" si="52"/>
        <v>0</v>
      </c>
      <c r="AZ76" s="23">
        <f t="shared" si="52"/>
        <v>0</v>
      </c>
      <c r="BA76" s="23">
        <f t="shared" si="52"/>
        <v>0</v>
      </c>
      <c r="BB76" s="23">
        <f t="shared" si="52"/>
        <v>0</v>
      </c>
      <c r="BC76" s="23">
        <f t="shared" si="52"/>
        <v>22</v>
      </c>
      <c r="BD76" s="23">
        <f t="shared" si="42"/>
        <v>395.7</v>
      </c>
      <c r="BE76" s="23">
        <f t="shared" si="42"/>
        <v>101</v>
      </c>
      <c r="BF76" s="23">
        <f t="shared" ref="BF76:BU80" si="53">IF(VLOOKUP(BF$13,$C$15:$J$92,3,FALSE) &lt;&gt; "Incineration", IF(DATEDIF(VLOOKUP(BF$13,$C$15:$J$92,7,FALSE),$O76,"y")&gt;=$P$48,0,VLOOKUP(BF$13,$C$15:$J$92,5,FALSE)), VLOOKUP(BF$13,$C$15:$J$92,5,FALSE))</f>
        <v>32.5</v>
      </c>
      <c r="BG76" s="23">
        <f t="shared" si="53"/>
        <v>37.5</v>
      </c>
      <c r="BH76" s="23">
        <f t="shared" si="53"/>
        <v>37.5</v>
      </c>
      <c r="BI76" s="23">
        <f t="shared" si="53"/>
        <v>1.95</v>
      </c>
      <c r="BJ76" s="23">
        <f t="shared" si="53"/>
        <v>68.19</v>
      </c>
      <c r="BK76" s="23">
        <f t="shared" si="53"/>
        <v>68.19</v>
      </c>
      <c r="BL76" s="23">
        <f t="shared" si="53"/>
        <v>40</v>
      </c>
      <c r="BM76" s="23">
        <f t="shared" si="53"/>
        <v>14</v>
      </c>
      <c r="BN76" s="23">
        <f t="shared" si="53"/>
        <v>439.33333333333331</v>
      </c>
      <c r="BO76" s="23">
        <f t="shared" si="53"/>
        <v>439.33333333333331</v>
      </c>
      <c r="BP76" s="23">
        <f t="shared" si="53"/>
        <v>439.33333333333331</v>
      </c>
      <c r="BQ76" s="23">
        <f t="shared" si="53"/>
        <v>100</v>
      </c>
      <c r="BR76" s="23">
        <f t="shared" si="53"/>
        <v>100</v>
      </c>
      <c r="BS76" s="23">
        <f t="shared" si="53"/>
        <v>100</v>
      </c>
      <c r="BT76" s="23">
        <f t="shared" si="53"/>
        <v>100</v>
      </c>
      <c r="BU76" s="23">
        <f t="shared" si="53"/>
        <v>100</v>
      </c>
      <c r="BV76" s="23">
        <f t="shared" si="51"/>
        <v>200</v>
      </c>
      <c r="BW76" s="23">
        <f t="shared" si="51"/>
        <v>200</v>
      </c>
      <c r="BX76" s="23">
        <f t="shared" si="51"/>
        <v>200</v>
      </c>
      <c r="BY76" s="23">
        <f t="shared" si="51"/>
        <v>200</v>
      </c>
      <c r="BZ76" s="23">
        <f t="shared" si="51"/>
        <v>200</v>
      </c>
      <c r="CA76" s="23">
        <f t="shared" si="44"/>
        <v>200</v>
      </c>
      <c r="CB76" s="23">
        <f t="shared" si="44"/>
        <v>200</v>
      </c>
      <c r="CC76" s="23">
        <f t="shared" si="44"/>
        <v>200</v>
      </c>
      <c r="CD76" s="23">
        <f t="shared" si="44"/>
        <v>200</v>
      </c>
      <c r="CE76" s="23">
        <f t="shared" si="44"/>
        <v>200</v>
      </c>
      <c r="CF76" s="23">
        <f t="shared" si="44"/>
        <v>200</v>
      </c>
      <c r="CG76" s="23">
        <f t="shared" si="44"/>
        <v>200</v>
      </c>
      <c r="CH76" s="23">
        <f t="shared" si="44"/>
        <v>200</v>
      </c>
      <c r="CI76" s="23">
        <f t="shared" si="44"/>
        <v>200</v>
      </c>
      <c r="CJ76" s="23">
        <f t="shared" si="44"/>
        <v>200</v>
      </c>
      <c r="CK76" s="23">
        <f t="shared" si="44"/>
        <v>200</v>
      </c>
      <c r="CL76" s="23">
        <f t="shared" si="46"/>
        <v>200</v>
      </c>
      <c r="CM76" s="23" t="e">
        <f t="shared" si="46"/>
        <v>#NUM!</v>
      </c>
      <c r="CN76" s="23" t="e">
        <f t="shared" si="46"/>
        <v>#NUM!</v>
      </c>
      <c r="CO76" s="23" t="e">
        <f t="shared" si="46"/>
        <v>#NUM!</v>
      </c>
      <c r="CP76" s="23">
        <f t="shared" si="28"/>
        <v>4746.829999999999</v>
      </c>
      <c r="CQ76" s="67">
        <f t="shared" si="37"/>
        <v>1.2482238814353746E-2</v>
      </c>
      <c r="CR76" s="67">
        <v>0.85</v>
      </c>
      <c r="CS76" s="80">
        <f t="shared" si="33"/>
        <v>4970.9882438182103</v>
      </c>
      <c r="CT76" s="81">
        <f t="shared" si="29"/>
        <v>4225.3400072454788</v>
      </c>
      <c r="CU76" s="23">
        <f t="shared" si="30"/>
        <v>9964.8299999999981</v>
      </c>
      <c r="CV76" s="67">
        <f t="shared" si="38"/>
        <v>-1.4249610425829253E-2</v>
      </c>
      <c r="CW76" s="80">
        <f t="shared" si="39"/>
        <v>10435.396418588203</v>
      </c>
      <c r="CX76" s="81">
        <f t="shared" si="34"/>
        <v>8870.0869557999722</v>
      </c>
      <c r="CY76" s="65">
        <f t="shared" si="31"/>
        <v>9001.0049531593049</v>
      </c>
      <c r="CZ76" s="65">
        <f>'Sensitivity - Population'!S38 + 'Sensitivity - GDP'!P39 +'Sensitivity - GDP'!P101</f>
        <v>82405.627910590425</v>
      </c>
      <c r="DA76" s="65">
        <f t="shared" si="35"/>
        <v>9407.0351496107796</v>
      </c>
      <c r="DB76" s="65">
        <f>'Sensitivity - Population'!E38+'Sensitivity - GDP'!D39+'Sensitivity - GDP'!D101</f>
        <v>75665.759061295408</v>
      </c>
      <c r="DC76" s="65">
        <f t="shared" si="36"/>
        <v>8637.643728458379</v>
      </c>
      <c r="EQ76" s="92"/>
    </row>
    <row r="77" spans="2:147" x14ac:dyDescent="0.35">
      <c r="B77" s="90"/>
      <c r="C77" s="23">
        <v>63</v>
      </c>
      <c r="D77" s="85" t="s">
        <v>245</v>
      </c>
      <c r="E77" s="23" t="s">
        <v>227</v>
      </c>
      <c r="F77" s="23" t="s">
        <v>232</v>
      </c>
      <c r="G77" s="23">
        <f t="shared" si="50"/>
        <v>200</v>
      </c>
      <c r="H77" s="23"/>
      <c r="I77" s="82">
        <v>49309</v>
      </c>
      <c r="J77" s="83">
        <f t="shared" ca="1" si="10"/>
        <v>-12.884931506849314</v>
      </c>
      <c r="K77" s="23" t="s">
        <v>233</v>
      </c>
      <c r="L77" s="92"/>
      <c r="N77" s="90"/>
      <c r="O77" s="79">
        <v>54057</v>
      </c>
      <c r="P77" s="23">
        <f t="shared" si="49"/>
        <v>0</v>
      </c>
      <c r="Q77" s="23">
        <f t="shared" si="49"/>
        <v>0</v>
      </c>
      <c r="R77" s="23">
        <f t="shared" si="49"/>
        <v>403.8</v>
      </c>
      <c r="S77" s="23">
        <f t="shared" si="49"/>
        <v>400</v>
      </c>
      <c r="T77" s="23">
        <f t="shared" si="49"/>
        <v>400</v>
      </c>
      <c r="U77" s="23">
        <f t="shared" si="49"/>
        <v>0</v>
      </c>
      <c r="V77" s="23">
        <f t="shared" si="49"/>
        <v>0</v>
      </c>
      <c r="W77" s="23">
        <f t="shared" si="49"/>
        <v>420</v>
      </c>
      <c r="X77" s="23">
        <f t="shared" si="49"/>
        <v>420</v>
      </c>
      <c r="Y77" s="23">
        <f t="shared" si="49"/>
        <v>47.8</v>
      </c>
      <c r="Z77" s="23">
        <f t="shared" si="49"/>
        <v>132</v>
      </c>
      <c r="AA77" s="23">
        <f t="shared" si="49"/>
        <v>0</v>
      </c>
      <c r="AB77" s="23">
        <f t="shared" si="49"/>
        <v>0</v>
      </c>
      <c r="AC77" s="23">
        <f t="shared" si="49"/>
        <v>0</v>
      </c>
      <c r="AD77" s="23">
        <f t="shared" si="49"/>
        <v>0</v>
      </c>
      <c r="AE77" s="23">
        <f t="shared" si="49"/>
        <v>405.9</v>
      </c>
      <c r="AF77" s="23">
        <f t="shared" ref="AF77:AU80" si="54">IF(VLOOKUP(AF$13,$C$15:$J$92,3,FALSE) &lt;&gt; "Incineration", IF(DATEDIF(VLOOKUP(AF$13,$C$15:$J$92,7,FALSE),$O77,"y")&gt;=$P$48,0,VLOOKUP(AF$13,$C$15:$J$92,5,FALSE)), VLOOKUP(AF$13,$C$15:$J$92,5,FALSE))</f>
        <v>0</v>
      </c>
      <c r="AG77" s="23">
        <f t="shared" si="54"/>
        <v>67.8</v>
      </c>
      <c r="AH77" s="23">
        <f t="shared" si="54"/>
        <v>55</v>
      </c>
      <c r="AI77" s="23">
        <f t="shared" si="54"/>
        <v>0</v>
      </c>
      <c r="AJ77" s="23">
        <f t="shared" si="54"/>
        <v>0</v>
      </c>
      <c r="AK77" s="23">
        <f t="shared" si="54"/>
        <v>0</v>
      </c>
      <c r="AL77" s="23">
        <f t="shared" si="54"/>
        <v>0</v>
      </c>
      <c r="AM77" s="23">
        <f t="shared" si="54"/>
        <v>0</v>
      </c>
      <c r="AN77" s="23">
        <f t="shared" si="54"/>
        <v>0</v>
      </c>
      <c r="AO77" s="23">
        <f t="shared" si="54"/>
        <v>0</v>
      </c>
      <c r="AP77" s="23">
        <f t="shared" si="54"/>
        <v>110</v>
      </c>
      <c r="AQ77" s="23">
        <f t="shared" si="54"/>
        <v>110</v>
      </c>
      <c r="AR77" s="23">
        <f t="shared" si="54"/>
        <v>47</v>
      </c>
      <c r="AS77" s="23">
        <f t="shared" si="54"/>
        <v>47</v>
      </c>
      <c r="AT77" s="23">
        <f t="shared" si="54"/>
        <v>0</v>
      </c>
      <c r="AU77" s="23">
        <f t="shared" si="54"/>
        <v>0</v>
      </c>
      <c r="AV77" s="23">
        <f t="shared" si="52"/>
        <v>0</v>
      </c>
      <c r="AW77" s="23">
        <f t="shared" si="52"/>
        <v>0</v>
      </c>
      <c r="AX77" s="23">
        <f t="shared" si="52"/>
        <v>0</v>
      </c>
      <c r="AY77" s="23">
        <f t="shared" si="52"/>
        <v>0</v>
      </c>
      <c r="AZ77" s="23">
        <f t="shared" si="52"/>
        <v>0</v>
      </c>
      <c r="BA77" s="23">
        <f t="shared" si="52"/>
        <v>0</v>
      </c>
      <c r="BB77" s="23">
        <f t="shared" si="52"/>
        <v>0</v>
      </c>
      <c r="BC77" s="23">
        <f t="shared" si="52"/>
        <v>22</v>
      </c>
      <c r="BD77" s="23">
        <f t="shared" si="52"/>
        <v>395.7</v>
      </c>
      <c r="BE77" s="23">
        <f t="shared" si="52"/>
        <v>101</v>
      </c>
      <c r="BF77" s="23">
        <f t="shared" si="52"/>
        <v>32.5</v>
      </c>
      <c r="BG77" s="23">
        <f t="shared" si="52"/>
        <v>37.5</v>
      </c>
      <c r="BH77" s="23">
        <f t="shared" si="52"/>
        <v>37.5</v>
      </c>
      <c r="BI77" s="23">
        <f t="shared" si="52"/>
        <v>1.95</v>
      </c>
      <c r="BJ77" s="23">
        <f t="shared" si="52"/>
        <v>68.19</v>
      </c>
      <c r="BK77" s="23">
        <f t="shared" si="53"/>
        <v>68.19</v>
      </c>
      <c r="BL77" s="23">
        <f t="shared" si="53"/>
        <v>40</v>
      </c>
      <c r="BM77" s="23">
        <f t="shared" si="53"/>
        <v>14</v>
      </c>
      <c r="BN77" s="23">
        <f t="shared" si="53"/>
        <v>439.33333333333331</v>
      </c>
      <c r="BO77" s="23">
        <f t="shared" si="53"/>
        <v>439.33333333333331</v>
      </c>
      <c r="BP77" s="23">
        <f t="shared" si="53"/>
        <v>439.33333333333331</v>
      </c>
      <c r="BQ77" s="23">
        <f t="shared" si="53"/>
        <v>100</v>
      </c>
      <c r="BR77" s="23">
        <f t="shared" si="53"/>
        <v>100</v>
      </c>
      <c r="BS77" s="23">
        <f t="shared" si="53"/>
        <v>100</v>
      </c>
      <c r="BT77" s="23">
        <f t="shared" si="53"/>
        <v>100</v>
      </c>
      <c r="BU77" s="23">
        <f t="shared" si="53"/>
        <v>100</v>
      </c>
      <c r="BV77" s="23">
        <f t="shared" si="51"/>
        <v>200</v>
      </c>
      <c r="BW77" s="23">
        <f t="shared" si="51"/>
        <v>200</v>
      </c>
      <c r="BX77" s="23">
        <f t="shared" si="51"/>
        <v>200</v>
      </c>
      <c r="BY77" s="23">
        <f t="shared" si="51"/>
        <v>200</v>
      </c>
      <c r="BZ77" s="23">
        <f t="shared" si="51"/>
        <v>200</v>
      </c>
      <c r="CA77" s="23">
        <f t="shared" si="44"/>
        <v>200</v>
      </c>
      <c r="CB77" s="23">
        <f t="shared" si="44"/>
        <v>200</v>
      </c>
      <c r="CC77" s="23">
        <f t="shared" si="44"/>
        <v>200</v>
      </c>
      <c r="CD77" s="23">
        <f t="shared" si="44"/>
        <v>200</v>
      </c>
      <c r="CE77" s="23">
        <f t="shared" si="44"/>
        <v>200</v>
      </c>
      <c r="CF77" s="23">
        <f t="shared" si="44"/>
        <v>200</v>
      </c>
      <c r="CG77" s="23">
        <f t="shared" si="44"/>
        <v>200</v>
      </c>
      <c r="CH77" s="23">
        <f t="shared" si="44"/>
        <v>200</v>
      </c>
      <c r="CI77" s="23">
        <f t="shared" si="44"/>
        <v>200</v>
      </c>
      <c r="CJ77" s="23">
        <f t="shared" si="44"/>
        <v>200</v>
      </c>
      <c r="CK77" s="23">
        <f t="shared" si="44"/>
        <v>200</v>
      </c>
      <c r="CL77" s="23">
        <f t="shared" si="46"/>
        <v>200</v>
      </c>
      <c r="CM77" s="23">
        <f t="shared" si="46"/>
        <v>200</v>
      </c>
      <c r="CN77" s="23" t="e">
        <f t="shared" si="46"/>
        <v>#NUM!</v>
      </c>
      <c r="CO77" s="23" t="e">
        <f t="shared" si="46"/>
        <v>#NUM!</v>
      </c>
      <c r="CP77" s="23">
        <f t="shared" si="28"/>
        <v>3884.83</v>
      </c>
      <c r="CQ77" s="67">
        <f t="shared" si="37"/>
        <v>0.18159487489545639</v>
      </c>
      <c r="CR77" s="67">
        <v>0.85</v>
      </c>
      <c r="CS77" s="80">
        <f t="shared" si="33"/>
        <v>4068.2822555752582</v>
      </c>
      <c r="CT77" s="81">
        <f t="shared" si="29"/>
        <v>3458.0399172389693</v>
      </c>
      <c r="CU77" s="23">
        <f t="shared" si="30"/>
        <v>9302.8299999999981</v>
      </c>
      <c r="CV77" s="67">
        <f t="shared" si="38"/>
        <v>6.6433647136980772E-2</v>
      </c>
      <c r="CW77" s="80">
        <f t="shared" si="39"/>
        <v>9742.1349751812013</v>
      </c>
      <c r="CX77" s="81">
        <f t="shared" si="34"/>
        <v>8280.8147289040207</v>
      </c>
      <c r="CY77" s="65">
        <f t="shared" si="31"/>
        <v>9116.7725444739917</v>
      </c>
      <c r="CZ77" s="65">
        <f>'Sensitivity - Population'!S39 + 'Sensitivity - GDP'!P40 +'Sensitivity - GDP'!P102</f>
        <v>83508.119285589055</v>
      </c>
      <c r="DA77" s="65">
        <f t="shared" si="35"/>
        <v>9532.8903294051433</v>
      </c>
      <c r="DB77" s="65">
        <f>'Sensitivity - Population'!E39+'Sensitivity - GDP'!D40+'Sensitivity - GDP'!D102</f>
        <v>76648.682864431816</v>
      </c>
      <c r="DC77" s="65">
        <f t="shared" si="36"/>
        <v>8749.849642058427</v>
      </c>
      <c r="EQ77" s="92"/>
    </row>
    <row r="78" spans="2:147" x14ac:dyDescent="0.35">
      <c r="B78" s="90"/>
      <c r="C78" s="23">
        <v>64</v>
      </c>
      <c r="D78" s="85" t="s">
        <v>246</v>
      </c>
      <c r="E78" s="23" t="s">
        <v>227</v>
      </c>
      <c r="F78" s="23" t="s">
        <v>232</v>
      </c>
      <c r="G78" s="23">
        <f t="shared" si="50"/>
        <v>200</v>
      </c>
      <c r="H78" s="23"/>
      <c r="I78" s="82">
        <v>49674</v>
      </c>
      <c r="J78" s="83">
        <f t="shared" ca="1" si="10"/>
        <v>-13.884931506849314</v>
      </c>
      <c r="K78" s="23" t="s">
        <v>233</v>
      </c>
      <c r="L78" s="92"/>
      <c r="N78" s="90"/>
      <c r="O78" s="79">
        <v>54423</v>
      </c>
      <c r="P78" s="23">
        <f t="shared" si="49"/>
        <v>0</v>
      </c>
      <c r="Q78" s="23">
        <f t="shared" si="49"/>
        <v>0</v>
      </c>
      <c r="R78" s="23">
        <f t="shared" si="49"/>
        <v>403.8</v>
      </c>
      <c r="S78" s="23">
        <f t="shared" si="49"/>
        <v>400</v>
      </c>
      <c r="T78" s="23">
        <f t="shared" si="49"/>
        <v>400</v>
      </c>
      <c r="U78" s="23">
        <f t="shared" si="49"/>
        <v>0</v>
      </c>
      <c r="V78" s="23">
        <f t="shared" si="49"/>
        <v>0</v>
      </c>
      <c r="W78" s="23">
        <f t="shared" si="49"/>
        <v>0</v>
      </c>
      <c r="X78" s="23">
        <f t="shared" si="49"/>
        <v>0</v>
      </c>
      <c r="Y78" s="23">
        <f t="shared" si="49"/>
        <v>47.8</v>
      </c>
      <c r="Z78" s="23">
        <f t="shared" si="49"/>
        <v>132</v>
      </c>
      <c r="AA78" s="23">
        <f t="shared" si="49"/>
        <v>0</v>
      </c>
      <c r="AB78" s="23">
        <f t="shared" si="49"/>
        <v>0</v>
      </c>
      <c r="AC78" s="23">
        <f t="shared" si="49"/>
        <v>0</v>
      </c>
      <c r="AD78" s="23">
        <f t="shared" si="49"/>
        <v>0</v>
      </c>
      <c r="AE78" s="23">
        <f t="shared" si="49"/>
        <v>405.9</v>
      </c>
      <c r="AF78" s="23">
        <f t="shared" si="54"/>
        <v>0</v>
      </c>
      <c r="AG78" s="23">
        <f t="shared" si="54"/>
        <v>67.8</v>
      </c>
      <c r="AH78" s="23">
        <f t="shared" si="54"/>
        <v>55</v>
      </c>
      <c r="AI78" s="23">
        <f t="shared" si="54"/>
        <v>0</v>
      </c>
      <c r="AJ78" s="23">
        <f t="shared" si="54"/>
        <v>0</v>
      </c>
      <c r="AK78" s="23">
        <f t="shared" si="54"/>
        <v>0</v>
      </c>
      <c r="AL78" s="23">
        <f t="shared" si="54"/>
        <v>0</v>
      </c>
      <c r="AM78" s="23">
        <f t="shared" si="54"/>
        <v>0</v>
      </c>
      <c r="AN78" s="23">
        <f t="shared" si="54"/>
        <v>0</v>
      </c>
      <c r="AO78" s="23">
        <f t="shared" si="54"/>
        <v>0</v>
      </c>
      <c r="AP78" s="23">
        <f t="shared" si="54"/>
        <v>0</v>
      </c>
      <c r="AQ78" s="23">
        <f t="shared" si="54"/>
        <v>0</v>
      </c>
      <c r="AR78" s="23">
        <f t="shared" si="54"/>
        <v>47</v>
      </c>
      <c r="AS78" s="23">
        <f t="shared" si="54"/>
        <v>47</v>
      </c>
      <c r="AT78" s="23">
        <f t="shared" si="54"/>
        <v>0</v>
      </c>
      <c r="AU78" s="23">
        <f t="shared" si="54"/>
        <v>0</v>
      </c>
      <c r="AV78" s="23">
        <f t="shared" si="52"/>
        <v>0</v>
      </c>
      <c r="AW78" s="23">
        <f t="shared" si="52"/>
        <v>0</v>
      </c>
      <c r="AX78" s="23">
        <f t="shared" si="52"/>
        <v>0</v>
      </c>
      <c r="AY78" s="23">
        <f t="shared" si="52"/>
        <v>0</v>
      </c>
      <c r="AZ78" s="23">
        <f t="shared" si="52"/>
        <v>0</v>
      </c>
      <c r="BA78" s="23">
        <f t="shared" si="52"/>
        <v>0</v>
      </c>
      <c r="BB78" s="23">
        <f t="shared" si="52"/>
        <v>0</v>
      </c>
      <c r="BC78" s="23">
        <f t="shared" si="52"/>
        <v>22</v>
      </c>
      <c r="BD78" s="23">
        <f t="shared" si="52"/>
        <v>395.7</v>
      </c>
      <c r="BE78" s="23">
        <f t="shared" si="52"/>
        <v>0</v>
      </c>
      <c r="BF78" s="23">
        <f t="shared" si="52"/>
        <v>32.5</v>
      </c>
      <c r="BG78" s="23">
        <f t="shared" si="52"/>
        <v>37.5</v>
      </c>
      <c r="BH78" s="23">
        <f t="shared" si="52"/>
        <v>37.5</v>
      </c>
      <c r="BI78" s="23">
        <f t="shared" si="52"/>
        <v>1.95</v>
      </c>
      <c r="BJ78" s="23">
        <f t="shared" si="52"/>
        <v>68.19</v>
      </c>
      <c r="BK78" s="23">
        <f t="shared" si="53"/>
        <v>68.19</v>
      </c>
      <c r="BL78" s="23">
        <f t="shared" si="53"/>
        <v>40</v>
      </c>
      <c r="BM78" s="23">
        <f t="shared" si="53"/>
        <v>14</v>
      </c>
      <c r="BN78" s="23">
        <f t="shared" si="53"/>
        <v>439.33333333333331</v>
      </c>
      <c r="BO78" s="23">
        <f t="shared" si="53"/>
        <v>439.33333333333331</v>
      </c>
      <c r="BP78" s="23">
        <f t="shared" si="53"/>
        <v>439.33333333333331</v>
      </c>
      <c r="BQ78" s="23">
        <f t="shared" si="53"/>
        <v>100</v>
      </c>
      <c r="BR78" s="23">
        <f t="shared" si="53"/>
        <v>100</v>
      </c>
      <c r="BS78" s="23">
        <f t="shared" si="53"/>
        <v>100</v>
      </c>
      <c r="BT78" s="23">
        <f t="shared" si="53"/>
        <v>100</v>
      </c>
      <c r="BU78" s="23">
        <f t="shared" si="53"/>
        <v>100</v>
      </c>
      <c r="BV78" s="23">
        <f t="shared" si="51"/>
        <v>200</v>
      </c>
      <c r="BW78" s="23">
        <f t="shared" si="51"/>
        <v>200</v>
      </c>
      <c r="BX78" s="23">
        <f t="shared" si="51"/>
        <v>200</v>
      </c>
      <c r="BY78" s="23">
        <f t="shared" si="51"/>
        <v>200</v>
      </c>
      <c r="BZ78" s="23">
        <f t="shared" si="51"/>
        <v>200</v>
      </c>
      <c r="CA78" s="23">
        <f t="shared" si="44"/>
        <v>200</v>
      </c>
      <c r="CB78" s="23">
        <f t="shared" si="44"/>
        <v>200</v>
      </c>
      <c r="CC78" s="23">
        <f t="shared" si="44"/>
        <v>200</v>
      </c>
      <c r="CD78" s="23">
        <f t="shared" si="44"/>
        <v>200</v>
      </c>
      <c r="CE78" s="23">
        <f t="shared" si="44"/>
        <v>200</v>
      </c>
      <c r="CF78" s="23">
        <f t="shared" si="44"/>
        <v>200</v>
      </c>
      <c r="CG78" s="23">
        <f t="shared" si="44"/>
        <v>200</v>
      </c>
      <c r="CH78" s="23">
        <f t="shared" si="44"/>
        <v>200</v>
      </c>
      <c r="CI78" s="23">
        <f t="shared" si="44"/>
        <v>200</v>
      </c>
      <c r="CJ78" s="23">
        <f t="shared" si="44"/>
        <v>200</v>
      </c>
      <c r="CK78" s="23">
        <f t="shared" si="44"/>
        <v>200</v>
      </c>
      <c r="CL78" s="23">
        <f t="shared" si="46"/>
        <v>200</v>
      </c>
      <c r="CM78" s="23">
        <f t="shared" si="46"/>
        <v>200</v>
      </c>
      <c r="CN78" s="23">
        <f t="shared" si="46"/>
        <v>200</v>
      </c>
      <c r="CO78" s="23" t="e">
        <f t="shared" si="46"/>
        <v>#NUM!</v>
      </c>
      <c r="CP78" s="23">
        <f t="shared" si="28"/>
        <v>2723.83</v>
      </c>
      <c r="CQ78" s="67">
        <f t="shared" si="37"/>
        <v>0.29885477614207057</v>
      </c>
      <c r="CR78" s="67">
        <v>0.85</v>
      </c>
      <c r="CS78" s="80">
        <f t="shared" si="33"/>
        <v>2852.4566728025566</v>
      </c>
      <c r="CT78" s="81">
        <f t="shared" si="29"/>
        <v>2424.5881718821729</v>
      </c>
      <c r="CU78" s="23">
        <f t="shared" si="30"/>
        <v>8341.83</v>
      </c>
      <c r="CV78" s="67">
        <f t="shared" si="38"/>
        <v>0.10330189845455613</v>
      </c>
      <c r="CW78" s="80">
        <f t="shared" si="39"/>
        <v>8735.7539372444535</v>
      </c>
      <c r="CX78" s="81">
        <f t="shared" si="34"/>
        <v>7425.390846657785</v>
      </c>
      <c r="CY78" s="65">
        <f t="shared" si="31"/>
        <v>9232.4051556999439</v>
      </c>
      <c r="CZ78" s="65">
        <f>'Sensitivity - Population'!S40 + 'Sensitivity - GDP'!P41 +'Sensitivity - GDP'!P103</f>
        <v>84609.430680297868</v>
      </c>
      <c r="DA78" s="65">
        <f t="shared" si="35"/>
        <v>9658.6108082531809</v>
      </c>
      <c r="DB78" s="65">
        <f>'Sensitivity - Population'!E40+'Sensitivity - GDP'!D41+'Sensitivity - GDP'!D103</f>
        <v>77630.443059651123</v>
      </c>
      <c r="DC78" s="65">
        <f t="shared" si="36"/>
        <v>8861.9227237044652</v>
      </c>
      <c r="EQ78" s="92"/>
    </row>
    <row r="79" spans="2:147" x14ac:dyDescent="0.35">
      <c r="B79" s="90"/>
      <c r="C79" s="23">
        <v>65</v>
      </c>
      <c r="D79" s="85" t="s">
        <v>247</v>
      </c>
      <c r="E79" s="23" t="s">
        <v>227</v>
      </c>
      <c r="F79" s="23" t="s">
        <v>232</v>
      </c>
      <c r="G79" s="23">
        <f t="shared" si="50"/>
        <v>200</v>
      </c>
      <c r="H79" s="23"/>
      <c r="I79" s="82">
        <v>50040</v>
      </c>
      <c r="J79" s="83">
        <f t="shared" ca="1" si="10"/>
        <v>-14.887671232876713</v>
      </c>
      <c r="K79" s="23" t="s">
        <v>233</v>
      </c>
      <c r="L79" s="92"/>
      <c r="N79" s="90"/>
      <c r="O79" s="79">
        <v>54788</v>
      </c>
      <c r="P79" s="23">
        <f t="shared" si="49"/>
        <v>0</v>
      </c>
      <c r="Q79" s="23">
        <f t="shared" si="49"/>
        <v>0</v>
      </c>
      <c r="R79" s="23">
        <f t="shared" si="49"/>
        <v>0</v>
      </c>
      <c r="S79" s="23">
        <f t="shared" si="49"/>
        <v>0</v>
      </c>
      <c r="T79" s="23">
        <f t="shared" si="49"/>
        <v>0</v>
      </c>
      <c r="U79" s="23">
        <f t="shared" si="49"/>
        <v>0</v>
      </c>
      <c r="V79" s="23">
        <f t="shared" si="49"/>
        <v>0</v>
      </c>
      <c r="W79" s="23">
        <f t="shared" si="49"/>
        <v>0</v>
      </c>
      <c r="X79" s="23">
        <f t="shared" si="49"/>
        <v>0</v>
      </c>
      <c r="Y79" s="23">
        <f t="shared" si="49"/>
        <v>47.8</v>
      </c>
      <c r="Z79" s="23">
        <f t="shared" si="49"/>
        <v>132</v>
      </c>
      <c r="AA79" s="23">
        <f t="shared" si="49"/>
        <v>0</v>
      </c>
      <c r="AB79" s="23">
        <f t="shared" si="49"/>
        <v>0</v>
      </c>
      <c r="AC79" s="23">
        <f t="shared" si="49"/>
        <v>0</v>
      </c>
      <c r="AD79" s="23">
        <f t="shared" si="49"/>
        <v>0</v>
      </c>
      <c r="AE79" s="23">
        <f t="shared" si="49"/>
        <v>0</v>
      </c>
      <c r="AF79" s="23">
        <f t="shared" si="54"/>
        <v>0</v>
      </c>
      <c r="AG79" s="23">
        <f t="shared" si="54"/>
        <v>67.8</v>
      </c>
      <c r="AH79" s="23">
        <f t="shared" si="54"/>
        <v>55</v>
      </c>
      <c r="AI79" s="23">
        <f t="shared" si="54"/>
        <v>0</v>
      </c>
      <c r="AJ79" s="23">
        <f t="shared" si="54"/>
        <v>0</v>
      </c>
      <c r="AK79" s="23">
        <f t="shared" si="54"/>
        <v>0</v>
      </c>
      <c r="AL79" s="23">
        <f t="shared" si="54"/>
        <v>0</v>
      </c>
      <c r="AM79" s="23">
        <f t="shared" si="54"/>
        <v>0</v>
      </c>
      <c r="AN79" s="23">
        <f t="shared" si="54"/>
        <v>0</v>
      </c>
      <c r="AO79" s="23">
        <f t="shared" si="54"/>
        <v>0</v>
      </c>
      <c r="AP79" s="23">
        <f t="shared" si="54"/>
        <v>0</v>
      </c>
      <c r="AQ79" s="23">
        <f t="shared" si="54"/>
        <v>0</v>
      </c>
      <c r="AR79" s="23">
        <f t="shared" si="54"/>
        <v>47</v>
      </c>
      <c r="AS79" s="23">
        <f t="shared" si="54"/>
        <v>47</v>
      </c>
      <c r="AT79" s="23">
        <f t="shared" si="54"/>
        <v>0</v>
      </c>
      <c r="AU79" s="23">
        <f t="shared" si="54"/>
        <v>0</v>
      </c>
      <c r="AV79" s="23">
        <f t="shared" si="52"/>
        <v>0</v>
      </c>
      <c r="AW79" s="23">
        <f t="shared" si="52"/>
        <v>0</v>
      </c>
      <c r="AX79" s="23">
        <f t="shared" si="52"/>
        <v>0</v>
      </c>
      <c r="AY79" s="23">
        <f t="shared" si="52"/>
        <v>0</v>
      </c>
      <c r="AZ79" s="23">
        <f t="shared" si="52"/>
        <v>0</v>
      </c>
      <c r="BA79" s="23">
        <f t="shared" si="52"/>
        <v>0</v>
      </c>
      <c r="BB79" s="23">
        <f t="shared" si="52"/>
        <v>0</v>
      </c>
      <c r="BC79" s="23">
        <f t="shared" si="52"/>
        <v>22</v>
      </c>
      <c r="BD79" s="23">
        <f t="shared" si="52"/>
        <v>395.7</v>
      </c>
      <c r="BE79" s="23">
        <f t="shared" si="52"/>
        <v>0</v>
      </c>
      <c r="BF79" s="23">
        <f t="shared" si="52"/>
        <v>0</v>
      </c>
      <c r="BG79" s="23">
        <f t="shared" si="52"/>
        <v>37.5</v>
      </c>
      <c r="BH79" s="23">
        <f t="shared" si="52"/>
        <v>37.5</v>
      </c>
      <c r="BI79" s="23">
        <f t="shared" si="52"/>
        <v>1.95</v>
      </c>
      <c r="BJ79" s="23">
        <f t="shared" si="52"/>
        <v>68.19</v>
      </c>
      <c r="BK79" s="23">
        <f t="shared" si="53"/>
        <v>68.19</v>
      </c>
      <c r="BL79" s="23">
        <f t="shared" si="53"/>
        <v>40</v>
      </c>
      <c r="BM79" s="23">
        <f t="shared" si="53"/>
        <v>14</v>
      </c>
      <c r="BN79" s="23">
        <f t="shared" si="53"/>
        <v>439.33333333333331</v>
      </c>
      <c r="BO79" s="23">
        <f t="shared" si="53"/>
        <v>439.33333333333331</v>
      </c>
      <c r="BP79" s="23">
        <f t="shared" si="53"/>
        <v>439.33333333333331</v>
      </c>
      <c r="BQ79" s="23">
        <f t="shared" si="53"/>
        <v>100</v>
      </c>
      <c r="BR79" s="23">
        <f t="shared" si="53"/>
        <v>100</v>
      </c>
      <c r="BS79" s="23">
        <f t="shared" si="53"/>
        <v>100</v>
      </c>
      <c r="BT79" s="23">
        <f t="shared" si="53"/>
        <v>100</v>
      </c>
      <c r="BU79" s="23">
        <f t="shared" si="53"/>
        <v>100</v>
      </c>
      <c r="BV79" s="23">
        <f t="shared" si="51"/>
        <v>200</v>
      </c>
      <c r="BW79" s="23">
        <f t="shared" si="51"/>
        <v>200</v>
      </c>
      <c r="BX79" s="23">
        <f t="shared" si="51"/>
        <v>200</v>
      </c>
      <c r="BY79" s="23">
        <f t="shared" si="51"/>
        <v>200</v>
      </c>
      <c r="BZ79" s="23">
        <f t="shared" si="51"/>
        <v>200</v>
      </c>
      <c r="CA79" s="23">
        <f t="shared" si="44"/>
        <v>200</v>
      </c>
      <c r="CB79" s="23">
        <f t="shared" si="44"/>
        <v>200</v>
      </c>
      <c r="CC79" s="23">
        <f t="shared" si="44"/>
        <v>200</v>
      </c>
      <c r="CD79" s="23">
        <f t="shared" si="44"/>
        <v>200</v>
      </c>
      <c r="CE79" s="23">
        <f t="shared" si="44"/>
        <v>200</v>
      </c>
      <c r="CF79" s="23">
        <f t="shared" si="44"/>
        <v>200</v>
      </c>
      <c r="CG79" s="23">
        <f t="shared" si="44"/>
        <v>200</v>
      </c>
      <c r="CH79" s="23">
        <f t="shared" si="44"/>
        <v>200</v>
      </c>
      <c r="CI79" s="23">
        <f t="shared" si="44"/>
        <v>200</v>
      </c>
      <c r="CJ79" s="23">
        <f t="shared" si="44"/>
        <v>200</v>
      </c>
      <c r="CK79" s="23">
        <f t="shared" si="44"/>
        <v>200</v>
      </c>
      <c r="CL79" s="23">
        <f t="shared" si="46"/>
        <v>200</v>
      </c>
      <c r="CM79" s="23">
        <f t="shared" si="46"/>
        <v>200</v>
      </c>
      <c r="CN79" s="23">
        <f t="shared" si="46"/>
        <v>200</v>
      </c>
      <c r="CO79" s="23">
        <f t="shared" si="46"/>
        <v>200</v>
      </c>
      <c r="CP79" s="23">
        <f t="shared" si="28"/>
        <v>1081.6300000000001</v>
      </c>
      <c r="CQ79" s="67">
        <f t="shared" si="37"/>
        <v>0.60290106210740024</v>
      </c>
      <c r="CR79" s="67">
        <v>0.85</v>
      </c>
      <c r="CS79" s="80">
        <f t="shared" si="33"/>
        <v>1132.7075151545541</v>
      </c>
      <c r="CT79" s="81">
        <f t="shared" si="29"/>
        <v>962.80138788137094</v>
      </c>
      <c r="CU79" s="23">
        <f t="shared" si="30"/>
        <v>6899.63</v>
      </c>
      <c r="CV79" s="67">
        <f t="shared" si="38"/>
        <v>0.17288772367693897</v>
      </c>
      <c r="CW79" s="80">
        <f t="shared" si="39"/>
        <v>7225.449324432403</v>
      </c>
      <c r="CX79" s="81">
        <f t="shared" si="34"/>
        <v>6141.6319257675423</v>
      </c>
      <c r="CY79" s="65">
        <f t="shared" si="31"/>
        <v>9347.9013771425216</v>
      </c>
      <c r="CZ79" s="65">
        <f>'Sensitivity - Population'!S41 + 'Sensitivity - GDP'!P42 +'Sensitivity - GDP'!P104</f>
        <v>85709.549007599184</v>
      </c>
      <c r="DA79" s="65">
        <f t="shared" si="35"/>
        <v>9784.1950921916887</v>
      </c>
      <c r="DB79" s="65">
        <f>'Sensitivity - Population'!E41+'Sensitivity - GDP'!D42+'Sensitivity - GDP'!D104</f>
        <v>78611.026741420996</v>
      </c>
      <c r="DC79" s="65">
        <f t="shared" si="36"/>
        <v>8973.8615001622147</v>
      </c>
      <c r="EQ79" s="92"/>
    </row>
    <row r="80" spans="2:147" x14ac:dyDescent="0.35">
      <c r="B80" s="90"/>
      <c r="C80" s="23">
        <v>66</v>
      </c>
      <c r="D80" s="85" t="s">
        <v>248</v>
      </c>
      <c r="E80" s="23" t="s">
        <v>227</v>
      </c>
      <c r="F80" s="23" t="s">
        <v>232</v>
      </c>
      <c r="G80" s="23">
        <f t="shared" si="50"/>
        <v>200</v>
      </c>
      <c r="H80" s="23"/>
      <c r="I80" s="82">
        <v>50405</v>
      </c>
      <c r="J80" s="83">
        <f t="shared" ref="J80:J92" ca="1" si="55">($J$13-I80)/365</f>
        <v>-15.887671232876713</v>
      </c>
      <c r="K80" s="23" t="s">
        <v>233</v>
      </c>
      <c r="L80" s="92"/>
      <c r="N80" s="90"/>
      <c r="O80" s="79">
        <v>55153</v>
      </c>
      <c r="P80" s="23">
        <f t="shared" si="49"/>
        <v>0</v>
      </c>
      <c r="Q80" s="23">
        <f t="shared" si="49"/>
        <v>0</v>
      </c>
      <c r="R80" s="23">
        <f t="shared" si="49"/>
        <v>0</v>
      </c>
      <c r="S80" s="23">
        <f t="shared" si="49"/>
        <v>0</v>
      </c>
      <c r="T80" s="23">
        <f t="shared" si="49"/>
        <v>0</v>
      </c>
      <c r="U80" s="23">
        <f t="shared" si="49"/>
        <v>0</v>
      </c>
      <c r="V80" s="23">
        <f t="shared" si="49"/>
        <v>0</v>
      </c>
      <c r="W80" s="23">
        <f t="shared" si="49"/>
        <v>0</v>
      </c>
      <c r="X80" s="23">
        <f t="shared" si="49"/>
        <v>0</v>
      </c>
      <c r="Y80" s="23">
        <f t="shared" si="49"/>
        <v>47.8</v>
      </c>
      <c r="Z80" s="23">
        <f t="shared" si="49"/>
        <v>132</v>
      </c>
      <c r="AA80" s="23">
        <f t="shared" si="49"/>
        <v>0</v>
      </c>
      <c r="AB80" s="23">
        <f t="shared" si="49"/>
        <v>0</v>
      </c>
      <c r="AC80" s="23">
        <f t="shared" si="49"/>
        <v>0</v>
      </c>
      <c r="AD80" s="23">
        <f t="shared" si="49"/>
        <v>0</v>
      </c>
      <c r="AE80" s="23">
        <f t="shared" si="49"/>
        <v>0</v>
      </c>
      <c r="AF80" s="23">
        <f t="shared" si="54"/>
        <v>0</v>
      </c>
      <c r="AG80" s="23">
        <f t="shared" si="54"/>
        <v>0</v>
      </c>
      <c r="AH80" s="23">
        <f t="shared" si="54"/>
        <v>55</v>
      </c>
      <c r="AI80" s="23">
        <f t="shared" si="54"/>
        <v>0</v>
      </c>
      <c r="AJ80" s="23">
        <f t="shared" si="54"/>
        <v>0</v>
      </c>
      <c r="AK80" s="23">
        <f t="shared" si="54"/>
        <v>0</v>
      </c>
      <c r="AL80" s="23">
        <f t="shared" si="54"/>
        <v>0</v>
      </c>
      <c r="AM80" s="23">
        <f t="shared" si="54"/>
        <v>0</v>
      </c>
      <c r="AN80" s="23">
        <f t="shared" si="54"/>
        <v>0</v>
      </c>
      <c r="AO80" s="23">
        <f t="shared" si="54"/>
        <v>0</v>
      </c>
      <c r="AP80" s="23">
        <f t="shared" si="54"/>
        <v>0</v>
      </c>
      <c r="AQ80" s="23">
        <f t="shared" si="54"/>
        <v>0</v>
      </c>
      <c r="AR80" s="23">
        <f t="shared" si="54"/>
        <v>47</v>
      </c>
      <c r="AS80" s="23">
        <f t="shared" si="54"/>
        <v>47</v>
      </c>
      <c r="AT80" s="23">
        <f t="shared" si="54"/>
        <v>0</v>
      </c>
      <c r="AU80" s="23">
        <f t="shared" si="54"/>
        <v>0</v>
      </c>
      <c r="AV80" s="23">
        <f t="shared" si="52"/>
        <v>0</v>
      </c>
      <c r="AW80" s="23">
        <f t="shared" si="52"/>
        <v>0</v>
      </c>
      <c r="AX80" s="23">
        <f t="shared" si="52"/>
        <v>0</v>
      </c>
      <c r="AY80" s="23">
        <f t="shared" si="52"/>
        <v>0</v>
      </c>
      <c r="AZ80" s="23">
        <f t="shared" si="52"/>
        <v>0</v>
      </c>
      <c r="BA80" s="23">
        <f t="shared" si="52"/>
        <v>0</v>
      </c>
      <c r="BB80" s="23">
        <f t="shared" si="52"/>
        <v>0</v>
      </c>
      <c r="BC80" s="23">
        <f t="shared" si="52"/>
        <v>22</v>
      </c>
      <c r="BD80" s="23">
        <f t="shared" si="52"/>
        <v>395.7</v>
      </c>
      <c r="BE80" s="23">
        <f t="shared" si="52"/>
        <v>0</v>
      </c>
      <c r="BF80" s="23">
        <f t="shared" si="52"/>
        <v>0</v>
      </c>
      <c r="BG80" s="23">
        <f t="shared" si="52"/>
        <v>37.5</v>
      </c>
      <c r="BH80" s="23">
        <f t="shared" si="52"/>
        <v>37.5</v>
      </c>
      <c r="BI80" s="23">
        <f t="shared" si="52"/>
        <v>1.95</v>
      </c>
      <c r="BJ80" s="23">
        <f t="shared" si="52"/>
        <v>68.19</v>
      </c>
      <c r="BK80" s="23">
        <f t="shared" si="53"/>
        <v>68.19</v>
      </c>
      <c r="BL80" s="23">
        <f t="shared" si="53"/>
        <v>40</v>
      </c>
      <c r="BM80" s="23">
        <f t="shared" si="53"/>
        <v>14</v>
      </c>
      <c r="BN80" s="23">
        <f t="shared" si="53"/>
        <v>439.33333333333331</v>
      </c>
      <c r="BO80" s="23">
        <f t="shared" si="53"/>
        <v>439.33333333333331</v>
      </c>
      <c r="BP80" s="23">
        <f t="shared" si="53"/>
        <v>439.33333333333331</v>
      </c>
      <c r="BQ80" s="23">
        <f t="shared" si="53"/>
        <v>100</v>
      </c>
      <c r="BR80" s="23">
        <f t="shared" si="53"/>
        <v>100</v>
      </c>
      <c r="BS80" s="23">
        <f t="shared" si="53"/>
        <v>100</v>
      </c>
      <c r="BT80" s="23">
        <f t="shared" si="53"/>
        <v>100</v>
      </c>
      <c r="BU80" s="23">
        <f t="shared" si="53"/>
        <v>100</v>
      </c>
      <c r="BV80" s="23">
        <f t="shared" si="51"/>
        <v>200</v>
      </c>
      <c r="BW80" s="23">
        <f t="shared" si="51"/>
        <v>200</v>
      </c>
      <c r="BX80" s="23">
        <f t="shared" si="51"/>
        <v>200</v>
      </c>
      <c r="BY80" s="23">
        <f t="shared" si="51"/>
        <v>200</v>
      </c>
      <c r="BZ80" s="23">
        <f t="shared" si="51"/>
        <v>200</v>
      </c>
      <c r="CA80" s="23">
        <f t="shared" si="44"/>
        <v>200</v>
      </c>
      <c r="CB80" s="23">
        <f t="shared" si="44"/>
        <v>200</v>
      </c>
      <c r="CC80" s="23">
        <f t="shared" si="44"/>
        <v>200</v>
      </c>
      <c r="CD80" s="23">
        <f t="shared" si="44"/>
        <v>200</v>
      </c>
      <c r="CE80" s="23">
        <f t="shared" si="44"/>
        <v>200</v>
      </c>
      <c r="CF80" s="23">
        <f t="shared" si="44"/>
        <v>200</v>
      </c>
      <c r="CG80" s="23">
        <f t="shared" si="44"/>
        <v>200</v>
      </c>
      <c r="CH80" s="23">
        <f t="shared" si="44"/>
        <v>200</v>
      </c>
      <c r="CI80" s="23">
        <f t="shared" si="44"/>
        <v>200</v>
      </c>
      <c r="CJ80" s="23">
        <f t="shared" si="44"/>
        <v>200</v>
      </c>
      <c r="CK80" s="23">
        <f t="shared" si="44"/>
        <v>200</v>
      </c>
      <c r="CL80" s="23">
        <f t="shared" si="46"/>
        <v>200</v>
      </c>
      <c r="CM80" s="23">
        <f t="shared" si="46"/>
        <v>200</v>
      </c>
      <c r="CN80" s="23">
        <f t="shared" si="46"/>
        <v>200</v>
      </c>
      <c r="CO80" s="23">
        <f t="shared" si="46"/>
        <v>200</v>
      </c>
      <c r="CP80" s="23">
        <f t="shared" si="28"/>
        <v>1013.8300000000002</v>
      </c>
      <c r="CQ80" s="67">
        <f t="shared" si="37"/>
        <v>6.2683172619102598E-2</v>
      </c>
      <c r="CR80" s="67">
        <v>0.85</v>
      </c>
      <c r="CS80" s="80">
        <f t="shared" si="33"/>
        <v>1061.7058144551663</v>
      </c>
      <c r="CT80" s="81">
        <f t="shared" si="29"/>
        <v>902.44994228689131</v>
      </c>
      <c r="CU80" s="23">
        <f t="shared" si="30"/>
        <v>6831.83</v>
      </c>
      <c r="CV80" s="67">
        <f t="shared" si="38"/>
        <v>9.8266138908898269E-3</v>
      </c>
      <c r="CW80" s="80">
        <f t="shared" si="39"/>
        <v>7154.4476237330155</v>
      </c>
      <c r="CX80" s="81">
        <f t="shared" si="34"/>
        <v>6081.2804801730626</v>
      </c>
      <c r="CY80" s="65">
        <f t="shared" si="31"/>
        <v>9463.2598713718889</v>
      </c>
      <c r="CZ80" s="65">
        <f>'Sensitivity - Population'!S42 + 'Sensitivity - GDP'!P43 +'Sensitivity - GDP'!P105</f>
        <v>86808.461807427637</v>
      </c>
      <c r="DA80" s="65">
        <f t="shared" si="35"/>
        <v>9909.6417588387703</v>
      </c>
      <c r="DB80" s="65">
        <f>'Sensitivity - Population'!E42+'Sensitivity - GDP'!D43+'Sensitivity - GDP'!D105</f>
        <v>79590.421622561043</v>
      </c>
      <c r="DC80" s="65">
        <f t="shared" si="36"/>
        <v>9085.6645687855071</v>
      </c>
      <c r="EQ80" s="92"/>
    </row>
    <row r="81" spans="2:147" x14ac:dyDescent="0.35">
      <c r="B81" s="90"/>
      <c r="C81" s="23">
        <v>67</v>
      </c>
      <c r="D81" s="85" t="s">
        <v>249</v>
      </c>
      <c r="E81" s="23" t="s">
        <v>227</v>
      </c>
      <c r="F81" s="23" t="s">
        <v>232</v>
      </c>
      <c r="G81" s="23">
        <f t="shared" si="50"/>
        <v>200</v>
      </c>
      <c r="H81" s="23"/>
      <c r="I81" s="82">
        <v>50770</v>
      </c>
      <c r="J81" s="83">
        <f t="shared" ca="1" si="55"/>
        <v>-16.887671232876713</v>
      </c>
      <c r="K81" s="23" t="s">
        <v>233</v>
      </c>
      <c r="L81" s="92"/>
      <c r="N81" s="90"/>
      <c r="EQ81" s="92"/>
    </row>
    <row r="82" spans="2:147" x14ac:dyDescent="0.35">
      <c r="B82" s="90"/>
      <c r="C82" s="23">
        <v>68</v>
      </c>
      <c r="D82" s="85" t="s">
        <v>250</v>
      </c>
      <c r="E82" s="23" t="s">
        <v>227</v>
      </c>
      <c r="F82" s="23" t="s">
        <v>232</v>
      </c>
      <c r="G82" s="23">
        <f t="shared" si="50"/>
        <v>200</v>
      </c>
      <c r="H82" s="23"/>
      <c r="I82" s="82">
        <v>51135</v>
      </c>
      <c r="J82" s="83">
        <f t="shared" ca="1" si="55"/>
        <v>-17.887671232876713</v>
      </c>
      <c r="K82" s="23" t="s">
        <v>233</v>
      </c>
      <c r="L82" s="92"/>
      <c r="N82" s="90"/>
      <c r="EQ82" s="92"/>
    </row>
    <row r="83" spans="2:147" x14ac:dyDescent="0.35">
      <c r="B83" s="90"/>
      <c r="C83" s="23">
        <v>69</v>
      </c>
      <c r="D83" s="85" t="s">
        <v>251</v>
      </c>
      <c r="E83" s="23" t="s">
        <v>227</v>
      </c>
      <c r="F83" s="23" t="s">
        <v>232</v>
      </c>
      <c r="G83" s="23">
        <f t="shared" si="50"/>
        <v>200</v>
      </c>
      <c r="H83" s="23"/>
      <c r="I83" s="82">
        <v>51501</v>
      </c>
      <c r="J83" s="83">
        <f t="shared" ca="1" si="55"/>
        <v>-18.890410958904109</v>
      </c>
      <c r="K83" s="23" t="s">
        <v>233</v>
      </c>
      <c r="L83" s="92"/>
      <c r="N83" s="90"/>
      <c r="EQ83" s="92"/>
    </row>
    <row r="84" spans="2:147" x14ac:dyDescent="0.35">
      <c r="B84" s="90"/>
      <c r="C84" s="23">
        <v>70</v>
      </c>
      <c r="D84" s="85" t="s">
        <v>252</v>
      </c>
      <c r="E84" s="23" t="s">
        <v>227</v>
      </c>
      <c r="F84" s="23" t="s">
        <v>232</v>
      </c>
      <c r="G84" s="23">
        <f t="shared" si="50"/>
        <v>200</v>
      </c>
      <c r="H84" s="23"/>
      <c r="I84" s="82">
        <v>51866</v>
      </c>
      <c r="J84" s="83">
        <f t="shared" ca="1" si="55"/>
        <v>-19.890410958904109</v>
      </c>
      <c r="K84" s="23" t="s">
        <v>233</v>
      </c>
      <c r="L84" s="92"/>
      <c r="N84" s="90"/>
      <c r="EQ84" s="92"/>
    </row>
    <row r="85" spans="2:147" ht="43.5" x14ac:dyDescent="0.35">
      <c r="B85" s="90"/>
      <c r="C85" s="23">
        <v>71</v>
      </c>
      <c r="D85" s="85" t="s">
        <v>253</v>
      </c>
      <c r="E85" s="23" t="s">
        <v>227</v>
      </c>
      <c r="F85" s="23" t="s">
        <v>232</v>
      </c>
      <c r="G85" s="23">
        <f t="shared" si="50"/>
        <v>200</v>
      </c>
      <c r="H85" s="23"/>
      <c r="I85" s="82">
        <v>52231</v>
      </c>
      <c r="J85" s="83">
        <f t="shared" ca="1" si="55"/>
        <v>-20.890410958904109</v>
      </c>
      <c r="K85" s="23" t="s">
        <v>233</v>
      </c>
      <c r="L85" s="92"/>
      <c r="N85" s="90"/>
      <c r="O85" s="72" t="s">
        <v>130</v>
      </c>
      <c r="P85" s="100">
        <v>40</v>
      </c>
      <c r="EQ85" s="92"/>
    </row>
    <row r="86" spans="2:147" ht="15" customHeight="1" x14ac:dyDescent="0.35">
      <c r="B86" s="90"/>
      <c r="C86" s="23">
        <v>72</v>
      </c>
      <c r="D86" s="85" t="s">
        <v>254</v>
      </c>
      <c r="E86" s="23" t="s">
        <v>227</v>
      </c>
      <c r="F86" s="23" t="s">
        <v>232</v>
      </c>
      <c r="G86" s="23">
        <f t="shared" si="50"/>
        <v>200</v>
      </c>
      <c r="H86" s="23"/>
      <c r="I86" s="82">
        <v>52596</v>
      </c>
      <c r="J86" s="83">
        <f t="shared" ca="1" si="55"/>
        <v>-21.890410958904109</v>
      </c>
      <c r="K86" s="23" t="s">
        <v>233</v>
      </c>
      <c r="L86" s="92"/>
      <c r="N86" s="90"/>
      <c r="BN86" s="330" t="s">
        <v>132</v>
      </c>
      <c r="BO86" s="331"/>
      <c r="BP86" s="331"/>
      <c r="BQ86" s="331"/>
      <c r="BR86" s="331"/>
      <c r="BS86" s="331"/>
      <c r="BT86" s="331"/>
      <c r="BU86" s="331"/>
      <c r="BV86" s="331"/>
      <c r="BW86" s="331"/>
      <c r="BX86" s="331"/>
      <c r="BY86" s="331"/>
      <c r="BZ86" s="331"/>
      <c r="CA86" s="331"/>
      <c r="CB86" s="331"/>
      <c r="CC86" s="331"/>
      <c r="CD86" s="331"/>
      <c r="CE86" s="331"/>
      <c r="CF86" s="331"/>
      <c r="CG86" s="331"/>
      <c r="CH86" s="331"/>
      <c r="CI86" s="331"/>
      <c r="CJ86" s="331"/>
      <c r="CK86" s="331"/>
      <c r="CL86" s="331"/>
      <c r="CM86" s="331"/>
      <c r="CN86" s="331"/>
      <c r="CO86" s="331"/>
      <c r="CP86" s="332" t="s">
        <v>133</v>
      </c>
      <c r="CQ86" s="333"/>
      <c r="CR86" s="333"/>
      <c r="CS86" s="333"/>
      <c r="CT86" s="334"/>
      <c r="CU86" s="335" t="s">
        <v>134</v>
      </c>
      <c r="CV86" s="336"/>
      <c r="CW86" s="336"/>
      <c r="CX86" s="337"/>
      <c r="EQ86" s="92"/>
    </row>
    <row r="87" spans="2:147" ht="29" x14ac:dyDescent="0.35">
      <c r="B87" s="90"/>
      <c r="C87" s="23">
        <v>73</v>
      </c>
      <c r="D87" s="85" t="s">
        <v>255</v>
      </c>
      <c r="E87" s="23" t="s">
        <v>227</v>
      </c>
      <c r="F87" s="23" t="s">
        <v>232</v>
      </c>
      <c r="G87" s="23">
        <f t="shared" si="50"/>
        <v>200</v>
      </c>
      <c r="H87" s="23"/>
      <c r="I87" s="82">
        <v>52962</v>
      </c>
      <c r="J87" s="83">
        <f t="shared" ca="1" si="55"/>
        <v>-22.893150684931506</v>
      </c>
      <c r="K87" s="23" t="s">
        <v>233</v>
      </c>
      <c r="L87" s="92"/>
      <c r="N87" s="90"/>
      <c r="O87" s="3"/>
      <c r="P87" s="74">
        <v>1</v>
      </c>
      <c r="Q87" s="74">
        <v>2</v>
      </c>
      <c r="R87" s="74">
        <v>3</v>
      </c>
      <c r="S87" s="74">
        <v>4</v>
      </c>
      <c r="T87" s="74">
        <v>5</v>
      </c>
      <c r="U87" s="74">
        <v>6</v>
      </c>
      <c r="V87" s="74">
        <v>7</v>
      </c>
      <c r="W87" s="74">
        <v>8</v>
      </c>
      <c r="X87" s="74">
        <v>9</v>
      </c>
      <c r="Y87" s="74">
        <v>10</v>
      </c>
      <c r="Z87" s="74">
        <v>11</v>
      </c>
      <c r="AA87" s="74">
        <v>12</v>
      </c>
      <c r="AB87" s="74">
        <v>13</v>
      </c>
      <c r="AC87" s="74">
        <v>14</v>
      </c>
      <c r="AD87" s="74">
        <v>15</v>
      </c>
      <c r="AE87" s="74">
        <v>16</v>
      </c>
      <c r="AF87" s="74">
        <v>17</v>
      </c>
      <c r="AG87" s="74">
        <v>18</v>
      </c>
      <c r="AH87" s="74">
        <v>19</v>
      </c>
      <c r="AI87" s="74">
        <v>20</v>
      </c>
      <c r="AJ87" s="74">
        <v>21</v>
      </c>
      <c r="AK87" s="74">
        <v>22</v>
      </c>
      <c r="AL87" s="74">
        <v>23</v>
      </c>
      <c r="AM87" s="74">
        <v>24</v>
      </c>
      <c r="AN87" s="74">
        <v>25</v>
      </c>
      <c r="AO87" s="74">
        <v>26</v>
      </c>
      <c r="AP87" s="74">
        <v>27</v>
      </c>
      <c r="AQ87" s="74">
        <v>28</v>
      </c>
      <c r="AR87" s="74">
        <v>29</v>
      </c>
      <c r="AS87" s="74">
        <v>30</v>
      </c>
      <c r="AT87" s="74">
        <v>31</v>
      </c>
      <c r="AU87" s="74">
        <v>32</v>
      </c>
      <c r="AV87" s="74">
        <v>33</v>
      </c>
      <c r="AW87" s="74">
        <v>34</v>
      </c>
      <c r="AX87" s="74">
        <v>35</v>
      </c>
      <c r="AY87" s="74">
        <v>36</v>
      </c>
      <c r="AZ87" s="74">
        <v>37</v>
      </c>
      <c r="BA87" s="74">
        <v>38</v>
      </c>
      <c r="BB87" s="74">
        <v>39</v>
      </c>
      <c r="BC87" s="74">
        <v>40</v>
      </c>
      <c r="BD87" s="74">
        <v>41</v>
      </c>
      <c r="BE87" s="74">
        <v>42</v>
      </c>
      <c r="BF87" s="74">
        <v>43</v>
      </c>
      <c r="BG87" s="74">
        <v>44</v>
      </c>
      <c r="BH87" s="74">
        <v>45</v>
      </c>
      <c r="BI87" s="74">
        <v>46</v>
      </c>
      <c r="BJ87" s="74">
        <v>47</v>
      </c>
      <c r="BK87" s="74">
        <v>48</v>
      </c>
      <c r="BL87" s="74">
        <v>49</v>
      </c>
      <c r="BM87" s="74">
        <v>50</v>
      </c>
      <c r="BN87" s="75">
        <v>51</v>
      </c>
      <c r="BO87" s="75">
        <v>52</v>
      </c>
      <c r="BP87" s="75">
        <v>53</v>
      </c>
      <c r="BQ87" s="75">
        <v>54</v>
      </c>
      <c r="BR87" s="75">
        <v>55</v>
      </c>
      <c r="BS87" s="75">
        <v>56</v>
      </c>
      <c r="BT87" s="75">
        <v>57</v>
      </c>
      <c r="BU87" s="75">
        <v>58</v>
      </c>
      <c r="BV87" s="75">
        <v>59</v>
      </c>
      <c r="BW87" s="75">
        <v>60</v>
      </c>
      <c r="BX87" s="75">
        <v>61</v>
      </c>
      <c r="BY87" s="75">
        <v>62</v>
      </c>
      <c r="BZ87" s="75">
        <v>63</v>
      </c>
      <c r="CA87" s="75">
        <v>64</v>
      </c>
      <c r="CB87" s="75">
        <v>65</v>
      </c>
      <c r="CC87" s="75">
        <v>66</v>
      </c>
      <c r="CD87" s="75">
        <v>67</v>
      </c>
      <c r="CE87" s="75">
        <v>68</v>
      </c>
      <c r="CF87" s="75">
        <v>69</v>
      </c>
      <c r="CG87" s="75">
        <v>70</v>
      </c>
      <c r="CH87" s="75">
        <v>71</v>
      </c>
      <c r="CI87" s="75">
        <v>72</v>
      </c>
      <c r="CJ87" s="75">
        <v>73</v>
      </c>
      <c r="CK87" s="75">
        <v>74</v>
      </c>
      <c r="CL87" s="75">
        <v>75</v>
      </c>
      <c r="CM87" s="75">
        <v>76</v>
      </c>
      <c r="CN87" s="75">
        <v>77</v>
      </c>
      <c r="CO87" s="75">
        <v>78</v>
      </c>
      <c r="CP87" s="76" t="s">
        <v>138</v>
      </c>
      <c r="CQ87" s="76" t="s">
        <v>139</v>
      </c>
      <c r="CR87" s="77" t="s">
        <v>140</v>
      </c>
      <c r="CS87" s="76" t="s">
        <v>141</v>
      </c>
      <c r="CT87" s="76" t="s">
        <v>142</v>
      </c>
      <c r="CU87" s="78" t="s">
        <v>138</v>
      </c>
      <c r="CV87" s="78" t="s">
        <v>139</v>
      </c>
      <c r="CW87" s="78" t="s">
        <v>141</v>
      </c>
      <c r="CX87" s="78" t="s">
        <v>142</v>
      </c>
      <c r="CY87" s="86" t="s">
        <v>143</v>
      </c>
      <c r="CZ87" s="86" t="s">
        <v>339</v>
      </c>
      <c r="DA87" s="86" t="s">
        <v>341</v>
      </c>
      <c r="DB87" s="86" t="s">
        <v>340</v>
      </c>
      <c r="DC87" s="86" t="s">
        <v>342</v>
      </c>
      <c r="EQ87" s="92"/>
    </row>
    <row r="88" spans="2:147" x14ac:dyDescent="0.35">
      <c r="B88" s="90"/>
      <c r="C88" s="23">
        <v>74</v>
      </c>
      <c r="D88" s="85" t="s">
        <v>256</v>
      </c>
      <c r="E88" s="23" t="s">
        <v>227</v>
      </c>
      <c r="F88" s="23" t="s">
        <v>232</v>
      </c>
      <c r="G88" s="23">
        <f t="shared" si="50"/>
        <v>200</v>
      </c>
      <c r="H88" s="23"/>
      <c r="I88" s="82">
        <v>53327</v>
      </c>
      <c r="J88" s="83">
        <f t="shared" ca="1" si="55"/>
        <v>-23.893150684931506</v>
      </c>
      <c r="K88" s="23" t="s">
        <v>233</v>
      </c>
      <c r="L88" s="92"/>
      <c r="N88" s="90"/>
      <c r="O88" s="79">
        <v>44561</v>
      </c>
      <c r="P88" s="23">
        <f>IF(VLOOKUP(P$13,$C$15:$J$92,3,FALSE) &lt;&gt; "Incineration", IF(DATEDIF(VLOOKUP(P$13,$C$15:$J$92,7,FALSE),$O88,"y")&gt;=$P$85,0,VLOOKUP(P$13,$C$15:$J$92,5,FALSE)), VLOOKUP(P$13,$C$15:$J$92,5,FALSE))</f>
        <v>392.5</v>
      </c>
      <c r="Q88" s="23">
        <f t="shared" ref="Q88:CB95" si="56">IF(VLOOKUP(Q$13,$C$15:$J$92,3,FALSE) &lt;&gt; "Incineration", IF(DATEDIF(VLOOKUP(Q$13,$C$15:$J$92,7,FALSE),$O88,"y")&gt;=$P$85,0,VLOOKUP(Q$13,$C$15:$J$92,5,FALSE)), VLOOKUP(Q$13,$C$15:$J$92,5,FALSE))</f>
        <v>392.5</v>
      </c>
      <c r="R88" s="23">
        <f t="shared" si="56"/>
        <v>403.8</v>
      </c>
      <c r="S88" s="23">
        <f t="shared" si="56"/>
        <v>400</v>
      </c>
      <c r="T88" s="23">
        <f t="shared" si="56"/>
        <v>400</v>
      </c>
      <c r="U88" s="23">
        <f t="shared" si="56"/>
        <v>250</v>
      </c>
      <c r="V88" s="23">
        <f t="shared" si="56"/>
        <v>250</v>
      </c>
      <c r="W88" s="23">
        <f t="shared" si="56"/>
        <v>420</v>
      </c>
      <c r="X88" s="23">
        <f t="shared" si="56"/>
        <v>420</v>
      </c>
      <c r="Y88" s="23">
        <f t="shared" si="56"/>
        <v>47.8</v>
      </c>
      <c r="Z88" s="23">
        <f t="shared" si="56"/>
        <v>132</v>
      </c>
      <c r="AA88" s="23">
        <f t="shared" si="56"/>
        <v>367.5</v>
      </c>
      <c r="AB88" s="23">
        <f t="shared" si="56"/>
        <v>367.5</v>
      </c>
      <c r="AC88" s="23">
        <f t="shared" si="56"/>
        <v>367.5</v>
      </c>
      <c r="AD88" s="23">
        <f t="shared" si="56"/>
        <v>367.5</v>
      </c>
      <c r="AE88" s="23">
        <f t="shared" si="56"/>
        <v>405.9</v>
      </c>
      <c r="AF88" s="23">
        <f t="shared" si="56"/>
        <v>60</v>
      </c>
      <c r="AG88" s="23">
        <f t="shared" si="56"/>
        <v>67.8</v>
      </c>
      <c r="AH88" s="23">
        <f t="shared" si="56"/>
        <v>55</v>
      </c>
      <c r="AI88" s="23">
        <f t="shared" si="56"/>
        <v>262</v>
      </c>
      <c r="AJ88" s="23">
        <f t="shared" si="56"/>
        <v>425</v>
      </c>
      <c r="AK88" s="23">
        <f t="shared" si="56"/>
        <v>365</v>
      </c>
      <c r="AL88" s="23">
        <f t="shared" si="56"/>
        <v>365</v>
      </c>
      <c r="AM88" s="23">
        <f t="shared" si="56"/>
        <v>365</v>
      </c>
      <c r="AN88" s="23">
        <f t="shared" si="56"/>
        <v>431</v>
      </c>
      <c r="AO88" s="23">
        <f t="shared" si="56"/>
        <v>431</v>
      </c>
      <c r="AP88" s="23">
        <f t="shared" si="56"/>
        <v>110</v>
      </c>
      <c r="AQ88" s="23">
        <f t="shared" si="56"/>
        <v>110</v>
      </c>
      <c r="AR88" s="23">
        <f t="shared" si="56"/>
        <v>47</v>
      </c>
      <c r="AS88" s="23">
        <f t="shared" si="56"/>
        <v>47</v>
      </c>
      <c r="AT88" s="23">
        <f t="shared" si="56"/>
        <v>250</v>
      </c>
      <c r="AU88" s="23">
        <f t="shared" si="56"/>
        <v>250</v>
      </c>
      <c r="AV88" s="23">
        <f t="shared" si="56"/>
        <v>250</v>
      </c>
      <c r="AW88" s="23">
        <f t="shared" si="56"/>
        <v>90</v>
      </c>
      <c r="AX88" s="23">
        <f t="shared" si="56"/>
        <v>90</v>
      </c>
      <c r="AY88" s="23">
        <f t="shared" si="56"/>
        <v>368</v>
      </c>
      <c r="AZ88" s="23">
        <f t="shared" si="56"/>
        <v>364</v>
      </c>
      <c r="BA88" s="23">
        <f t="shared" si="56"/>
        <v>370</v>
      </c>
      <c r="BB88" s="23">
        <f t="shared" si="56"/>
        <v>370</v>
      </c>
      <c r="BC88" s="23">
        <f t="shared" si="56"/>
        <v>22</v>
      </c>
      <c r="BD88" s="23">
        <f t="shared" si="56"/>
        <v>395.7</v>
      </c>
      <c r="BE88" s="23">
        <f t="shared" si="56"/>
        <v>101</v>
      </c>
      <c r="BF88" s="23">
        <f t="shared" si="56"/>
        <v>32.5</v>
      </c>
      <c r="BG88" s="23">
        <f t="shared" si="56"/>
        <v>37.5</v>
      </c>
      <c r="BH88" s="23">
        <f t="shared" si="56"/>
        <v>37.5</v>
      </c>
      <c r="BI88" s="23">
        <f t="shared" si="56"/>
        <v>1.95</v>
      </c>
      <c r="BJ88" s="23">
        <f t="shared" si="56"/>
        <v>68.19</v>
      </c>
      <c r="BK88" s="23">
        <f t="shared" si="56"/>
        <v>68.19</v>
      </c>
      <c r="BL88" s="23">
        <f t="shared" si="56"/>
        <v>40</v>
      </c>
      <c r="BM88" s="23">
        <f t="shared" si="56"/>
        <v>14</v>
      </c>
      <c r="BN88" s="23" t="e">
        <f t="shared" si="56"/>
        <v>#NUM!</v>
      </c>
      <c r="BO88" s="23" t="e">
        <f t="shared" si="56"/>
        <v>#NUM!</v>
      </c>
      <c r="BP88" s="23" t="e">
        <f t="shared" si="56"/>
        <v>#NUM!</v>
      </c>
      <c r="BQ88" s="23" t="e">
        <f t="shared" si="56"/>
        <v>#NUM!</v>
      </c>
      <c r="BR88" s="23" t="e">
        <f t="shared" si="56"/>
        <v>#NUM!</v>
      </c>
      <c r="BS88" s="23" t="e">
        <f t="shared" si="56"/>
        <v>#NUM!</v>
      </c>
      <c r="BT88" s="23" t="e">
        <f t="shared" si="56"/>
        <v>#NUM!</v>
      </c>
      <c r="BU88" s="23" t="e">
        <f t="shared" si="56"/>
        <v>#NUM!</v>
      </c>
      <c r="BV88" s="23" t="e">
        <f t="shared" si="56"/>
        <v>#NUM!</v>
      </c>
      <c r="BW88" s="23" t="e">
        <f t="shared" si="56"/>
        <v>#NUM!</v>
      </c>
      <c r="BX88" s="23" t="e">
        <f t="shared" si="56"/>
        <v>#NUM!</v>
      </c>
      <c r="BY88" s="23" t="e">
        <f t="shared" si="56"/>
        <v>#NUM!</v>
      </c>
      <c r="BZ88" s="23" t="e">
        <f t="shared" si="56"/>
        <v>#NUM!</v>
      </c>
      <c r="CA88" s="23" t="e">
        <f t="shared" si="56"/>
        <v>#NUM!</v>
      </c>
      <c r="CB88" s="23" t="e">
        <f t="shared" si="56"/>
        <v>#NUM!</v>
      </c>
      <c r="CC88" s="23" t="e">
        <f t="shared" ref="CC88:CO103" si="57">IF(VLOOKUP(CC$13,$C$15:$J$92,3,FALSE) &lt;&gt; "Incineration", IF(DATEDIF(VLOOKUP(CC$13,$C$15:$J$92,7,FALSE),$O88,"y")&gt;=$P$85,0,VLOOKUP(CC$13,$C$15:$J$92,5,FALSE)), VLOOKUP(CC$13,$C$15:$J$92,5,FALSE))</f>
        <v>#NUM!</v>
      </c>
      <c r="CD88" s="23" t="e">
        <f t="shared" si="57"/>
        <v>#NUM!</v>
      </c>
      <c r="CE88" s="23" t="e">
        <f t="shared" si="57"/>
        <v>#NUM!</v>
      </c>
      <c r="CF88" s="23" t="e">
        <f t="shared" si="57"/>
        <v>#NUM!</v>
      </c>
      <c r="CG88" s="23" t="e">
        <f t="shared" si="57"/>
        <v>#NUM!</v>
      </c>
      <c r="CH88" s="23" t="e">
        <f t="shared" si="57"/>
        <v>#NUM!</v>
      </c>
      <c r="CI88" s="23" t="e">
        <f t="shared" si="57"/>
        <v>#NUM!</v>
      </c>
      <c r="CJ88" s="23" t="e">
        <f t="shared" si="57"/>
        <v>#NUM!</v>
      </c>
      <c r="CK88" s="23" t="e">
        <f t="shared" si="57"/>
        <v>#NUM!</v>
      </c>
      <c r="CL88" s="23" t="e">
        <f t="shared" si="57"/>
        <v>#NUM!</v>
      </c>
      <c r="CM88" s="23" t="e">
        <f t="shared" si="57"/>
        <v>#NUM!</v>
      </c>
      <c r="CN88" s="23" t="e">
        <f t="shared" si="57"/>
        <v>#NUM!</v>
      </c>
      <c r="CO88" s="23" t="e">
        <f t="shared" si="57"/>
        <v>#NUM!</v>
      </c>
      <c r="CP88" s="23">
        <f t="shared" ref="CP88:CP117" si="58">SUM(P88:BM88)</f>
        <v>11745.830000000002</v>
      </c>
      <c r="CQ88" s="23"/>
      <c r="CR88" s="67">
        <v>0.85</v>
      </c>
      <c r="CS88" s="80">
        <f>12112</f>
        <v>12112</v>
      </c>
      <c r="CT88" s="81">
        <f t="shared" ref="CT88:CT117" si="59">CS88*CR88</f>
        <v>10295.199999999999</v>
      </c>
      <c r="CU88" s="23">
        <f t="shared" ref="CU88:CU117" si="60">SUMIF(P88:CO88, "&gt;=0")</f>
        <v>11745.830000000002</v>
      </c>
      <c r="CV88" s="23"/>
      <c r="CW88" s="80">
        <v>12112</v>
      </c>
      <c r="CX88" s="81">
        <f>CW88*CR88</f>
        <v>10295.199999999999</v>
      </c>
      <c r="CY88" s="65">
        <f t="shared" ref="CY88:CY117" si="61">CY14</f>
        <v>6068.3664805815779</v>
      </c>
      <c r="CZ88" s="65">
        <f>'Sensitivity - Population'!S13 + 'Sensitivity - GDP'!P14 +'Sensitivity - GDP'!P76</f>
        <v>52072.34163523504</v>
      </c>
      <c r="DA88" s="65">
        <f>CZ88*1000/(365*24)</f>
        <v>5944.3312368989773</v>
      </c>
      <c r="DB88" s="65">
        <f>'Sensitivity - Population'!E13+'Sensitivity - GDP'!D14+'Sensitivity - GDP'!D76</f>
        <v>48596.064963780576</v>
      </c>
      <c r="DC88" s="65">
        <f>DB88*1000/(365*24)</f>
        <v>5547.4960004315726</v>
      </c>
      <c r="EQ88" s="92"/>
    </row>
    <row r="89" spans="2:147" x14ac:dyDescent="0.35">
      <c r="B89" s="90"/>
      <c r="C89" s="23">
        <v>75</v>
      </c>
      <c r="D89" s="85" t="s">
        <v>257</v>
      </c>
      <c r="E89" s="23" t="s">
        <v>227</v>
      </c>
      <c r="F89" s="23" t="s">
        <v>232</v>
      </c>
      <c r="G89" s="23">
        <f t="shared" si="50"/>
        <v>200</v>
      </c>
      <c r="H89" s="23"/>
      <c r="I89" s="82">
        <v>53692</v>
      </c>
      <c r="J89" s="83">
        <f t="shared" ca="1" si="55"/>
        <v>-24.893150684931506</v>
      </c>
      <c r="K89" s="23" t="s">
        <v>233</v>
      </c>
      <c r="L89" s="92"/>
      <c r="N89" s="90"/>
      <c r="O89" s="79">
        <v>44926</v>
      </c>
      <c r="P89" s="23">
        <f t="shared" ref="P89:AE104" si="62">IF(VLOOKUP(P$13,$C$15:$J$73,3,FALSE) &lt;&gt; "Incineration", IF(DATEDIF(VLOOKUP(P$13,$C$15:$J$73,7,FALSE),$O89,"y")&gt;=$P$85,0,VLOOKUP(P$13,$C$15:$J$73,5,FALSE)), VLOOKUP(P$13,$C$15:$J$73,5,FALSE))</f>
        <v>392.5</v>
      </c>
      <c r="Q89" s="23">
        <f t="shared" si="62"/>
        <v>392.5</v>
      </c>
      <c r="R89" s="23">
        <f t="shared" si="62"/>
        <v>403.8</v>
      </c>
      <c r="S89" s="23">
        <f t="shared" si="62"/>
        <v>400</v>
      </c>
      <c r="T89" s="23">
        <f t="shared" si="62"/>
        <v>400</v>
      </c>
      <c r="U89" s="23">
        <f t="shared" si="62"/>
        <v>250</v>
      </c>
      <c r="V89" s="23">
        <f t="shared" si="62"/>
        <v>250</v>
      </c>
      <c r="W89" s="23">
        <f t="shared" si="62"/>
        <v>420</v>
      </c>
      <c r="X89" s="23">
        <f t="shared" si="62"/>
        <v>420</v>
      </c>
      <c r="Y89" s="23">
        <f t="shared" si="62"/>
        <v>47.8</v>
      </c>
      <c r="Z89" s="23">
        <f t="shared" si="62"/>
        <v>132</v>
      </c>
      <c r="AA89" s="23">
        <f t="shared" si="62"/>
        <v>367.5</v>
      </c>
      <c r="AB89" s="23">
        <f t="shared" si="62"/>
        <v>367.5</v>
      </c>
      <c r="AC89" s="23">
        <f t="shared" si="62"/>
        <v>367.5</v>
      </c>
      <c r="AD89" s="23">
        <f t="shared" si="62"/>
        <v>367.5</v>
      </c>
      <c r="AE89" s="23">
        <f t="shared" si="62"/>
        <v>405.9</v>
      </c>
      <c r="AF89" s="23">
        <f t="shared" ref="AF89:AU104" si="63">IF(VLOOKUP(AF$13,$C$15:$J$73,3,FALSE) &lt;&gt; "Incineration", IF(DATEDIF(VLOOKUP(AF$13,$C$15:$J$73,7,FALSE),$O89,"y")&gt;=$P$85,0,VLOOKUP(AF$13,$C$15:$J$73,5,FALSE)), VLOOKUP(AF$13,$C$15:$J$73,5,FALSE))</f>
        <v>60</v>
      </c>
      <c r="AG89" s="23">
        <f t="shared" si="63"/>
        <v>67.8</v>
      </c>
      <c r="AH89" s="23">
        <f t="shared" si="63"/>
        <v>55</v>
      </c>
      <c r="AI89" s="23">
        <f t="shared" si="63"/>
        <v>262</v>
      </c>
      <c r="AJ89" s="23">
        <f t="shared" si="63"/>
        <v>425</v>
      </c>
      <c r="AK89" s="23">
        <f t="shared" si="63"/>
        <v>365</v>
      </c>
      <c r="AL89" s="23">
        <f t="shared" si="63"/>
        <v>365</v>
      </c>
      <c r="AM89" s="23">
        <f t="shared" si="63"/>
        <v>365</v>
      </c>
      <c r="AN89" s="23">
        <f t="shared" si="63"/>
        <v>431</v>
      </c>
      <c r="AO89" s="23">
        <f t="shared" si="63"/>
        <v>431</v>
      </c>
      <c r="AP89" s="23">
        <f t="shared" si="63"/>
        <v>110</v>
      </c>
      <c r="AQ89" s="23">
        <f t="shared" si="63"/>
        <v>110</v>
      </c>
      <c r="AR89" s="23">
        <f t="shared" si="63"/>
        <v>47</v>
      </c>
      <c r="AS89" s="23">
        <f t="shared" si="63"/>
        <v>47</v>
      </c>
      <c r="AT89" s="23">
        <f t="shared" si="63"/>
        <v>250</v>
      </c>
      <c r="AU89" s="23">
        <f t="shared" si="63"/>
        <v>250</v>
      </c>
      <c r="AV89" s="23">
        <f t="shared" ref="AT89:AZ104" si="64">IF(VLOOKUP(AV$13,$C$15:$J$73,3,FALSE) &lt;&gt; "Incineration", IF(DATEDIF(VLOOKUP(AV$13,$C$15:$J$73,7,FALSE),$O89,"y")&gt;=$P$85,0,VLOOKUP(AV$13,$C$15:$J$73,5,FALSE)), VLOOKUP(AV$13,$C$15:$J$73,5,FALSE))</f>
        <v>250</v>
      </c>
      <c r="AW89" s="23">
        <f t="shared" si="64"/>
        <v>90</v>
      </c>
      <c r="AX89" s="23">
        <f t="shared" si="64"/>
        <v>90</v>
      </c>
      <c r="AY89" s="23">
        <f t="shared" si="64"/>
        <v>368</v>
      </c>
      <c r="AZ89" s="23">
        <f t="shared" si="64"/>
        <v>364</v>
      </c>
      <c r="BA89" s="23">
        <f t="shared" si="56"/>
        <v>370</v>
      </c>
      <c r="BB89" s="23">
        <f t="shared" si="56"/>
        <v>370</v>
      </c>
      <c r="BC89" s="23">
        <f t="shared" si="56"/>
        <v>22</v>
      </c>
      <c r="BD89" s="23">
        <f t="shared" si="56"/>
        <v>395.7</v>
      </c>
      <c r="BE89" s="23">
        <f t="shared" si="56"/>
        <v>101</v>
      </c>
      <c r="BF89" s="23">
        <f t="shared" si="56"/>
        <v>32.5</v>
      </c>
      <c r="BG89" s="23">
        <f t="shared" si="56"/>
        <v>37.5</v>
      </c>
      <c r="BH89" s="23">
        <f t="shared" si="56"/>
        <v>37.5</v>
      </c>
      <c r="BI89" s="23">
        <f t="shared" si="56"/>
        <v>1.95</v>
      </c>
      <c r="BJ89" s="23">
        <f t="shared" si="56"/>
        <v>68.19</v>
      </c>
      <c r="BK89" s="23">
        <f t="shared" si="56"/>
        <v>68.19</v>
      </c>
      <c r="BL89" s="23">
        <f t="shared" si="56"/>
        <v>40</v>
      </c>
      <c r="BM89" s="23">
        <f t="shared" si="56"/>
        <v>14</v>
      </c>
      <c r="BN89" s="23">
        <f t="shared" si="56"/>
        <v>439.33333333333331</v>
      </c>
      <c r="BO89" s="23" t="e">
        <f t="shared" si="56"/>
        <v>#NUM!</v>
      </c>
      <c r="BP89" s="23" t="e">
        <f t="shared" si="56"/>
        <v>#NUM!</v>
      </c>
      <c r="BQ89" s="23" t="e">
        <f t="shared" si="56"/>
        <v>#NUM!</v>
      </c>
      <c r="BR89" s="23" t="e">
        <f t="shared" si="56"/>
        <v>#NUM!</v>
      </c>
      <c r="BS89" s="23" t="e">
        <f t="shared" si="56"/>
        <v>#NUM!</v>
      </c>
      <c r="BT89" s="23" t="e">
        <f t="shared" si="56"/>
        <v>#NUM!</v>
      </c>
      <c r="BU89" s="23" t="e">
        <f t="shared" si="56"/>
        <v>#NUM!</v>
      </c>
      <c r="BV89" s="23" t="e">
        <f t="shared" si="56"/>
        <v>#NUM!</v>
      </c>
      <c r="BW89" s="23" t="e">
        <f t="shared" si="56"/>
        <v>#NUM!</v>
      </c>
      <c r="BX89" s="23" t="e">
        <f t="shared" si="56"/>
        <v>#NUM!</v>
      </c>
      <c r="BY89" s="23" t="e">
        <f t="shared" si="56"/>
        <v>#NUM!</v>
      </c>
      <c r="BZ89" s="23" t="e">
        <f t="shared" si="56"/>
        <v>#NUM!</v>
      </c>
      <c r="CA89" s="23" t="e">
        <f t="shared" si="56"/>
        <v>#NUM!</v>
      </c>
      <c r="CB89" s="23" t="e">
        <f t="shared" si="56"/>
        <v>#NUM!</v>
      </c>
      <c r="CC89" s="23" t="e">
        <f t="shared" si="57"/>
        <v>#NUM!</v>
      </c>
      <c r="CD89" s="23" t="e">
        <f t="shared" si="57"/>
        <v>#NUM!</v>
      </c>
      <c r="CE89" s="23" t="e">
        <f t="shared" si="57"/>
        <v>#NUM!</v>
      </c>
      <c r="CF89" s="23" t="e">
        <f t="shared" si="57"/>
        <v>#NUM!</v>
      </c>
      <c r="CG89" s="23" t="e">
        <f t="shared" si="57"/>
        <v>#NUM!</v>
      </c>
      <c r="CH89" s="23" t="e">
        <f t="shared" si="57"/>
        <v>#NUM!</v>
      </c>
      <c r="CI89" s="23" t="e">
        <f t="shared" si="57"/>
        <v>#NUM!</v>
      </c>
      <c r="CJ89" s="23" t="e">
        <f t="shared" si="57"/>
        <v>#NUM!</v>
      </c>
      <c r="CK89" s="23" t="e">
        <f t="shared" si="57"/>
        <v>#NUM!</v>
      </c>
      <c r="CL89" s="23" t="e">
        <f t="shared" si="57"/>
        <v>#NUM!</v>
      </c>
      <c r="CM89" s="23" t="e">
        <f t="shared" si="57"/>
        <v>#NUM!</v>
      </c>
      <c r="CN89" s="23" t="e">
        <f t="shared" si="57"/>
        <v>#NUM!</v>
      </c>
      <c r="CO89" s="23" t="e">
        <f t="shared" si="57"/>
        <v>#NUM!</v>
      </c>
      <c r="CP89" s="23">
        <f t="shared" si="58"/>
        <v>11745.830000000002</v>
      </c>
      <c r="CQ89" s="67">
        <f>(CP88-CP89)/CP88</f>
        <v>0</v>
      </c>
      <c r="CR89" s="67">
        <v>0.85</v>
      </c>
      <c r="CS89" s="80">
        <f t="shared" ref="CS89:CS117" si="65">(CS88*(1-CQ89))</f>
        <v>12112</v>
      </c>
      <c r="CT89" s="81">
        <f t="shared" si="59"/>
        <v>10295.199999999999</v>
      </c>
      <c r="CU89" s="23">
        <f t="shared" si="60"/>
        <v>12185.163333333336</v>
      </c>
      <c r="CV89" s="67">
        <f>(CU88-CU89)/CU88</f>
        <v>-3.7403345130427895E-2</v>
      </c>
      <c r="CW89" s="80">
        <f>CW88*(1-CV89)</f>
        <v>12565.029316219743</v>
      </c>
      <c r="CX89" s="81">
        <f t="shared" ref="CX89:CX117" si="66">CW89*CR89</f>
        <v>10680.274918786781</v>
      </c>
      <c r="CY89" s="65">
        <f t="shared" si="61"/>
        <v>6186.8714118140279</v>
      </c>
      <c r="CZ89" s="65">
        <f>'Sensitivity - Population'!S14 + 'Sensitivity - GDP'!P15 +'Sensitivity - GDP'!P77</f>
        <v>55635.492601307182</v>
      </c>
      <c r="DA89" s="65">
        <f t="shared" ref="DA89:DA117" si="67">CZ89*1000/(365*24)</f>
        <v>6351.0836302862081</v>
      </c>
      <c r="DB89" s="65">
        <f>'Sensitivity - Population'!E14+'Sensitivity - GDP'!D15+'Sensitivity - GDP'!D77</f>
        <v>51769.551514694031</v>
      </c>
      <c r="DC89" s="65">
        <f t="shared" ref="DC89:DC117" si="68">DB89*1000/(365*24)</f>
        <v>5909.7661546454374</v>
      </c>
      <c r="EQ89" s="92"/>
    </row>
    <row r="90" spans="2:147" x14ac:dyDescent="0.35">
      <c r="B90" s="90"/>
      <c r="C90" s="23">
        <v>76</v>
      </c>
      <c r="D90" s="85" t="s">
        <v>258</v>
      </c>
      <c r="E90" s="23" t="s">
        <v>227</v>
      </c>
      <c r="F90" s="23" t="s">
        <v>232</v>
      </c>
      <c r="G90" s="23">
        <f t="shared" si="50"/>
        <v>200</v>
      </c>
      <c r="H90" s="23"/>
      <c r="I90" s="82">
        <v>54057</v>
      </c>
      <c r="J90" s="83">
        <f t="shared" ca="1" si="55"/>
        <v>-25.893150684931506</v>
      </c>
      <c r="K90" s="23" t="s">
        <v>233</v>
      </c>
      <c r="L90" s="92"/>
      <c r="N90" s="90"/>
      <c r="O90" s="79">
        <v>45291</v>
      </c>
      <c r="P90" s="23">
        <f t="shared" si="62"/>
        <v>392.5</v>
      </c>
      <c r="Q90" s="23">
        <f t="shared" si="62"/>
        <v>392.5</v>
      </c>
      <c r="R90" s="23">
        <f t="shared" si="62"/>
        <v>403.8</v>
      </c>
      <c r="S90" s="23">
        <f t="shared" si="62"/>
        <v>400</v>
      </c>
      <c r="T90" s="23">
        <f t="shared" si="62"/>
        <v>400</v>
      </c>
      <c r="U90" s="23">
        <f t="shared" si="62"/>
        <v>250</v>
      </c>
      <c r="V90" s="23">
        <f t="shared" si="62"/>
        <v>250</v>
      </c>
      <c r="W90" s="23">
        <f t="shared" si="62"/>
        <v>420</v>
      </c>
      <c r="X90" s="23">
        <f t="shared" si="62"/>
        <v>420</v>
      </c>
      <c r="Y90" s="23">
        <f t="shared" si="62"/>
        <v>47.8</v>
      </c>
      <c r="Z90" s="23">
        <f t="shared" si="62"/>
        <v>132</v>
      </c>
      <c r="AA90" s="23">
        <f t="shared" si="62"/>
        <v>367.5</v>
      </c>
      <c r="AB90" s="23">
        <f t="shared" si="62"/>
        <v>367.5</v>
      </c>
      <c r="AC90" s="23">
        <f t="shared" si="62"/>
        <v>367.5</v>
      </c>
      <c r="AD90" s="23">
        <f t="shared" si="62"/>
        <v>367.5</v>
      </c>
      <c r="AE90" s="23">
        <f t="shared" si="62"/>
        <v>405.9</v>
      </c>
      <c r="AF90" s="23">
        <f t="shared" si="63"/>
        <v>60</v>
      </c>
      <c r="AG90" s="23">
        <f t="shared" si="63"/>
        <v>67.8</v>
      </c>
      <c r="AH90" s="23">
        <f t="shared" si="63"/>
        <v>55</v>
      </c>
      <c r="AI90" s="23">
        <f t="shared" si="63"/>
        <v>262</v>
      </c>
      <c r="AJ90" s="23">
        <f t="shared" si="63"/>
        <v>425</v>
      </c>
      <c r="AK90" s="23">
        <f t="shared" si="63"/>
        <v>365</v>
      </c>
      <c r="AL90" s="23">
        <f t="shared" si="63"/>
        <v>365</v>
      </c>
      <c r="AM90" s="23">
        <f t="shared" si="63"/>
        <v>365</v>
      </c>
      <c r="AN90" s="23">
        <f t="shared" si="63"/>
        <v>431</v>
      </c>
      <c r="AO90" s="23">
        <f t="shared" si="63"/>
        <v>431</v>
      </c>
      <c r="AP90" s="23">
        <f t="shared" si="63"/>
        <v>110</v>
      </c>
      <c r="AQ90" s="23">
        <f t="shared" si="63"/>
        <v>110</v>
      </c>
      <c r="AR90" s="23">
        <f t="shared" si="63"/>
        <v>47</v>
      </c>
      <c r="AS90" s="23">
        <f t="shared" si="63"/>
        <v>47</v>
      </c>
      <c r="AT90" s="23">
        <f t="shared" si="64"/>
        <v>250</v>
      </c>
      <c r="AU90" s="23">
        <f t="shared" si="64"/>
        <v>250</v>
      </c>
      <c r="AV90" s="23">
        <f t="shared" si="64"/>
        <v>250</v>
      </c>
      <c r="AW90" s="23">
        <f t="shared" si="64"/>
        <v>90</v>
      </c>
      <c r="AX90" s="23">
        <f t="shared" si="64"/>
        <v>90</v>
      </c>
      <c r="AY90" s="23">
        <f t="shared" si="64"/>
        <v>368</v>
      </c>
      <c r="AZ90" s="23">
        <f t="shared" si="64"/>
        <v>364</v>
      </c>
      <c r="BA90" s="23">
        <f t="shared" si="56"/>
        <v>370</v>
      </c>
      <c r="BB90" s="23">
        <f t="shared" si="56"/>
        <v>370</v>
      </c>
      <c r="BC90" s="23">
        <f t="shared" si="56"/>
        <v>22</v>
      </c>
      <c r="BD90" s="23">
        <f t="shared" si="56"/>
        <v>395.7</v>
      </c>
      <c r="BE90" s="23">
        <f t="shared" si="56"/>
        <v>101</v>
      </c>
      <c r="BF90" s="23">
        <f t="shared" si="56"/>
        <v>32.5</v>
      </c>
      <c r="BG90" s="23">
        <f t="shared" si="56"/>
        <v>37.5</v>
      </c>
      <c r="BH90" s="23">
        <f t="shared" si="56"/>
        <v>37.5</v>
      </c>
      <c r="BI90" s="23">
        <f t="shared" si="56"/>
        <v>1.95</v>
      </c>
      <c r="BJ90" s="23">
        <f t="shared" si="56"/>
        <v>68.19</v>
      </c>
      <c r="BK90" s="23">
        <f t="shared" si="56"/>
        <v>68.19</v>
      </c>
      <c r="BL90" s="23">
        <f t="shared" si="56"/>
        <v>40</v>
      </c>
      <c r="BM90" s="23">
        <f t="shared" si="56"/>
        <v>14</v>
      </c>
      <c r="BN90" s="23">
        <f t="shared" si="56"/>
        <v>439.33333333333331</v>
      </c>
      <c r="BO90" s="23">
        <f t="shared" si="56"/>
        <v>439.33333333333331</v>
      </c>
      <c r="BP90" s="23" t="e">
        <f t="shared" si="56"/>
        <v>#NUM!</v>
      </c>
      <c r="BQ90" s="23" t="e">
        <f t="shared" si="56"/>
        <v>#NUM!</v>
      </c>
      <c r="BR90" s="23" t="e">
        <f t="shared" si="56"/>
        <v>#NUM!</v>
      </c>
      <c r="BS90" s="23" t="e">
        <f t="shared" si="56"/>
        <v>#NUM!</v>
      </c>
      <c r="BT90" s="23" t="e">
        <f t="shared" si="56"/>
        <v>#NUM!</v>
      </c>
      <c r="BU90" s="23" t="e">
        <f t="shared" si="56"/>
        <v>#NUM!</v>
      </c>
      <c r="BV90" s="23" t="e">
        <f t="shared" si="56"/>
        <v>#NUM!</v>
      </c>
      <c r="BW90" s="23" t="e">
        <f t="shared" si="56"/>
        <v>#NUM!</v>
      </c>
      <c r="BX90" s="23" t="e">
        <f t="shared" si="56"/>
        <v>#NUM!</v>
      </c>
      <c r="BY90" s="23" t="e">
        <f t="shared" si="56"/>
        <v>#NUM!</v>
      </c>
      <c r="BZ90" s="23" t="e">
        <f t="shared" si="56"/>
        <v>#NUM!</v>
      </c>
      <c r="CA90" s="23" t="e">
        <f t="shared" si="56"/>
        <v>#NUM!</v>
      </c>
      <c r="CB90" s="23" t="e">
        <f t="shared" si="56"/>
        <v>#NUM!</v>
      </c>
      <c r="CC90" s="23" t="e">
        <f t="shared" si="57"/>
        <v>#NUM!</v>
      </c>
      <c r="CD90" s="23" t="e">
        <f t="shared" si="57"/>
        <v>#NUM!</v>
      </c>
      <c r="CE90" s="23" t="e">
        <f t="shared" si="57"/>
        <v>#NUM!</v>
      </c>
      <c r="CF90" s="23" t="e">
        <f t="shared" si="57"/>
        <v>#NUM!</v>
      </c>
      <c r="CG90" s="23" t="e">
        <f t="shared" si="57"/>
        <v>#NUM!</v>
      </c>
      <c r="CH90" s="23" t="e">
        <f t="shared" si="57"/>
        <v>#NUM!</v>
      </c>
      <c r="CI90" s="23" t="e">
        <f t="shared" si="57"/>
        <v>#NUM!</v>
      </c>
      <c r="CJ90" s="23" t="e">
        <f t="shared" si="57"/>
        <v>#NUM!</v>
      </c>
      <c r="CK90" s="23" t="e">
        <f t="shared" si="57"/>
        <v>#NUM!</v>
      </c>
      <c r="CL90" s="23" t="e">
        <f t="shared" si="57"/>
        <v>#NUM!</v>
      </c>
      <c r="CM90" s="23" t="e">
        <f t="shared" si="57"/>
        <v>#NUM!</v>
      </c>
      <c r="CN90" s="23" t="e">
        <f t="shared" si="57"/>
        <v>#NUM!</v>
      </c>
      <c r="CO90" s="23" t="e">
        <f t="shared" si="57"/>
        <v>#NUM!</v>
      </c>
      <c r="CP90" s="23">
        <f t="shared" si="58"/>
        <v>11745.830000000002</v>
      </c>
      <c r="CQ90" s="67">
        <f t="shared" ref="CQ90:CQ117" si="69">(CP89-CP90)/CP89</f>
        <v>0</v>
      </c>
      <c r="CR90" s="67">
        <v>0.85</v>
      </c>
      <c r="CS90" s="80">
        <f t="shared" si="65"/>
        <v>12112</v>
      </c>
      <c r="CT90" s="81">
        <f t="shared" si="59"/>
        <v>10295.199999999999</v>
      </c>
      <c r="CU90" s="23">
        <f t="shared" si="60"/>
        <v>12624.49666666667</v>
      </c>
      <c r="CV90" s="67">
        <f t="shared" ref="CV90:CV117" si="70">(CU89-CU90)/CU89</f>
        <v>-3.6054775903701514E-2</v>
      </c>
      <c r="CW90" s="80">
        <f t="shared" ref="CW90:CW117" si="71">CW89*(1-CV90)</f>
        <v>13018.058632439486</v>
      </c>
      <c r="CX90" s="81">
        <f t="shared" si="66"/>
        <v>11065.349837573563</v>
      </c>
      <c r="CY90" s="65">
        <f t="shared" si="61"/>
        <v>6305.2953080940742</v>
      </c>
      <c r="CZ90" s="65">
        <f>'Sensitivity - Population'!S15 + 'Sensitivity - GDP'!P16 +'Sensitivity - GDP'!P78</f>
        <v>56760.998905574736</v>
      </c>
      <c r="DA90" s="65">
        <f t="shared" si="67"/>
        <v>6479.5660851112716</v>
      </c>
      <c r="DB90" s="65">
        <f>'Sensitivity - Population'!E15+'Sensitivity - GDP'!D16+'Sensitivity - GDP'!D78</f>
        <v>52775.170912104542</v>
      </c>
      <c r="DC90" s="65">
        <f t="shared" si="68"/>
        <v>6024.5628895096506</v>
      </c>
      <c r="EQ90" s="92"/>
    </row>
    <row r="91" spans="2:147" x14ac:dyDescent="0.35">
      <c r="B91" s="90"/>
      <c r="C91" s="23">
        <v>77</v>
      </c>
      <c r="D91" s="85" t="s">
        <v>259</v>
      </c>
      <c r="E91" s="23" t="s">
        <v>227</v>
      </c>
      <c r="F91" s="23" t="s">
        <v>232</v>
      </c>
      <c r="G91" s="23">
        <f t="shared" si="50"/>
        <v>200</v>
      </c>
      <c r="H91" s="23"/>
      <c r="I91" s="82">
        <v>54423</v>
      </c>
      <c r="J91" s="83">
        <f t="shared" ca="1" si="55"/>
        <v>-26.895890410958906</v>
      </c>
      <c r="K91" s="23" t="s">
        <v>233</v>
      </c>
      <c r="L91" s="92"/>
      <c r="N91" s="90"/>
      <c r="O91" s="79">
        <v>45657</v>
      </c>
      <c r="P91" s="23">
        <f t="shared" si="62"/>
        <v>392.5</v>
      </c>
      <c r="Q91" s="23">
        <f t="shared" si="62"/>
        <v>392.5</v>
      </c>
      <c r="R91" s="23">
        <f t="shared" si="62"/>
        <v>403.8</v>
      </c>
      <c r="S91" s="23">
        <f t="shared" si="62"/>
        <v>400</v>
      </c>
      <c r="T91" s="23">
        <f t="shared" si="62"/>
        <v>400</v>
      </c>
      <c r="U91" s="23">
        <f t="shared" si="62"/>
        <v>250</v>
      </c>
      <c r="V91" s="23">
        <f t="shared" si="62"/>
        <v>250</v>
      </c>
      <c r="W91" s="23">
        <f t="shared" si="62"/>
        <v>420</v>
      </c>
      <c r="X91" s="23">
        <f t="shared" si="62"/>
        <v>420</v>
      </c>
      <c r="Y91" s="23">
        <f t="shared" si="62"/>
        <v>47.8</v>
      </c>
      <c r="Z91" s="23">
        <f t="shared" si="62"/>
        <v>132</v>
      </c>
      <c r="AA91" s="23">
        <f t="shared" si="62"/>
        <v>367.5</v>
      </c>
      <c r="AB91" s="23">
        <f t="shared" si="62"/>
        <v>367.5</v>
      </c>
      <c r="AC91" s="23">
        <f t="shared" si="62"/>
        <v>367.5</v>
      </c>
      <c r="AD91" s="23">
        <f t="shared" si="62"/>
        <v>367.5</v>
      </c>
      <c r="AE91" s="23">
        <f t="shared" si="62"/>
        <v>405.9</v>
      </c>
      <c r="AF91" s="23">
        <f t="shared" si="63"/>
        <v>60</v>
      </c>
      <c r="AG91" s="23">
        <f t="shared" si="63"/>
        <v>67.8</v>
      </c>
      <c r="AH91" s="23">
        <f t="shared" si="63"/>
        <v>55</v>
      </c>
      <c r="AI91" s="23">
        <f t="shared" si="63"/>
        <v>262</v>
      </c>
      <c r="AJ91" s="23">
        <f t="shared" si="63"/>
        <v>425</v>
      </c>
      <c r="AK91" s="23">
        <f t="shared" si="63"/>
        <v>365</v>
      </c>
      <c r="AL91" s="23">
        <f t="shared" si="63"/>
        <v>365</v>
      </c>
      <c r="AM91" s="23">
        <f t="shared" si="63"/>
        <v>365</v>
      </c>
      <c r="AN91" s="23">
        <f t="shared" si="63"/>
        <v>431</v>
      </c>
      <c r="AO91" s="23">
        <f t="shared" si="63"/>
        <v>431</v>
      </c>
      <c r="AP91" s="23">
        <f t="shared" si="63"/>
        <v>110</v>
      </c>
      <c r="AQ91" s="23">
        <f t="shared" si="63"/>
        <v>110</v>
      </c>
      <c r="AR91" s="23">
        <f t="shared" si="63"/>
        <v>47</v>
      </c>
      <c r="AS91" s="23">
        <f t="shared" si="63"/>
        <v>47</v>
      </c>
      <c r="AT91" s="23">
        <f t="shared" si="64"/>
        <v>250</v>
      </c>
      <c r="AU91" s="23">
        <f t="shared" si="64"/>
        <v>250</v>
      </c>
      <c r="AV91" s="23">
        <f t="shared" si="64"/>
        <v>250</v>
      </c>
      <c r="AW91" s="23">
        <f t="shared" si="64"/>
        <v>90</v>
      </c>
      <c r="AX91" s="23">
        <f t="shared" si="64"/>
        <v>90</v>
      </c>
      <c r="AY91" s="23">
        <f t="shared" si="64"/>
        <v>368</v>
      </c>
      <c r="AZ91" s="23">
        <f t="shared" si="64"/>
        <v>364</v>
      </c>
      <c r="BA91" s="23">
        <f t="shared" si="56"/>
        <v>370</v>
      </c>
      <c r="BB91" s="23">
        <f t="shared" si="56"/>
        <v>370</v>
      </c>
      <c r="BC91" s="23">
        <f t="shared" si="56"/>
        <v>22</v>
      </c>
      <c r="BD91" s="23">
        <f t="shared" si="56"/>
        <v>395.7</v>
      </c>
      <c r="BE91" s="23">
        <f t="shared" si="56"/>
        <v>101</v>
      </c>
      <c r="BF91" s="23">
        <f t="shared" si="56"/>
        <v>32.5</v>
      </c>
      <c r="BG91" s="23">
        <f t="shared" si="56"/>
        <v>37.5</v>
      </c>
      <c r="BH91" s="23">
        <f t="shared" si="56"/>
        <v>37.5</v>
      </c>
      <c r="BI91" s="23">
        <f t="shared" si="56"/>
        <v>1.95</v>
      </c>
      <c r="BJ91" s="23">
        <f t="shared" si="56"/>
        <v>68.19</v>
      </c>
      <c r="BK91" s="23">
        <f t="shared" si="56"/>
        <v>68.19</v>
      </c>
      <c r="BL91" s="23">
        <f t="shared" si="56"/>
        <v>40</v>
      </c>
      <c r="BM91" s="23">
        <f t="shared" si="56"/>
        <v>14</v>
      </c>
      <c r="BN91" s="23">
        <f t="shared" si="56"/>
        <v>439.33333333333331</v>
      </c>
      <c r="BO91" s="23">
        <f t="shared" si="56"/>
        <v>439.33333333333331</v>
      </c>
      <c r="BP91" s="23">
        <f t="shared" si="56"/>
        <v>439.33333333333331</v>
      </c>
      <c r="BQ91" s="23" t="e">
        <f t="shared" si="56"/>
        <v>#NUM!</v>
      </c>
      <c r="BR91" s="23" t="e">
        <f t="shared" si="56"/>
        <v>#NUM!</v>
      </c>
      <c r="BS91" s="23" t="e">
        <f t="shared" si="56"/>
        <v>#NUM!</v>
      </c>
      <c r="BT91" s="23" t="e">
        <f t="shared" si="56"/>
        <v>#NUM!</v>
      </c>
      <c r="BU91" s="23" t="e">
        <f t="shared" si="56"/>
        <v>#NUM!</v>
      </c>
      <c r="BV91" s="23" t="e">
        <f t="shared" si="56"/>
        <v>#NUM!</v>
      </c>
      <c r="BW91" s="23" t="e">
        <f t="shared" si="56"/>
        <v>#NUM!</v>
      </c>
      <c r="BX91" s="23" t="e">
        <f t="shared" si="56"/>
        <v>#NUM!</v>
      </c>
      <c r="BY91" s="23" t="e">
        <f t="shared" si="56"/>
        <v>#NUM!</v>
      </c>
      <c r="BZ91" s="23" t="e">
        <f t="shared" si="56"/>
        <v>#NUM!</v>
      </c>
      <c r="CA91" s="23" t="e">
        <f t="shared" si="56"/>
        <v>#NUM!</v>
      </c>
      <c r="CB91" s="23" t="e">
        <f t="shared" si="56"/>
        <v>#NUM!</v>
      </c>
      <c r="CC91" s="23" t="e">
        <f t="shared" si="57"/>
        <v>#NUM!</v>
      </c>
      <c r="CD91" s="23" t="e">
        <f t="shared" si="57"/>
        <v>#NUM!</v>
      </c>
      <c r="CE91" s="23" t="e">
        <f t="shared" si="57"/>
        <v>#NUM!</v>
      </c>
      <c r="CF91" s="23" t="e">
        <f t="shared" si="57"/>
        <v>#NUM!</v>
      </c>
      <c r="CG91" s="23" t="e">
        <f t="shared" si="57"/>
        <v>#NUM!</v>
      </c>
      <c r="CH91" s="23" t="e">
        <f t="shared" si="57"/>
        <v>#NUM!</v>
      </c>
      <c r="CI91" s="23" t="e">
        <f t="shared" si="57"/>
        <v>#NUM!</v>
      </c>
      <c r="CJ91" s="23" t="e">
        <f t="shared" si="57"/>
        <v>#NUM!</v>
      </c>
      <c r="CK91" s="23" t="e">
        <f t="shared" si="57"/>
        <v>#NUM!</v>
      </c>
      <c r="CL91" s="23" t="e">
        <f t="shared" si="57"/>
        <v>#NUM!</v>
      </c>
      <c r="CM91" s="23" t="e">
        <f t="shared" si="57"/>
        <v>#NUM!</v>
      </c>
      <c r="CN91" s="23" t="e">
        <f t="shared" si="57"/>
        <v>#NUM!</v>
      </c>
      <c r="CO91" s="23" t="e">
        <f t="shared" si="57"/>
        <v>#NUM!</v>
      </c>
      <c r="CP91" s="23">
        <f t="shared" si="58"/>
        <v>11745.830000000002</v>
      </c>
      <c r="CQ91" s="67">
        <f t="shared" si="69"/>
        <v>0</v>
      </c>
      <c r="CR91" s="67">
        <v>0.85</v>
      </c>
      <c r="CS91" s="80">
        <f t="shared" si="65"/>
        <v>12112</v>
      </c>
      <c r="CT91" s="81">
        <f t="shared" si="59"/>
        <v>10295.199999999999</v>
      </c>
      <c r="CU91" s="23">
        <f t="shared" si="60"/>
        <v>13063.830000000004</v>
      </c>
      <c r="CV91" s="67">
        <f t="shared" si="70"/>
        <v>-3.4800067276609614E-2</v>
      </c>
      <c r="CW91" s="80">
        <f t="shared" si="71"/>
        <v>13471.087948659228</v>
      </c>
      <c r="CX91" s="81">
        <f t="shared" si="66"/>
        <v>11450.424756360344</v>
      </c>
      <c r="CY91" s="65">
        <f t="shared" si="61"/>
        <v>6423.635511917023</v>
      </c>
      <c r="CZ91" s="65">
        <f>'Sensitivity - Population'!S16 + 'Sensitivity - GDP'!P17 +'Sensitivity - GDP'!P79</f>
        <v>57885.788954863579</v>
      </c>
      <c r="DA91" s="65">
        <f t="shared" si="67"/>
        <v>6607.966775669358</v>
      </c>
      <c r="DB91" s="65">
        <f>'Sensitivity - Population'!E16+'Sensitivity - GDP'!D17+'Sensitivity - GDP'!D79</f>
        <v>53780.083992662927</v>
      </c>
      <c r="DC91" s="65">
        <f t="shared" si="68"/>
        <v>6139.2789945962249</v>
      </c>
      <c r="EQ91" s="92"/>
    </row>
    <row r="92" spans="2:147" x14ac:dyDescent="0.35">
      <c r="B92" s="90"/>
      <c r="C92" s="23">
        <v>78</v>
      </c>
      <c r="D92" s="85" t="s">
        <v>260</v>
      </c>
      <c r="E92" s="23" t="s">
        <v>227</v>
      </c>
      <c r="F92" s="23" t="s">
        <v>232</v>
      </c>
      <c r="G92" s="23">
        <f t="shared" si="50"/>
        <v>200</v>
      </c>
      <c r="H92" s="65">
        <f>SUM(G73:G92)</f>
        <v>4000</v>
      </c>
      <c r="I92" s="82">
        <v>54788</v>
      </c>
      <c r="J92" s="83">
        <f t="shared" ca="1" si="55"/>
        <v>-27.895890410958906</v>
      </c>
      <c r="K92" s="23" t="s">
        <v>233</v>
      </c>
      <c r="L92" s="92"/>
      <c r="N92" s="90"/>
      <c r="O92" s="79">
        <v>46022</v>
      </c>
      <c r="P92" s="23">
        <f t="shared" si="62"/>
        <v>392.5</v>
      </c>
      <c r="Q92" s="23">
        <f t="shared" si="62"/>
        <v>392.5</v>
      </c>
      <c r="R92" s="23">
        <f t="shared" si="62"/>
        <v>403.8</v>
      </c>
      <c r="S92" s="23">
        <f t="shared" si="62"/>
        <v>400</v>
      </c>
      <c r="T92" s="23">
        <f t="shared" si="62"/>
        <v>400</v>
      </c>
      <c r="U92" s="23">
        <f t="shared" si="62"/>
        <v>250</v>
      </c>
      <c r="V92" s="23">
        <f t="shared" si="62"/>
        <v>250</v>
      </c>
      <c r="W92" s="23">
        <f t="shared" si="62"/>
        <v>420</v>
      </c>
      <c r="X92" s="23">
        <f t="shared" si="62"/>
        <v>420</v>
      </c>
      <c r="Y92" s="23">
        <f t="shared" si="62"/>
        <v>47.8</v>
      </c>
      <c r="Z92" s="23">
        <f t="shared" si="62"/>
        <v>132</v>
      </c>
      <c r="AA92" s="23">
        <f t="shared" si="62"/>
        <v>367.5</v>
      </c>
      <c r="AB92" s="23">
        <f t="shared" si="62"/>
        <v>367.5</v>
      </c>
      <c r="AC92" s="23">
        <f t="shared" si="62"/>
        <v>367.5</v>
      </c>
      <c r="AD92" s="23">
        <f t="shared" si="62"/>
        <v>367.5</v>
      </c>
      <c r="AE92" s="23">
        <f t="shared" si="62"/>
        <v>405.9</v>
      </c>
      <c r="AF92" s="23">
        <f t="shared" si="63"/>
        <v>60</v>
      </c>
      <c r="AG92" s="23">
        <f t="shared" si="63"/>
        <v>67.8</v>
      </c>
      <c r="AH92" s="23">
        <f t="shared" si="63"/>
        <v>55</v>
      </c>
      <c r="AI92" s="23">
        <f t="shared" si="63"/>
        <v>262</v>
      </c>
      <c r="AJ92" s="23">
        <f t="shared" si="63"/>
        <v>425</v>
      </c>
      <c r="AK92" s="23">
        <f t="shared" si="63"/>
        <v>365</v>
      </c>
      <c r="AL92" s="23">
        <f t="shared" si="63"/>
        <v>365</v>
      </c>
      <c r="AM92" s="23">
        <f t="shared" si="63"/>
        <v>365</v>
      </c>
      <c r="AN92" s="23">
        <f t="shared" si="63"/>
        <v>431</v>
      </c>
      <c r="AO92" s="23">
        <f t="shared" si="63"/>
        <v>431</v>
      </c>
      <c r="AP92" s="23">
        <f t="shared" si="63"/>
        <v>110</v>
      </c>
      <c r="AQ92" s="23">
        <f t="shared" si="63"/>
        <v>110</v>
      </c>
      <c r="AR92" s="23">
        <f t="shared" si="63"/>
        <v>47</v>
      </c>
      <c r="AS92" s="23">
        <f t="shared" si="63"/>
        <v>47</v>
      </c>
      <c r="AT92" s="23">
        <f t="shared" si="64"/>
        <v>250</v>
      </c>
      <c r="AU92" s="23">
        <f t="shared" si="64"/>
        <v>250</v>
      </c>
      <c r="AV92" s="23">
        <f t="shared" si="64"/>
        <v>250</v>
      </c>
      <c r="AW92" s="23">
        <f t="shared" si="64"/>
        <v>90</v>
      </c>
      <c r="AX92" s="23">
        <f t="shared" si="64"/>
        <v>90</v>
      </c>
      <c r="AY92" s="23">
        <f t="shared" si="64"/>
        <v>368</v>
      </c>
      <c r="AZ92" s="23">
        <f t="shared" si="64"/>
        <v>364</v>
      </c>
      <c r="BA92" s="23">
        <f t="shared" si="56"/>
        <v>370</v>
      </c>
      <c r="BB92" s="23">
        <f t="shared" si="56"/>
        <v>370</v>
      </c>
      <c r="BC92" s="23">
        <f t="shared" si="56"/>
        <v>22</v>
      </c>
      <c r="BD92" s="23">
        <f t="shared" si="56"/>
        <v>395.7</v>
      </c>
      <c r="BE92" s="23">
        <f t="shared" si="56"/>
        <v>101</v>
      </c>
      <c r="BF92" s="23">
        <f t="shared" si="56"/>
        <v>32.5</v>
      </c>
      <c r="BG92" s="23">
        <f t="shared" si="56"/>
        <v>37.5</v>
      </c>
      <c r="BH92" s="23">
        <f t="shared" si="56"/>
        <v>37.5</v>
      </c>
      <c r="BI92" s="23">
        <f t="shared" si="56"/>
        <v>1.95</v>
      </c>
      <c r="BJ92" s="23">
        <f t="shared" si="56"/>
        <v>68.19</v>
      </c>
      <c r="BK92" s="23">
        <f t="shared" si="56"/>
        <v>68.19</v>
      </c>
      <c r="BL92" s="23">
        <f t="shared" si="56"/>
        <v>40</v>
      </c>
      <c r="BM92" s="23">
        <f t="shared" si="56"/>
        <v>14</v>
      </c>
      <c r="BN92" s="23">
        <f t="shared" si="56"/>
        <v>439.33333333333331</v>
      </c>
      <c r="BO92" s="23">
        <f t="shared" si="56"/>
        <v>439.33333333333331</v>
      </c>
      <c r="BP92" s="23">
        <f t="shared" si="56"/>
        <v>439.33333333333331</v>
      </c>
      <c r="BQ92" s="23">
        <f t="shared" si="56"/>
        <v>100</v>
      </c>
      <c r="BR92" s="23" t="e">
        <f t="shared" si="56"/>
        <v>#NUM!</v>
      </c>
      <c r="BS92" s="23" t="e">
        <f t="shared" si="56"/>
        <v>#NUM!</v>
      </c>
      <c r="BT92" s="23" t="e">
        <f t="shared" si="56"/>
        <v>#NUM!</v>
      </c>
      <c r="BU92" s="23" t="e">
        <f t="shared" si="56"/>
        <v>#NUM!</v>
      </c>
      <c r="BV92" s="23" t="e">
        <f t="shared" si="56"/>
        <v>#NUM!</v>
      </c>
      <c r="BW92" s="23" t="e">
        <f t="shared" si="56"/>
        <v>#NUM!</v>
      </c>
      <c r="BX92" s="23" t="e">
        <f t="shared" si="56"/>
        <v>#NUM!</v>
      </c>
      <c r="BY92" s="23" t="e">
        <f t="shared" si="56"/>
        <v>#NUM!</v>
      </c>
      <c r="BZ92" s="23" t="e">
        <f t="shared" si="56"/>
        <v>#NUM!</v>
      </c>
      <c r="CA92" s="23" t="e">
        <f t="shared" si="56"/>
        <v>#NUM!</v>
      </c>
      <c r="CB92" s="23" t="e">
        <f t="shared" si="56"/>
        <v>#NUM!</v>
      </c>
      <c r="CC92" s="23" t="e">
        <f t="shared" si="57"/>
        <v>#NUM!</v>
      </c>
      <c r="CD92" s="23" t="e">
        <f t="shared" si="57"/>
        <v>#NUM!</v>
      </c>
      <c r="CE92" s="23" t="e">
        <f t="shared" si="57"/>
        <v>#NUM!</v>
      </c>
      <c r="CF92" s="23" t="e">
        <f t="shared" si="57"/>
        <v>#NUM!</v>
      </c>
      <c r="CG92" s="23" t="e">
        <f t="shared" si="57"/>
        <v>#NUM!</v>
      </c>
      <c r="CH92" s="23" t="e">
        <f t="shared" si="57"/>
        <v>#NUM!</v>
      </c>
      <c r="CI92" s="23" t="e">
        <f t="shared" si="57"/>
        <v>#NUM!</v>
      </c>
      <c r="CJ92" s="23" t="e">
        <f t="shared" si="57"/>
        <v>#NUM!</v>
      </c>
      <c r="CK92" s="23" t="e">
        <f t="shared" si="57"/>
        <v>#NUM!</v>
      </c>
      <c r="CL92" s="23" t="e">
        <f t="shared" si="57"/>
        <v>#NUM!</v>
      </c>
      <c r="CM92" s="23" t="e">
        <f t="shared" si="57"/>
        <v>#NUM!</v>
      </c>
      <c r="CN92" s="23" t="e">
        <f t="shared" si="57"/>
        <v>#NUM!</v>
      </c>
      <c r="CO92" s="23" t="e">
        <f t="shared" si="57"/>
        <v>#NUM!</v>
      </c>
      <c r="CP92" s="23">
        <f t="shared" si="58"/>
        <v>11745.830000000002</v>
      </c>
      <c r="CQ92" s="67">
        <f t="shared" si="69"/>
        <v>0</v>
      </c>
      <c r="CR92" s="67">
        <v>0.85</v>
      </c>
      <c r="CS92" s="80">
        <f t="shared" si="65"/>
        <v>12112</v>
      </c>
      <c r="CT92" s="81">
        <f t="shared" si="59"/>
        <v>10295.199999999999</v>
      </c>
      <c r="CU92" s="23">
        <f t="shared" si="60"/>
        <v>13163.830000000004</v>
      </c>
      <c r="CV92" s="67">
        <f t="shared" si="70"/>
        <v>-7.654723002366073E-3</v>
      </c>
      <c r="CW92" s="80">
        <f t="shared" si="71"/>
        <v>13574.205395446725</v>
      </c>
      <c r="CX92" s="81">
        <f t="shared" si="66"/>
        <v>11538.074586129716</v>
      </c>
      <c r="CY92" s="65">
        <f t="shared" si="61"/>
        <v>6541.8893913947832</v>
      </c>
      <c r="CZ92" s="65">
        <f>'Sensitivity - Population'!S17 + 'Sensitivity - GDP'!P18 +'Sensitivity - GDP'!P80</f>
        <v>59009.839259914923</v>
      </c>
      <c r="DA92" s="65">
        <f t="shared" si="67"/>
        <v>6736.2830205382324</v>
      </c>
      <c r="DB92" s="65">
        <f>'Sensitivity - Population'!E17+'Sensitivity - GDP'!D18+'Sensitivity - GDP'!D80</f>
        <v>54784.267593026729</v>
      </c>
      <c r="DC92" s="65">
        <f t="shared" si="68"/>
        <v>6253.9118256879829</v>
      </c>
      <c r="EQ92" s="92"/>
    </row>
    <row r="93" spans="2:147" x14ac:dyDescent="0.35">
      <c r="B93" s="94"/>
      <c r="C93" s="95"/>
      <c r="D93" s="95"/>
      <c r="E93" s="95"/>
      <c r="F93" s="95"/>
      <c r="G93" s="95"/>
      <c r="H93" s="95"/>
      <c r="I93" s="95"/>
      <c r="J93" s="95"/>
      <c r="K93" s="95"/>
      <c r="L93" s="96"/>
      <c r="N93" s="90"/>
      <c r="O93" s="79">
        <v>46387</v>
      </c>
      <c r="P93" s="23">
        <f t="shared" si="62"/>
        <v>392.5</v>
      </c>
      <c r="Q93" s="23">
        <f t="shared" si="62"/>
        <v>392.5</v>
      </c>
      <c r="R93" s="23">
        <f t="shared" si="62"/>
        <v>403.8</v>
      </c>
      <c r="S93" s="23">
        <f t="shared" si="62"/>
        <v>400</v>
      </c>
      <c r="T93" s="23">
        <f t="shared" si="62"/>
        <v>400</v>
      </c>
      <c r="U93" s="23">
        <f t="shared" si="62"/>
        <v>250</v>
      </c>
      <c r="V93" s="23">
        <f t="shared" si="62"/>
        <v>250</v>
      </c>
      <c r="W93" s="23">
        <f t="shared" si="62"/>
        <v>420</v>
      </c>
      <c r="X93" s="23">
        <f t="shared" si="62"/>
        <v>420</v>
      </c>
      <c r="Y93" s="23">
        <f t="shared" si="62"/>
        <v>47.8</v>
      </c>
      <c r="Z93" s="23">
        <f t="shared" si="62"/>
        <v>132</v>
      </c>
      <c r="AA93" s="23">
        <f t="shared" si="62"/>
        <v>367.5</v>
      </c>
      <c r="AB93" s="23">
        <f t="shared" si="62"/>
        <v>367.5</v>
      </c>
      <c r="AC93" s="23">
        <f t="shared" si="62"/>
        <v>367.5</v>
      </c>
      <c r="AD93" s="23">
        <f t="shared" si="62"/>
        <v>367.5</v>
      </c>
      <c r="AE93" s="23">
        <f t="shared" si="62"/>
        <v>405.9</v>
      </c>
      <c r="AF93" s="23">
        <f t="shared" si="63"/>
        <v>60</v>
      </c>
      <c r="AG93" s="23">
        <f t="shared" si="63"/>
        <v>67.8</v>
      </c>
      <c r="AH93" s="23">
        <f t="shared" si="63"/>
        <v>55</v>
      </c>
      <c r="AI93" s="23">
        <f t="shared" si="63"/>
        <v>262</v>
      </c>
      <c r="AJ93" s="23">
        <f t="shared" si="63"/>
        <v>425</v>
      </c>
      <c r="AK93" s="23">
        <f t="shared" si="63"/>
        <v>365</v>
      </c>
      <c r="AL93" s="23">
        <f t="shared" si="63"/>
        <v>365</v>
      </c>
      <c r="AM93" s="23">
        <f t="shared" si="63"/>
        <v>365</v>
      </c>
      <c r="AN93" s="23">
        <f t="shared" si="63"/>
        <v>431</v>
      </c>
      <c r="AO93" s="23">
        <f t="shared" si="63"/>
        <v>431</v>
      </c>
      <c r="AP93" s="23">
        <f t="shared" si="63"/>
        <v>110</v>
      </c>
      <c r="AQ93" s="23">
        <f t="shared" si="63"/>
        <v>110</v>
      </c>
      <c r="AR93" s="23">
        <f t="shared" si="63"/>
        <v>47</v>
      </c>
      <c r="AS93" s="23">
        <f t="shared" si="63"/>
        <v>47</v>
      </c>
      <c r="AT93" s="23">
        <f t="shared" si="64"/>
        <v>250</v>
      </c>
      <c r="AU93" s="23">
        <f t="shared" si="64"/>
        <v>250</v>
      </c>
      <c r="AV93" s="23">
        <f t="shared" si="64"/>
        <v>250</v>
      </c>
      <c r="AW93" s="23">
        <f t="shared" si="64"/>
        <v>0</v>
      </c>
      <c r="AX93" s="23">
        <f t="shared" si="64"/>
        <v>0</v>
      </c>
      <c r="AY93" s="23">
        <f t="shared" si="64"/>
        <v>368</v>
      </c>
      <c r="AZ93" s="23">
        <f t="shared" si="64"/>
        <v>364</v>
      </c>
      <c r="BA93" s="23">
        <f t="shared" si="56"/>
        <v>370</v>
      </c>
      <c r="BB93" s="23">
        <f t="shared" si="56"/>
        <v>370</v>
      </c>
      <c r="BC93" s="23">
        <f t="shared" si="56"/>
        <v>22</v>
      </c>
      <c r="BD93" s="23">
        <f t="shared" si="56"/>
        <v>395.7</v>
      </c>
      <c r="BE93" s="23">
        <f t="shared" si="56"/>
        <v>101</v>
      </c>
      <c r="BF93" s="23">
        <f t="shared" si="56"/>
        <v>32.5</v>
      </c>
      <c r="BG93" s="23">
        <f t="shared" si="56"/>
        <v>37.5</v>
      </c>
      <c r="BH93" s="23">
        <f t="shared" si="56"/>
        <v>37.5</v>
      </c>
      <c r="BI93" s="23">
        <f t="shared" si="56"/>
        <v>1.95</v>
      </c>
      <c r="BJ93" s="23">
        <f t="shared" si="56"/>
        <v>68.19</v>
      </c>
      <c r="BK93" s="23">
        <f t="shared" si="56"/>
        <v>68.19</v>
      </c>
      <c r="BL93" s="23">
        <f t="shared" si="56"/>
        <v>40</v>
      </c>
      <c r="BM93" s="23">
        <f t="shared" si="56"/>
        <v>14</v>
      </c>
      <c r="BN93" s="23">
        <f t="shared" si="56"/>
        <v>439.33333333333331</v>
      </c>
      <c r="BO93" s="23">
        <f t="shared" si="56"/>
        <v>439.33333333333331</v>
      </c>
      <c r="BP93" s="23">
        <f t="shared" si="56"/>
        <v>439.33333333333331</v>
      </c>
      <c r="BQ93" s="23">
        <f t="shared" si="56"/>
        <v>100</v>
      </c>
      <c r="BR93" s="23">
        <f t="shared" si="56"/>
        <v>100</v>
      </c>
      <c r="BS93" s="23" t="e">
        <f t="shared" si="56"/>
        <v>#NUM!</v>
      </c>
      <c r="BT93" s="23" t="e">
        <f t="shared" si="56"/>
        <v>#NUM!</v>
      </c>
      <c r="BU93" s="23" t="e">
        <f t="shared" si="56"/>
        <v>#NUM!</v>
      </c>
      <c r="BV93" s="23" t="e">
        <f t="shared" si="56"/>
        <v>#NUM!</v>
      </c>
      <c r="BW93" s="23" t="e">
        <f t="shared" si="56"/>
        <v>#NUM!</v>
      </c>
      <c r="BX93" s="23" t="e">
        <f t="shared" si="56"/>
        <v>#NUM!</v>
      </c>
      <c r="BY93" s="23" t="e">
        <f t="shared" si="56"/>
        <v>#NUM!</v>
      </c>
      <c r="BZ93" s="23" t="e">
        <f t="shared" si="56"/>
        <v>#NUM!</v>
      </c>
      <c r="CA93" s="23" t="e">
        <f t="shared" si="56"/>
        <v>#NUM!</v>
      </c>
      <c r="CB93" s="23" t="e">
        <f t="shared" si="56"/>
        <v>#NUM!</v>
      </c>
      <c r="CC93" s="23" t="e">
        <f t="shared" si="57"/>
        <v>#NUM!</v>
      </c>
      <c r="CD93" s="23" t="e">
        <f t="shared" si="57"/>
        <v>#NUM!</v>
      </c>
      <c r="CE93" s="23" t="e">
        <f t="shared" si="57"/>
        <v>#NUM!</v>
      </c>
      <c r="CF93" s="23" t="e">
        <f t="shared" si="57"/>
        <v>#NUM!</v>
      </c>
      <c r="CG93" s="23" t="e">
        <f t="shared" si="57"/>
        <v>#NUM!</v>
      </c>
      <c r="CH93" s="23" t="e">
        <f t="shared" si="57"/>
        <v>#NUM!</v>
      </c>
      <c r="CI93" s="23" t="e">
        <f t="shared" si="57"/>
        <v>#NUM!</v>
      </c>
      <c r="CJ93" s="23" t="e">
        <f t="shared" si="57"/>
        <v>#NUM!</v>
      </c>
      <c r="CK93" s="23" t="e">
        <f t="shared" si="57"/>
        <v>#NUM!</v>
      </c>
      <c r="CL93" s="23" t="e">
        <f t="shared" si="57"/>
        <v>#NUM!</v>
      </c>
      <c r="CM93" s="23" t="e">
        <f t="shared" si="57"/>
        <v>#NUM!</v>
      </c>
      <c r="CN93" s="23" t="e">
        <f t="shared" si="57"/>
        <v>#NUM!</v>
      </c>
      <c r="CO93" s="23" t="e">
        <f t="shared" si="57"/>
        <v>#NUM!</v>
      </c>
      <c r="CP93" s="23">
        <f t="shared" si="58"/>
        <v>11565.830000000002</v>
      </c>
      <c r="CQ93" s="67">
        <f t="shared" si="69"/>
        <v>1.5324587534469677E-2</v>
      </c>
      <c r="CR93" s="67">
        <v>0.85</v>
      </c>
      <c r="CS93" s="80">
        <f t="shared" si="65"/>
        <v>11926.388595782504</v>
      </c>
      <c r="CT93" s="81">
        <f t="shared" si="59"/>
        <v>10137.430306415128</v>
      </c>
      <c r="CU93" s="23">
        <f t="shared" si="60"/>
        <v>13083.830000000004</v>
      </c>
      <c r="CV93" s="67">
        <f t="shared" si="70"/>
        <v>6.0772586701590631E-3</v>
      </c>
      <c r="CW93" s="80">
        <f t="shared" si="71"/>
        <v>13491.711438016726</v>
      </c>
      <c r="CX93" s="81">
        <f t="shared" si="66"/>
        <v>11467.954722314216</v>
      </c>
      <c r="CY93" s="65">
        <f t="shared" si="61"/>
        <v>6660.0543424500529</v>
      </c>
      <c r="CZ93" s="65">
        <f>'Sensitivity - Population'!S18 + 'Sensitivity - GDP'!P19 +'Sensitivity - GDP'!P81</f>
        <v>60133.126557891039</v>
      </c>
      <c r="DA93" s="65">
        <f t="shared" si="67"/>
        <v>6864.5121641428132</v>
      </c>
      <c r="DB93" s="65">
        <f>'Sensitivity - Population'!E18+'Sensitivity - GDP'!D19+'Sensitivity - GDP'!D81</f>
        <v>55787.698773133015</v>
      </c>
      <c r="DC93" s="65">
        <f t="shared" si="68"/>
        <v>6368.4587640562804</v>
      </c>
      <c r="EQ93" s="92"/>
    </row>
    <row r="94" spans="2:147" x14ac:dyDescent="0.35">
      <c r="N94" s="90"/>
      <c r="O94" s="79">
        <v>46752</v>
      </c>
      <c r="P94" s="23">
        <f t="shared" si="62"/>
        <v>392.5</v>
      </c>
      <c r="Q94" s="23">
        <f t="shared" si="62"/>
        <v>392.5</v>
      </c>
      <c r="R94" s="23">
        <f t="shared" si="62"/>
        <v>403.8</v>
      </c>
      <c r="S94" s="23">
        <f t="shared" si="62"/>
        <v>400</v>
      </c>
      <c r="T94" s="23">
        <f t="shared" si="62"/>
        <v>400</v>
      </c>
      <c r="U94" s="23">
        <f t="shared" si="62"/>
        <v>250</v>
      </c>
      <c r="V94" s="23">
        <f t="shared" si="62"/>
        <v>250</v>
      </c>
      <c r="W94" s="23">
        <f t="shared" si="62"/>
        <v>420</v>
      </c>
      <c r="X94" s="23">
        <f t="shared" si="62"/>
        <v>420</v>
      </c>
      <c r="Y94" s="23">
        <f t="shared" si="62"/>
        <v>47.8</v>
      </c>
      <c r="Z94" s="23">
        <f t="shared" si="62"/>
        <v>132</v>
      </c>
      <c r="AA94" s="23">
        <f t="shared" si="62"/>
        <v>367.5</v>
      </c>
      <c r="AB94" s="23">
        <f t="shared" si="62"/>
        <v>367.5</v>
      </c>
      <c r="AC94" s="23">
        <f t="shared" si="62"/>
        <v>367.5</v>
      </c>
      <c r="AD94" s="23">
        <f t="shared" si="62"/>
        <v>367.5</v>
      </c>
      <c r="AE94" s="23">
        <f t="shared" si="62"/>
        <v>405.9</v>
      </c>
      <c r="AF94" s="23">
        <f t="shared" si="63"/>
        <v>60</v>
      </c>
      <c r="AG94" s="23">
        <f t="shared" si="63"/>
        <v>67.8</v>
      </c>
      <c r="AH94" s="23">
        <f t="shared" si="63"/>
        <v>55</v>
      </c>
      <c r="AI94" s="23">
        <f t="shared" si="63"/>
        <v>262</v>
      </c>
      <c r="AJ94" s="23">
        <f t="shared" si="63"/>
        <v>425</v>
      </c>
      <c r="AK94" s="23">
        <f t="shared" si="63"/>
        <v>365</v>
      </c>
      <c r="AL94" s="23">
        <f t="shared" si="63"/>
        <v>365</v>
      </c>
      <c r="AM94" s="23">
        <f t="shared" si="63"/>
        <v>365</v>
      </c>
      <c r="AN94" s="23">
        <f t="shared" si="63"/>
        <v>431</v>
      </c>
      <c r="AO94" s="23">
        <f t="shared" si="63"/>
        <v>431</v>
      </c>
      <c r="AP94" s="23">
        <f t="shared" si="63"/>
        <v>110</v>
      </c>
      <c r="AQ94" s="23">
        <f t="shared" si="63"/>
        <v>110</v>
      </c>
      <c r="AR94" s="23">
        <f t="shared" si="63"/>
        <v>47</v>
      </c>
      <c r="AS94" s="23">
        <f t="shared" si="63"/>
        <v>47</v>
      </c>
      <c r="AT94" s="23">
        <f t="shared" si="64"/>
        <v>250</v>
      </c>
      <c r="AU94" s="23">
        <f t="shared" si="64"/>
        <v>250</v>
      </c>
      <c r="AV94" s="23">
        <f t="shared" si="64"/>
        <v>250</v>
      </c>
      <c r="AW94" s="23">
        <f t="shared" si="64"/>
        <v>0</v>
      </c>
      <c r="AX94" s="23">
        <f t="shared" si="64"/>
        <v>0</v>
      </c>
      <c r="AY94" s="23">
        <f t="shared" si="64"/>
        <v>368</v>
      </c>
      <c r="AZ94" s="23">
        <f t="shared" si="64"/>
        <v>364</v>
      </c>
      <c r="BA94" s="23">
        <f t="shared" si="56"/>
        <v>370</v>
      </c>
      <c r="BB94" s="23">
        <f t="shared" si="56"/>
        <v>370</v>
      </c>
      <c r="BC94" s="23">
        <f t="shared" si="56"/>
        <v>22</v>
      </c>
      <c r="BD94" s="23">
        <f t="shared" si="56"/>
        <v>395.7</v>
      </c>
      <c r="BE94" s="23">
        <f t="shared" si="56"/>
        <v>101</v>
      </c>
      <c r="BF94" s="23">
        <f t="shared" si="56"/>
        <v>32.5</v>
      </c>
      <c r="BG94" s="23">
        <f t="shared" si="56"/>
        <v>37.5</v>
      </c>
      <c r="BH94" s="23">
        <f t="shared" si="56"/>
        <v>37.5</v>
      </c>
      <c r="BI94" s="23">
        <f t="shared" si="56"/>
        <v>1.95</v>
      </c>
      <c r="BJ94" s="23">
        <f t="shared" si="56"/>
        <v>68.19</v>
      </c>
      <c r="BK94" s="23">
        <f t="shared" si="56"/>
        <v>68.19</v>
      </c>
      <c r="BL94" s="23">
        <f t="shared" si="56"/>
        <v>40</v>
      </c>
      <c r="BM94" s="23">
        <f t="shared" si="56"/>
        <v>14</v>
      </c>
      <c r="BN94" s="23">
        <f t="shared" si="56"/>
        <v>439.33333333333331</v>
      </c>
      <c r="BO94" s="23">
        <f t="shared" si="56"/>
        <v>439.33333333333331</v>
      </c>
      <c r="BP94" s="23">
        <f t="shared" si="56"/>
        <v>439.33333333333331</v>
      </c>
      <c r="BQ94" s="23">
        <f t="shared" si="56"/>
        <v>100</v>
      </c>
      <c r="BR94" s="23">
        <f t="shared" si="56"/>
        <v>100</v>
      </c>
      <c r="BS94" s="23">
        <f t="shared" si="56"/>
        <v>100</v>
      </c>
      <c r="BT94" s="23" t="e">
        <f t="shared" si="56"/>
        <v>#NUM!</v>
      </c>
      <c r="BU94" s="23" t="e">
        <f t="shared" si="56"/>
        <v>#NUM!</v>
      </c>
      <c r="BV94" s="23" t="e">
        <f t="shared" si="56"/>
        <v>#NUM!</v>
      </c>
      <c r="BW94" s="23" t="e">
        <f t="shared" si="56"/>
        <v>#NUM!</v>
      </c>
      <c r="BX94" s="23" t="e">
        <f t="shared" si="56"/>
        <v>#NUM!</v>
      </c>
      <c r="BY94" s="23" t="e">
        <f t="shared" si="56"/>
        <v>#NUM!</v>
      </c>
      <c r="BZ94" s="23" t="e">
        <f t="shared" si="56"/>
        <v>#NUM!</v>
      </c>
      <c r="CA94" s="23" t="e">
        <f t="shared" si="56"/>
        <v>#NUM!</v>
      </c>
      <c r="CB94" s="23" t="e">
        <f t="shared" si="56"/>
        <v>#NUM!</v>
      </c>
      <c r="CC94" s="23" t="e">
        <f t="shared" si="57"/>
        <v>#NUM!</v>
      </c>
      <c r="CD94" s="23" t="e">
        <f t="shared" si="57"/>
        <v>#NUM!</v>
      </c>
      <c r="CE94" s="23" t="e">
        <f t="shared" si="57"/>
        <v>#NUM!</v>
      </c>
      <c r="CF94" s="23" t="e">
        <f t="shared" si="57"/>
        <v>#NUM!</v>
      </c>
      <c r="CG94" s="23" t="e">
        <f t="shared" si="57"/>
        <v>#NUM!</v>
      </c>
      <c r="CH94" s="23" t="e">
        <f t="shared" si="57"/>
        <v>#NUM!</v>
      </c>
      <c r="CI94" s="23" t="e">
        <f t="shared" si="57"/>
        <v>#NUM!</v>
      </c>
      <c r="CJ94" s="23" t="e">
        <f t="shared" si="57"/>
        <v>#NUM!</v>
      </c>
      <c r="CK94" s="23" t="e">
        <f t="shared" si="57"/>
        <v>#NUM!</v>
      </c>
      <c r="CL94" s="23" t="e">
        <f t="shared" si="57"/>
        <v>#NUM!</v>
      </c>
      <c r="CM94" s="23" t="e">
        <f t="shared" si="57"/>
        <v>#NUM!</v>
      </c>
      <c r="CN94" s="23" t="e">
        <f t="shared" si="57"/>
        <v>#NUM!</v>
      </c>
      <c r="CO94" s="23" t="e">
        <f t="shared" si="57"/>
        <v>#NUM!</v>
      </c>
      <c r="CP94" s="23">
        <f t="shared" si="58"/>
        <v>11565.830000000002</v>
      </c>
      <c r="CQ94" s="67">
        <f t="shared" si="69"/>
        <v>0</v>
      </c>
      <c r="CR94" s="67">
        <v>0.85</v>
      </c>
      <c r="CS94" s="80">
        <f t="shared" si="65"/>
        <v>11926.388595782504</v>
      </c>
      <c r="CT94" s="81">
        <f t="shared" si="59"/>
        <v>10137.430306415128</v>
      </c>
      <c r="CU94" s="23">
        <f t="shared" si="60"/>
        <v>13183.830000000004</v>
      </c>
      <c r="CV94" s="67">
        <f t="shared" si="70"/>
        <v>-7.6430219591663885E-3</v>
      </c>
      <c r="CW94" s="80">
        <f t="shared" si="71"/>
        <v>13594.828884804223</v>
      </c>
      <c r="CX94" s="81">
        <f t="shared" si="66"/>
        <v>11555.604552083589</v>
      </c>
      <c r="CY94" s="65">
        <f t="shared" si="61"/>
        <v>6778.1277910022154</v>
      </c>
      <c r="CZ94" s="65">
        <f>'Sensitivity - Population'!S19 + 'Sensitivity - GDP'!P20 +'Sensitivity - GDP'!P82</f>
        <v>61255.627831769314</v>
      </c>
      <c r="DA94" s="65">
        <f t="shared" si="67"/>
        <v>6992.6515789691002</v>
      </c>
      <c r="DB94" s="65">
        <f>'Sensitivity - Population'!E19+'Sensitivity - GDP'!D20+'Sensitivity - GDP'!D82</f>
        <v>56790.354835323189</v>
      </c>
      <c r="DC94" s="65">
        <f t="shared" si="68"/>
        <v>6482.9172186442001</v>
      </c>
      <c r="EQ94" s="92"/>
    </row>
    <row r="95" spans="2:147" x14ac:dyDescent="0.35">
      <c r="N95" s="90"/>
      <c r="O95" s="79">
        <v>47118</v>
      </c>
      <c r="P95" s="23">
        <f t="shared" si="62"/>
        <v>392.5</v>
      </c>
      <c r="Q95" s="23">
        <f t="shared" si="62"/>
        <v>392.5</v>
      </c>
      <c r="R95" s="23">
        <f t="shared" si="62"/>
        <v>403.8</v>
      </c>
      <c r="S95" s="23">
        <f t="shared" si="62"/>
        <v>400</v>
      </c>
      <c r="T95" s="23">
        <f t="shared" si="62"/>
        <v>400</v>
      </c>
      <c r="U95" s="23">
        <f t="shared" si="62"/>
        <v>250</v>
      </c>
      <c r="V95" s="23">
        <f t="shared" si="62"/>
        <v>250</v>
      </c>
      <c r="W95" s="23">
        <f t="shared" si="62"/>
        <v>420</v>
      </c>
      <c r="X95" s="23">
        <f t="shared" si="62"/>
        <v>420</v>
      </c>
      <c r="Y95" s="23">
        <f t="shared" si="62"/>
        <v>47.8</v>
      </c>
      <c r="Z95" s="23">
        <f t="shared" si="62"/>
        <v>132</v>
      </c>
      <c r="AA95" s="23">
        <f t="shared" si="62"/>
        <v>367.5</v>
      </c>
      <c r="AB95" s="23">
        <f t="shared" si="62"/>
        <v>367.5</v>
      </c>
      <c r="AC95" s="23">
        <f t="shared" si="62"/>
        <v>367.5</v>
      </c>
      <c r="AD95" s="23">
        <f t="shared" si="62"/>
        <v>367.5</v>
      </c>
      <c r="AE95" s="23">
        <f t="shared" si="62"/>
        <v>405.9</v>
      </c>
      <c r="AF95" s="23">
        <f t="shared" si="63"/>
        <v>60</v>
      </c>
      <c r="AG95" s="23">
        <f t="shared" si="63"/>
        <v>67.8</v>
      </c>
      <c r="AH95" s="23">
        <f t="shared" si="63"/>
        <v>55</v>
      </c>
      <c r="AI95" s="23">
        <f t="shared" si="63"/>
        <v>262</v>
      </c>
      <c r="AJ95" s="23">
        <f t="shared" si="63"/>
        <v>425</v>
      </c>
      <c r="AK95" s="23">
        <f t="shared" si="63"/>
        <v>365</v>
      </c>
      <c r="AL95" s="23">
        <f t="shared" si="63"/>
        <v>365</v>
      </c>
      <c r="AM95" s="23">
        <f t="shared" si="63"/>
        <v>365</v>
      </c>
      <c r="AN95" s="23">
        <f t="shared" si="63"/>
        <v>431</v>
      </c>
      <c r="AO95" s="23">
        <f t="shared" si="63"/>
        <v>431</v>
      </c>
      <c r="AP95" s="23">
        <f t="shared" si="63"/>
        <v>110</v>
      </c>
      <c r="AQ95" s="23">
        <f t="shared" si="63"/>
        <v>110</v>
      </c>
      <c r="AR95" s="23">
        <f t="shared" si="63"/>
        <v>47</v>
      </c>
      <c r="AS95" s="23">
        <f t="shared" si="63"/>
        <v>47</v>
      </c>
      <c r="AT95" s="23">
        <f t="shared" si="64"/>
        <v>250</v>
      </c>
      <c r="AU95" s="23">
        <f t="shared" si="64"/>
        <v>250</v>
      </c>
      <c r="AV95" s="23">
        <f t="shared" si="64"/>
        <v>250</v>
      </c>
      <c r="AW95" s="23">
        <f t="shared" si="64"/>
        <v>0</v>
      </c>
      <c r="AX95" s="23">
        <f t="shared" si="64"/>
        <v>0</v>
      </c>
      <c r="AY95" s="23">
        <f t="shared" si="64"/>
        <v>368</v>
      </c>
      <c r="AZ95" s="23">
        <f t="shared" si="64"/>
        <v>364</v>
      </c>
      <c r="BA95" s="23">
        <f t="shared" si="56"/>
        <v>370</v>
      </c>
      <c r="BB95" s="23">
        <f t="shared" si="56"/>
        <v>370</v>
      </c>
      <c r="BC95" s="23">
        <f t="shared" si="56"/>
        <v>22</v>
      </c>
      <c r="BD95" s="23">
        <f t="shared" si="56"/>
        <v>395.7</v>
      </c>
      <c r="BE95" s="23">
        <f t="shared" si="56"/>
        <v>101</v>
      </c>
      <c r="BF95" s="23">
        <f t="shared" si="56"/>
        <v>32.5</v>
      </c>
      <c r="BG95" s="23">
        <f t="shared" si="56"/>
        <v>37.5</v>
      </c>
      <c r="BH95" s="23">
        <f t="shared" si="56"/>
        <v>37.5</v>
      </c>
      <c r="BI95" s="23">
        <f t="shared" si="56"/>
        <v>1.95</v>
      </c>
      <c r="BJ95" s="23">
        <f t="shared" si="56"/>
        <v>68.19</v>
      </c>
      <c r="BK95" s="23">
        <f t="shared" si="56"/>
        <v>68.19</v>
      </c>
      <c r="BL95" s="23">
        <f t="shared" si="56"/>
        <v>40</v>
      </c>
      <c r="BM95" s="23">
        <f t="shared" si="56"/>
        <v>14</v>
      </c>
      <c r="BN95" s="23">
        <f t="shared" si="56"/>
        <v>439.33333333333331</v>
      </c>
      <c r="BO95" s="23">
        <f t="shared" si="56"/>
        <v>439.33333333333331</v>
      </c>
      <c r="BP95" s="23">
        <f t="shared" si="56"/>
        <v>439.33333333333331</v>
      </c>
      <c r="BQ95" s="23">
        <f t="shared" si="56"/>
        <v>100</v>
      </c>
      <c r="BR95" s="23">
        <f t="shared" si="56"/>
        <v>100</v>
      </c>
      <c r="BS95" s="23">
        <f t="shared" si="56"/>
        <v>100</v>
      </c>
      <c r="BT95" s="23">
        <f t="shared" si="56"/>
        <v>100</v>
      </c>
      <c r="BU95" s="23" t="e">
        <f t="shared" si="56"/>
        <v>#NUM!</v>
      </c>
      <c r="BV95" s="23" t="e">
        <f t="shared" si="56"/>
        <v>#NUM!</v>
      </c>
      <c r="BW95" s="23" t="e">
        <f t="shared" si="56"/>
        <v>#NUM!</v>
      </c>
      <c r="BX95" s="23" t="e">
        <f t="shared" ref="BX95:CB95" si="72">IF(VLOOKUP(BX$13,$C$15:$J$92,3,FALSE) &lt;&gt; "Incineration", IF(DATEDIF(VLOOKUP(BX$13,$C$15:$J$92,7,FALSE),$O95,"y")&gt;=$P$85,0,VLOOKUP(BX$13,$C$15:$J$92,5,FALSE)), VLOOKUP(BX$13,$C$15:$J$92,5,FALSE))</f>
        <v>#NUM!</v>
      </c>
      <c r="BY95" s="23" t="e">
        <f t="shared" si="72"/>
        <v>#NUM!</v>
      </c>
      <c r="BZ95" s="23" t="e">
        <f t="shared" si="72"/>
        <v>#NUM!</v>
      </c>
      <c r="CA95" s="23" t="e">
        <f t="shared" si="72"/>
        <v>#NUM!</v>
      </c>
      <c r="CB95" s="23" t="e">
        <f t="shared" si="72"/>
        <v>#NUM!</v>
      </c>
      <c r="CC95" s="23" t="e">
        <f t="shared" si="57"/>
        <v>#NUM!</v>
      </c>
      <c r="CD95" s="23" t="e">
        <f t="shared" si="57"/>
        <v>#NUM!</v>
      </c>
      <c r="CE95" s="23" t="e">
        <f t="shared" si="57"/>
        <v>#NUM!</v>
      </c>
      <c r="CF95" s="23" t="e">
        <f t="shared" si="57"/>
        <v>#NUM!</v>
      </c>
      <c r="CG95" s="23" t="e">
        <f t="shared" si="57"/>
        <v>#NUM!</v>
      </c>
      <c r="CH95" s="23" t="e">
        <f t="shared" si="57"/>
        <v>#NUM!</v>
      </c>
      <c r="CI95" s="23" t="e">
        <f t="shared" si="57"/>
        <v>#NUM!</v>
      </c>
      <c r="CJ95" s="23" t="e">
        <f t="shared" si="57"/>
        <v>#NUM!</v>
      </c>
      <c r="CK95" s="23" t="e">
        <f t="shared" si="57"/>
        <v>#NUM!</v>
      </c>
      <c r="CL95" s="23" t="e">
        <f t="shared" si="57"/>
        <v>#NUM!</v>
      </c>
      <c r="CM95" s="23" t="e">
        <f t="shared" si="57"/>
        <v>#NUM!</v>
      </c>
      <c r="CN95" s="23" t="e">
        <f t="shared" si="57"/>
        <v>#NUM!</v>
      </c>
      <c r="CO95" s="23" t="e">
        <f t="shared" si="57"/>
        <v>#NUM!</v>
      </c>
      <c r="CP95" s="23">
        <f t="shared" si="58"/>
        <v>11565.830000000002</v>
      </c>
      <c r="CQ95" s="67">
        <f t="shared" si="69"/>
        <v>0</v>
      </c>
      <c r="CR95" s="67">
        <v>0.85</v>
      </c>
      <c r="CS95" s="80">
        <f t="shared" si="65"/>
        <v>11926.388595782504</v>
      </c>
      <c r="CT95" s="81">
        <f t="shared" si="59"/>
        <v>10137.430306415128</v>
      </c>
      <c r="CU95" s="23">
        <f t="shared" si="60"/>
        <v>13283.830000000004</v>
      </c>
      <c r="CV95" s="67">
        <f t="shared" si="70"/>
        <v>-7.5850492611024244E-3</v>
      </c>
      <c r="CW95" s="80">
        <f t="shared" si="71"/>
        <v>13697.946331591722</v>
      </c>
      <c r="CX95" s="81">
        <f t="shared" si="66"/>
        <v>11643.254381852963</v>
      </c>
      <c r="CY95" s="65">
        <f t="shared" si="61"/>
        <v>6896.1071951422828</v>
      </c>
      <c r="CZ95" s="65">
        <f>'Sensitivity - Population'!S20 + 'Sensitivity - GDP'!P21 +'Sensitivity - GDP'!P83</f>
        <v>62377.320329663038</v>
      </c>
      <c r="DA95" s="65">
        <f t="shared" si="67"/>
        <v>7120.6986677697532</v>
      </c>
      <c r="DB95" s="65">
        <f>'Sensitivity - Population'!E20+'Sensitivity - GDP'!D21+'Sensitivity - GDP'!D83</f>
        <v>57792.213343395779</v>
      </c>
      <c r="DC95" s="65">
        <f t="shared" si="68"/>
        <v>6597.2846282415267</v>
      </c>
      <c r="EQ95" s="92"/>
    </row>
    <row r="96" spans="2:147" x14ac:dyDescent="0.35">
      <c r="N96" s="90"/>
      <c r="O96" s="79">
        <v>47483</v>
      </c>
      <c r="P96" s="23">
        <f t="shared" si="62"/>
        <v>392.5</v>
      </c>
      <c r="Q96" s="23">
        <f t="shared" si="62"/>
        <v>392.5</v>
      </c>
      <c r="R96" s="23">
        <f t="shared" si="62"/>
        <v>403.8</v>
      </c>
      <c r="S96" s="23">
        <f t="shared" si="62"/>
        <v>400</v>
      </c>
      <c r="T96" s="23">
        <f t="shared" si="62"/>
        <v>400</v>
      </c>
      <c r="U96" s="23">
        <f t="shared" si="62"/>
        <v>250</v>
      </c>
      <c r="V96" s="23">
        <f t="shared" si="62"/>
        <v>250</v>
      </c>
      <c r="W96" s="23">
        <f t="shared" si="62"/>
        <v>420</v>
      </c>
      <c r="X96" s="23">
        <f t="shared" si="62"/>
        <v>420</v>
      </c>
      <c r="Y96" s="23">
        <f t="shared" si="62"/>
        <v>47.8</v>
      </c>
      <c r="Z96" s="23">
        <f t="shared" si="62"/>
        <v>132</v>
      </c>
      <c r="AA96" s="23">
        <f t="shared" si="62"/>
        <v>367.5</v>
      </c>
      <c r="AB96" s="23">
        <f t="shared" si="62"/>
        <v>367.5</v>
      </c>
      <c r="AC96" s="23">
        <f t="shared" si="62"/>
        <v>367.5</v>
      </c>
      <c r="AD96" s="23">
        <f t="shared" si="62"/>
        <v>367.5</v>
      </c>
      <c r="AE96" s="23">
        <f t="shared" si="62"/>
        <v>405.9</v>
      </c>
      <c r="AF96" s="23">
        <f t="shared" si="63"/>
        <v>60</v>
      </c>
      <c r="AG96" s="23">
        <f t="shared" si="63"/>
        <v>67.8</v>
      </c>
      <c r="AH96" s="23">
        <f t="shared" si="63"/>
        <v>55</v>
      </c>
      <c r="AI96" s="23">
        <f t="shared" si="63"/>
        <v>262</v>
      </c>
      <c r="AJ96" s="23">
        <f t="shared" si="63"/>
        <v>425</v>
      </c>
      <c r="AK96" s="23">
        <f t="shared" si="63"/>
        <v>365</v>
      </c>
      <c r="AL96" s="23">
        <f t="shared" si="63"/>
        <v>365</v>
      </c>
      <c r="AM96" s="23">
        <f t="shared" si="63"/>
        <v>365</v>
      </c>
      <c r="AN96" s="23">
        <f t="shared" si="63"/>
        <v>431</v>
      </c>
      <c r="AO96" s="23">
        <f t="shared" si="63"/>
        <v>431</v>
      </c>
      <c r="AP96" s="23">
        <f t="shared" si="63"/>
        <v>110</v>
      </c>
      <c r="AQ96" s="23">
        <f t="shared" si="63"/>
        <v>110</v>
      </c>
      <c r="AR96" s="23">
        <f t="shared" si="63"/>
        <v>47</v>
      </c>
      <c r="AS96" s="23">
        <f t="shared" si="63"/>
        <v>47</v>
      </c>
      <c r="AT96" s="23">
        <f t="shared" si="64"/>
        <v>250</v>
      </c>
      <c r="AU96" s="23">
        <f t="shared" si="64"/>
        <v>250</v>
      </c>
      <c r="AV96" s="23">
        <f t="shared" si="64"/>
        <v>250</v>
      </c>
      <c r="AW96" s="23">
        <f t="shared" si="64"/>
        <v>0</v>
      </c>
      <c r="AX96" s="23">
        <f t="shared" si="64"/>
        <v>0</v>
      </c>
      <c r="AY96" s="23">
        <f t="shared" si="64"/>
        <v>368</v>
      </c>
      <c r="AZ96" s="23">
        <f t="shared" si="64"/>
        <v>364</v>
      </c>
      <c r="BA96" s="23">
        <f t="shared" ref="BA96:BP111" si="73">IF(VLOOKUP(BA$13,$C$15:$J$92,3,FALSE) &lt;&gt; "Incineration", IF(DATEDIF(VLOOKUP(BA$13,$C$15:$J$92,7,FALSE),$O96,"y")&gt;=$P$85,0,VLOOKUP(BA$13,$C$15:$J$92,5,FALSE)), VLOOKUP(BA$13,$C$15:$J$92,5,FALSE))</f>
        <v>370</v>
      </c>
      <c r="BB96" s="23">
        <f t="shared" si="73"/>
        <v>370</v>
      </c>
      <c r="BC96" s="23">
        <f t="shared" si="73"/>
        <v>22</v>
      </c>
      <c r="BD96" s="23">
        <f t="shared" si="73"/>
        <v>395.7</v>
      </c>
      <c r="BE96" s="23">
        <f t="shared" si="73"/>
        <v>101</v>
      </c>
      <c r="BF96" s="23">
        <f t="shared" si="73"/>
        <v>32.5</v>
      </c>
      <c r="BG96" s="23">
        <f t="shared" si="73"/>
        <v>37.5</v>
      </c>
      <c r="BH96" s="23">
        <f t="shared" si="73"/>
        <v>37.5</v>
      </c>
      <c r="BI96" s="23">
        <f t="shared" si="73"/>
        <v>1.95</v>
      </c>
      <c r="BJ96" s="23">
        <f t="shared" si="73"/>
        <v>68.19</v>
      </c>
      <c r="BK96" s="23">
        <f t="shared" si="73"/>
        <v>68.19</v>
      </c>
      <c r="BL96" s="23">
        <f t="shared" si="73"/>
        <v>40</v>
      </c>
      <c r="BM96" s="23">
        <f t="shared" si="73"/>
        <v>14</v>
      </c>
      <c r="BN96" s="23">
        <f t="shared" si="73"/>
        <v>439.33333333333331</v>
      </c>
      <c r="BO96" s="23">
        <f t="shared" si="73"/>
        <v>439.33333333333331</v>
      </c>
      <c r="BP96" s="23">
        <f t="shared" si="73"/>
        <v>439.33333333333331</v>
      </c>
      <c r="BQ96" s="23">
        <f t="shared" ref="BQ96:CF111" si="74">IF(VLOOKUP(BQ$13,$C$15:$J$92,3,FALSE) &lt;&gt; "Incineration", IF(DATEDIF(VLOOKUP(BQ$13,$C$15:$J$92,7,FALSE),$O96,"y")&gt;=$P$85,0,VLOOKUP(BQ$13,$C$15:$J$92,5,FALSE)), VLOOKUP(BQ$13,$C$15:$J$92,5,FALSE))</f>
        <v>100</v>
      </c>
      <c r="BR96" s="23">
        <f t="shared" si="74"/>
        <v>100</v>
      </c>
      <c r="BS96" s="23">
        <f t="shared" si="74"/>
        <v>100</v>
      </c>
      <c r="BT96" s="23">
        <f t="shared" si="74"/>
        <v>100</v>
      </c>
      <c r="BU96" s="23">
        <f t="shared" si="74"/>
        <v>100</v>
      </c>
      <c r="BV96" s="23" t="e">
        <f t="shared" si="74"/>
        <v>#NUM!</v>
      </c>
      <c r="BW96" s="23" t="e">
        <f t="shared" si="74"/>
        <v>#NUM!</v>
      </c>
      <c r="BX96" s="23" t="e">
        <f t="shared" si="74"/>
        <v>#NUM!</v>
      </c>
      <c r="BY96" s="23" t="e">
        <f t="shared" si="74"/>
        <v>#NUM!</v>
      </c>
      <c r="BZ96" s="23" t="e">
        <f t="shared" si="74"/>
        <v>#NUM!</v>
      </c>
      <c r="CA96" s="23" t="e">
        <f t="shared" si="74"/>
        <v>#NUM!</v>
      </c>
      <c r="CB96" s="23" t="e">
        <f t="shared" si="74"/>
        <v>#NUM!</v>
      </c>
      <c r="CC96" s="23" t="e">
        <f t="shared" si="57"/>
        <v>#NUM!</v>
      </c>
      <c r="CD96" s="23" t="e">
        <f t="shared" si="57"/>
        <v>#NUM!</v>
      </c>
      <c r="CE96" s="23" t="e">
        <f t="shared" si="57"/>
        <v>#NUM!</v>
      </c>
      <c r="CF96" s="23" t="e">
        <f t="shared" si="57"/>
        <v>#NUM!</v>
      </c>
      <c r="CG96" s="23" t="e">
        <f t="shared" si="57"/>
        <v>#NUM!</v>
      </c>
      <c r="CH96" s="23" t="e">
        <f t="shared" si="57"/>
        <v>#NUM!</v>
      </c>
      <c r="CI96" s="23" t="e">
        <f t="shared" si="57"/>
        <v>#NUM!</v>
      </c>
      <c r="CJ96" s="23" t="e">
        <f t="shared" si="57"/>
        <v>#NUM!</v>
      </c>
      <c r="CK96" s="23" t="e">
        <f t="shared" si="57"/>
        <v>#NUM!</v>
      </c>
      <c r="CL96" s="23" t="e">
        <f t="shared" si="57"/>
        <v>#NUM!</v>
      </c>
      <c r="CM96" s="23" t="e">
        <f t="shared" si="57"/>
        <v>#NUM!</v>
      </c>
      <c r="CN96" s="23" t="e">
        <f t="shared" si="57"/>
        <v>#NUM!</v>
      </c>
      <c r="CO96" s="23" t="e">
        <f t="shared" si="57"/>
        <v>#NUM!</v>
      </c>
      <c r="CP96" s="23">
        <f t="shared" si="58"/>
        <v>11565.830000000002</v>
      </c>
      <c r="CQ96" s="67">
        <f t="shared" si="69"/>
        <v>0</v>
      </c>
      <c r="CR96" s="67">
        <v>0.85</v>
      </c>
      <c r="CS96" s="80">
        <f t="shared" si="65"/>
        <v>11926.388595782504</v>
      </c>
      <c r="CT96" s="81">
        <f t="shared" si="59"/>
        <v>10137.430306415128</v>
      </c>
      <c r="CU96" s="23">
        <f t="shared" si="60"/>
        <v>13383.830000000004</v>
      </c>
      <c r="CV96" s="67">
        <f t="shared" si="70"/>
        <v>-7.5279493941129913E-3</v>
      </c>
      <c r="CW96" s="80">
        <f t="shared" si="71"/>
        <v>13801.063778379219</v>
      </c>
      <c r="CX96" s="81">
        <f t="shared" si="66"/>
        <v>11730.904211622335</v>
      </c>
      <c r="CY96" s="65">
        <f t="shared" si="61"/>
        <v>7013.9900472946683</v>
      </c>
      <c r="CZ96" s="65">
        <f>'Sensitivity - Population'!S21 + 'Sensitivity - GDP'!P22 +'Sensitivity - GDP'!P84</f>
        <v>63498.181584045356</v>
      </c>
      <c r="DA96" s="65">
        <f t="shared" si="67"/>
        <v>7248.6508657586028</v>
      </c>
      <c r="DB96" s="65">
        <f>'Sensitivity - Population'!E21+'Sensitivity - GDP'!D22+'Sensitivity - GDP'!D84</f>
        <v>58793.252141563673</v>
      </c>
      <c r="DC96" s="65">
        <f t="shared" si="68"/>
        <v>6711.5584636488211</v>
      </c>
      <c r="EQ96" s="92"/>
    </row>
    <row r="97" spans="14:147" x14ac:dyDescent="0.35">
      <c r="N97" s="90"/>
      <c r="O97" s="79">
        <v>47848</v>
      </c>
      <c r="P97" s="23">
        <f t="shared" si="62"/>
        <v>392.5</v>
      </c>
      <c r="Q97" s="23">
        <f t="shared" si="62"/>
        <v>392.5</v>
      </c>
      <c r="R97" s="23">
        <f t="shared" si="62"/>
        <v>403.8</v>
      </c>
      <c r="S97" s="23">
        <f t="shared" si="62"/>
        <v>400</v>
      </c>
      <c r="T97" s="23">
        <f t="shared" si="62"/>
        <v>400</v>
      </c>
      <c r="U97" s="23">
        <f t="shared" si="62"/>
        <v>250</v>
      </c>
      <c r="V97" s="23">
        <f t="shared" si="62"/>
        <v>250</v>
      </c>
      <c r="W97" s="23">
        <f t="shared" si="62"/>
        <v>420</v>
      </c>
      <c r="X97" s="23">
        <f t="shared" si="62"/>
        <v>420</v>
      </c>
      <c r="Y97" s="23">
        <f t="shared" si="62"/>
        <v>47.8</v>
      </c>
      <c r="Z97" s="23">
        <f t="shared" si="62"/>
        <v>132</v>
      </c>
      <c r="AA97" s="23">
        <f t="shared" si="62"/>
        <v>367.5</v>
      </c>
      <c r="AB97" s="23">
        <f t="shared" si="62"/>
        <v>367.5</v>
      </c>
      <c r="AC97" s="23">
        <f t="shared" si="62"/>
        <v>367.5</v>
      </c>
      <c r="AD97" s="23">
        <f t="shared" si="62"/>
        <v>367.5</v>
      </c>
      <c r="AE97" s="23">
        <f t="shared" si="62"/>
        <v>405.9</v>
      </c>
      <c r="AF97" s="23">
        <f t="shared" si="63"/>
        <v>60</v>
      </c>
      <c r="AG97" s="23">
        <f t="shared" si="63"/>
        <v>67.8</v>
      </c>
      <c r="AH97" s="23">
        <f t="shared" si="63"/>
        <v>55</v>
      </c>
      <c r="AI97" s="23">
        <f t="shared" si="63"/>
        <v>262</v>
      </c>
      <c r="AJ97" s="23">
        <f t="shared" si="63"/>
        <v>425</v>
      </c>
      <c r="AK97" s="23">
        <f t="shared" si="63"/>
        <v>365</v>
      </c>
      <c r="AL97" s="23">
        <f t="shared" si="63"/>
        <v>365</v>
      </c>
      <c r="AM97" s="23">
        <f t="shared" si="63"/>
        <v>365</v>
      </c>
      <c r="AN97" s="23">
        <f t="shared" si="63"/>
        <v>431</v>
      </c>
      <c r="AO97" s="23">
        <f t="shared" si="63"/>
        <v>431</v>
      </c>
      <c r="AP97" s="23">
        <f t="shared" si="63"/>
        <v>110</v>
      </c>
      <c r="AQ97" s="23">
        <f t="shared" si="63"/>
        <v>110</v>
      </c>
      <c r="AR97" s="23">
        <f t="shared" si="63"/>
        <v>47</v>
      </c>
      <c r="AS97" s="23">
        <f t="shared" si="63"/>
        <v>47</v>
      </c>
      <c r="AT97" s="23">
        <f t="shared" si="64"/>
        <v>250</v>
      </c>
      <c r="AU97" s="23">
        <f t="shared" si="64"/>
        <v>250</v>
      </c>
      <c r="AV97" s="23">
        <f t="shared" si="64"/>
        <v>250</v>
      </c>
      <c r="AW97" s="23">
        <f t="shared" si="64"/>
        <v>0</v>
      </c>
      <c r="AX97" s="23">
        <f t="shared" si="64"/>
        <v>0</v>
      </c>
      <c r="AY97" s="23">
        <f t="shared" si="64"/>
        <v>368</v>
      </c>
      <c r="AZ97" s="23">
        <f t="shared" si="64"/>
        <v>364</v>
      </c>
      <c r="BA97" s="23">
        <f t="shared" si="73"/>
        <v>370</v>
      </c>
      <c r="BB97" s="23">
        <f t="shared" si="73"/>
        <v>370</v>
      </c>
      <c r="BC97" s="23">
        <f t="shared" si="73"/>
        <v>22</v>
      </c>
      <c r="BD97" s="23">
        <f t="shared" si="73"/>
        <v>395.7</v>
      </c>
      <c r="BE97" s="23">
        <f t="shared" si="73"/>
        <v>101</v>
      </c>
      <c r="BF97" s="23">
        <f t="shared" si="73"/>
        <v>32.5</v>
      </c>
      <c r="BG97" s="23">
        <f t="shared" si="73"/>
        <v>37.5</v>
      </c>
      <c r="BH97" s="23">
        <f t="shared" si="73"/>
        <v>37.5</v>
      </c>
      <c r="BI97" s="23">
        <f t="shared" si="73"/>
        <v>1.95</v>
      </c>
      <c r="BJ97" s="23">
        <f t="shared" si="73"/>
        <v>68.19</v>
      </c>
      <c r="BK97" s="23">
        <f t="shared" si="73"/>
        <v>68.19</v>
      </c>
      <c r="BL97" s="23">
        <f t="shared" si="73"/>
        <v>40</v>
      </c>
      <c r="BM97" s="23">
        <f t="shared" si="73"/>
        <v>14</v>
      </c>
      <c r="BN97" s="23">
        <f t="shared" si="73"/>
        <v>439.33333333333331</v>
      </c>
      <c r="BO97" s="23">
        <f t="shared" si="73"/>
        <v>439.33333333333331</v>
      </c>
      <c r="BP97" s="23">
        <f t="shared" si="73"/>
        <v>439.33333333333331</v>
      </c>
      <c r="BQ97" s="23">
        <f t="shared" si="74"/>
        <v>100</v>
      </c>
      <c r="BR97" s="23">
        <f t="shared" si="74"/>
        <v>100</v>
      </c>
      <c r="BS97" s="23">
        <f t="shared" si="74"/>
        <v>100</v>
      </c>
      <c r="BT97" s="23">
        <f t="shared" si="74"/>
        <v>100</v>
      </c>
      <c r="BU97" s="23">
        <f t="shared" si="74"/>
        <v>100</v>
      </c>
      <c r="BV97" s="23">
        <f t="shared" si="74"/>
        <v>200</v>
      </c>
      <c r="BW97" s="23" t="e">
        <f t="shared" si="74"/>
        <v>#NUM!</v>
      </c>
      <c r="BX97" s="23" t="e">
        <f t="shared" si="74"/>
        <v>#NUM!</v>
      </c>
      <c r="BY97" s="23" t="e">
        <f t="shared" si="74"/>
        <v>#NUM!</v>
      </c>
      <c r="BZ97" s="23" t="e">
        <f t="shared" si="74"/>
        <v>#NUM!</v>
      </c>
      <c r="CA97" s="23" t="e">
        <f t="shared" si="74"/>
        <v>#NUM!</v>
      </c>
      <c r="CB97" s="23" t="e">
        <f t="shared" si="74"/>
        <v>#NUM!</v>
      </c>
      <c r="CC97" s="23" t="e">
        <f t="shared" si="57"/>
        <v>#NUM!</v>
      </c>
      <c r="CD97" s="23" t="e">
        <f t="shared" si="57"/>
        <v>#NUM!</v>
      </c>
      <c r="CE97" s="23" t="e">
        <f t="shared" si="57"/>
        <v>#NUM!</v>
      </c>
      <c r="CF97" s="23" t="e">
        <f t="shared" si="57"/>
        <v>#NUM!</v>
      </c>
      <c r="CG97" s="23" t="e">
        <f t="shared" si="57"/>
        <v>#NUM!</v>
      </c>
      <c r="CH97" s="23" t="e">
        <f t="shared" si="57"/>
        <v>#NUM!</v>
      </c>
      <c r="CI97" s="23" t="e">
        <f t="shared" si="57"/>
        <v>#NUM!</v>
      </c>
      <c r="CJ97" s="23" t="e">
        <f t="shared" si="57"/>
        <v>#NUM!</v>
      </c>
      <c r="CK97" s="23" t="e">
        <f t="shared" si="57"/>
        <v>#NUM!</v>
      </c>
      <c r="CL97" s="23" t="e">
        <f t="shared" si="57"/>
        <v>#NUM!</v>
      </c>
      <c r="CM97" s="23" t="e">
        <f t="shared" si="57"/>
        <v>#NUM!</v>
      </c>
      <c r="CN97" s="23" t="e">
        <f t="shared" si="57"/>
        <v>#NUM!</v>
      </c>
      <c r="CO97" s="23" t="e">
        <f t="shared" si="57"/>
        <v>#NUM!</v>
      </c>
      <c r="CP97" s="23">
        <f t="shared" si="58"/>
        <v>11565.830000000002</v>
      </c>
      <c r="CQ97" s="67">
        <f t="shared" si="69"/>
        <v>0</v>
      </c>
      <c r="CR97" s="67">
        <v>0.85</v>
      </c>
      <c r="CS97" s="80">
        <f t="shared" si="65"/>
        <v>11926.388595782504</v>
      </c>
      <c r="CT97" s="81">
        <f t="shared" si="59"/>
        <v>10137.430306415128</v>
      </c>
      <c r="CU97" s="23">
        <f t="shared" si="60"/>
        <v>13583.830000000004</v>
      </c>
      <c r="CV97" s="67">
        <f t="shared" si="70"/>
        <v>-1.4943405587189911E-2</v>
      </c>
      <c r="CW97" s="80">
        <f t="shared" si="71"/>
        <v>14007.298671954217</v>
      </c>
      <c r="CX97" s="81">
        <f t="shared" si="66"/>
        <v>11906.203871161084</v>
      </c>
      <c r="CY97" s="65">
        <f t="shared" si="61"/>
        <v>7131.7738763628868</v>
      </c>
      <c r="CZ97" s="65">
        <f>'Sensitivity - Population'!S22 + 'Sensitivity - GDP'!P23 +'Sensitivity - GDP'!P85</f>
        <v>64618.189430856866</v>
      </c>
      <c r="DA97" s="65">
        <f t="shared" si="67"/>
        <v>7376.5056427918798</v>
      </c>
      <c r="DB97" s="65">
        <f>'Sensitivity - Population'!E22+'Sensitivity - GDP'!D23+'Sensitivity - GDP'!D85</f>
        <v>59793.44937329652</v>
      </c>
      <c r="DC97" s="65">
        <f t="shared" si="68"/>
        <v>6825.7362298283697</v>
      </c>
      <c r="EQ97" s="92"/>
    </row>
    <row r="98" spans="14:147" x14ac:dyDescent="0.35">
      <c r="N98" s="90"/>
      <c r="O98" s="79">
        <v>48213</v>
      </c>
      <c r="P98" s="23">
        <f t="shared" si="62"/>
        <v>392.5</v>
      </c>
      <c r="Q98" s="23">
        <f t="shared" si="62"/>
        <v>392.5</v>
      </c>
      <c r="R98" s="23">
        <f t="shared" si="62"/>
        <v>403.8</v>
      </c>
      <c r="S98" s="23">
        <f t="shared" si="62"/>
        <v>400</v>
      </c>
      <c r="T98" s="23">
        <f t="shared" si="62"/>
        <v>400</v>
      </c>
      <c r="U98" s="23">
        <f t="shared" si="62"/>
        <v>250</v>
      </c>
      <c r="V98" s="23">
        <f t="shared" si="62"/>
        <v>250</v>
      </c>
      <c r="W98" s="23">
        <f t="shared" si="62"/>
        <v>420</v>
      </c>
      <c r="X98" s="23">
        <f t="shared" si="62"/>
        <v>420</v>
      </c>
      <c r="Y98" s="23">
        <f t="shared" si="62"/>
        <v>47.8</v>
      </c>
      <c r="Z98" s="23">
        <f t="shared" si="62"/>
        <v>132</v>
      </c>
      <c r="AA98" s="23">
        <f t="shared" si="62"/>
        <v>367.5</v>
      </c>
      <c r="AB98" s="23">
        <f t="shared" si="62"/>
        <v>367.5</v>
      </c>
      <c r="AC98" s="23">
        <f t="shared" si="62"/>
        <v>367.5</v>
      </c>
      <c r="AD98" s="23">
        <f t="shared" si="62"/>
        <v>367.5</v>
      </c>
      <c r="AE98" s="23">
        <f t="shared" si="62"/>
        <v>405.9</v>
      </c>
      <c r="AF98" s="23">
        <f t="shared" si="63"/>
        <v>60</v>
      </c>
      <c r="AG98" s="23">
        <f t="shared" si="63"/>
        <v>67.8</v>
      </c>
      <c r="AH98" s="23">
        <f t="shared" si="63"/>
        <v>55</v>
      </c>
      <c r="AI98" s="23">
        <f t="shared" si="63"/>
        <v>262</v>
      </c>
      <c r="AJ98" s="23">
        <f t="shared" si="63"/>
        <v>425</v>
      </c>
      <c r="AK98" s="23">
        <f t="shared" si="63"/>
        <v>365</v>
      </c>
      <c r="AL98" s="23">
        <f t="shared" si="63"/>
        <v>365</v>
      </c>
      <c r="AM98" s="23">
        <f t="shared" si="63"/>
        <v>365</v>
      </c>
      <c r="AN98" s="23">
        <f t="shared" si="63"/>
        <v>431</v>
      </c>
      <c r="AO98" s="23">
        <f t="shared" si="63"/>
        <v>431</v>
      </c>
      <c r="AP98" s="23">
        <f t="shared" si="63"/>
        <v>110</v>
      </c>
      <c r="AQ98" s="23">
        <f t="shared" si="63"/>
        <v>110</v>
      </c>
      <c r="AR98" s="23">
        <f t="shared" si="63"/>
        <v>47</v>
      </c>
      <c r="AS98" s="23">
        <f t="shared" si="63"/>
        <v>47</v>
      </c>
      <c r="AT98" s="23">
        <f t="shared" si="64"/>
        <v>250</v>
      </c>
      <c r="AU98" s="23">
        <f t="shared" si="64"/>
        <v>250</v>
      </c>
      <c r="AV98" s="23">
        <f t="shared" si="64"/>
        <v>250</v>
      </c>
      <c r="AW98" s="23">
        <f t="shared" si="64"/>
        <v>0</v>
      </c>
      <c r="AX98" s="23">
        <f t="shared" si="64"/>
        <v>0</v>
      </c>
      <c r="AY98" s="23">
        <f t="shared" si="64"/>
        <v>368</v>
      </c>
      <c r="AZ98" s="23">
        <f t="shared" si="64"/>
        <v>364</v>
      </c>
      <c r="BA98" s="23">
        <f t="shared" si="73"/>
        <v>370</v>
      </c>
      <c r="BB98" s="23">
        <f t="shared" si="73"/>
        <v>370</v>
      </c>
      <c r="BC98" s="23">
        <f t="shared" si="73"/>
        <v>22</v>
      </c>
      <c r="BD98" s="23">
        <f t="shared" si="73"/>
        <v>395.7</v>
      </c>
      <c r="BE98" s="23">
        <f t="shared" si="73"/>
        <v>101</v>
      </c>
      <c r="BF98" s="23">
        <f t="shared" si="73"/>
        <v>32.5</v>
      </c>
      <c r="BG98" s="23">
        <f t="shared" si="73"/>
        <v>37.5</v>
      </c>
      <c r="BH98" s="23">
        <f t="shared" si="73"/>
        <v>37.5</v>
      </c>
      <c r="BI98" s="23">
        <f t="shared" si="73"/>
        <v>1.95</v>
      </c>
      <c r="BJ98" s="23">
        <f t="shared" si="73"/>
        <v>68.19</v>
      </c>
      <c r="BK98" s="23">
        <f t="shared" si="73"/>
        <v>68.19</v>
      </c>
      <c r="BL98" s="23">
        <f t="shared" si="73"/>
        <v>40</v>
      </c>
      <c r="BM98" s="23">
        <f t="shared" si="73"/>
        <v>14</v>
      </c>
      <c r="BN98" s="23">
        <f t="shared" si="73"/>
        <v>439.33333333333331</v>
      </c>
      <c r="BO98" s="23">
        <f t="shared" si="73"/>
        <v>439.33333333333331</v>
      </c>
      <c r="BP98" s="23">
        <f t="shared" si="73"/>
        <v>439.33333333333331</v>
      </c>
      <c r="BQ98" s="23">
        <f t="shared" si="74"/>
        <v>100</v>
      </c>
      <c r="BR98" s="23">
        <f t="shared" si="74"/>
        <v>100</v>
      </c>
      <c r="BS98" s="23">
        <f t="shared" si="74"/>
        <v>100</v>
      </c>
      <c r="BT98" s="23">
        <f t="shared" si="74"/>
        <v>100</v>
      </c>
      <c r="BU98" s="23">
        <f t="shared" si="74"/>
        <v>100</v>
      </c>
      <c r="BV98" s="23">
        <f t="shared" si="74"/>
        <v>200</v>
      </c>
      <c r="BW98" s="23">
        <f t="shared" si="74"/>
        <v>200</v>
      </c>
      <c r="BX98" s="23" t="e">
        <f t="shared" si="74"/>
        <v>#NUM!</v>
      </c>
      <c r="BY98" s="23" t="e">
        <f t="shared" si="74"/>
        <v>#NUM!</v>
      </c>
      <c r="BZ98" s="23" t="e">
        <f t="shared" si="74"/>
        <v>#NUM!</v>
      </c>
      <c r="CA98" s="23" t="e">
        <f t="shared" si="74"/>
        <v>#NUM!</v>
      </c>
      <c r="CB98" s="23" t="e">
        <f t="shared" si="74"/>
        <v>#NUM!</v>
      </c>
      <c r="CC98" s="23" t="e">
        <f t="shared" si="57"/>
        <v>#NUM!</v>
      </c>
      <c r="CD98" s="23" t="e">
        <f t="shared" si="57"/>
        <v>#NUM!</v>
      </c>
      <c r="CE98" s="23" t="e">
        <f t="shared" si="57"/>
        <v>#NUM!</v>
      </c>
      <c r="CF98" s="23" t="e">
        <f t="shared" si="57"/>
        <v>#NUM!</v>
      </c>
      <c r="CG98" s="23" t="e">
        <f t="shared" si="57"/>
        <v>#NUM!</v>
      </c>
      <c r="CH98" s="23" t="e">
        <f t="shared" si="57"/>
        <v>#NUM!</v>
      </c>
      <c r="CI98" s="23" t="e">
        <f t="shared" si="57"/>
        <v>#NUM!</v>
      </c>
      <c r="CJ98" s="23" t="e">
        <f t="shared" si="57"/>
        <v>#NUM!</v>
      </c>
      <c r="CK98" s="23" t="e">
        <f t="shared" si="57"/>
        <v>#NUM!</v>
      </c>
      <c r="CL98" s="23" t="e">
        <f t="shared" si="57"/>
        <v>#NUM!</v>
      </c>
      <c r="CM98" s="23" t="e">
        <f t="shared" si="57"/>
        <v>#NUM!</v>
      </c>
      <c r="CN98" s="23" t="e">
        <f t="shared" si="57"/>
        <v>#NUM!</v>
      </c>
      <c r="CO98" s="23" t="e">
        <f t="shared" si="57"/>
        <v>#NUM!</v>
      </c>
      <c r="CP98" s="23">
        <f t="shared" si="58"/>
        <v>11565.830000000002</v>
      </c>
      <c r="CQ98" s="67">
        <f t="shared" si="69"/>
        <v>0</v>
      </c>
      <c r="CR98" s="67">
        <v>0.85</v>
      </c>
      <c r="CS98" s="80">
        <f t="shared" si="65"/>
        <v>11926.388595782504</v>
      </c>
      <c r="CT98" s="81">
        <f t="shared" si="59"/>
        <v>10137.430306415128</v>
      </c>
      <c r="CU98" s="23">
        <f t="shared" si="60"/>
        <v>13783.830000000004</v>
      </c>
      <c r="CV98" s="67">
        <f t="shared" si="70"/>
        <v>-1.4723388028265956E-2</v>
      </c>
      <c r="CW98" s="80">
        <f t="shared" si="71"/>
        <v>14213.533565529215</v>
      </c>
      <c r="CX98" s="81">
        <f t="shared" si="66"/>
        <v>12081.503530699832</v>
      </c>
      <c r="CY98" s="65">
        <f t="shared" si="61"/>
        <v>7249.4562498569203</v>
      </c>
      <c r="CZ98" s="65">
        <f>'Sensitivity - Population'!S23 + 'Sensitivity - GDP'!P24 +'Sensitivity - GDP'!P86</f>
        <v>65737.322028471113</v>
      </c>
      <c r="DA98" s="65">
        <f t="shared" si="67"/>
        <v>7504.2605055332324</v>
      </c>
      <c r="DB98" s="65">
        <f>'Sensitivity - Population'!E23+'Sensitivity - GDP'!D24+'Sensitivity - GDP'!D86</f>
        <v>60792.783500023172</v>
      </c>
      <c r="DC98" s="65">
        <f t="shared" si="68"/>
        <v>6939.8154680391744</v>
      </c>
      <c r="EQ98" s="92"/>
    </row>
    <row r="99" spans="14:147" x14ac:dyDescent="0.35">
      <c r="N99" s="90"/>
      <c r="O99" s="79">
        <v>48579</v>
      </c>
      <c r="P99" s="23">
        <f t="shared" si="62"/>
        <v>392.5</v>
      </c>
      <c r="Q99" s="23">
        <f t="shared" si="62"/>
        <v>392.5</v>
      </c>
      <c r="R99" s="23">
        <f t="shared" si="62"/>
        <v>403.8</v>
      </c>
      <c r="S99" s="23">
        <f t="shared" si="62"/>
        <v>400</v>
      </c>
      <c r="T99" s="23">
        <f t="shared" si="62"/>
        <v>400</v>
      </c>
      <c r="U99" s="23">
        <f t="shared" si="62"/>
        <v>250</v>
      </c>
      <c r="V99" s="23">
        <f t="shared" si="62"/>
        <v>250</v>
      </c>
      <c r="W99" s="23">
        <f t="shared" si="62"/>
        <v>420</v>
      </c>
      <c r="X99" s="23">
        <f t="shared" si="62"/>
        <v>420</v>
      </c>
      <c r="Y99" s="23">
        <f t="shared" si="62"/>
        <v>47.8</v>
      </c>
      <c r="Z99" s="23">
        <f t="shared" si="62"/>
        <v>132</v>
      </c>
      <c r="AA99" s="23">
        <f t="shared" si="62"/>
        <v>367.5</v>
      </c>
      <c r="AB99" s="23">
        <f t="shared" si="62"/>
        <v>367.5</v>
      </c>
      <c r="AC99" s="23">
        <f t="shared" si="62"/>
        <v>367.5</v>
      </c>
      <c r="AD99" s="23">
        <f t="shared" si="62"/>
        <v>367.5</v>
      </c>
      <c r="AE99" s="23">
        <f t="shared" si="62"/>
        <v>405.9</v>
      </c>
      <c r="AF99" s="23">
        <f t="shared" si="63"/>
        <v>60</v>
      </c>
      <c r="AG99" s="23">
        <f t="shared" si="63"/>
        <v>67.8</v>
      </c>
      <c r="AH99" s="23">
        <f t="shared" si="63"/>
        <v>55</v>
      </c>
      <c r="AI99" s="23">
        <f t="shared" si="63"/>
        <v>262</v>
      </c>
      <c r="AJ99" s="23">
        <f t="shared" si="63"/>
        <v>425</v>
      </c>
      <c r="AK99" s="23">
        <f t="shared" si="63"/>
        <v>365</v>
      </c>
      <c r="AL99" s="23">
        <f t="shared" si="63"/>
        <v>365</v>
      </c>
      <c r="AM99" s="23">
        <f t="shared" si="63"/>
        <v>365</v>
      </c>
      <c r="AN99" s="23">
        <f t="shared" si="63"/>
        <v>431</v>
      </c>
      <c r="AO99" s="23">
        <f t="shared" si="63"/>
        <v>431</v>
      </c>
      <c r="AP99" s="23">
        <f t="shared" si="63"/>
        <v>110</v>
      </c>
      <c r="AQ99" s="23">
        <f t="shared" si="63"/>
        <v>110</v>
      </c>
      <c r="AR99" s="23">
        <f t="shared" si="63"/>
        <v>47</v>
      </c>
      <c r="AS99" s="23">
        <f t="shared" si="63"/>
        <v>47</v>
      </c>
      <c r="AT99" s="23">
        <f t="shared" si="64"/>
        <v>250</v>
      </c>
      <c r="AU99" s="23">
        <f t="shared" si="64"/>
        <v>250</v>
      </c>
      <c r="AV99" s="23">
        <f t="shared" si="64"/>
        <v>250</v>
      </c>
      <c r="AW99" s="23">
        <f t="shared" si="64"/>
        <v>0</v>
      </c>
      <c r="AX99" s="23">
        <f t="shared" si="64"/>
        <v>0</v>
      </c>
      <c r="AY99" s="23">
        <f t="shared" si="64"/>
        <v>368</v>
      </c>
      <c r="AZ99" s="23">
        <f t="shared" si="64"/>
        <v>364</v>
      </c>
      <c r="BA99" s="23">
        <f t="shared" si="73"/>
        <v>370</v>
      </c>
      <c r="BB99" s="23">
        <f t="shared" si="73"/>
        <v>370</v>
      </c>
      <c r="BC99" s="23">
        <f t="shared" si="73"/>
        <v>22</v>
      </c>
      <c r="BD99" s="23">
        <f t="shared" si="73"/>
        <v>395.7</v>
      </c>
      <c r="BE99" s="23">
        <f t="shared" si="73"/>
        <v>101</v>
      </c>
      <c r="BF99" s="23">
        <f t="shared" si="73"/>
        <v>32.5</v>
      </c>
      <c r="BG99" s="23">
        <f t="shared" si="73"/>
        <v>37.5</v>
      </c>
      <c r="BH99" s="23">
        <f t="shared" si="73"/>
        <v>37.5</v>
      </c>
      <c r="BI99" s="23">
        <f t="shared" si="73"/>
        <v>1.95</v>
      </c>
      <c r="BJ99" s="23">
        <f t="shared" si="73"/>
        <v>68.19</v>
      </c>
      <c r="BK99" s="23">
        <f t="shared" si="73"/>
        <v>68.19</v>
      </c>
      <c r="BL99" s="23">
        <f t="shared" si="73"/>
        <v>40</v>
      </c>
      <c r="BM99" s="23">
        <f t="shared" si="73"/>
        <v>14</v>
      </c>
      <c r="BN99" s="23">
        <f t="shared" si="73"/>
        <v>439.33333333333331</v>
      </c>
      <c r="BO99" s="23">
        <f t="shared" si="73"/>
        <v>439.33333333333331</v>
      </c>
      <c r="BP99" s="23">
        <f t="shared" si="73"/>
        <v>439.33333333333331</v>
      </c>
      <c r="BQ99" s="23">
        <f t="shared" si="74"/>
        <v>100</v>
      </c>
      <c r="BR99" s="23">
        <f t="shared" si="74"/>
        <v>100</v>
      </c>
      <c r="BS99" s="23">
        <f t="shared" si="74"/>
        <v>100</v>
      </c>
      <c r="BT99" s="23">
        <f t="shared" si="74"/>
        <v>100</v>
      </c>
      <c r="BU99" s="23">
        <f t="shared" si="74"/>
        <v>100</v>
      </c>
      <c r="BV99" s="23">
        <f t="shared" si="74"/>
        <v>200</v>
      </c>
      <c r="BW99" s="23">
        <f t="shared" si="74"/>
        <v>200</v>
      </c>
      <c r="BX99" s="23">
        <f t="shared" si="74"/>
        <v>200</v>
      </c>
      <c r="BY99" s="23" t="e">
        <f t="shared" si="74"/>
        <v>#NUM!</v>
      </c>
      <c r="BZ99" s="23" t="e">
        <f t="shared" si="74"/>
        <v>#NUM!</v>
      </c>
      <c r="CA99" s="23" t="e">
        <f t="shared" si="74"/>
        <v>#NUM!</v>
      </c>
      <c r="CB99" s="23" t="e">
        <f t="shared" si="74"/>
        <v>#NUM!</v>
      </c>
      <c r="CC99" s="23" t="e">
        <f t="shared" si="57"/>
        <v>#NUM!</v>
      </c>
      <c r="CD99" s="23" t="e">
        <f t="shared" si="57"/>
        <v>#NUM!</v>
      </c>
      <c r="CE99" s="23" t="e">
        <f t="shared" si="57"/>
        <v>#NUM!</v>
      </c>
      <c r="CF99" s="23" t="e">
        <f t="shared" si="57"/>
        <v>#NUM!</v>
      </c>
      <c r="CG99" s="23" t="e">
        <f t="shared" si="57"/>
        <v>#NUM!</v>
      </c>
      <c r="CH99" s="23" t="e">
        <f t="shared" si="57"/>
        <v>#NUM!</v>
      </c>
      <c r="CI99" s="23" t="e">
        <f t="shared" si="57"/>
        <v>#NUM!</v>
      </c>
      <c r="CJ99" s="23" t="e">
        <f t="shared" si="57"/>
        <v>#NUM!</v>
      </c>
      <c r="CK99" s="23" t="e">
        <f t="shared" si="57"/>
        <v>#NUM!</v>
      </c>
      <c r="CL99" s="23" t="e">
        <f t="shared" si="57"/>
        <v>#NUM!</v>
      </c>
      <c r="CM99" s="23" t="e">
        <f t="shared" si="57"/>
        <v>#NUM!</v>
      </c>
      <c r="CN99" s="23" t="e">
        <f t="shared" si="57"/>
        <v>#NUM!</v>
      </c>
      <c r="CO99" s="23" t="e">
        <f t="shared" si="57"/>
        <v>#NUM!</v>
      </c>
      <c r="CP99" s="23">
        <f t="shared" si="58"/>
        <v>11565.830000000002</v>
      </c>
      <c r="CQ99" s="67">
        <f t="shared" si="69"/>
        <v>0</v>
      </c>
      <c r="CR99" s="67">
        <v>0.85</v>
      </c>
      <c r="CS99" s="80">
        <f t="shared" si="65"/>
        <v>11926.388595782504</v>
      </c>
      <c r="CT99" s="81">
        <f t="shared" si="59"/>
        <v>10137.430306415128</v>
      </c>
      <c r="CU99" s="23">
        <f t="shared" si="60"/>
        <v>13983.830000000004</v>
      </c>
      <c r="CV99" s="67">
        <f t="shared" si="70"/>
        <v>-1.4509755271212715E-2</v>
      </c>
      <c r="CW99" s="80">
        <f t="shared" si="71"/>
        <v>14419.768459104213</v>
      </c>
      <c r="CX99" s="81">
        <f t="shared" si="66"/>
        <v>12256.803190238581</v>
      </c>
      <c r="CY99" s="65">
        <f t="shared" si="61"/>
        <v>7367.0347759993565</v>
      </c>
      <c r="CZ99" s="65">
        <f>'Sensitivity - Population'!S24 + 'Sensitivity - GDP'!P25 +'Sensitivity - GDP'!P87</f>
        <v>66855.557876498031</v>
      </c>
      <c r="DA99" s="65">
        <f t="shared" si="67"/>
        <v>7631.9129996002312</v>
      </c>
      <c r="DB99" s="65">
        <f>'Sensitivity - Population'!E24+'Sensitivity - GDP'!D25+'Sensitivity - GDP'!D87</f>
        <v>61791.23331967408</v>
      </c>
      <c r="DC99" s="65">
        <f t="shared" si="68"/>
        <v>7053.793757953662</v>
      </c>
      <c r="EQ99" s="92"/>
    </row>
    <row r="100" spans="14:147" x14ac:dyDescent="0.35">
      <c r="N100" s="90"/>
      <c r="O100" s="79">
        <v>48944</v>
      </c>
      <c r="P100" s="23">
        <f t="shared" si="62"/>
        <v>392.5</v>
      </c>
      <c r="Q100" s="23">
        <f t="shared" si="62"/>
        <v>392.5</v>
      </c>
      <c r="R100" s="23">
        <f t="shared" si="62"/>
        <v>403.8</v>
      </c>
      <c r="S100" s="23">
        <f t="shared" si="62"/>
        <v>400</v>
      </c>
      <c r="T100" s="23">
        <f t="shared" si="62"/>
        <v>400</v>
      </c>
      <c r="U100" s="23">
        <f t="shared" si="62"/>
        <v>250</v>
      </c>
      <c r="V100" s="23">
        <f t="shared" si="62"/>
        <v>250</v>
      </c>
      <c r="W100" s="23">
        <f t="shared" si="62"/>
        <v>420</v>
      </c>
      <c r="X100" s="23">
        <f t="shared" si="62"/>
        <v>420</v>
      </c>
      <c r="Y100" s="23">
        <f t="shared" si="62"/>
        <v>47.8</v>
      </c>
      <c r="Z100" s="23">
        <f t="shared" si="62"/>
        <v>132</v>
      </c>
      <c r="AA100" s="23">
        <f t="shared" si="62"/>
        <v>367.5</v>
      </c>
      <c r="AB100" s="23">
        <f t="shared" si="62"/>
        <v>367.5</v>
      </c>
      <c r="AC100" s="23">
        <f t="shared" si="62"/>
        <v>367.5</v>
      </c>
      <c r="AD100" s="23">
        <f t="shared" si="62"/>
        <v>367.5</v>
      </c>
      <c r="AE100" s="23">
        <f t="shared" si="62"/>
        <v>405.9</v>
      </c>
      <c r="AF100" s="23">
        <f t="shared" si="63"/>
        <v>60</v>
      </c>
      <c r="AG100" s="23">
        <f t="shared" si="63"/>
        <v>67.8</v>
      </c>
      <c r="AH100" s="23">
        <f t="shared" si="63"/>
        <v>55</v>
      </c>
      <c r="AI100" s="23">
        <f t="shared" si="63"/>
        <v>262</v>
      </c>
      <c r="AJ100" s="23">
        <f t="shared" si="63"/>
        <v>425</v>
      </c>
      <c r="AK100" s="23">
        <f t="shared" si="63"/>
        <v>365</v>
      </c>
      <c r="AL100" s="23">
        <f t="shared" si="63"/>
        <v>365</v>
      </c>
      <c r="AM100" s="23">
        <f t="shared" si="63"/>
        <v>365</v>
      </c>
      <c r="AN100" s="23">
        <f t="shared" si="63"/>
        <v>431</v>
      </c>
      <c r="AO100" s="23">
        <f t="shared" si="63"/>
        <v>431</v>
      </c>
      <c r="AP100" s="23">
        <f t="shared" si="63"/>
        <v>110</v>
      </c>
      <c r="AQ100" s="23">
        <f t="shared" si="63"/>
        <v>110</v>
      </c>
      <c r="AR100" s="23">
        <f t="shared" si="63"/>
        <v>47</v>
      </c>
      <c r="AS100" s="23">
        <f t="shared" si="63"/>
        <v>47</v>
      </c>
      <c r="AT100" s="23">
        <f t="shared" si="64"/>
        <v>250</v>
      </c>
      <c r="AU100" s="23">
        <f t="shared" si="64"/>
        <v>250</v>
      </c>
      <c r="AV100" s="23">
        <f t="shared" si="64"/>
        <v>250</v>
      </c>
      <c r="AW100" s="23">
        <f t="shared" si="64"/>
        <v>0</v>
      </c>
      <c r="AX100" s="23">
        <f t="shared" si="64"/>
        <v>0</v>
      </c>
      <c r="AY100" s="23">
        <f t="shared" si="64"/>
        <v>368</v>
      </c>
      <c r="AZ100" s="23">
        <f t="shared" si="64"/>
        <v>364</v>
      </c>
      <c r="BA100" s="23">
        <f t="shared" si="73"/>
        <v>370</v>
      </c>
      <c r="BB100" s="23">
        <f t="shared" si="73"/>
        <v>370</v>
      </c>
      <c r="BC100" s="23">
        <f t="shared" si="73"/>
        <v>22</v>
      </c>
      <c r="BD100" s="23">
        <f t="shared" si="73"/>
        <v>395.7</v>
      </c>
      <c r="BE100" s="23">
        <f t="shared" si="73"/>
        <v>101</v>
      </c>
      <c r="BF100" s="23">
        <f t="shared" si="73"/>
        <v>32.5</v>
      </c>
      <c r="BG100" s="23">
        <f t="shared" si="73"/>
        <v>37.5</v>
      </c>
      <c r="BH100" s="23">
        <f t="shared" si="73"/>
        <v>37.5</v>
      </c>
      <c r="BI100" s="23">
        <f t="shared" si="73"/>
        <v>1.95</v>
      </c>
      <c r="BJ100" s="23">
        <f t="shared" si="73"/>
        <v>68.19</v>
      </c>
      <c r="BK100" s="23">
        <f t="shared" si="73"/>
        <v>68.19</v>
      </c>
      <c r="BL100" s="23">
        <f t="shared" si="73"/>
        <v>40</v>
      </c>
      <c r="BM100" s="23">
        <f t="shared" si="73"/>
        <v>14</v>
      </c>
      <c r="BN100" s="23">
        <f t="shared" si="73"/>
        <v>439.33333333333331</v>
      </c>
      <c r="BO100" s="23">
        <f t="shared" si="73"/>
        <v>439.33333333333331</v>
      </c>
      <c r="BP100" s="23">
        <f t="shared" si="73"/>
        <v>439.33333333333331</v>
      </c>
      <c r="BQ100" s="23">
        <f t="shared" si="74"/>
        <v>100</v>
      </c>
      <c r="BR100" s="23">
        <f t="shared" si="74"/>
        <v>100</v>
      </c>
      <c r="BS100" s="23">
        <f t="shared" si="74"/>
        <v>100</v>
      </c>
      <c r="BT100" s="23">
        <f t="shared" si="74"/>
        <v>100</v>
      </c>
      <c r="BU100" s="23">
        <f t="shared" si="74"/>
        <v>100</v>
      </c>
      <c r="BV100" s="23">
        <f t="shared" si="74"/>
        <v>200</v>
      </c>
      <c r="BW100" s="23">
        <f t="shared" si="74"/>
        <v>200</v>
      </c>
      <c r="BX100" s="23">
        <f t="shared" si="74"/>
        <v>200</v>
      </c>
      <c r="BY100" s="23">
        <f t="shared" si="74"/>
        <v>200</v>
      </c>
      <c r="BZ100" s="23" t="e">
        <f t="shared" si="74"/>
        <v>#NUM!</v>
      </c>
      <c r="CA100" s="23" t="e">
        <f t="shared" si="74"/>
        <v>#NUM!</v>
      </c>
      <c r="CB100" s="23" t="e">
        <f t="shared" si="74"/>
        <v>#NUM!</v>
      </c>
      <c r="CC100" s="23" t="e">
        <f t="shared" si="57"/>
        <v>#NUM!</v>
      </c>
      <c r="CD100" s="23" t="e">
        <f t="shared" si="57"/>
        <v>#NUM!</v>
      </c>
      <c r="CE100" s="23" t="e">
        <f t="shared" si="57"/>
        <v>#NUM!</v>
      </c>
      <c r="CF100" s="23" t="e">
        <f t="shared" si="57"/>
        <v>#NUM!</v>
      </c>
      <c r="CG100" s="23" t="e">
        <f t="shared" si="57"/>
        <v>#NUM!</v>
      </c>
      <c r="CH100" s="23" t="e">
        <f t="shared" si="57"/>
        <v>#NUM!</v>
      </c>
      <c r="CI100" s="23" t="e">
        <f t="shared" si="57"/>
        <v>#NUM!</v>
      </c>
      <c r="CJ100" s="23" t="e">
        <f t="shared" si="57"/>
        <v>#NUM!</v>
      </c>
      <c r="CK100" s="23" t="e">
        <f t="shared" si="57"/>
        <v>#NUM!</v>
      </c>
      <c r="CL100" s="23" t="e">
        <f t="shared" si="57"/>
        <v>#NUM!</v>
      </c>
      <c r="CM100" s="23" t="e">
        <f t="shared" si="57"/>
        <v>#NUM!</v>
      </c>
      <c r="CN100" s="23" t="e">
        <f t="shared" si="57"/>
        <v>#NUM!</v>
      </c>
      <c r="CO100" s="23" t="e">
        <f t="shared" si="57"/>
        <v>#NUM!</v>
      </c>
      <c r="CP100" s="23">
        <f t="shared" si="58"/>
        <v>11565.830000000002</v>
      </c>
      <c r="CQ100" s="67">
        <f t="shared" si="69"/>
        <v>0</v>
      </c>
      <c r="CR100" s="67">
        <v>0.85</v>
      </c>
      <c r="CS100" s="80">
        <f t="shared" si="65"/>
        <v>11926.388595782504</v>
      </c>
      <c r="CT100" s="81">
        <f t="shared" si="59"/>
        <v>10137.430306415128</v>
      </c>
      <c r="CU100" s="23">
        <f t="shared" si="60"/>
        <v>14183.830000000004</v>
      </c>
      <c r="CV100" s="67">
        <f t="shared" si="70"/>
        <v>-1.4302233365251146E-2</v>
      </c>
      <c r="CW100" s="80">
        <f t="shared" si="71"/>
        <v>14626.003352679209</v>
      </c>
      <c r="CX100" s="81">
        <f t="shared" si="66"/>
        <v>12432.102849777328</v>
      </c>
      <c r="CY100" s="65">
        <f t="shared" si="61"/>
        <v>7484.5071058082076</v>
      </c>
      <c r="CZ100" s="65">
        <f>'Sensitivity - Population'!S25 + 'Sensitivity - GDP'!P26 +'Sensitivity - GDP'!P88</f>
        <v>67972.875834399776</v>
      </c>
      <c r="DA100" s="65">
        <f t="shared" si="67"/>
        <v>7759.4607116894722</v>
      </c>
      <c r="DB100" s="65">
        <f>'Sensitivity - Population'!E25+'Sensitivity - GDP'!D26+'Sensitivity - GDP'!D88</f>
        <v>62788.777985039022</v>
      </c>
      <c r="DC100" s="65">
        <f t="shared" si="68"/>
        <v>7167.6687197533129</v>
      </c>
      <c r="EQ100" s="92"/>
    </row>
    <row r="101" spans="14:147" x14ac:dyDescent="0.35">
      <c r="N101" s="90"/>
      <c r="O101" s="79">
        <v>49309</v>
      </c>
      <c r="P101" s="23">
        <f t="shared" si="62"/>
        <v>392.5</v>
      </c>
      <c r="Q101" s="23">
        <f t="shared" si="62"/>
        <v>392.5</v>
      </c>
      <c r="R101" s="23">
        <f t="shared" si="62"/>
        <v>403.8</v>
      </c>
      <c r="S101" s="23">
        <f t="shared" si="62"/>
        <v>400</v>
      </c>
      <c r="T101" s="23">
        <f t="shared" si="62"/>
        <v>400</v>
      </c>
      <c r="U101" s="23">
        <f t="shared" si="62"/>
        <v>250</v>
      </c>
      <c r="V101" s="23">
        <f t="shared" si="62"/>
        <v>250</v>
      </c>
      <c r="W101" s="23">
        <f t="shared" si="62"/>
        <v>420</v>
      </c>
      <c r="X101" s="23">
        <f t="shared" si="62"/>
        <v>420</v>
      </c>
      <c r="Y101" s="23">
        <f t="shared" si="62"/>
        <v>47.8</v>
      </c>
      <c r="Z101" s="23">
        <f t="shared" si="62"/>
        <v>132</v>
      </c>
      <c r="AA101" s="23">
        <f t="shared" si="62"/>
        <v>367.5</v>
      </c>
      <c r="AB101" s="23">
        <f t="shared" si="62"/>
        <v>367.5</v>
      </c>
      <c r="AC101" s="23">
        <f t="shared" si="62"/>
        <v>367.5</v>
      </c>
      <c r="AD101" s="23">
        <f t="shared" si="62"/>
        <v>367.5</v>
      </c>
      <c r="AE101" s="23">
        <f t="shared" si="62"/>
        <v>405.9</v>
      </c>
      <c r="AF101" s="23">
        <f t="shared" si="63"/>
        <v>60</v>
      </c>
      <c r="AG101" s="23">
        <f t="shared" si="63"/>
        <v>67.8</v>
      </c>
      <c r="AH101" s="23">
        <f t="shared" si="63"/>
        <v>55</v>
      </c>
      <c r="AI101" s="23">
        <f t="shared" si="63"/>
        <v>262</v>
      </c>
      <c r="AJ101" s="23">
        <f t="shared" si="63"/>
        <v>425</v>
      </c>
      <c r="AK101" s="23">
        <f t="shared" si="63"/>
        <v>365</v>
      </c>
      <c r="AL101" s="23">
        <f t="shared" si="63"/>
        <v>365</v>
      </c>
      <c r="AM101" s="23">
        <f t="shared" si="63"/>
        <v>365</v>
      </c>
      <c r="AN101" s="23">
        <f t="shared" si="63"/>
        <v>431</v>
      </c>
      <c r="AO101" s="23">
        <f t="shared" si="63"/>
        <v>431</v>
      </c>
      <c r="AP101" s="23">
        <f t="shared" si="63"/>
        <v>110</v>
      </c>
      <c r="AQ101" s="23">
        <f t="shared" si="63"/>
        <v>110</v>
      </c>
      <c r="AR101" s="23">
        <f t="shared" si="63"/>
        <v>47</v>
      </c>
      <c r="AS101" s="23">
        <f t="shared" si="63"/>
        <v>47</v>
      </c>
      <c r="AT101" s="23">
        <f t="shared" si="64"/>
        <v>250</v>
      </c>
      <c r="AU101" s="23">
        <f t="shared" si="64"/>
        <v>250</v>
      </c>
      <c r="AV101" s="23">
        <f t="shared" si="64"/>
        <v>250</v>
      </c>
      <c r="AW101" s="23">
        <f t="shared" si="64"/>
        <v>0</v>
      </c>
      <c r="AX101" s="23">
        <f t="shared" si="64"/>
        <v>0</v>
      </c>
      <c r="AY101" s="23">
        <f t="shared" si="64"/>
        <v>368</v>
      </c>
      <c r="AZ101" s="23">
        <f t="shared" si="64"/>
        <v>364</v>
      </c>
      <c r="BA101" s="23">
        <f t="shared" si="73"/>
        <v>370</v>
      </c>
      <c r="BB101" s="23">
        <f t="shared" si="73"/>
        <v>370</v>
      </c>
      <c r="BC101" s="23">
        <f t="shared" si="73"/>
        <v>22</v>
      </c>
      <c r="BD101" s="23">
        <f t="shared" si="73"/>
        <v>395.7</v>
      </c>
      <c r="BE101" s="23">
        <f t="shared" si="73"/>
        <v>101</v>
      </c>
      <c r="BF101" s="23">
        <f t="shared" si="73"/>
        <v>32.5</v>
      </c>
      <c r="BG101" s="23">
        <f t="shared" si="73"/>
        <v>37.5</v>
      </c>
      <c r="BH101" s="23">
        <f t="shared" si="73"/>
        <v>37.5</v>
      </c>
      <c r="BI101" s="23">
        <f t="shared" si="73"/>
        <v>1.95</v>
      </c>
      <c r="BJ101" s="23">
        <f t="shared" si="73"/>
        <v>68.19</v>
      </c>
      <c r="BK101" s="23">
        <f t="shared" si="73"/>
        <v>68.19</v>
      </c>
      <c r="BL101" s="23">
        <f t="shared" si="73"/>
        <v>40</v>
      </c>
      <c r="BM101" s="23">
        <f t="shared" si="73"/>
        <v>14</v>
      </c>
      <c r="BN101" s="23">
        <f t="shared" si="73"/>
        <v>439.33333333333331</v>
      </c>
      <c r="BO101" s="23">
        <f t="shared" si="73"/>
        <v>439.33333333333331</v>
      </c>
      <c r="BP101" s="23">
        <f t="shared" si="73"/>
        <v>439.33333333333331</v>
      </c>
      <c r="BQ101" s="23">
        <f t="shared" si="74"/>
        <v>100</v>
      </c>
      <c r="BR101" s="23">
        <f t="shared" si="74"/>
        <v>100</v>
      </c>
      <c r="BS101" s="23">
        <f t="shared" si="74"/>
        <v>100</v>
      </c>
      <c r="BT101" s="23">
        <f t="shared" si="74"/>
        <v>100</v>
      </c>
      <c r="BU101" s="23">
        <f t="shared" si="74"/>
        <v>100</v>
      </c>
      <c r="BV101" s="23">
        <f t="shared" si="74"/>
        <v>200</v>
      </c>
      <c r="BW101" s="23">
        <f t="shared" si="74"/>
        <v>200</v>
      </c>
      <c r="BX101" s="23">
        <f t="shared" si="74"/>
        <v>200</v>
      </c>
      <c r="BY101" s="23">
        <f t="shared" si="74"/>
        <v>200</v>
      </c>
      <c r="BZ101" s="23">
        <f t="shared" si="74"/>
        <v>200</v>
      </c>
      <c r="CA101" s="23" t="e">
        <f t="shared" si="74"/>
        <v>#NUM!</v>
      </c>
      <c r="CB101" s="23" t="e">
        <f t="shared" si="74"/>
        <v>#NUM!</v>
      </c>
      <c r="CC101" s="23" t="e">
        <f t="shared" si="57"/>
        <v>#NUM!</v>
      </c>
      <c r="CD101" s="23" t="e">
        <f t="shared" si="57"/>
        <v>#NUM!</v>
      </c>
      <c r="CE101" s="23" t="e">
        <f t="shared" si="57"/>
        <v>#NUM!</v>
      </c>
      <c r="CF101" s="23" t="e">
        <f t="shared" si="57"/>
        <v>#NUM!</v>
      </c>
      <c r="CG101" s="23" t="e">
        <f t="shared" si="57"/>
        <v>#NUM!</v>
      </c>
      <c r="CH101" s="23" t="e">
        <f t="shared" si="57"/>
        <v>#NUM!</v>
      </c>
      <c r="CI101" s="23" t="e">
        <f t="shared" si="57"/>
        <v>#NUM!</v>
      </c>
      <c r="CJ101" s="23" t="e">
        <f t="shared" si="57"/>
        <v>#NUM!</v>
      </c>
      <c r="CK101" s="23" t="e">
        <f t="shared" si="57"/>
        <v>#NUM!</v>
      </c>
      <c r="CL101" s="23" t="e">
        <f t="shared" si="57"/>
        <v>#NUM!</v>
      </c>
      <c r="CM101" s="23" t="e">
        <f t="shared" si="57"/>
        <v>#NUM!</v>
      </c>
      <c r="CN101" s="23" t="e">
        <f t="shared" si="57"/>
        <v>#NUM!</v>
      </c>
      <c r="CO101" s="23" t="e">
        <f t="shared" si="57"/>
        <v>#NUM!</v>
      </c>
      <c r="CP101" s="23">
        <f t="shared" si="58"/>
        <v>11565.830000000002</v>
      </c>
      <c r="CQ101" s="67">
        <f t="shared" si="69"/>
        <v>0</v>
      </c>
      <c r="CR101" s="67">
        <v>0.85</v>
      </c>
      <c r="CS101" s="80">
        <f t="shared" si="65"/>
        <v>11926.388595782504</v>
      </c>
      <c r="CT101" s="81">
        <f t="shared" si="59"/>
        <v>10137.430306415128</v>
      </c>
      <c r="CU101" s="23">
        <f t="shared" si="60"/>
        <v>14383.830000000004</v>
      </c>
      <c r="CV101" s="67">
        <f t="shared" si="70"/>
        <v>-1.410056381104398E-2</v>
      </c>
      <c r="CW101" s="80">
        <f t="shared" si="71"/>
        <v>14832.238246254206</v>
      </c>
      <c r="CX101" s="81">
        <f t="shared" si="66"/>
        <v>12607.402509316074</v>
      </c>
      <c r="CY101" s="65">
        <f t="shared" si="61"/>
        <v>7601.8709351536054</v>
      </c>
      <c r="CZ101" s="65">
        <f>'Sensitivity - Population'!S26 + 'Sensitivity - GDP'!P27 +'Sensitivity - GDP'!P89</f>
        <v>69089.255139900342</v>
      </c>
      <c r="DA101" s="65">
        <f t="shared" si="67"/>
        <v>7886.9012716781208</v>
      </c>
      <c r="DB101" s="65">
        <f>'Sensitivity - Population'!E26+'Sensitivity - GDP'!D27+'Sensitivity - GDP'!D89</f>
        <v>63785.397021921162</v>
      </c>
      <c r="DC101" s="65">
        <f t="shared" si="68"/>
        <v>7281.4380162010466</v>
      </c>
      <c r="EQ101" s="92"/>
    </row>
    <row r="102" spans="14:147" x14ac:dyDescent="0.35">
      <c r="N102" s="90"/>
      <c r="O102" s="79">
        <v>49674</v>
      </c>
      <c r="P102" s="23">
        <f t="shared" si="62"/>
        <v>392.5</v>
      </c>
      <c r="Q102" s="23">
        <f t="shared" si="62"/>
        <v>392.5</v>
      </c>
      <c r="R102" s="23">
        <f t="shared" si="62"/>
        <v>403.8</v>
      </c>
      <c r="S102" s="23">
        <f t="shared" si="62"/>
        <v>400</v>
      </c>
      <c r="T102" s="23">
        <f t="shared" si="62"/>
        <v>400</v>
      </c>
      <c r="U102" s="23">
        <f t="shared" si="62"/>
        <v>250</v>
      </c>
      <c r="V102" s="23">
        <f t="shared" si="62"/>
        <v>250</v>
      </c>
      <c r="W102" s="23">
        <f t="shared" si="62"/>
        <v>420</v>
      </c>
      <c r="X102" s="23">
        <f t="shared" si="62"/>
        <v>420</v>
      </c>
      <c r="Y102" s="23">
        <f t="shared" si="62"/>
        <v>47.8</v>
      </c>
      <c r="Z102" s="23">
        <f t="shared" si="62"/>
        <v>132</v>
      </c>
      <c r="AA102" s="23">
        <f t="shared" si="62"/>
        <v>367.5</v>
      </c>
      <c r="AB102" s="23">
        <f t="shared" si="62"/>
        <v>367.5</v>
      </c>
      <c r="AC102" s="23">
        <f t="shared" si="62"/>
        <v>367.5</v>
      </c>
      <c r="AD102" s="23">
        <f t="shared" si="62"/>
        <v>367.5</v>
      </c>
      <c r="AE102" s="23">
        <f t="shared" si="62"/>
        <v>405.9</v>
      </c>
      <c r="AF102" s="23">
        <f t="shared" si="63"/>
        <v>60</v>
      </c>
      <c r="AG102" s="23">
        <f t="shared" si="63"/>
        <v>67.8</v>
      </c>
      <c r="AH102" s="23">
        <f t="shared" si="63"/>
        <v>55</v>
      </c>
      <c r="AI102" s="23">
        <f t="shared" si="63"/>
        <v>262</v>
      </c>
      <c r="AJ102" s="23">
        <f t="shared" si="63"/>
        <v>425</v>
      </c>
      <c r="AK102" s="23">
        <f t="shared" si="63"/>
        <v>365</v>
      </c>
      <c r="AL102" s="23">
        <f t="shared" si="63"/>
        <v>365</v>
      </c>
      <c r="AM102" s="23">
        <f t="shared" si="63"/>
        <v>365</v>
      </c>
      <c r="AN102" s="23">
        <f t="shared" si="63"/>
        <v>431</v>
      </c>
      <c r="AO102" s="23">
        <f t="shared" si="63"/>
        <v>431</v>
      </c>
      <c r="AP102" s="23">
        <f t="shared" si="63"/>
        <v>110</v>
      </c>
      <c r="AQ102" s="23">
        <f t="shared" si="63"/>
        <v>110</v>
      </c>
      <c r="AR102" s="23">
        <f t="shared" si="63"/>
        <v>47</v>
      </c>
      <c r="AS102" s="23">
        <f t="shared" si="63"/>
        <v>47</v>
      </c>
      <c r="AT102" s="23">
        <f t="shared" si="64"/>
        <v>250</v>
      </c>
      <c r="AU102" s="23">
        <f t="shared" si="64"/>
        <v>250</v>
      </c>
      <c r="AV102" s="23">
        <f t="shared" si="64"/>
        <v>250</v>
      </c>
      <c r="AW102" s="23">
        <f t="shared" si="64"/>
        <v>0</v>
      </c>
      <c r="AX102" s="23">
        <f t="shared" si="64"/>
        <v>0</v>
      </c>
      <c r="AY102" s="23">
        <f t="shared" si="64"/>
        <v>368</v>
      </c>
      <c r="AZ102" s="23">
        <f t="shared" si="64"/>
        <v>364</v>
      </c>
      <c r="BA102" s="23">
        <f t="shared" si="73"/>
        <v>370</v>
      </c>
      <c r="BB102" s="23">
        <f t="shared" si="73"/>
        <v>370</v>
      </c>
      <c r="BC102" s="23">
        <f t="shared" si="73"/>
        <v>22</v>
      </c>
      <c r="BD102" s="23">
        <f t="shared" si="73"/>
        <v>395.7</v>
      </c>
      <c r="BE102" s="23">
        <f t="shared" si="73"/>
        <v>101</v>
      </c>
      <c r="BF102" s="23">
        <f t="shared" si="73"/>
        <v>32.5</v>
      </c>
      <c r="BG102" s="23">
        <f t="shared" si="73"/>
        <v>37.5</v>
      </c>
      <c r="BH102" s="23">
        <f t="shared" si="73"/>
        <v>37.5</v>
      </c>
      <c r="BI102" s="23">
        <f t="shared" si="73"/>
        <v>1.95</v>
      </c>
      <c r="BJ102" s="23">
        <f t="shared" si="73"/>
        <v>68.19</v>
      </c>
      <c r="BK102" s="23">
        <f t="shared" si="73"/>
        <v>68.19</v>
      </c>
      <c r="BL102" s="23">
        <f t="shared" si="73"/>
        <v>40</v>
      </c>
      <c r="BM102" s="23">
        <f t="shared" si="73"/>
        <v>14</v>
      </c>
      <c r="BN102" s="23">
        <f t="shared" si="73"/>
        <v>439.33333333333331</v>
      </c>
      <c r="BO102" s="23">
        <f t="shared" si="73"/>
        <v>439.33333333333331</v>
      </c>
      <c r="BP102" s="23">
        <f t="shared" si="73"/>
        <v>439.33333333333331</v>
      </c>
      <c r="BQ102" s="23">
        <f t="shared" si="74"/>
        <v>100</v>
      </c>
      <c r="BR102" s="23">
        <f t="shared" si="74"/>
        <v>100</v>
      </c>
      <c r="BS102" s="23">
        <f t="shared" si="74"/>
        <v>100</v>
      </c>
      <c r="BT102" s="23">
        <f t="shared" si="74"/>
        <v>100</v>
      </c>
      <c r="BU102" s="23">
        <f t="shared" si="74"/>
        <v>100</v>
      </c>
      <c r="BV102" s="23">
        <f t="shared" si="74"/>
        <v>200</v>
      </c>
      <c r="BW102" s="23">
        <f t="shared" si="74"/>
        <v>200</v>
      </c>
      <c r="BX102" s="23">
        <f t="shared" si="74"/>
        <v>200</v>
      </c>
      <c r="BY102" s="23">
        <f t="shared" si="74"/>
        <v>200</v>
      </c>
      <c r="BZ102" s="23">
        <f t="shared" si="74"/>
        <v>200</v>
      </c>
      <c r="CA102" s="23">
        <f t="shared" si="74"/>
        <v>200</v>
      </c>
      <c r="CB102" s="23" t="e">
        <f t="shared" si="74"/>
        <v>#NUM!</v>
      </c>
      <c r="CC102" s="23" t="e">
        <f t="shared" si="57"/>
        <v>#NUM!</v>
      </c>
      <c r="CD102" s="23" t="e">
        <f t="shared" si="57"/>
        <v>#NUM!</v>
      </c>
      <c r="CE102" s="23" t="e">
        <f t="shared" si="57"/>
        <v>#NUM!</v>
      </c>
      <c r="CF102" s="23" t="e">
        <f t="shared" si="57"/>
        <v>#NUM!</v>
      </c>
      <c r="CG102" s="23" t="e">
        <f t="shared" si="57"/>
        <v>#NUM!</v>
      </c>
      <c r="CH102" s="23" t="e">
        <f t="shared" si="57"/>
        <v>#NUM!</v>
      </c>
      <c r="CI102" s="23" t="e">
        <f t="shared" si="57"/>
        <v>#NUM!</v>
      </c>
      <c r="CJ102" s="23" t="e">
        <f t="shared" si="57"/>
        <v>#NUM!</v>
      </c>
      <c r="CK102" s="23" t="e">
        <f t="shared" si="57"/>
        <v>#NUM!</v>
      </c>
      <c r="CL102" s="23" t="e">
        <f t="shared" si="57"/>
        <v>#NUM!</v>
      </c>
      <c r="CM102" s="23" t="e">
        <f t="shared" si="57"/>
        <v>#NUM!</v>
      </c>
      <c r="CN102" s="23" t="e">
        <f t="shared" si="57"/>
        <v>#NUM!</v>
      </c>
      <c r="CO102" s="23" t="e">
        <f t="shared" si="57"/>
        <v>#NUM!</v>
      </c>
      <c r="CP102" s="23">
        <f t="shared" si="58"/>
        <v>11565.830000000002</v>
      </c>
      <c r="CQ102" s="67">
        <f t="shared" si="69"/>
        <v>0</v>
      </c>
      <c r="CR102" s="67">
        <v>0.85</v>
      </c>
      <c r="CS102" s="80">
        <f t="shared" si="65"/>
        <v>11926.388595782504</v>
      </c>
      <c r="CT102" s="81">
        <f t="shared" si="59"/>
        <v>10137.430306415128</v>
      </c>
      <c r="CU102" s="23">
        <f t="shared" si="60"/>
        <v>14583.830000000004</v>
      </c>
      <c r="CV102" s="67">
        <f t="shared" si="70"/>
        <v>-1.3904502486472653E-2</v>
      </c>
      <c r="CW102" s="80">
        <f t="shared" si="71"/>
        <v>15038.473139829202</v>
      </c>
      <c r="CX102" s="81">
        <f t="shared" si="66"/>
        <v>12782.702168854821</v>
      </c>
      <c r="CY102" s="65">
        <f t="shared" si="61"/>
        <v>7719.1240067857725</v>
      </c>
      <c r="CZ102" s="65">
        <f>'Sensitivity - Population'!S27 + 'Sensitivity - GDP'!P28 +'Sensitivity - GDP'!P90</f>
        <v>70204.675427164533</v>
      </c>
      <c r="DA102" s="65">
        <f t="shared" si="67"/>
        <v>8014.2323546991483</v>
      </c>
      <c r="DB102" s="65">
        <f>'Sensitivity - Population'!E27+'Sensitivity - GDP'!D28+'Sensitivity - GDP'!D90</f>
        <v>64781.070347063753</v>
      </c>
      <c r="DC102" s="65">
        <f t="shared" si="68"/>
        <v>7395.0993546876425</v>
      </c>
      <c r="EQ102" s="92"/>
    </row>
    <row r="103" spans="14:147" x14ac:dyDescent="0.35">
      <c r="N103" s="90"/>
      <c r="O103" s="79">
        <v>50040</v>
      </c>
      <c r="P103" s="23">
        <f t="shared" si="62"/>
        <v>392.5</v>
      </c>
      <c r="Q103" s="23">
        <f t="shared" si="62"/>
        <v>392.5</v>
      </c>
      <c r="R103" s="23">
        <f t="shared" si="62"/>
        <v>403.8</v>
      </c>
      <c r="S103" s="23">
        <f t="shared" si="62"/>
        <v>400</v>
      </c>
      <c r="T103" s="23">
        <f t="shared" si="62"/>
        <v>400</v>
      </c>
      <c r="U103" s="23">
        <f t="shared" si="62"/>
        <v>250</v>
      </c>
      <c r="V103" s="23">
        <f t="shared" si="62"/>
        <v>250</v>
      </c>
      <c r="W103" s="23">
        <f t="shared" si="62"/>
        <v>420</v>
      </c>
      <c r="X103" s="23">
        <f t="shared" si="62"/>
        <v>420</v>
      </c>
      <c r="Y103" s="23">
        <f t="shared" si="62"/>
        <v>47.8</v>
      </c>
      <c r="Z103" s="23">
        <f t="shared" si="62"/>
        <v>132</v>
      </c>
      <c r="AA103" s="23">
        <f t="shared" si="62"/>
        <v>367.5</v>
      </c>
      <c r="AB103" s="23">
        <f t="shared" si="62"/>
        <v>367.5</v>
      </c>
      <c r="AC103" s="23">
        <f t="shared" si="62"/>
        <v>367.5</v>
      </c>
      <c r="AD103" s="23">
        <f t="shared" si="62"/>
        <v>367.5</v>
      </c>
      <c r="AE103" s="23">
        <f t="shared" si="62"/>
        <v>405.9</v>
      </c>
      <c r="AF103" s="23">
        <f t="shared" si="63"/>
        <v>60</v>
      </c>
      <c r="AG103" s="23">
        <f t="shared" si="63"/>
        <v>67.8</v>
      </c>
      <c r="AH103" s="23">
        <f t="shared" si="63"/>
        <v>55</v>
      </c>
      <c r="AI103" s="23">
        <f t="shared" si="63"/>
        <v>0</v>
      </c>
      <c r="AJ103" s="23">
        <f t="shared" si="63"/>
        <v>0</v>
      </c>
      <c r="AK103" s="23">
        <f t="shared" si="63"/>
        <v>365</v>
      </c>
      <c r="AL103" s="23">
        <f t="shared" si="63"/>
        <v>365</v>
      </c>
      <c r="AM103" s="23">
        <f t="shared" si="63"/>
        <v>365</v>
      </c>
      <c r="AN103" s="23">
        <f t="shared" si="63"/>
        <v>431</v>
      </c>
      <c r="AO103" s="23">
        <f t="shared" si="63"/>
        <v>431</v>
      </c>
      <c r="AP103" s="23">
        <f t="shared" si="63"/>
        <v>110</v>
      </c>
      <c r="AQ103" s="23">
        <f t="shared" si="63"/>
        <v>110</v>
      </c>
      <c r="AR103" s="23">
        <f t="shared" si="63"/>
        <v>47</v>
      </c>
      <c r="AS103" s="23">
        <f t="shared" si="63"/>
        <v>47</v>
      </c>
      <c r="AT103" s="23">
        <f t="shared" si="64"/>
        <v>250</v>
      </c>
      <c r="AU103" s="23">
        <f t="shared" si="64"/>
        <v>250</v>
      </c>
      <c r="AV103" s="23">
        <f t="shared" si="64"/>
        <v>250</v>
      </c>
      <c r="AW103" s="23">
        <f t="shared" si="64"/>
        <v>0</v>
      </c>
      <c r="AX103" s="23">
        <f t="shared" si="64"/>
        <v>0</v>
      </c>
      <c r="AY103" s="23">
        <f t="shared" si="64"/>
        <v>368</v>
      </c>
      <c r="AZ103" s="23">
        <f t="shared" si="64"/>
        <v>364</v>
      </c>
      <c r="BA103" s="23">
        <f t="shared" si="73"/>
        <v>370</v>
      </c>
      <c r="BB103" s="23">
        <f t="shared" si="73"/>
        <v>370</v>
      </c>
      <c r="BC103" s="23">
        <f t="shared" si="73"/>
        <v>22</v>
      </c>
      <c r="BD103" s="23">
        <f t="shared" si="73"/>
        <v>395.7</v>
      </c>
      <c r="BE103" s="23">
        <f t="shared" si="73"/>
        <v>101</v>
      </c>
      <c r="BF103" s="23">
        <f t="shared" si="73"/>
        <v>32.5</v>
      </c>
      <c r="BG103" s="23">
        <f t="shared" si="73"/>
        <v>37.5</v>
      </c>
      <c r="BH103" s="23">
        <f t="shared" si="73"/>
        <v>37.5</v>
      </c>
      <c r="BI103" s="23">
        <f t="shared" si="73"/>
        <v>1.95</v>
      </c>
      <c r="BJ103" s="23">
        <f t="shared" si="73"/>
        <v>68.19</v>
      </c>
      <c r="BK103" s="23">
        <f t="shared" si="73"/>
        <v>68.19</v>
      </c>
      <c r="BL103" s="23">
        <f t="shared" si="73"/>
        <v>40</v>
      </c>
      <c r="BM103" s="23">
        <f t="shared" si="73"/>
        <v>14</v>
      </c>
      <c r="BN103" s="23">
        <f t="shared" si="73"/>
        <v>439.33333333333331</v>
      </c>
      <c r="BO103" s="23">
        <f t="shared" si="73"/>
        <v>439.33333333333331</v>
      </c>
      <c r="BP103" s="23">
        <f t="shared" si="73"/>
        <v>439.33333333333331</v>
      </c>
      <c r="BQ103" s="23">
        <f t="shared" si="74"/>
        <v>100</v>
      </c>
      <c r="BR103" s="23">
        <f t="shared" si="74"/>
        <v>100</v>
      </c>
      <c r="BS103" s="23">
        <f t="shared" si="74"/>
        <v>100</v>
      </c>
      <c r="BT103" s="23">
        <f t="shared" si="74"/>
        <v>100</v>
      </c>
      <c r="BU103" s="23">
        <f t="shared" si="74"/>
        <v>100</v>
      </c>
      <c r="BV103" s="23">
        <f t="shared" si="74"/>
        <v>200</v>
      </c>
      <c r="BW103" s="23">
        <f t="shared" si="74"/>
        <v>200</v>
      </c>
      <c r="BX103" s="23">
        <f t="shared" si="74"/>
        <v>200</v>
      </c>
      <c r="BY103" s="23">
        <f t="shared" si="74"/>
        <v>200</v>
      </c>
      <c r="BZ103" s="23">
        <f t="shared" si="74"/>
        <v>200</v>
      </c>
      <c r="CA103" s="23">
        <f t="shared" si="74"/>
        <v>200</v>
      </c>
      <c r="CB103" s="23">
        <f t="shared" si="74"/>
        <v>200</v>
      </c>
      <c r="CC103" s="23" t="e">
        <f t="shared" si="57"/>
        <v>#NUM!</v>
      </c>
      <c r="CD103" s="23" t="e">
        <f t="shared" si="57"/>
        <v>#NUM!</v>
      </c>
      <c r="CE103" s="23" t="e">
        <f t="shared" si="57"/>
        <v>#NUM!</v>
      </c>
      <c r="CF103" s="23" t="e">
        <f t="shared" si="57"/>
        <v>#NUM!</v>
      </c>
      <c r="CG103" s="23" t="e">
        <f t="shared" si="57"/>
        <v>#NUM!</v>
      </c>
      <c r="CH103" s="23" t="e">
        <f t="shared" si="57"/>
        <v>#NUM!</v>
      </c>
      <c r="CI103" s="23" t="e">
        <f t="shared" si="57"/>
        <v>#NUM!</v>
      </c>
      <c r="CJ103" s="23" t="e">
        <f t="shared" si="57"/>
        <v>#NUM!</v>
      </c>
      <c r="CK103" s="23" t="e">
        <f t="shared" si="57"/>
        <v>#NUM!</v>
      </c>
      <c r="CL103" s="23" t="e">
        <f t="shared" si="57"/>
        <v>#NUM!</v>
      </c>
      <c r="CM103" s="23" t="e">
        <f t="shared" si="57"/>
        <v>#NUM!</v>
      </c>
      <c r="CN103" s="23" t="e">
        <f t="shared" si="57"/>
        <v>#NUM!</v>
      </c>
      <c r="CO103" s="23" t="e">
        <f t="shared" si="57"/>
        <v>#NUM!</v>
      </c>
      <c r="CP103" s="23">
        <f t="shared" si="58"/>
        <v>10878.830000000002</v>
      </c>
      <c r="CQ103" s="67">
        <f t="shared" si="69"/>
        <v>5.9399109272745658E-2</v>
      </c>
      <c r="CR103" s="67">
        <v>0.85</v>
      </c>
      <c r="CS103" s="80">
        <f t="shared" si="65"/>
        <v>11217.971736352392</v>
      </c>
      <c r="CT103" s="81">
        <f t="shared" si="59"/>
        <v>9535.2759758995326</v>
      </c>
      <c r="CU103" s="23">
        <f t="shared" si="60"/>
        <v>14096.830000000004</v>
      </c>
      <c r="CV103" s="67">
        <f t="shared" si="70"/>
        <v>3.339314843905887E-2</v>
      </c>
      <c r="CW103" s="80">
        <f t="shared" si="71"/>
        <v>14536.291173974087</v>
      </c>
      <c r="CX103" s="81">
        <f t="shared" si="66"/>
        <v>12355.847497877974</v>
      </c>
      <c r="CY103" s="65">
        <f t="shared" si="61"/>
        <v>7836.2641123321218</v>
      </c>
      <c r="CZ103" s="65">
        <f>'Sensitivity - Population'!S28 + 'Sensitivity - GDP'!P29 +'Sensitivity - GDP'!P91</f>
        <v>71319.116744722734</v>
      </c>
      <c r="DA103" s="65">
        <f t="shared" si="67"/>
        <v>8141.4516831875271</v>
      </c>
      <c r="DB103" s="65">
        <f>'Sensitivity - Population'!E28+'Sensitivity - GDP'!D29+'Sensitivity - GDP'!D91</f>
        <v>65775.77828582628</v>
      </c>
      <c r="DC103" s="65">
        <f t="shared" si="68"/>
        <v>7508.650489249575</v>
      </c>
      <c r="EQ103" s="92"/>
    </row>
    <row r="104" spans="14:147" x14ac:dyDescent="0.35">
      <c r="N104" s="90"/>
      <c r="O104" s="79">
        <v>50405</v>
      </c>
      <c r="P104" s="23">
        <f t="shared" si="62"/>
        <v>392.5</v>
      </c>
      <c r="Q104" s="23">
        <f t="shared" si="62"/>
        <v>392.5</v>
      </c>
      <c r="R104" s="23">
        <f t="shared" si="62"/>
        <v>403.8</v>
      </c>
      <c r="S104" s="23">
        <f t="shared" si="62"/>
        <v>400</v>
      </c>
      <c r="T104" s="23">
        <f t="shared" si="62"/>
        <v>400</v>
      </c>
      <c r="U104" s="23">
        <f t="shared" si="62"/>
        <v>250</v>
      </c>
      <c r="V104" s="23">
        <f t="shared" si="62"/>
        <v>250</v>
      </c>
      <c r="W104" s="23">
        <f t="shared" si="62"/>
        <v>420</v>
      </c>
      <c r="X104" s="23">
        <f t="shared" si="62"/>
        <v>420</v>
      </c>
      <c r="Y104" s="23">
        <f t="shared" si="62"/>
        <v>47.8</v>
      </c>
      <c r="Z104" s="23">
        <f t="shared" si="62"/>
        <v>132</v>
      </c>
      <c r="AA104" s="23">
        <f t="shared" si="62"/>
        <v>367.5</v>
      </c>
      <c r="AB104" s="23">
        <f t="shared" si="62"/>
        <v>367.5</v>
      </c>
      <c r="AC104" s="23">
        <f t="shared" si="62"/>
        <v>367.5</v>
      </c>
      <c r="AD104" s="23">
        <f t="shared" si="62"/>
        <v>367.5</v>
      </c>
      <c r="AE104" s="23">
        <f t="shared" ref="Z104:AO117" si="75">IF(VLOOKUP(AE$13,$C$15:$J$73,3,FALSE) &lt;&gt; "Incineration", IF(DATEDIF(VLOOKUP(AE$13,$C$15:$J$73,7,FALSE),$O104,"y")&gt;=$P$85,0,VLOOKUP(AE$13,$C$15:$J$73,5,FALSE)), VLOOKUP(AE$13,$C$15:$J$73,5,FALSE))</f>
        <v>405.9</v>
      </c>
      <c r="AF104" s="23">
        <f t="shared" si="75"/>
        <v>60</v>
      </c>
      <c r="AG104" s="23">
        <f t="shared" si="75"/>
        <v>67.8</v>
      </c>
      <c r="AH104" s="23">
        <f t="shared" si="75"/>
        <v>55</v>
      </c>
      <c r="AI104" s="23">
        <f t="shared" si="75"/>
        <v>0</v>
      </c>
      <c r="AJ104" s="23">
        <f t="shared" si="63"/>
        <v>0</v>
      </c>
      <c r="AK104" s="23">
        <f t="shared" si="63"/>
        <v>365</v>
      </c>
      <c r="AL104" s="23">
        <f t="shared" si="63"/>
        <v>365</v>
      </c>
      <c r="AM104" s="23">
        <f t="shared" si="63"/>
        <v>365</v>
      </c>
      <c r="AN104" s="23">
        <f t="shared" si="63"/>
        <v>431</v>
      </c>
      <c r="AO104" s="23">
        <f t="shared" si="63"/>
        <v>431</v>
      </c>
      <c r="AP104" s="23">
        <f t="shared" si="63"/>
        <v>110</v>
      </c>
      <c r="AQ104" s="23">
        <f t="shared" si="63"/>
        <v>110</v>
      </c>
      <c r="AR104" s="23">
        <f t="shared" si="63"/>
        <v>47</v>
      </c>
      <c r="AS104" s="23">
        <f t="shared" si="63"/>
        <v>47</v>
      </c>
      <c r="AT104" s="23">
        <f t="shared" si="64"/>
        <v>250</v>
      </c>
      <c r="AU104" s="23">
        <f t="shared" si="64"/>
        <v>250</v>
      </c>
      <c r="AV104" s="23">
        <f t="shared" si="64"/>
        <v>250</v>
      </c>
      <c r="AW104" s="23">
        <f t="shared" si="64"/>
        <v>0</v>
      </c>
      <c r="AX104" s="23">
        <f t="shared" si="64"/>
        <v>0</v>
      </c>
      <c r="AY104" s="23">
        <f t="shared" si="64"/>
        <v>368</v>
      </c>
      <c r="AZ104" s="23">
        <f t="shared" si="64"/>
        <v>364</v>
      </c>
      <c r="BA104" s="23">
        <f t="shared" si="73"/>
        <v>370</v>
      </c>
      <c r="BB104" s="23">
        <f t="shared" si="73"/>
        <v>370</v>
      </c>
      <c r="BC104" s="23">
        <f t="shared" si="73"/>
        <v>22</v>
      </c>
      <c r="BD104" s="23">
        <f t="shared" si="73"/>
        <v>395.7</v>
      </c>
      <c r="BE104" s="23">
        <f t="shared" si="73"/>
        <v>101</v>
      </c>
      <c r="BF104" s="23">
        <f t="shared" si="73"/>
        <v>32.5</v>
      </c>
      <c r="BG104" s="23">
        <f t="shared" si="73"/>
        <v>37.5</v>
      </c>
      <c r="BH104" s="23">
        <f t="shared" si="73"/>
        <v>37.5</v>
      </c>
      <c r="BI104" s="23">
        <f t="shared" si="73"/>
        <v>1.95</v>
      </c>
      <c r="BJ104" s="23">
        <f t="shared" si="73"/>
        <v>68.19</v>
      </c>
      <c r="BK104" s="23">
        <f t="shared" si="73"/>
        <v>68.19</v>
      </c>
      <c r="BL104" s="23">
        <f t="shared" si="73"/>
        <v>40</v>
      </c>
      <c r="BM104" s="23">
        <f t="shared" si="73"/>
        <v>14</v>
      </c>
      <c r="BN104" s="23">
        <f t="shared" si="73"/>
        <v>439.33333333333331</v>
      </c>
      <c r="BO104" s="23">
        <f t="shared" si="73"/>
        <v>439.33333333333331</v>
      </c>
      <c r="BP104" s="23">
        <f t="shared" si="73"/>
        <v>439.33333333333331</v>
      </c>
      <c r="BQ104" s="23">
        <f t="shared" si="74"/>
        <v>100</v>
      </c>
      <c r="BR104" s="23">
        <f t="shared" si="74"/>
        <v>100</v>
      </c>
      <c r="BS104" s="23">
        <f t="shared" si="74"/>
        <v>100</v>
      </c>
      <c r="BT104" s="23">
        <f t="shared" si="74"/>
        <v>100</v>
      </c>
      <c r="BU104" s="23">
        <f t="shared" si="74"/>
        <v>100</v>
      </c>
      <c r="BV104" s="23">
        <f t="shared" si="74"/>
        <v>200</v>
      </c>
      <c r="BW104" s="23">
        <f t="shared" si="74"/>
        <v>200</v>
      </c>
      <c r="BX104" s="23">
        <f t="shared" si="74"/>
        <v>200</v>
      </c>
      <c r="BY104" s="23">
        <f t="shared" si="74"/>
        <v>200</v>
      </c>
      <c r="BZ104" s="23">
        <f t="shared" si="74"/>
        <v>200</v>
      </c>
      <c r="CA104" s="23">
        <f t="shared" si="74"/>
        <v>200</v>
      </c>
      <c r="CB104" s="23">
        <f t="shared" si="74"/>
        <v>200</v>
      </c>
      <c r="CC104" s="23">
        <f t="shared" si="74"/>
        <v>200</v>
      </c>
      <c r="CD104" s="23" t="e">
        <f t="shared" si="74"/>
        <v>#NUM!</v>
      </c>
      <c r="CE104" s="23" t="e">
        <f t="shared" si="74"/>
        <v>#NUM!</v>
      </c>
      <c r="CF104" s="23" t="e">
        <f t="shared" si="74"/>
        <v>#NUM!</v>
      </c>
      <c r="CG104" s="23" t="e">
        <f t="shared" ref="CG104:CO111" si="76">IF(VLOOKUP(CG$13,$C$15:$J$92,3,FALSE) &lt;&gt; "Incineration", IF(DATEDIF(VLOOKUP(CG$13,$C$15:$J$92,7,FALSE),$O104,"y")&gt;=$P$85,0,VLOOKUP(CG$13,$C$15:$J$92,5,FALSE)), VLOOKUP(CG$13,$C$15:$J$92,5,FALSE))</f>
        <v>#NUM!</v>
      </c>
      <c r="CH104" s="23" t="e">
        <f t="shared" si="76"/>
        <v>#NUM!</v>
      </c>
      <c r="CI104" s="23" t="e">
        <f t="shared" si="76"/>
        <v>#NUM!</v>
      </c>
      <c r="CJ104" s="23" t="e">
        <f t="shared" si="76"/>
        <v>#NUM!</v>
      </c>
      <c r="CK104" s="23" t="e">
        <f t="shared" si="76"/>
        <v>#NUM!</v>
      </c>
      <c r="CL104" s="23" t="e">
        <f t="shared" si="76"/>
        <v>#NUM!</v>
      </c>
      <c r="CM104" s="23" t="e">
        <f t="shared" si="76"/>
        <v>#NUM!</v>
      </c>
      <c r="CN104" s="23" t="e">
        <f t="shared" si="76"/>
        <v>#NUM!</v>
      </c>
      <c r="CO104" s="23" t="e">
        <f t="shared" si="76"/>
        <v>#NUM!</v>
      </c>
      <c r="CP104" s="23">
        <f t="shared" si="58"/>
        <v>10878.830000000002</v>
      </c>
      <c r="CQ104" s="67">
        <f t="shared" si="69"/>
        <v>0</v>
      </c>
      <c r="CR104" s="67">
        <v>0.85</v>
      </c>
      <c r="CS104" s="80">
        <f t="shared" si="65"/>
        <v>11217.971736352392</v>
      </c>
      <c r="CT104" s="81">
        <f t="shared" si="59"/>
        <v>9535.2759758995326</v>
      </c>
      <c r="CU104" s="23">
        <f t="shared" si="60"/>
        <v>14296.830000000004</v>
      </c>
      <c r="CV104" s="67">
        <f t="shared" si="70"/>
        <v>-1.4187586854633272E-2</v>
      </c>
      <c r="CW104" s="80">
        <f t="shared" si="71"/>
        <v>14742.526067549083</v>
      </c>
      <c r="CX104" s="81">
        <f t="shared" si="66"/>
        <v>12531.147157416721</v>
      </c>
      <c r="CY104" s="65">
        <f t="shared" si="61"/>
        <v>7953.2890942607619</v>
      </c>
      <c r="CZ104" s="65">
        <f>'Sensitivity - Population'!S29 + 'Sensitivity - GDP'!P30 +'Sensitivity - GDP'!P92</f>
        <v>72432.55957312294</v>
      </c>
      <c r="DA104" s="65">
        <f t="shared" si="67"/>
        <v>8268.5570288953113</v>
      </c>
      <c r="DB104" s="65">
        <f>'Sensitivity - Population'!E29+'Sensitivity - GDP'!D30+'Sensitivity - GDP'!D92</f>
        <v>66769.5015895916</v>
      </c>
      <c r="DC104" s="65">
        <f t="shared" si="68"/>
        <v>7622.0892225561183</v>
      </c>
      <c r="EQ104" s="92"/>
    </row>
    <row r="105" spans="14:147" x14ac:dyDescent="0.35">
      <c r="N105" s="90"/>
      <c r="O105" s="79">
        <v>50770</v>
      </c>
      <c r="P105" s="23">
        <f t="shared" ref="P105:Y117" si="77">IF(VLOOKUP(P$13,$C$15:$J$73,3,FALSE) &lt;&gt; "Incineration", IF(DATEDIF(VLOOKUP(P$13,$C$15:$J$73,7,FALSE),$O105,"y")&gt;=$P$85,0,VLOOKUP(P$13,$C$15:$J$73,5,FALSE)), VLOOKUP(P$13,$C$15:$J$73,5,FALSE))</f>
        <v>392.5</v>
      </c>
      <c r="Q105" s="23">
        <f t="shared" si="77"/>
        <v>392.5</v>
      </c>
      <c r="R105" s="23">
        <f t="shared" si="77"/>
        <v>403.8</v>
      </c>
      <c r="S105" s="23">
        <f t="shared" si="77"/>
        <v>400</v>
      </c>
      <c r="T105" s="23">
        <f t="shared" si="77"/>
        <v>400</v>
      </c>
      <c r="U105" s="23">
        <f t="shared" si="77"/>
        <v>250</v>
      </c>
      <c r="V105" s="23">
        <f t="shared" si="77"/>
        <v>250</v>
      </c>
      <c r="W105" s="23">
        <f t="shared" si="77"/>
        <v>420</v>
      </c>
      <c r="X105" s="23">
        <f t="shared" si="77"/>
        <v>420</v>
      </c>
      <c r="Y105" s="23">
        <f t="shared" si="77"/>
        <v>47.8</v>
      </c>
      <c r="Z105" s="23">
        <f t="shared" si="75"/>
        <v>132</v>
      </c>
      <c r="AA105" s="23">
        <f t="shared" si="75"/>
        <v>367.5</v>
      </c>
      <c r="AB105" s="23">
        <f t="shared" si="75"/>
        <v>367.5</v>
      </c>
      <c r="AC105" s="23">
        <f t="shared" si="75"/>
        <v>367.5</v>
      </c>
      <c r="AD105" s="23">
        <f t="shared" si="75"/>
        <v>367.5</v>
      </c>
      <c r="AE105" s="23">
        <f t="shared" si="75"/>
        <v>405.9</v>
      </c>
      <c r="AF105" s="23">
        <f t="shared" si="75"/>
        <v>60</v>
      </c>
      <c r="AG105" s="23">
        <f t="shared" si="75"/>
        <v>67.8</v>
      </c>
      <c r="AH105" s="23">
        <f t="shared" si="75"/>
        <v>55</v>
      </c>
      <c r="AI105" s="23">
        <f t="shared" si="75"/>
        <v>0</v>
      </c>
      <c r="AJ105" s="23">
        <f t="shared" si="75"/>
        <v>0</v>
      </c>
      <c r="AK105" s="23">
        <f t="shared" si="75"/>
        <v>365</v>
      </c>
      <c r="AL105" s="23">
        <f t="shared" si="75"/>
        <v>365</v>
      </c>
      <c r="AM105" s="23">
        <f t="shared" si="75"/>
        <v>365</v>
      </c>
      <c r="AN105" s="23">
        <f t="shared" si="75"/>
        <v>431</v>
      </c>
      <c r="AO105" s="23">
        <f t="shared" si="75"/>
        <v>431</v>
      </c>
      <c r="AP105" s="23">
        <f t="shared" ref="AP105:AZ117" si="78">IF(VLOOKUP(AP$13,$C$15:$J$73,3,FALSE) &lt;&gt; "Incineration", IF(DATEDIF(VLOOKUP(AP$13,$C$15:$J$73,7,FALSE),$O105,"y")&gt;=$P$85,0,VLOOKUP(AP$13,$C$15:$J$73,5,FALSE)), VLOOKUP(AP$13,$C$15:$J$73,5,FALSE))</f>
        <v>110</v>
      </c>
      <c r="AQ105" s="23">
        <f t="shared" si="78"/>
        <v>110</v>
      </c>
      <c r="AR105" s="23">
        <f t="shared" si="78"/>
        <v>47</v>
      </c>
      <c r="AS105" s="23">
        <f t="shared" si="78"/>
        <v>47</v>
      </c>
      <c r="AT105" s="23">
        <f t="shared" si="78"/>
        <v>250</v>
      </c>
      <c r="AU105" s="23">
        <f t="shared" si="78"/>
        <v>250</v>
      </c>
      <c r="AV105" s="23">
        <f t="shared" si="78"/>
        <v>250</v>
      </c>
      <c r="AW105" s="23">
        <f t="shared" si="78"/>
        <v>0</v>
      </c>
      <c r="AX105" s="23">
        <f t="shared" si="78"/>
        <v>0</v>
      </c>
      <c r="AY105" s="23">
        <f t="shared" si="78"/>
        <v>368</v>
      </c>
      <c r="AZ105" s="23">
        <f t="shared" si="78"/>
        <v>364</v>
      </c>
      <c r="BA105" s="23">
        <f t="shared" si="73"/>
        <v>370</v>
      </c>
      <c r="BB105" s="23">
        <f t="shared" si="73"/>
        <v>370</v>
      </c>
      <c r="BC105" s="23">
        <f t="shared" si="73"/>
        <v>22</v>
      </c>
      <c r="BD105" s="23">
        <f t="shared" si="73"/>
        <v>395.7</v>
      </c>
      <c r="BE105" s="23">
        <f t="shared" si="73"/>
        <v>101</v>
      </c>
      <c r="BF105" s="23">
        <f t="shared" si="73"/>
        <v>32.5</v>
      </c>
      <c r="BG105" s="23">
        <f t="shared" si="73"/>
        <v>37.5</v>
      </c>
      <c r="BH105" s="23">
        <f t="shared" si="73"/>
        <v>37.5</v>
      </c>
      <c r="BI105" s="23">
        <f t="shared" si="73"/>
        <v>1.95</v>
      </c>
      <c r="BJ105" s="23">
        <f t="shared" si="73"/>
        <v>68.19</v>
      </c>
      <c r="BK105" s="23">
        <f t="shared" si="73"/>
        <v>68.19</v>
      </c>
      <c r="BL105" s="23">
        <f t="shared" si="73"/>
        <v>40</v>
      </c>
      <c r="BM105" s="23">
        <f t="shared" si="73"/>
        <v>14</v>
      </c>
      <c r="BN105" s="23">
        <f t="shared" si="73"/>
        <v>439.33333333333331</v>
      </c>
      <c r="BO105" s="23">
        <f t="shared" si="73"/>
        <v>439.33333333333331</v>
      </c>
      <c r="BP105" s="23">
        <f t="shared" si="73"/>
        <v>439.33333333333331</v>
      </c>
      <c r="BQ105" s="23">
        <f t="shared" si="74"/>
        <v>100</v>
      </c>
      <c r="BR105" s="23">
        <f t="shared" si="74"/>
        <v>100</v>
      </c>
      <c r="BS105" s="23">
        <f t="shared" si="74"/>
        <v>100</v>
      </c>
      <c r="BT105" s="23">
        <f t="shared" si="74"/>
        <v>100</v>
      </c>
      <c r="BU105" s="23">
        <f t="shared" si="74"/>
        <v>100</v>
      </c>
      <c r="BV105" s="23">
        <f t="shared" si="74"/>
        <v>200</v>
      </c>
      <c r="BW105" s="23">
        <f t="shared" si="74"/>
        <v>200</v>
      </c>
      <c r="BX105" s="23">
        <f t="shared" si="74"/>
        <v>200</v>
      </c>
      <c r="BY105" s="23">
        <f t="shared" si="74"/>
        <v>200</v>
      </c>
      <c r="BZ105" s="23">
        <f t="shared" si="74"/>
        <v>200</v>
      </c>
      <c r="CA105" s="23">
        <f t="shared" si="74"/>
        <v>200</v>
      </c>
      <c r="CB105" s="23">
        <f t="shared" si="74"/>
        <v>200</v>
      </c>
      <c r="CC105" s="23">
        <f t="shared" si="74"/>
        <v>200</v>
      </c>
      <c r="CD105" s="23">
        <f t="shared" si="74"/>
        <v>200</v>
      </c>
      <c r="CE105" s="23" t="e">
        <f t="shared" si="74"/>
        <v>#NUM!</v>
      </c>
      <c r="CF105" s="23" t="e">
        <f t="shared" si="74"/>
        <v>#NUM!</v>
      </c>
      <c r="CG105" s="23" t="e">
        <f t="shared" si="76"/>
        <v>#NUM!</v>
      </c>
      <c r="CH105" s="23" t="e">
        <f t="shared" si="76"/>
        <v>#NUM!</v>
      </c>
      <c r="CI105" s="23" t="e">
        <f t="shared" si="76"/>
        <v>#NUM!</v>
      </c>
      <c r="CJ105" s="23" t="e">
        <f t="shared" si="76"/>
        <v>#NUM!</v>
      </c>
      <c r="CK105" s="23" t="e">
        <f t="shared" si="76"/>
        <v>#NUM!</v>
      </c>
      <c r="CL105" s="23" t="e">
        <f t="shared" si="76"/>
        <v>#NUM!</v>
      </c>
      <c r="CM105" s="23" t="e">
        <f t="shared" si="76"/>
        <v>#NUM!</v>
      </c>
      <c r="CN105" s="23" t="e">
        <f t="shared" si="76"/>
        <v>#NUM!</v>
      </c>
      <c r="CO105" s="23" t="e">
        <f t="shared" si="76"/>
        <v>#NUM!</v>
      </c>
      <c r="CP105" s="23">
        <f t="shared" si="58"/>
        <v>10878.830000000002</v>
      </c>
      <c r="CQ105" s="67">
        <f t="shared" si="69"/>
        <v>0</v>
      </c>
      <c r="CR105" s="67">
        <v>0.85</v>
      </c>
      <c r="CS105" s="80">
        <f t="shared" si="65"/>
        <v>11217.971736352392</v>
      </c>
      <c r="CT105" s="81">
        <f t="shared" si="59"/>
        <v>9535.2759758995326</v>
      </c>
      <c r="CU105" s="23">
        <f t="shared" si="60"/>
        <v>14496.830000000004</v>
      </c>
      <c r="CV105" s="67">
        <f t="shared" si="70"/>
        <v>-1.3989115069564368E-2</v>
      </c>
      <c r="CW105" s="80">
        <f t="shared" si="71"/>
        <v>14948.760961124079</v>
      </c>
      <c r="CX105" s="81">
        <f t="shared" si="66"/>
        <v>12706.446816955466</v>
      </c>
      <c r="CY105" s="65">
        <f t="shared" si="61"/>
        <v>8070.1968478080753</v>
      </c>
      <c r="CZ105" s="65">
        <f>'Sensitivity - Population'!S30 + 'Sensitivity - GDP'!P31 +'Sensitivity - GDP'!P93</f>
        <v>73544.984842286009</v>
      </c>
      <c r="DA105" s="65">
        <f t="shared" si="67"/>
        <v>8395.5462148728311</v>
      </c>
      <c r="DB105" s="65">
        <f>'Sensitivity - Population'!E30+'Sensitivity - GDP'!D31+'Sensitivity - GDP'!D93</f>
        <v>67762.221452880243</v>
      </c>
      <c r="DC105" s="65">
        <f t="shared" si="68"/>
        <v>7735.4134078630423</v>
      </c>
      <c r="EQ105" s="92"/>
    </row>
    <row r="106" spans="14:147" x14ac:dyDescent="0.35">
      <c r="N106" s="90"/>
      <c r="O106" s="79">
        <v>51135</v>
      </c>
      <c r="P106" s="23">
        <f t="shared" si="77"/>
        <v>392.5</v>
      </c>
      <c r="Q106" s="23">
        <f t="shared" si="77"/>
        <v>392.5</v>
      </c>
      <c r="R106" s="23">
        <f t="shared" si="77"/>
        <v>403.8</v>
      </c>
      <c r="S106" s="23">
        <f t="shared" si="77"/>
        <v>400</v>
      </c>
      <c r="T106" s="23">
        <f t="shared" si="77"/>
        <v>400</v>
      </c>
      <c r="U106" s="23">
        <f t="shared" si="77"/>
        <v>250</v>
      </c>
      <c r="V106" s="23">
        <f t="shared" si="77"/>
        <v>250</v>
      </c>
      <c r="W106" s="23">
        <f t="shared" si="77"/>
        <v>420</v>
      </c>
      <c r="X106" s="23">
        <f t="shared" si="77"/>
        <v>420</v>
      </c>
      <c r="Y106" s="23">
        <f t="shared" si="77"/>
        <v>47.8</v>
      </c>
      <c r="Z106" s="23">
        <f t="shared" si="75"/>
        <v>132</v>
      </c>
      <c r="AA106" s="23">
        <f t="shared" si="75"/>
        <v>367.5</v>
      </c>
      <c r="AB106" s="23">
        <f t="shared" si="75"/>
        <v>367.5</v>
      </c>
      <c r="AC106" s="23">
        <f t="shared" si="75"/>
        <v>367.5</v>
      </c>
      <c r="AD106" s="23">
        <f t="shared" si="75"/>
        <v>367.5</v>
      </c>
      <c r="AE106" s="23">
        <f t="shared" si="75"/>
        <v>405.9</v>
      </c>
      <c r="AF106" s="23">
        <f t="shared" si="75"/>
        <v>60</v>
      </c>
      <c r="AG106" s="23">
        <f t="shared" si="75"/>
        <v>67.8</v>
      </c>
      <c r="AH106" s="23">
        <f t="shared" si="75"/>
        <v>55</v>
      </c>
      <c r="AI106" s="23">
        <f t="shared" si="75"/>
        <v>0</v>
      </c>
      <c r="AJ106" s="23">
        <f t="shared" si="75"/>
        <v>0</v>
      </c>
      <c r="AK106" s="23">
        <f t="shared" si="75"/>
        <v>365</v>
      </c>
      <c r="AL106" s="23">
        <f t="shared" si="75"/>
        <v>365</v>
      </c>
      <c r="AM106" s="23">
        <f t="shared" si="75"/>
        <v>365</v>
      </c>
      <c r="AN106" s="23">
        <f t="shared" si="75"/>
        <v>431</v>
      </c>
      <c r="AO106" s="23">
        <f t="shared" si="75"/>
        <v>431</v>
      </c>
      <c r="AP106" s="23">
        <f t="shared" si="78"/>
        <v>110</v>
      </c>
      <c r="AQ106" s="23">
        <f t="shared" si="78"/>
        <v>110</v>
      </c>
      <c r="AR106" s="23">
        <f t="shared" si="78"/>
        <v>47</v>
      </c>
      <c r="AS106" s="23">
        <f t="shared" si="78"/>
        <v>47</v>
      </c>
      <c r="AT106" s="23">
        <f t="shared" si="78"/>
        <v>250</v>
      </c>
      <c r="AU106" s="23">
        <f t="shared" si="78"/>
        <v>250</v>
      </c>
      <c r="AV106" s="23">
        <f t="shared" si="78"/>
        <v>250</v>
      </c>
      <c r="AW106" s="23">
        <f t="shared" si="78"/>
        <v>0</v>
      </c>
      <c r="AX106" s="23">
        <f t="shared" si="78"/>
        <v>0</v>
      </c>
      <c r="AY106" s="23">
        <f t="shared" si="78"/>
        <v>368</v>
      </c>
      <c r="AZ106" s="23">
        <f t="shared" si="78"/>
        <v>364</v>
      </c>
      <c r="BA106" s="23">
        <f t="shared" si="73"/>
        <v>370</v>
      </c>
      <c r="BB106" s="23">
        <f t="shared" si="73"/>
        <v>370</v>
      </c>
      <c r="BC106" s="23">
        <f t="shared" si="73"/>
        <v>22</v>
      </c>
      <c r="BD106" s="23">
        <f t="shared" si="73"/>
        <v>395.7</v>
      </c>
      <c r="BE106" s="23">
        <f t="shared" si="73"/>
        <v>101</v>
      </c>
      <c r="BF106" s="23">
        <f t="shared" si="73"/>
        <v>32.5</v>
      </c>
      <c r="BG106" s="23">
        <f t="shared" si="73"/>
        <v>37.5</v>
      </c>
      <c r="BH106" s="23">
        <f t="shared" si="73"/>
        <v>37.5</v>
      </c>
      <c r="BI106" s="23">
        <f t="shared" si="73"/>
        <v>1.95</v>
      </c>
      <c r="BJ106" s="23">
        <f t="shared" si="73"/>
        <v>68.19</v>
      </c>
      <c r="BK106" s="23">
        <f t="shared" si="73"/>
        <v>68.19</v>
      </c>
      <c r="BL106" s="23">
        <f t="shared" si="73"/>
        <v>40</v>
      </c>
      <c r="BM106" s="23">
        <f t="shared" si="73"/>
        <v>14</v>
      </c>
      <c r="BN106" s="23">
        <f t="shared" si="73"/>
        <v>439.33333333333331</v>
      </c>
      <c r="BO106" s="23">
        <f t="shared" si="73"/>
        <v>439.33333333333331</v>
      </c>
      <c r="BP106" s="23">
        <f t="shared" si="73"/>
        <v>439.33333333333331</v>
      </c>
      <c r="BQ106" s="23">
        <f t="shared" si="74"/>
        <v>100</v>
      </c>
      <c r="BR106" s="23">
        <f t="shared" si="74"/>
        <v>100</v>
      </c>
      <c r="BS106" s="23">
        <f t="shared" si="74"/>
        <v>100</v>
      </c>
      <c r="BT106" s="23">
        <f t="shared" si="74"/>
        <v>100</v>
      </c>
      <c r="BU106" s="23">
        <f t="shared" si="74"/>
        <v>100</v>
      </c>
      <c r="BV106" s="23">
        <f t="shared" si="74"/>
        <v>200</v>
      </c>
      <c r="BW106" s="23">
        <f t="shared" si="74"/>
        <v>200</v>
      </c>
      <c r="BX106" s="23">
        <f t="shared" si="74"/>
        <v>200</v>
      </c>
      <c r="BY106" s="23">
        <f t="shared" si="74"/>
        <v>200</v>
      </c>
      <c r="BZ106" s="23">
        <f t="shared" si="74"/>
        <v>200</v>
      </c>
      <c r="CA106" s="23">
        <f t="shared" si="74"/>
        <v>200</v>
      </c>
      <c r="CB106" s="23">
        <f t="shared" si="74"/>
        <v>200</v>
      </c>
      <c r="CC106" s="23">
        <f t="shared" si="74"/>
        <v>200</v>
      </c>
      <c r="CD106" s="23">
        <f t="shared" si="74"/>
        <v>200</v>
      </c>
      <c r="CE106" s="23">
        <f t="shared" si="74"/>
        <v>200</v>
      </c>
      <c r="CF106" s="23" t="e">
        <f t="shared" si="74"/>
        <v>#NUM!</v>
      </c>
      <c r="CG106" s="23" t="e">
        <f t="shared" si="76"/>
        <v>#NUM!</v>
      </c>
      <c r="CH106" s="23" t="e">
        <f t="shared" si="76"/>
        <v>#NUM!</v>
      </c>
      <c r="CI106" s="23" t="e">
        <f t="shared" si="76"/>
        <v>#NUM!</v>
      </c>
      <c r="CJ106" s="23" t="e">
        <f t="shared" si="76"/>
        <v>#NUM!</v>
      </c>
      <c r="CK106" s="23" t="e">
        <f t="shared" si="76"/>
        <v>#NUM!</v>
      </c>
      <c r="CL106" s="23" t="e">
        <f t="shared" si="76"/>
        <v>#NUM!</v>
      </c>
      <c r="CM106" s="23" t="e">
        <f t="shared" si="76"/>
        <v>#NUM!</v>
      </c>
      <c r="CN106" s="23" t="e">
        <f t="shared" si="76"/>
        <v>#NUM!</v>
      </c>
      <c r="CO106" s="23" t="e">
        <f t="shared" si="76"/>
        <v>#NUM!</v>
      </c>
      <c r="CP106" s="23">
        <f t="shared" si="58"/>
        <v>10878.830000000002</v>
      </c>
      <c r="CQ106" s="67">
        <f t="shared" si="69"/>
        <v>0</v>
      </c>
      <c r="CR106" s="67">
        <v>0.85</v>
      </c>
      <c r="CS106" s="80">
        <f t="shared" si="65"/>
        <v>11217.971736352392</v>
      </c>
      <c r="CT106" s="81">
        <f t="shared" si="59"/>
        <v>9535.2759758995326</v>
      </c>
      <c r="CU106" s="23">
        <f t="shared" si="60"/>
        <v>14696.830000000004</v>
      </c>
      <c r="CV106" s="67">
        <f t="shared" si="70"/>
        <v>-1.3796119565449823E-2</v>
      </c>
      <c r="CW106" s="80">
        <f t="shared" si="71"/>
        <v>15154.995854699077</v>
      </c>
      <c r="CX106" s="81">
        <f t="shared" si="66"/>
        <v>12881.746476494214</v>
      </c>
      <c r="CY106" s="65">
        <f t="shared" si="61"/>
        <v>8186.9853228678649</v>
      </c>
      <c r="CZ106" s="65">
        <f>'Sensitivity - Population'!S31 + 'Sensitivity - GDP'!P32 +'Sensitivity - GDP'!P94</f>
        <v>74656.373948543056</v>
      </c>
      <c r="DA106" s="65">
        <f t="shared" si="67"/>
        <v>8522.4171174135918</v>
      </c>
      <c r="DB106" s="65">
        <f>'Sensitivity - Population'!E31+'Sensitivity - GDP'!D32+'Sensitivity - GDP'!D94</f>
        <v>68753.919530151587</v>
      </c>
      <c r="DC106" s="65">
        <f t="shared" si="68"/>
        <v>7848.6209509305472</v>
      </c>
      <c r="EQ106" s="92"/>
    </row>
    <row r="107" spans="14:147" x14ac:dyDescent="0.35">
      <c r="N107" s="90"/>
      <c r="O107" s="79">
        <v>51501</v>
      </c>
      <c r="P107" s="23">
        <f t="shared" si="77"/>
        <v>392.5</v>
      </c>
      <c r="Q107" s="23">
        <f t="shared" si="77"/>
        <v>392.5</v>
      </c>
      <c r="R107" s="23">
        <f t="shared" si="77"/>
        <v>403.8</v>
      </c>
      <c r="S107" s="23">
        <f t="shared" si="77"/>
        <v>400</v>
      </c>
      <c r="T107" s="23">
        <f t="shared" si="77"/>
        <v>400</v>
      </c>
      <c r="U107" s="23">
        <f t="shared" si="77"/>
        <v>250</v>
      </c>
      <c r="V107" s="23">
        <f t="shared" si="77"/>
        <v>250</v>
      </c>
      <c r="W107" s="23">
        <f t="shared" si="77"/>
        <v>420</v>
      </c>
      <c r="X107" s="23">
        <f t="shared" si="77"/>
        <v>420</v>
      </c>
      <c r="Y107" s="23">
        <f t="shared" si="77"/>
        <v>47.8</v>
      </c>
      <c r="Z107" s="23">
        <f t="shared" si="75"/>
        <v>132</v>
      </c>
      <c r="AA107" s="23">
        <f t="shared" si="75"/>
        <v>367.5</v>
      </c>
      <c r="AB107" s="23">
        <f t="shared" si="75"/>
        <v>367.5</v>
      </c>
      <c r="AC107" s="23">
        <f t="shared" si="75"/>
        <v>367.5</v>
      </c>
      <c r="AD107" s="23">
        <f t="shared" si="75"/>
        <v>367.5</v>
      </c>
      <c r="AE107" s="23">
        <f t="shared" si="75"/>
        <v>405.9</v>
      </c>
      <c r="AF107" s="23">
        <f t="shared" si="75"/>
        <v>60</v>
      </c>
      <c r="AG107" s="23">
        <f t="shared" si="75"/>
        <v>67.8</v>
      </c>
      <c r="AH107" s="23">
        <f t="shared" si="75"/>
        <v>55</v>
      </c>
      <c r="AI107" s="23">
        <f t="shared" si="75"/>
        <v>0</v>
      </c>
      <c r="AJ107" s="23">
        <f t="shared" si="75"/>
        <v>0</v>
      </c>
      <c r="AK107" s="23">
        <f t="shared" si="75"/>
        <v>365</v>
      </c>
      <c r="AL107" s="23">
        <f t="shared" si="75"/>
        <v>365</v>
      </c>
      <c r="AM107" s="23">
        <f t="shared" si="75"/>
        <v>365</v>
      </c>
      <c r="AN107" s="23">
        <f t="shared" si="75"/>
        <v>431</v>
      </c>
      <c r="AO107" s="23">
        <f t="shared" si="75"/>
        <v>431</v>
      </c>
      <c r="AP107" s="23">
        <f t="shared" si="78"/>
        <v>110</v>
      </c>
      <c r="AQ107" s="23">
        <f t="shared" si="78"/>
        <v>110</v>
      </c>
      <c r="AR107" s="23">
        <f t="shared" si="78"/>
        <v>47</v>
      </c>
      <c r="AS107" s="23">
        <f t="shared" si="78"/>
        <v>47</v>
      </c>
      <c r="AT107" s="23">
        <f t="shared" si="78"/>
        <v>250</v>
      </c>
      <c r="AU107" s="23">
        <f t="shared" si="78"/>
        <v>250</v>
      </c>
      <c r="AV107" s="23">
        <f t="shared" si="78"/>
        <v>250</v>
      </c>
      <c r="AW107" s="23">
        <f t="shared" si="78"/>
        <v>0</v>
      </c>
      <c r="AX107" s="23">
        <f t="shared" si="78"/>
        <v>0</v>
      </c>
      <c r="AY107" s="23">
        <f t="shared" si="78"/>
        <v>368</v>
      </c>
      <c r="AZ107" s="23">
        <f t="shared" si="78"/>
        <v>364</v>
      </c>
      <c r="BA107" s="23">
        <f t="shared" si="73"/>
        <v>370</v>
      </c>
      <c r="BB107" s="23">
        <f t="shared" si="73"/>
        <v>370</v>
      </c>
      <c r="BC107" s="23">
        <f t="shared" si="73"/>
        <v>22</v>
      </c>
      <c r="BD107" s="23">
        <f t="shared" si="73"/>
        <v>395.7</v>
      </c>
      <c r="BE107" s="23">
        <f t="shared" si="73"/>
        <v>101</v>
      </c>
      <c r="BF107" s="23">
        <f t="shared" si="73"/>
        <v>32.5</v>
      </c>
      <c r="BG107" s="23">
        <f t="shared" si="73"/>
        <v>37.5</v>
      </c>
      <c r="BH107" s="23">
        <f t="shared" si="73"/>
        <v>37.5</v>
      </c>
      <c r="BI107" s="23">
        <f t="shared" si="73"/>
        <v>1.95</v>
      </c>
      <c r="BJ107" s="23">
        <f t="shared" si="73"/>
        <v>68.19</v>
      </c>
      <c r="BK107" s="23">
        <f t="shared" si="73"/>
        <v>68.19</v>
      </c>
      <c r="BL107" s="23">
        <f t="shared" si="73"/>
        <v>40</v>
      </c>
      <c r="BM107" s="23">
        <f t="shared" si="73"/>
        <v>14</v>
      </c>
      <c r="BN107" s="23">
        <f t="shared" si="73"/>
        <v>439.33333333333331</v>
      </c>
      <c r="BO107" s="23">
        <f t="shared" si="73"/>
        <v>439.33333333333331</v>
      </c>
      <c r="BP107" s="23">
        <f t="shared" si="73"/>
        <v>439.33333333333331</v>
      </c>
      <c r="BQ107" s="23">
        <f t="shared" si="74"/>
        <v>100</v>
      </c>
      <c r="BR107" s="23">
        <f t="shared" si="74"/>
        <v>100</v>
      </c>
      <c r="BS107" s="23">
        <f t="shared" si="74"/>
        <v>100</v>
      </c>
      <c r="BT107" s="23">
        <f t="shared" si="74"/>
        <v>100</v>
      </c>
      <c r="BU107" s="23">
        <f t="shared" si="74"/>
        <v>100</v>
      </c>
      <c r="BV107" s="23">
        <f t="shared" si="74"/>
        <v>200</v>
      </c>
      <c r="BW107" s="23">
        <f t="shared" si="74"/>
        <v>200</v>
      </c>
      <c r="BX107" s="23">
        <f t="shared" si="74"/>
        <v>200</v>
      </c>
      <c r="BY107" s="23">
        <f t="shared" si="74"/>
        <v>200</v>
      </c>
      <c r="BZ107" s="23">
        <f t="shared" si="74"/>
        <v>200</v>
      </c>
      <c r="CA107" s="23">
        <f t="shared" si="74"/>
        <v>200</v>
      </c>
      <c r="CB107" s="23">
        <f t="shared" si="74"/>
        <v>200</v>
      </c>
      <c r="CC107" s="23">
        <f t="shared" si="74"/>
        <v>200</v>
      </c>
      <c r="CD107" s="23">
        <f t="shared" si="74"/>
        <v>200</v>
      </c>
      <c r="CE107" s="23">
        <f t="shared" si="74"/>
        <v>200</v>
      </c>
      <c r="CF107" s="23">
        <f t="shared" si="74"/>
        <v>200</v>
      </c>
      <c r="CG107" s="23" t="e">
        <f t="shared" si="76"/>
        <v>#NUM!</v>
      </c>
      <c r="CH107" s="23" t="e">
        <f t="shared" si="76"/>
        <v>#NUM!</v>
      </c>
      <c r="CI107" s="23" t="e">
        <f t="shared" si="76"/>
        <v>#NUM!</v>
      </c>
      <c r="CJ107" s="23" t="e">
        <f t="shared" si="76"/>
        <v>#NUM!</v>
      </c>
      <c r="CK107" s="23" t="e">
        <f t="shared" si="76"/>
        <v>#NUM!</v>
      </c>
      <c r="CL107" s="23" t="e">
        <f t="shared" si="76"/>
        <v>#NUM!</v>
      </c>
      <c r="CM107" s="23" t="e">
        <f t="shared" si="76"/>
        <v>#NUM!</v>
      </c>
      <c r="CN107" s="23" t="e">
        <f t="shared" si="76"/>
        <v>#NUM!</v>
      </c>
      <c r="CO107" s="23" t="e">
        <f t="shared" si="76"/>
        <v>#NUM!</v>
      </c>
      <c r="CP107" s="23">
        <f t="shared" si="58"/>
        <v>10878.830000000002</v>
      </c>
      <c r="CQ107" s="67">
        <f t="shared" si="69"/>
        <v>0</v>
      </c>
      <c r="CR107" s="67">
        <v>0.85</v>
      </c>
      <c r="CS107" s="80">
        <f t="shared" si="65"/>
        <v>11217.971736352392</v>
      </c>
      <c r="CT107" s="81">
        <f t="shared" si="59"/>
        <v>9535.2759758995326</v>
      </c>
      <c r="CU107" s="23">
        <f t="shared" si="60"/>
        <v>14896.830000000004</v>
      </c>
      <c r="CV107" s="67">
        <f t="shared" si="70"/>
        <v>-1.360837677240602E-2</v>
      </c>
      <c r="CW107" s="80">
        <f t="shared" si="71"/>
        <v>15361.230748274073</v>
      </c>
      <c r="CX107" s="81">
        <f t="shared" si="66"/>
        <v>13057.046136032961</v>
      </c>
      <c r="CY107" s="65">
        <f t="shared" si="61"/>
        <v>8303.6525258398833</v>
      </c>
      <c r="CZ107" s="65">
        <f>'Sensitivity - Population'!S32 + 'Sensitivity - GDP'!P33 +'Sensitivity - GDP'!P95</f>
        <v>75766.708771333448</v>
      </c>
      <c r="DA107" s="65">
        <f t="shared" si="67"/>
        <v>8649.1676679604388</v>
      </c>
      <c r="DB107" s="65">
        <f>'Sensitivity - Population'!E32+'Sensitivity - GDP'!D33+'Sensitivity - GDP'!D95</f>
        <v>69744.57795226993</v>
      </c>
      <c r="DC107" s="65">
        <f t="shared" si="68"/>
        <v>7961.7098119029597</v>
      </c>
      <c r="EQ107" s="92"/>
    </row>
    <row r="108" spans="14:147" x14ac:dyDescent="0.35">
      <c r="N108" s="90"/>
      <c r="O108" s="79">
        <v>51866</v>
      </c>
      <c r="P108" s="23">
        <f t="shared" si="77"/>
        <v>0</v>
      </c>
      <c r="Q108" s="23">
        <f t="shared" si="77"/>
        <v>0</v>
      </c>
      <c r="R108" s="23">
        <f t="shared" si="77"/>
        <v>403.8</v>
      </c>
      <c r="S108" s="23">
        <f t="shared" si="77"/>
        <v>400</v>
      </c>
      <c r="T108" s="23">
        <f t="shared" si="77"/>
        <v>400</v>
      </c>
      <c r="U108" s="23">
        <f t="shared" si="77"/>
        <v>250</v>
      </c>
      <c r="V108" s="23">
        <f t="shared" si="77"/>
        <v>250</v>
      </c>
      <c r="W108" s="23">
        <f t="shared" si="77"/>
        <v>420</v>
      </c>
      <c r="X108" s="23">
        <f t="shared" si="77"/>
        <v>420</v>
      </c>
      <c r="Y108" s="23">
        <f t="shared" si="77"/>
        <v>47.8</v>
      </c>
      <c r="Z108" s="23">
        <f t="shared" si="75"/>
        <v>132</v>
      </c>
      <c r="AA108" s="23">
        <f t="shared" si="75"/>
        <v>0</v>
      </c>
      <c r="AB108" s="23">
        <f t="shared" si="75"/>
        <v>367.5</v>
      </c>
      <c r="AC108" s="23">
        <f t="shared" si="75"/>
        <v>367.5</v>
      </c>
      <c r="AD108" s="23">
        <f t="shared" si="75"/>
        <v>367.5</v>
      </c>
      <c r="AE108" s="23">
        <f t="shared" si="75"/>
        <v>405.9</v>
      </c>
      <c r="AF108" s="23">
        <f t="shared" si="75"/>
        <v>60</v>
      </c>
      <c r="AG108" s="23">
        <f t="shared" si="75"/>
        <v>67.8</v>
      </c>
      <c r="AH108" s="23">
        <f t="shared" si="75"/>
        <v>55</v>
      </c>
      <c r="AI108" s="23">
        <f t="shared" si="75"/>
        <v>0</v>
      </c>
      <c r="AJ108" s="23">
        <f t="shared" si="75"/>
        <v>0</v>
      </c>
      <c r="AK108" s="23">
        <f t="shared" si="75"/>
        <v>365</v>
      </c>
      <c r="AL108" s="23">
        <f t="shared" si="75"/>
        <v>365</v>
      </c>
      <c r="AM108" s="23">
        <f t="shared" si="75"/>
        <v>365</v>
      </c>
      <c r="AN108" s="23">
        <f t="shared" si="75"/>
        <v>431</v>
      </c>
      <c r="AO108" s="23">
        <f t="shared" si="75"/>
        <v>431</v>
      </c>
      <c r="AP108" s="23">
        <f t="shared" si="78"/>
        <v>110</v>
      </c>
      <c r="AQ108" s="23">
        <f t="shared" si="78"/>
        <v>110</v>
      </c>
      <c r="AR108" s="23">
        <f t="shared" si="78"/>
        <v>47</v>
      </c>
      <c r="AS108" s="23">
        <f t="shared" si="78"/>
        <v>47</v>
      </c>
      <c r="AT108" s="23">
        <f t="shared" si="78"/>
        <v>250</v>
      </c>
      <c r="AU108" s="23">
        <f t="shared" si="78"/>
        <v>250</v>
      </c>
      <c r="AV108" s="23">
        <f t="shared" si="78"/>
        <v>250</v>
      </c>
      <c r="AW108" s="23">
        <f t="shared" si="78"/>
        <v>0</v>
      </c>
      <c r="AX108" s="23">
        <f t="shared" si="78"/>
        <v>0</v>
      </c>
      <c r="AY108" s="23">
        <f t="shared" si="78"/>
        <v>368</v>
      </c>
      <c r="AZ108" s="23">
        <f t="shared" si="78"/>
        <v>364</v>
      </c>
      <c r="BA108" s="23">
        <f t="shared" si="73"/>
        <v>370</v>
      </c>
      <c r="BB108" s="23">
        <f t="shared" si="73"/>
        <v>370</v>
      </c>
      <c r="BC108" s="23">
        <f t="shared" si="73"/>
        <v>22</v>
      </c>
      <c r="BD108" s="23">
        <f t="shared" si="73"/>
        <v>395.7</v>
      </c>
      <c r="BE108" s="23">
        <f t="shared" si="73"/>
        <v>101</v>
      </c>
      <c r="BF108" s="23">
        <f t="shared" si="73"/>
        <v>32.5</v>
      </c>
      <c r="BG108" s="23">
        <f t="shared" si="73"/>
        <v>37.5</v>
      </c>
      <c r="BH108" s="23">
        <f t="shared" si="73"/>
        <v>37.5</v>
      </c>
      <c r="BI108" s="23">
        <f t="shared" si="73"/>
        <v>1.95</v>
      </c>
      <c r="BJ108" s="23">
        <f t="shared" si="73"/>
        <v>68.19</v>
      </c>
      <c r="BK108" s="23">
        <f t="shared" si="73"/>
        <v>68.19</v>
      </c>
      <c r="BL108" s="23">
        <f t="shared" si="73"/>
        <v>40</v>
      </c>
      <c r="BM108" s="23">
        <f t="shared" si="73"/>
        <v>14</v>
      </c>
      <c r="BN108" s="23">
        <f t="shared" si="73"/>
        <v>439.33333333333331</v>
      </c>
      <c r="BO108" s="23">
        <f t="shared" si="73"/>
        <v>439.33333333333331</v>
      </c>
      <c r="BP108" s="23">
        <f t="shared" si="73"/>
        <v>439.33333333333331</v>
      </c>
      <c r="BQ108" s="23">
        <f t="shared" si="74"/>
        <v>100</v>
      </c>
      <c r="BR108" s="23">
        <f t="shared" si="74"/>
        <v>100</v>
      </c>
      <c r="BS108" s="23">
        <f t="shared" si="74"/>
        <v>100</v>
      </c>
      <c r="BT108" s="23">
        <f t="shared" si="74"/>
        <v>100</v>
      </c>
      <c r="BU108" s="23">
        <f t="shared" si="74"/>
        <v>100</v>
      </c>
      <c r="BV108" s="23">
        <f t="shared" si="74"/>
        <v>200</v>
      </c>
      <c r="BW108" s="23">
        <f t="shared" si="74"/>
        <v>200</v>
      </c>
      <c r="BX108" s="23">
        <f t="shared" si="74"/>
        <v>200</v>
      </c>
      <c r="BY108" s="23">
        <f t="shared" si="74"/>
        <v>200</v>
      </c>
      <c r="BZ108" s="23">
        <f t="shared" si="74"/>
        <v>200</v>
      </c>
      <c r="CA108" s="23">
        <f t="shared" si="74"/>
        <v>200</v>
      </c>
      <c r="CB108" s="23">
        <f t="shared" si="74"/>
        <v>200</v>
      </c>
      <c r="CC108" s="23">
        <f t="shared" si="74"/>
        <v>200</v>
      </c>
      <c r="CD108" s="23">
        <f t="shared" si="74"/>
        <v>200</v>
      </c>
      <c r="CE108" s="23">
        <f t="shared" si="74"/>
        <v>200</v>
      </c>
      <c r="CF108" s="23">
        <f t="shared" si="74"/>
        <v>200</v>
      </c>
      <c r="CG108" s="23">
        <f t="shared" si="76"/>
        <v>200</v>
      </c>
      <c r="CH108" s="23" t="e">
        <f t="shared" si="76"/>
        <v>#NUM!</v>
      </c>
      <c r="CI108" s="23" t="e">
        <f t="shared" si="76"/>
        <v>#NUM!</v>
      </c>
      <c r="CJ108" s="23" t="e">
        <f t="shared" si="76"/>
        <v>#NUM!</v>
      </c>
      <c r="CK108" s="23" t="e">
        <f t="shared" si="76"/>
        <v>#NUM!</v>
      </c>
      <c r="CL108" s="23" t="e">
        <f t="shared" si="76"/>
        <v>#NUM!</v>
      </c>
      <c r="CM108" s="23" t="e">
        <f t="shared" si="76"/>
        <v>#NUM!</v>
      </c>
      <c r="CN108" s="23" t="e">
        <f t="shared" si="76"/>
        <v>#NUM!</v>
      </c>
      <c r="CO108" s="23" t="e">
        <f t="shared" si="76"/>
        <v>#NUM!</v>
      </c>
      <c r="CP108" s="23">
        <f t="shared" si="58"/>
        <v>9726.3300000000017</v>
      </c>
      <c r="CQ108" s="67">
        <f t="shared" si="69"/>
        <v>0.10593970123625425</v>
      </c>
      <c r="CR108" s="67">
        <v>0.85</v>
      </c>
      <c r="CS108" s="80">
        <f t="shared" si="65"/>
        <v>10029.543162126474</v>
      </c>
      <c r="CT108" s="81">
        <f t="shared" si="59"/>
        <v>8525.1116878075027</v>
      </c>
      <c r="CU108" s="23">
        <f t="shared" si="60"/>
        <v>13944.330000000004</v>
      </c>
      <c r="CV108" s="67">
        <f t="shared" si="70"/>
        <v>6.3939777791650956E-2</v>
      </c>
      <c r="CW108" s="80">
        <f t="shared" si="71"/>
        <v>14379.037067623152</v>
      </c>
      <c r="CX108" s="81">
        <f t="shared" si="66"/>
        <v>12222.18150747968</v>
      </c>
      <c r="CY108" s="65">
        <f t="shared" si="61"/>
        <v>8420.1965214353331</v>
      </c>
      <c r="CZ108" s="65">
        <f>'Sensitivity - Population'!S33 + 'Sensitivity - GDP'!P34 +'Sensitivity - GDP'!P96</f>
        <v>76875.971689543556</v>
      </c>
      <c r="DA108" s="65">
        <f t="shared" si="67"/>
        <v>8775.7958549707255</v>
      </c>
      <c r="DB108" s="65">
        <f>'Sensitivity - Population'!E33+'Sensitivity - GDP'!D34+'Sensitivity - GDP'!D96</f>
        <v>70734.179342616902</v>
      </c>
      <c r="DC108" s="65">
        <f t="shared" si="68"/>
        <v>8074.678007148048</v>
      </c>
      <c r="EQ108" s="92"/>
    </row>
    <row r="109" spans="14:147" x14ac:dyDescent="0.35">
      <c r="N109" s="90"/>
      <c r="O109" s="79">
        <v>52231</v>
      </c>
      <c r="P109" s="23">
        <f t="shared" si="77"/>
        <v>0</v>
      </c>
      <c r="Q109" s="23">
        <f t="shared" si="77"/>
        <v>0</v>
      </c>
      <c r="R109" s="23">
        <f t="shared" si="77"/>
        <v>403.8</v>
      </c>
      <c r="S109" s="23">
        <f t="shared" si="77"/>
        <v>400</v>
      </c>
      <c r="T109" s="23">
        <f t="shared" si="77"/>
        <v>400</v>
      </c>
      <c r="U109" s="23">
        <f t="shared" si="77"/>
        <v>250</v>
      </c>
      <c r="V109" s="23">
        <f t="shared" si="77"/>
        <v>250</v>
      </c>
      <c r="W109" s="23">
        <f t="shared" si="77"/>
        <v>420</v>
      </c>
      <c r="X109" s="23">
        <f t="shared" si="77"/>
        <v>420</v>
      </c>
      <c r="Y109" s="23">
        <f t="shared" si="77"/>
        <v>47.8</v>
      </c>
      <c r="Z109" s="23">
        <f t="shared" si="75"/>
        <v>132</v>
      </c>
      <c r="AA109" s="23">
        <f t="shared" si="75"/>
        <v>0</v>
      </c>
      <c r="AB109" s="23">
        <f t="shared" si="75"/>
        <v>0</v>
      </c>
      <c r="AC109" s="23">
        <f t="shared" si="75"/>
        <v>367.5</v>
      </c>
      <c r="AD109" s="23">
        <f t="shared" si="75"/>
        <v>367.5</v>
      </c>
      <c r="AE109" s="23">
        <f t="shared" si="75"/>
        <v>405.9</v>
      </c>
      <c r="AF109" s="23">
        <f t="shared" si="75"/>
        <v>60</v>
      </c>
      <c r="AG109" s="23">
        <f t="shared" si="75"/>
        <v>67.8</v>
      </c>
      <c r="AH109" s="23">
        <f t="shared" si="75"/>
        <v>55</v>
      </c>
      <c r="AI109" s="23">
        <f t="shared" si="75"/>
        <v>0</v>
      </c>
      <c r="AJ109" s="23">
        <f t="shared" si="75"/>
        <v>0</v>
      </c>
      <c r="AK109" s="23">
        <f t="shared" si="75"/>
        <v>0</v>
      </c>
      <c r="AL109" s="23">
        <f t="shared" si="75"/>
        <v>365</v>
      </c>
      <c r="AM109" s="23">
        <f t="shared" si="75"/>
        <v>365</v>
      </c>
      <c r="AN109" s="23">
        <f t="shared" si="75"/>
        <v>431</v>
      </c>
      <c r="AO109" s="23">
        <f t="shared" si="75"/>
        <v>431</v>
      </c>
      <c r="AP109" s="23">
        <f t="shared" si="78"/>
        <v>110</v>
      </c>
      <c r="AQ109" s="23">
        <f t="shared" si="78"/>
        <v>110</v>
      </c>
      <c r="AR109" s="23">
        <f t="shared" si="78"/>
        <v>47</v>
      </c>
      <c r="AS109" s="23">
        <f t="shared" si="78"/>
        <v>47</v>
      </c>
      <c r="AT109" s="23">
        <f t="shared" si="78"/>
        <v>250</v>
      </c>
      <c r="AU109" s="23">
        <f t="shared" si="78"/>
        <v>250</v>
      </c>
      <c r="AV109" s="23">
        <f t="shared" si="78"/>
        <v>250</v>
      </c>
      <c r="AW109" s="23">
        <f t="shared" si="78"/>
        <v>0</v>
      </c>
      <c r="AX109" s="23">
        <f t="shared" si="78"/>
        <v>0</v>
      </c>
      <c r="AY109" s="23">
        <f t="shared" si="78"/>
        <v>0</v>
      </c>
      <c r="AZ109" s="23">
        <f t="shared" si="78"/>
        <v>0</v>
      </c>
      <c r="BA109" s="23">
        <f t="shared" si="73"/>
        <v>370</v>
      </c>
      <c r="BB109" s="23">
        <f t="shared" si="73"/>
        <v>370</v>
      </c>
      <c r="BC109" s="23">
        <f t="shared" si="73"/>
        <v>22</v>
      </c>
      <c r="BD109" s="23">
        <f t="shared" si="73"/>
        <v>395.7</v>
      </c>
      <c r="BE109" s="23">
        <f t="shared" si="73"/>
        <v>101</v>
      </c>
      <c r="BF109" s="23">
        <f t="shared" si="73"/>
        <v>32.5</v>
      </c>
      <c r="BG109" s="23">
        <f t="shared" si="73"/>
        <v>37.5</v>
      </c>
      <c r="BH109" s="23">
        <f t="shared" si="73"/>
        <v>37.5</v>
      </c>
      <c r="BI109" s="23">
        <f t="shared" si="73"/>
        <v>1.95</v>
      </c>
      <c r="BJ109" s="23">
        <f t="shared" si="73"/>
        <v>68.19</v>
      </c>
      <c r="BK109" s="23">
        <f t="shared" si="73"/>
        <v>68.19</v>
      </c>
      <c r="BL109" s="23">
        <f t="shared" si="73"/>
        <v>40</v>
      </c>
      <c r="BM109" s="23">
        <f t="shared" si="73"/>
        <v>14</v>
      </c>
      <c r="BN109" s="23">
        <f t="shared" si="73"/>
        <v>439.33333333333331</v>
      </c>
      <c r="BO109" s="23">
        <f t="shared" si="73"/>
        <v>439.33333333333331</v>
      </c>
      <c r="BP109" s="23">
        <f t="shared" si="73"/>
        <v>439.33333333333331</v>
      </c>
      <c r="BQ109" s="23">
        <f t="shared" si="74"/>
        <v>100</v>
      </c>
      <c r="BR109" s="23">
        <f t="shared" si="74"/>
        <v>100</v>
      </c>
      <c r="BS109" s="23">
        <f t="shared" si="74"/>
        <v>100</v>
      </c>
      <c r="BT109" s="23">
        <f t="shared" si="74"/>
        <v>100</v>
      </c>
      <c r="BU109" s="23">
        <f t="shared" si="74"/>
        <v>100</v>
      </c>
      <c r="BV109" s="23">
        <f t="shared" si="74"/>
        <v>200</v>
      </c>
      <c r="BW109" s="23">
        <f t="shared" si="74"/>
        <v>200</v>
      </c>
      <c r="BX109" s="23">
        <f t="shared" si="74"/>
        <v>200</v>
      </c>
      <c r="BY109" s="23">
        <f t="shared" si="74"/>
        <v>200</v>
      </c>
      <c r="BZ109" s="23">
        <f t="shared" si="74"/>
        <v>200</v>
      </c>
      <c r="CA109" s="23">
        <f t="shared" si="74"/>
        <v>200</v>
      </c>
      <c r="CB109" s="23">
        <f t="shared" si="74"/>
        <v>200</v>
      </c>
      <c r="CC109" s="23">
        <f t="shared" si="74"/>
        <v>200</v>
      </c>
      <c r="CD109" s="23">
        <f t="shared" si="74"/>
        <v>200</v>
      </c>
      <c r="CE109" s="23">
        <f t="shared" si="74"/>
        <v>200</v>
      </c>
      <c r="CF109" s="23">
        <f t="shared" si="74"/>
        <v>200</v>
      </c>
      <c r="CG109" s="23">
        <f t="shared" si="76"/>
        <v>200</v>
      </c>
      <c r="CH109" s="23">
        <f t="shared" si="76"/>
        <v>200</v>
      </c>
      <c r="CI109" s="23" t="e">
        <f t="shared" si="76"/>
        <v>#NUM!</v>
      </c>
      <c r="CJ109" s="23" t="e">
        <f t="shared" si="76"/>
        <v>#NUM!</v>
      </c>
      <c r="CK109" s="23" t="e">
        <f t="shared" si="76"/>
        <v>#NUM!</v>
      </c>
      <c r="CL109" s="23" t="e">
        <f t="shared" si="76"/>
        <v>#NUM!</v>
      </c>
      <c r="CM109" s="23" t="e">
        <f t="shared" si="76"/>
        <v>#NUM!</v>
      </c>
      <c r="CN109" s="23" t="e">
        <f t="shared" si="76"/>
        <v>#NUM!</v>
      </c>
      <c r="CO109" s="23" t="e">
        <f t="shared" si="76"/>
        <v>#NUM!</v>
      </c>
      <c r="CP109" s="23">
        <f t="shared" si="58"/>
        <v>8261.83</v>
      </c>
      <c r="CQ109" s="67">
        <f t="shared" si="69"/>
        <v>0.15057066745627606</v>
      </c>
      <c r="CR109" s="67">
        <v>0.85</v>
      </c>
      <c r="CS109" s="80">
        <f t="shared" si="65"/>
        <v>8519.3881539235608</v>
      </c>
      <c r="CT109" s="81">
        <f t="shared" si="59"/>
        <v>7241.4799308350266</v>
      </c>
      <c r="CU109" s="23">
        <f t="shared" si="60"/>
        <v>12679.830000000002</v>
      </c>
      <c r="CV109" s="67">
        <f t="shared" si="70"/>
        <v>9.0682019143264792E-2</v>
      </c>
      <c r="CW109" s="80">
        <f t="shared" si="71"/>
        <v>13075.116952995235</v>
      </c>
      <c r="CX109" s="81">
        <f t="shared" si="66"/>
        <v>11113.84941004595</v>
      </c>
      <c r="CY109" s="65">
        <f t="shared" si="61"/>
        <v>8536.615434436937</v>
      </c>
      <c r="CZ109" s="65">
        <f>'Sensitivity - Population'!S34 + 'Sensitivity - GDP'!P35 +'Sensitivity - GDP'!P97</f>
        <v>77984.145597465336</v>
      </c>
      <c r="DA109" s="65">
        <f t="shared" si="67"/>
        <v>8902.2997257380521</v>
      </c>
      <c r="DB109" s="65">
        <f>'Sensitivity - Population'!E34+'Sensitivity - GDP'!D35+'Sensitivity - GDP'!D97</f>
        <v>71722.706832828175</v>
      </c>
      <c r="DC109" s="65">
        <f t="shared" si="68"/>
        <v>8187.5236110534452</v>
      </c>
      <c r="EQ109" s="92"/>
    </row>
    <row r="110" spans="14:147" x14ac:dyDescent="0.35">
      <c r="N110" s="90"/>
      <c r="O110" s="79">
        <v>52596</v>
      </c>
      <c r="P110" s="23">
        <f t="shared" si="77"/>
        <v>0</v>
      </c>
      <c r="Q110" s="23">
        <f t="shared" si="77"/>
        <v>0</v>
      </c>
      <c r="R110" s="23">
        <f t="shared" si="77"/>
        <v>403.8</v>
      </c>
      <c r="S110" s="23">
        <f t="shared" si="77"/>
        <v>400</v>
      </c>
      <c r="T110" s="23">
        <f t="shared" si="77"/>
        <v>400</v>
      </c>
      <c r="U110" s="23">
        <f t="shared" si="77"/>
        <v>250</v>
      </c>
      <c r="V110" s="23">
        <f t="shared" si="77"/>
        <v>250</v>
      </c>
      <c r="W110" s="23">
        <f t="shared" si="77"/>
        <v>420</v>
      </c>
      <c r="X110" s="23">
        <f t="shared" si="77"/>
        <v>420</v>
      </c>
      <c r="Y110" s="23">
        <f t="shared" si="77"/>
        <v>47.8</v>
      </c>
      <c r="Z110" s="23">
        <f t="shared" si="75"/>
        <v>132</v>
      </c>
      <c r="AA110" s="23">
        <f t="shared" si="75"/>
        <v>0</v>
      </c>
      <c r="AB110" s="23">
        <f t="shared" si="75"/>
        <v>0</v>
      </c>
      <c r="AC110" s="23">
        <f t="shared" si="75"/>
        <v>367.5</v>
      </c>
      <c r="AD110" s="23">
        <f t="shared" si="75"/>
        <v>367.5</v>
      </c>
      <c r="AE110" s="23">
        <f t="shared" si="75"/>
        <v>405.9</v>
      </c>
      <c r="AF110" s="23">
        <f t="shared" si="75"/>
        <v>60</v>
      </c>
      <c r="AG110" s="23">
        <f t="shared" si="75"/>
        <v>67.8</v>
      </c>
      <c r="AH110" s="23">
        <f t="shared" si="75"/>
        <v>55</v>
      </c>
      <c r="AI110" s="23">
        <f t="shared" si="75"/>
        <v>0</v>
      </c>
      <c r="AJ110" s="23">
        <f t="shared" si="75"/>
        <v>0</v>
      </c>
      <c r="AK110" s="23">
        <f t="shared" si="75"/>
        <v>0</v>
      </c>
      <c r="AL110" s="23">
        <f t="shared" si="75"/>
        <v>365</v>
      </c>
      <c r="AM110" s="23">
        <f t="shared" si="75"/>
        <v>365</v>
      </c>
      <c r="AN110" s="23">
        <f t="shared" si="75"/>
        <v>431</v>
      </c>
      <c r="AO110" s="23">
        <f t="shared" si="75"/>
        <v>431</v>
      </c>
      <c r="AP110" s="23">
        <f t="shared" si="78"/>
        <v>110</v>
      </c>
      <c r="AQ110" s="23">
        <f t="shared" si="78"/>
        <v>110</v>
      </c>
      <c r="AR110" s="23">
        <f t="shared" si="78"/>
        <v>47</v>
      </c>
      <c r="AS110" s="23">
        <f t="shared" si="78"/>
        <v>47</v>
      </c>
      <c r="AT110" s="23">
        <f t="shared" si="78"/>
        <v>250</v>
      </c>
      <c r="AU110" s="23">
        <f t="shared" si="78"/>
        <v>250</v>
      </c>
      <c r="AV110" s="23">
        <f t="shared" si="78"/>
        <v>250</v>
      </c>
      <c r="AW110" s="23">
        <f t="shared" si="78"/>
        <v>0</v>
      </c>
      <c r="AX110" s="23">
        <f t="shared" si="78"/>
        <v>0</v>
      </c>
      <c r="AY110" s="23">
        <f t="shared" si="78"/>
        <v>0</v>
      </c>
      <c r="AZ110" s="23">
        <f t="shared" si="78"/>
        <v>0</v>
      </c>
      <c r="BA110" s="23">
        <f t="shared" si="73"/>
        <v>370</v>
      </c>
      <c r="BB110" s="23">
        <f t="shared" si="73"/>
        <v>370</v>
      </c>
      <c r="BC110" s="23">
        <f t="shared" si="73"/>
        <v>22</v>
      </c>
      <c r="BD110" s="23">
        <f t="shared" si="73"/>
        <v>395.7</v>
      </c>
      <c r="BE110" s="23">
        <f t="shared" si="73"/>
        <v>101</v>
      </c>
      <c r="BF110" s="23">
        <f t="shared" si="73"/>
        <v>32.5</v>
      </c>
      <c r="BG110" s="23">
        <f t="shared" si="73"/>
        <v>37.5</v>
      </c>
      <c r="BH110" s="23">
        <f t="shared" si="73"/>
        <v>37.5</v>
      </c>
      <c r="BI110" s="23">
        <f t="shared" si="73"/>
        <v>1.95</v>
      </c>
      <c r="BJ110" s="23">
        <f t="shared" si="73"/>
        <v>68.19</v>
      </c>
      <c r="BK110" s="23">
        <f t="shared" si="73"/>
        <v>68.19</v>
      </c>
      <c r="BL110" s="23">
        <f t="shared" si="73"/>
        <v>40</v>
      </c>
      <c r="BM110" s="23">
        <f t="shared" si="73"/>
        <v>14</v>
      </c>
      <c r="BN110" s="23">
        <f t="shared" si="73"/>
        <v>439.33333333333331</v>
      </c>
      <c r="BO110" s="23">
        <f t="shared" si="73"/>
        <v>439.33333333333331</v>
      </c>
      <c r="BP110" s="23">
        <f t="shared" si="73"/>
        <v>439.33333333333331</v>
      </c>
      <c r="BQ110" s="23">
        <f t="shared" si="74"/>
        <v>100</v>
      </c>
      <c r="BR110" s="23">
        <f t="shared" si="74"/>
        <v>100</v>
      </c>
      <c r="BS110" s="23">
        <f t="shared" si="74"/>
        <v>100</v>
      </c>
      <c r="BT110" s="23">
        <f t="shared" si="74"/>
        <v>100</v>
      </c>
      <c r="BU110" s="23">
        <f t="shared" si="74"/>
        <v>100</v>
      </c>
      <c r="BV110" s="23">
        <f t="shared" si="74"/>
        <v>200</v>
      </c>
      <c r="BW110" s="23">
        <f t="shared" si="74"/>
        <v>200</v>
      </c>
      <c r="BX110" s="23">
        <f t="shared" si="74"/>
        <v>200</v>
      </c>
      <c r="BY110" s="23">
        <f t="shared" si="74"/>
        <v>200</v>
      </c>
      <c r="BZ110" s="23">
        <f t="shared" si="74"/>
        <v>200</v>
      </c>
      <c r="CA110" s="23">
        <f t="shared" si="74"/>
        <v>200</v>
      </c>
      <c r="CB110" s="23">
        <f t="shared" si="74"/>
        <v>200</v>
      </c>
      <c r="CC110" s="23">
        <f t="shared" si="74"/>
        <v>200</v>
      </c>
      <c r="CD110" s="23">
        <f t="shared" si="74"/>
        <v>200</v>
      </c>
      <c r="CE110" s="23">
        <f t="shared" si="74"/>
        <v>200</v>
      </c>
      <c r="CF110" s="23">
        <f t="shared" si="74"/>
        <v>200</v>
      </c>
      <c r="CG110" s="23">
        <f t="shared" si="76"/>
        <v>200</v>
      </c>
      <c r="CH110" s="23">
        <f t="shared" si="76"/>
        <v>200</v>
      </c>
      <c r="CI110" s="23">
        <f t="shared" si="76"/>
        <v>200</v>
      </c>
      <c r="CJ110" s="23" t="e">
        <f t="shared" si="76"/>
        <v>#NUM!</v>
      </c>
      <c r="CK110" s="23" t="e">
        <f t="shared" si="76"/>
        <v>#NUM!</v>
      </c>
      <c r="CL110" s="23" t="e">
        <f t="shared" si="76"/>
        <v>#NUM!</v>
      </c>
      <c r="CM110" s="23" t="e">
        <f t="shared" si="76"/>
        <v>#NUM!</v>
      </c>
      <c r="CN110" s="23" t="e">
        <f t="shared" si="76"/>
        <v>#NUM!</v>
      </c>
      <c r="CO110" s="23" t="e">
        <f t="shared" si="76"/>
        <v>#NUM!</v>
      </c>
      <c r="CP110" s="23">
        <f t="shared" si="58"/>
        <v>8261.83</v>
      </c>
      <c r="CQ110" s="67">
        <f t="shared" si="69"/>
        <v>0</v>
      </c>
      <c r="CR110" s="67">
        <v>0.85</v>
      </c>
      <c r="CS110" s="80">
        <f t="shared" si="65"/>
        <v>8519.3881539235608</v>
      </c>
      <c r="CT110" s="81">
        <f t="shared" si="59"/>
        <v>7241.4799308350266</v>
      </c>
      <c r="CU110" s="23">
        <f t="shared" si="60"/>
        <v>12879.830000000002</v>
      </c>
      <c r="CV110" s="67">
        <f t="shared" si="70"/>
        <v>-1.5773082131227308E-2</v>
      </c>
      <c r="CW110" s="80">
        <f t="shared" si="71"/>
        <v>13281.351846570233</v>
      </c>
      <c r="CX110" s="81">
        <f t="shared" si="66"/>
        <v>11289.149069584697</v>
      </c>
      <c r="CY110" s="65">
        <f t="shared" si="61"/>
        <v>8652.9074514115582</v>
      </c>
      <c r="CZ110" s="65">
        <f>'Sensitivity - Population'!S35 + 'Sensitivity - GDP'!P36 +'Sensitivity - GDP'!P98</f>
        <v>79091.213920353359</v>
      </c>
      <c r="DA110" s="65">
        <f t="shared" si="67"/>
        <v>9028.6773881681911</v>
      </c>
      <c r="DB110" s="65">
        <f>'Sensitivity - Population'!E35+'Sensitivity - GDP'!D36+'Sensitivity - GDP'!D98</f>
        <v>72710.144078134981</v>
      </c>
      <c r="DC110" s="65">
        <f t="shared" si="68"/>
        <v>8300.2447577779658</v>
      </c>
      <c r="EQ110" s="92"/>
    </row>
    <row r="111" spans="14:147" x14ac:dyDescent="0.35">
      <c r="N111" s="90"/>
      <c r="O111" s="79">
        <v>52962</v>
      </c>
      <c r="P111" s="23">
        <f t="shared" si="77"/>
        <v>0</v>
      </c>
      <c r="Q111" s="23">
        <f t="shared" si="77"/>
        <v>0</v>
      </c>
      <c r="R111" s="23">
        <f t="shared" si="77"/>
        <v>403.8</v>
      </c>
      <c r="S111" s="23">
        <f t="shared" si="77"/>
        <v>400</v>
      </c>
      <c r="T111" s="23">
        <f t="shared" si="77"/>
        <v>400</v>
      </c>
      <c r="U111" s="23">
        <f t="shared" si="77"/>
        <v>250</v>
      </c>
      <c r="V111" s="23">
        <f t="shared" si="77"/>
        <v>250</v>
      </c>
      <c r="W111" s="23">
        <f t="shared" si="77"/>
        <v>420</v>
      </c>
      <c r="X111" s="23">
        <f t="shared" si="77"/>
        <v>420</v>
      </c>
      <c r="Y111" s="23">
        <f t="shared" si="77"/>
        <v>47.8</v>
      </c>
      <c r="Z111" s="23">
        <f t="shared" si="75"/>
        <v>132</v>
      </c>
      <c r="AA111" s="23">
        <f t="shared" si="75"/>
        <v>0</v>
      </c>
      <c r="AB111" s="23">
        <f t="shared" si="75"/>
        <v>0</v>
      </c>
      <c r="AC111" s="23">
        <f t="shared" si="75"/>
        <v>367.5</v>
      </c>
      <c r="AD111" s="23">
        <f t="shared" si="75"/>
        <v>367.5</v>
      </c>
      <c r="AE111" s="23">
        <f t="shared" si="75"/>
        <v>405.9</v>
      </c>
      <c r="AF111" s="23">
        <f t="shared" si="75"/>
        <v>60</v>
      </c>
      <c r="AG111" s="23">
        <f t="shared" si="75"/>
        <v>67.8</v>
      </c>
      <c r="AH111" s="23">
        <f t="shared" si="75"/>
        <v>55</v>
      </c>
      <c r="AI111" s="23">
        <f t="shared" si="75"/>
        <v>0</v>
      </c>
      <c r="AJ111" s="23">
        <f t="shared" si="75"/>
        <v>0</v>
      </c>
      <c r="AK111" s="23">
        <f t="shared" si="75"/>
        <v>0</v>
      </c>
      <c r="AL111" s="23">
        <f t="shared" si="75"/>
        <v>0</v>
      </c>
      <c r="AM111" s="23">
        <f t="shared" si="75"/>
        <v>0</v>
      </c>
      <c r="AN111" s="23">
        <f t="shared" si="75"/>
        <v>431</v>
      </c>
      <c r="AO111" s="23">
        <f t="shared" si="75"/>
        <v>431</v>
      </c>
      <c r="AP111" s="23">
        <f t="shared" si="78"/>
        <v>110</v>
      </c>
      <c r="AQ111" s="23">
        <f t="shared" si="78"/>
        <v>110</v>
      </c>
      <c r="AR111" s="23">
        <f t="shared" si="78"/>
        <v>47</v>
      </c>
      <c r="AS111" s="23">
        <f t="shared" si="78"/>
        <v>47</v>
      </c>
      <c r="AT111" s="23">
        <f t="shared" si="78"/>
        <v>250</v>
      </c>
      <c r="AU111" s="23">
        <f t="shared" si="78"/>
        <v>250</v>
      </c>
      <c r="AV111" s="23">
        <f t="shared" si="78"/>
        <v>250</v>
      </c>
      <c r="AW111" s="23">
        <f t="shared" si="78"/>
        <v>0</v>
      </c>
      <c r="AX111" s="23">
        <f t="shared" si="78"/>
        <v>0</v>
      </c>
      <c r="AY111" s="23">
        <f t="shared" si="78"/>
        <v>0</v>
      </c>
      <c r="AZ111" s="23">
        <f t="shared" si="78"/>
        <v>0</v>
      </c>
      <c r="BA111" s="23">
        <f t="shared" si="73"/>
        <v>370</v>
      </c>
      <c r="BB111" s="23">
        <f t="shared" si="73"/>
        <v>370</v>
      </c>
      <c r="BC111" s="23">
        <f t="shared" si="73"/>
        <v>22</v>
      </c>
      <c r="BD111" s="23">
        <f t="shared" si="73"/>
        <v>395.7</v>
      </c>
      <c r="BE111" s="23">
        <f t="shared" si="73"/>
        <v>101</v>
      </c>
      <c r="BF111" s="23">
        <f t="shared" si="73"/>
        <v>32.5</v>
      </c>
      <c r="BG111" s="23">
        <f t="shared" si="73"/>
        <v>37.5</v>
      </c>
      <c r="BH111" s="23">
        <f t="shared" si="73"/>
        <v>37.5</v>
      </c>
      <c r="BI111" s="23">
        <f t="shared" si="73"/>
        <v>1.95</v>
      </c>
      <c r="BJ111" s="23">
        <f t="shared" si="73"/>
        <v>68.19</v>
      </c>
      <c r="BK111" s="23">
        <f t="shared" si="73"/>
        <v>68.19</v>
      </c>
      <c r="BL111" s="23">
        <f t="shared" si="73"/>
        <v>40</v>
      </c>
      <c r="BM111" s="23">
        <f t="shared" si="73"/>
        <v>14</v>
      </c>
      <c r="BN111" s="23">
        <f t="shared" si="73"/>
        <v>439.33333333333331</v>
      </c>
      <c r="BO111" s="23">
        <f t="shared" si="73"/>
        <v>439.33333333333331</v>
      </c>
      <c r="BP111" s="23">
        <f t="shared" ref="BP111:CE117" si="79">IF(VLOOKUP(BP$13,$C$15:$J$92,3,FALSE) &lt;&gt; "Incineration", IF(DATEDIF(VLOOKUP(BP$13,$C$15:$J$92,7,FALSE),$O111,"y")&gt;=$P$85,0,VLOOKUP(BP$13,$C$15:$J$92,5,FALSE)), VLOOKUP(BP$13,$C$15:$J$92,5,FALSE))</f>
        <v>439.33333333333331</v>
      </c>
      <c r="BQ111" s="23">
        <f t="shared" si="79"/>
        <v>100</v>
      </c>
      <c r="BR111" s="23">
        <f t="shared" si="79"/>
        <v>100</v>
      </c>
      <c r="BS111" s="23">
        <f t="shared" si="79"/>
        <v>100</v>
      </c>
      <c r="BT111" s="23">
        <f t="shared" si="79"/>
        <v>100</v>
      </c>
      <c r="BU111" s="23">
        <f t="shared" si="79"/>
        <v>100</v>
      </c>
      <c r="BV111" s="23">
        <f t="shared" si="79"/>
        <v>200</v>
      </c>
      <c r="BW111" s="23">
        <f t="shared" si="79"/>
        <v>200</v>
      </c>
      <c r="BX111" s="23">
        <f t="shared" si="79"/>
        <v>200</v>
      </c>
      <c r="BY111" s="23">
        <f t="shared" si="79"/>
        <v>200</v>
      </c>
      <c r="BZ111" s="23">
        <f t="shared" si="79"/>
        <v>200</v>
      </c>
      <c r="CA111" s="23">
        <f t="shared" si="79"/>
        <v>200</v>
      </c>
      <c r="CB111" s="23">
        <f t="shared" si="79"/>
        <v>200</v>
      </c>
      <c r="CC111" s="23">
        <f t="shared" si="74"/>
        <v>200</v>
      </c>
      <c r="CD111" s="23">
        <f t="shared" si="74"/>
        <v>200</v>
      </c>
      <c r="CE111" s="23">
        <f t="shared" si="74"/>
        <v>200</v>
      </c>
      <c r="CF111" s="23">
        <f t="shared" si="74"/>
        <v>200</v>
      </c>
      <c r="CG111" s="23">
        <f t="shared" si="76"/>
        <v>200</v>
      </c>
      <c r="CH111" s="23">
        <f t="shared" si="76"/>
        <v>200</v>
      </c>
      <c r="CI111" s="23">
        <f t="shared" si="76"/>
        <v>200</v>
      </c>
      <c r="CJ111" s="23">
        <f t="shared" si="76"/>
        <v>200</v>
      </c>
      <c r="CK111" s="23" t="e">
        <f t="shared" si="76"/>
        <v>#NUM!</v>
      </c>
      <c r="CL111" s="23" t="e">
        <f t="shared" si="76"/>
        <v>#NUM!</v>
      </c>
      <c r="CM111" s="23" t="e">
        <f t="shared" si="76"/>
        <v>#NUM!</v>
      </c>
      <c r="CN111" s="23" t="e">
        <f t="shared" si="76"/>
        <v>#NUM!</v>
      </c>
      <c r="CO111" s="23" t="e">
        <f t="shared" si="76"/>
        <v>#NUM!</v>
      </c>
      <c r="CP111" s="23">
        <f t="shared" si="58"/>
        <v>7531.83</v>
      </c>
      <c r="CQ111" s="67">
        <f t="shared" si="69"/>
        <v>8.835814825528969E-2</v>
      </c>
      <c r="CR111" s="67">
        <v>0.85</v>
      </c>
      <c r="CS111" s="80">
        <f t="shared" si="65"/>
        <v>7766.6307923748245</v>
      </c>
      <c r="CT111" s="81">
        <f t="shared" si="59"/>
        <v>6601.636173518601</v>
      </c>
      <c r="CU111" s="23">
        <f t="shared" si="60"/>
        <v>12349.83</v>
      </c>
      <c r="CV111" s="67">
        <f t="shared" si="70"/>
        <v>4.1149611446735068E-2</v>
      </c>
      <c r="CW111" s="80">
        <f t="shared" si="71"/>
        <v>12734.829378596489</v>
      </c>
      <c r="CX111" s="81">
        <f t="shared" si="66"/>
        <v>10824.604971807015</v>
      </c>
      <c r="CY111" s="65">
        <f t="shared" si="61"/>
        <v>8769.0708223730744</v>
      </c>
      <c r="CZ111" s="65">
        <f>'Sensitivity - Population'!S36 + 'Sensitivity - GDP'!P37 +'Sensitivity - GDP'!P99</f>
        <v>80197.160629562233</v>
      </c>
      <c r="DA111" s="65">
        <f t="shared" si="67"/>
        <v>9154.9270125071034</v>
      </c>
      <c r="DB111" s="65">
        <f>'Sensitivity - Population'!E36+'Sensitivity - GDP'!D37+'Sensitivity - GDP'!D99</f>
        <v>73696.475272291398</v>
      </c>
      <c r="DC111" s="65">
        <f t="shared" si="68"/>
        <v>8412.8396429556378</v>
      </c>
      <c r="EQ111" s="92"/>
    </row>
    <row r="112" spans="14:147" x14ac:dyDescent="0.35">
      <c r="N112" s="90"/>
      <c r="O112" s="79">
        <v>53327</v>
      </c>
      <c r="P112" s="23">
        <f t="shared" si="77"/>
        <v>0</v>
      </c>
      <c r="Q112" s="23">
        <f t="shared" si="77"/>
        <v>0</v>
      </c>
      <c r="R112" s="23">
        <f t="shared" si="77"/>
        <v>403.8</v>
      </c>
      <c r="S112" s="23">
        <f t="shared" si="77"/>
        <v>400</v>
      </c>
      <c r="T112" s="23">
        <f t="shared" si="77"/>
        <v>400</v>
      </c>
      <c r="U112" s="23">
        <f t="shared" si="77"/>
        <v>250</v>
      </c>
      <c r="V112" s="23">
        <f t="shared" si="77"/>
        <v>250</v>
      </c>
      <c r="W112" s="23">
        <f t="shared" si="77"/>
        <v>420</v>
      </c>
      <c r="X112" s="23">
        <f t="shared" si="77"/>
        <v>420</v>
      </c>
      <c r="Y112" s="23">
        <f t="shared" si="77"/>
        <v>47.8</v>
      </c>
      <c r="Z112" s="23">
        <f t="shared" si="75"/>
        <v>132</v>
      </c>
      <c r="AA112" s="23">
        <f t="shared" si="75"/>
        <v>0</v>
      </c>
      <c r="AB112" s="23">
        <f t="shared" si="75"/>
        <v>0</v>
      </c>
      <c r="AC112" s="23">
        <f t="shared" si="75"/>
        <v>0</v>
      </c>
      <c r="AD112" s="23">
        <f t="shared" si="75"/>
        <v>0</v>
      </c>
      <c r="AE112" s="23">
        <f t="shared" si="75"/>
        <v>405.9</v>
      </c>
      <c r="AF112" s="23">
        <f t="shared" si="75"/>
        <v>60</v>
      </c>
      <c r="AG112" s="23">
        <f t="shared" si="75"/>
        <v>67.8</v>
      </c>
      <c r="AH112" s="23">
        <f t="shared" si="75"/>
        <v>55</v>
      </c>
      <c r="AI112" s="23">
        <f t="shared" si="75"/>
        <v>0</v>
      </c>
      <c r="AJ112" s="23">
        <f t="shared" si="75"/>
        <v>0</v>
      </c>
      <c r="AK112" s="23">
        <f t="shared" si="75"/>
        <v>0</v>
      </c>
      <c r="AL112" s="23">
        <f t="shared" si="75"/>
        <v>0</v>
      </c>
      <c r="AM112" s="23">
        <f t="shared" si="75"/>
        <v>0</v>
      </c>
      <c r="AN112" s="23">
        <f t="shared" si="75"/>
        <v>431</v>
      </c>
      <c r="AO112" s="23">
        <f t="shared" si="75"/>
        <v>431</v>
      </c>
      <c r="AP112" s="23">
        <f t="shared" si="78"/>
        <v>110</v>
      </c>
      <c r="AQ112" s="23">
        <f t="shared" si="78"/>
        <v>110</v>
      </c>
      <c r="AR112" s="23">
        <f t="shared" si="78"/>
        <v>47</v>
      </c>
      <c r="AS112" s="23">
        <f t="shared" si="78"/>
        <v>47</v>
      </c>
      <c r="AT112" s="23">
        <f t="shared" si="78"/>
        <v>0</v>
      </c>
      <c r="AU112" s="23">
        <f t="shared" si="78"/>
        <v>0</v>
      </c>
      <c r="AV112" s="23">
        <f t="shared" si="78"/>
        <v>0</v>
      </c>
      <c r="AW112" s="23">
        <f t="shared" si="78"/>
        <v>0</v>
      </c>
      <c r="AX112" s="23">
        <f t="shared" si="78"/>
        <v>0</v>
      </c>
      <c r="AY112" s="23">
        <f t="shared" si="78"/>
        <v>0</v>
      </c>
      <c r="AZ112" s="23">
        <f t="shared" si="78"/>
        <v>0</v>
      </c>
      <c r="BA112" s="23">
        <f t="shared" ref="BA112:BP117" si="80">IF(VLOOKUP(BA$13,$C$15:$J$92,3,FALSE) &lt;&gt; "Incineration", IF(DATEDIF(VLOOKUP(BA$13,$C$15:$J$92,7,FALSE),$O112,"y")&gt;=$P$85,0,VLOOKUP(BA$13,$C$15:$J$92,5,FALSE)), VLOOKUP(BA$13,$C$15:$J$92,5,FALSE))</f>
        <v>370</v>
      </c>
      <c r="BB112" s="23">
        <f t="shared" si="80"/>
        <v>370</v>
      </c>
      <c r="BC112" s="23">
        <f t="shared" si="80"/>
        <v>22</v>
      </c>
      <c r="BD112" s="23">
        <f t="shared" si="80"/>
        <v>395.7</v>
      </c>
      <c r="BE112" s="23">
        <f t="shared" si="80"/>
        <v>101</v>
      </c>
      <c r="BF112" s="23">
        <f t="shared" si="80"/>
        <v>32.5</v>
      </c>
      <c r="BG112" s="23">
        <f t="shared" si="80"/>
        <v>37.5</v>
      </c>
      <c r="BH112" s="23">
        <f t="shared" si="80"/>
        <v>37.5</v>
      </c>
      <c r="BI112" s="23">
        <f t="shared" si="80"/>
        <v>1.95</v>
      </c>
      <c r="BJ112" s="23">
        <f t="shared" si="80"/>
        <v>68.19</v>
      </c>
      <c r="BK112" s="23">
        <f t="shared" si="80"/>
        <v>68.19</v>
      </c>
      <c r="BL112" s="23">
        <f t="shared" si="80"/>
        <v>40</v>
      </c>
      <c r="BM112" s="23">
        <f t="shared" si="80"/>
        <v>14</v>
      </c>
      <c r="BN112" s="23">
        <f t="shared" si="80"/>
        <v>439.33333333333331</v>
      </c>
      <c r="BO112" s="23">
        <f t="shared" si="80"/>
        <v>439.33333333333331</v>
      </c>
      <c r="BP112" s="23">
        <f t="shared" si="80"/>
        <v>439.33333333333331</v>
      </c>
      <c r="BQ112" s="23">
        <f t="shared" si="79"/>
        <v>100</v>
      </c>
      <c r="BR112" s="23">
        <f t="shared" si="79"/>
        <v>100</v>
      </c>
      <c r="BS112" s="23">
        <f t="shared" si="79"/>
        <v>100</v>
      </c>
      <c r="BT112" s="23">
        <f t="shared" si="79"/>
        <v>100</v>
      </c>
      <c r="BU112" s="23">
        <f t="shared" si="79"/>
        <v>100</v>
      </c>
      <c r="BV112" s="23">
        <f t="shared" si="79"/>
        <v>200</v>
      </c>
      <c r="BW112" s="23">
        <f t="shared" si="79"/>
        <v>200</v>
      </c>
      <c r="BX112" s="23">
        <f t="shared" si="79"/>
        <v>200</v>
      </c>
      <c r="BY112" s="23">
        <f t="shared" si="79"/>
        <v>200</v>
      </c>
      <c r="BZ112" s="23">
        <f t="shared" si="79"/>
        <v>200</v>
      </c>
      <c r="CA112" s="23">
        <f t="shared" si="79"/>
        <v>200</v>
      </c>
      <c r="CB112" s="23">
        <f t="shared" si="79"/>
        <v>200</v>
      </c>
      <c r="CC112" s="23">
        <f t="shared" si="79"/>
        <v>200</v>
      </c>
      <c r="CD112" s="23">
        <f t="shared" si="79"/>
        <v>200</v>
      </c>
      <c r="CE112" s="23">
        <f t="shared" si="79"/>
        <v>200</v>
      </c>
      <c r="CF112" s="23">
        <f t="shared" ref="CC112:CO117" si="81">IF(VLOOKUP(CF$13,$C$15:$J$92,3,FALSE) &lt;&gt; "Incineration", IF(DATEDIF(VLOOKUP(CF$13,$C$15:$J$92,7,FALSE),$O112,"y")&gt;=$P$85,0,VLOOKUP(CF$13,$C$15:$J$92,5,FALSE)), VLOOKUP(CF$13,$C$15:$J$92,5,FALSE))</f>
        <v>200</v>
      </c>
      <c r="CG112" s="23">
        <f t="shared" si="81"/>
        <v>200</v>
      </c>
      <c r="CH112" s="23">
        <f t="shared" si="81"/>
        <v>200</v>
      </c>
      <c r="CI112" s="23">
        <f t="shared" si="81"/>
        <v>200</v>
      </c>
      <c r="CJ112" s="23">
        <f t="shared" si="81"/>
        <v>200</v>
      </c>
      <c r="CK112" s="23">
        <f t="shared" si="81"/>
        <v>200</v>
      </c>
      <c r="CL112" s="23" t="e">
        <f t="shared" si="81"/>
        <v>#NUM!</v>
      </c>
      <c r="CM112" s="23" t="e">
        <f t="shared" si="81"/>
        <v>#NUM!</v>
      </c>
      <c r="CN112" s="23" t="e">
        <f t="shared" si="81"/>
        <v>#NUM!</v>
      </c>
      <c r="CO112" s="23" t="e">
        <f t="shared" si="81"/>
        <v>#NUM!</v>
      </c>
      <c r="CP112" s="23">
        <f t="shared" si="58"/>
        <v>6046.83</v>
      </c>
      <c r="CQ112" s="67">
        <f t="shared" si="69"/>
        <v>0.19716323921278095</v>
      </c>
      <c r="CR112" s="67">
        <v>0.85</v>
      </c>
      <c r="CS112" s="80">
        <f t="shared" si="65"/>
        <v>6235.3367075804772</v>
      </c>
      <c r="CT112" s="81">
        <f t="shared" si="59"/>
        <v>5300.0362014434058</v>
      </c>
      <c r="CU112" s="23">
        <f t="shared" si="60"/>
        <v>11064.829999999998</v>
      </c>
      <c r="CV112" s="67">
        <f t="shared" si="70"/>
        <v>0.10405001526336814</v>
      </c>
      <c r="CW112" s="80">
        <f t="shared" si="71"/>
        <v>11409.770187377135</v>
      </c>
      <c r="CX112" s="81">
        <f t="shared" si="66"/>
        <v>9698.304659270565</v>
      </c>
      <c r="CY112" s="65">
        <f t="shared" si="61"/>
        <v>8885.1038623933546</v>
      </c>
      <c r="CZ112" s="65">
        <f>'Sensitivity - Population'!S37 + 'Sensitivity - GDP'!P38 +'Sensitivity - GDP'!P100</f>
        <v>81301.970257244655</v>
      </c>
      <c r="DA112" s="65">
        <f t="shared" si="67"/>
        <v>9281.0468330187978</v>
      </c>
      <c r="DB112" s="65">
        <f>'Sensitivity - Population'!E37+'Sensitivity - GDP'!D38+'Sensitivity - GDP'!D100</f>
        <v>74681.685162068417</v>
      </c>
      <c r="DC112" s="65">
        <f t="shared" si="68"/>
        <v>8525.3065253502755</v>
      </c>
      <c r="EQ112" s="92"/>
    </row>
    <row r="113" spans="14:147" x14ac:dyDescent="0.35">
      <c r="N113" s="90"/>
      <c r="O113" s="79">
        <v>53692</v>
      </c>
      <c r="P113" s="23">
        <f t="shared" si="77"/>
        <v>0</v>
      </c>
      <c r="Q113" s="23">
        <f t="shared" si="77"/>
        <v>0</v>
      </c>
      <c r="R113" s="23">
        <f t="shared" si="77"/>
        <v>403.8</v>
      </c>
      <c r="S113" s="23">
        <f t="shared" si="77"/>
        <v>400</v>
      </c>
      <c r="T113" s="23">
        <f t="shared" si="77"/>
        <v>400</v>
      </c>
      <c r="U113" s="23">
        <f t="shared" si="77"/>
        <v>250</v>
      </c>
      <c r="V113" s="23">
        <f t="shared" si="77"/>
        <v>250</v>
      </c>
      <c r="W113" s="23">
        <f t="shared" si="77"/>
        <v>420</v>
      </c>
      <c r="X113" s="23">
        <f t="shared" si="77"/>
        <v>420</v>
      </c>
      <c r="Y113" s="23">
        <f t="shared" si="77"/>
        <v>47.8</v>
      </c>
      <c r="Z113" s="23">
        <f t="shared" si="75"/>
        <v>132</v>
      </c>
      <c r="AA113" s="23">
        <f t="shared" si="75"/>
        <v>0</v>
      </c>
      <c r="AB113" s="23">
        <f t="shared" si="75"/>
        <v>0</v>
      </c>
      <c r="AC113" s="23">
        <f t="shared" si="75"/>
        <v>0</v>
      </c>
      <c r="AD113" s="23">
        <f t="shared" si="75"/>
        <v>0</v>
      </c>
      <c r="AE113" s="23">
        <f t="shared" si="75"/>
        <v>405.9</v>
      </c>
      <c r="AF113" s="23">
        <f t="shared" si="75"/>
        <v>60</v>
      </c>
      <c r="AG113" s="23">
        <f t="shared" si="75"/>
        <v>67.8</v>
      </c>
      <c r="AH113" s="23">
        <f t="shared" si="75"/>
        <v>55</v>
      </c>
      <c r="AI113" s="23">
        <f t="shared" si="75"/>
        <v>0</v>
      </c>
      <c r="AJ113" s="23">
        <f t="shared" si="75"/>
        <v>0</v>
      </c>
      <c r="AK113" s="23">
        <f t="shared" si="75"/>
        <v>0</v>
      </c>
      <c r="AL113" s="23">
        <f t="shared" si="75"/>
        <v>0</v>
      </c>
      <c r="AM113" s="23">
        <f t="shared" si="75"/>
        <v>0</v>
      </c>
      <c r="AN113" s="23">
        <f t="shared" si="75"/>
        <v>431</v>
      </c>
      <c r="AO113" s="23">
        <f t="shared" si="75"/>
        <v>431</v>
      </c>
      <c r="AP113" s="23">
        <f t="shared" si="78"/>
        <v>110</v>
      </c>
      <c r="AQ113" s="23">
        <f t="shared" si="78"/>
        <v>110</v>
      </c>
      <c r="AR113" s="23">
        <f t="shared" si="78"/>
        <v>47</v>
      </c>
      <c r="AS113" s="23">
        <f t="shared" si="78"/>
        <v>47</v>
      </c>
      <c r="AT113" s="23">
        <f t="shared" si="78"/>
        <v>0</v>
      </c>
      <c r="AU113" s="23">
        <f t="shared" si="78"/>
        <v>0</v>
      </c>
      <c r="AV113" s="23">
        <f t="shared" si="78"/>
        <v>0</v>
      </c>
      <c r="AW113" s="23">
        <f t="shared" si="78"/>
        <v>0</v>
      </c>
      <c r="AX113" s="23">
        <f t="shared" si="78"/>
        <v>0</v>
      </c>
      <c r="AY113" s="23">
        <f t="shared" si="78"/>
        <v>0</v>
      </c>
      <c r="AZ113" s="23">
        <f t="shared" si="78"/>
        <v>0</v>
      </c>
      <c r="BA113" s="23">
        <f t="shared" si="80"/>
        <v>370</v>
      </c>
      <c r="BB113" s="23">
        <f t="shared" si="80"/>
        <v>370</v>
      </c>
      <c r="BC113" s="23">
        <f t="shared" si="80"/>
        <v>22</v>
      </c>
      <c r="BD113" s="23">
        <f t="shared" si="80"/>
        <v>395.7</v>
      </c>
      <c r="BE113" s="23">
        <f t="shared" si="80"/>
        <v>101</v>
      </c>
      <c r="BF113" s="23">
        <f t="shared" si="80"/>
        <v>32.5</v>
      </c>
      <c r="BG113" s="23">
        <f t="shared" si="80"/>
        <v>37.5</v>
      </c>
      <c r="BH113" s="23">
        <f t="shared" si="80"/>
        <v>37.5</v>
      </c>
      <c r="BI113" s="23">
        <f t="shared" si="80"/>
        <v>1.95</v>
      </c>
      <c r="BJ113" s="23">
        <f t="shared" si="80"/>
        <v>68.19</v>
      </c>
      <c r="BK113" s="23">
        <f t="shared" si="80"/>
        <v>68.19</v>
      </c>
      <c r="BL113" s="23">
        <f t="shared" si="80"/>
        <v>40</v>
      </c>
      <c r="BM113" s="23">
        <f t="shared" si="80"/>
        <v>14</v>
      </c>
      <c r="BN113" s="23">
        <f t="shared" si="80"/>
        <v>439.33333333333331</v>
      </c>
      <c r="BO113" s="23">
        <f t="shared" si="80"/>
        <v>439.33333333333331</v>
      </c>
      <c r="BP113" s="23">
        <f t="shared" si="80"/>
        <v>439.33333333333331</v>
      </c>
      <c r="BQ113" s="23">
        <f t="shared" si="79"/>
        <v>100</v>
      </c>
      <c r="BR113" s="23">
        <f t="shared" si="79"/>
        <v>100</v>
      </c>
      <c r="BS113" s="23">
        <f t="shared" si="79"/>
        <v>100</v>
      </c>
      <c r="BT113" s="23">
        <f t="shared" si="79"/>
        <v>100</v>
      </c>
      <c r="BU113" s="23">
        <f t="shared" si="79"/>
        <v>100</v>
      </c>
      <c r="BV113" s="23">
        <f t="shared" si="79"/>
        <v>200</v>
      </c>
      <c r="BW113" s="23">
        <f t="shared" si="79"/>
        <v>200</v>
      </c>
      <c r="BX113" s="23">
        <f t="shared" si="79"/>
        <v>200</v>
      </c>
      <c r="BY113" s="23">
        <f t="shared" si="79"/>
        <v>200</v>
      </c>
      <c r="BZ113" s="23">
        <f t="shared" si="79"/>
        <v>200</v>
      </c>
      <c r="CA113" s="23">
        <f t="shared" si="79"/>
        <v>200</v>
      </c>
      <c r="CB113" s="23">
        <f t="shared" si="79"/>
        <v>200</v>
      </c>
      <c r="CC113" s="23">
        <f t="shared" si="81"/>
        <v>200</v>
      </c>
      <c r="CD113" s="23">
        <f t="shared" si="81"/>
        <v>200</v>
      </c>
      <c r="CE113" s="23">
        <f t="shared" si="81"/>
        <v>200</v>
      </c>
      <c r="CF113" s="23">
        <f t="shared" si="81"/>
        <v>200</v>
      </c>
      <c r="CG113" s="23">
        <f t="shared" si="81"/>
        <v>200</v>
      </c>
      <c r="CH113" s="23">
        <f t="shared" si="81"/>
        <v>200</v>
      </c>
      <c r="CI113" s="23">
        <f t="shared" si="81"/>
        <v>200</v>
      </c>
      <c r="CJ113" s="23">
        <f t="shared" si="81"/>
        <v>200</v>
      </c>
      <c r="CK113" s="23">
        <f t="shared" si="81"/>
        <v>200</v>
      </c>
      <c r="CL113" s="23">
        <f t="shared" si="81"/>
        <v>200</v>
      </c>
      <c r="CM113" s="23" t="e">
        <f t="shared" si="81"/>
        <v>#NUM!</v>
      </c>
      <c r="CN113" s="23" t="e">
        <f t="shared" si="81"/>
        <v>#NUM!</v>
      </c>
      <c r="CO113" s="23" t="e">
        <f t="shared" si="81"/>
        <v>#NUM!</v>
      </c>
      <c r="CP113" s="23">
        <f t="shared" si="58"/>
        <v>6046.83</v>
      </c>
      <c r="CQ113" s="67">
        <f t="shared" si="69"/>
        <v>0</v>
      </c>
      <c r="CR113" s="67">
        <v>0.85</v>
      </c>
      <c r="CS113" s="80">
        <f t="shared" si="65"/>
        <v>6235.3367075804772</v>
      </c>
      <c r="CT113" s="81">
        <f t="shared" si="59"/>
        <v>5300.0362014434058</v>
      </c>
      <c r="CU113" s="23">
        <f t="shared" si="60"/>
        <v>11264.829999999998</v>
      </c>
      <c r="CV113" s="67">
        <f t="shared" si="70"/>
        <v>-1.8075289001277021E-2</v>
      </c>
      <c r="CW113" s="80">
        <f t="shared" si="71"/>
        <v>11616.005080952131</v>
      </c>
      <c r="CX113" s="81">
        <f t="shared" si="66"/>
        <v>9873.6043188093117</v>
      </c>
      <c r="CY113" s="65">
        <f t="shared" si="61"/>
        <v>9001.0049531593049</v>
      </c>
      <c r="CZ113" s="65">
        <f>'Sensitivity - Population'!S38 + 'Sensitivity - GDP'!P39 +'Sensitivity - GDP'!P101</f>
        <v>82405.627910590425</v>
      </c>
      <c r="DA113" s="65">
        <f t="shared" si="67"/>
        <v>9407.0351496107796</v>
      </c>
      <c r="DB113" s="65">
        <f>'Sensitivity - Population'!E38+'Sensitivity - GDP'!D39+'Sensitivity - GDP'!D101</f>
        <v>75665.759061295408</v>
      </c>
      <c r="DC113" s="65">
        <f t="shared" si="68"/>
        <v>8637.643728458379</v>
      </c>
      <c r="EQ113" s="92"/>
    </row>
    <row r="114" spans="14:147" x14ac:dyDescent="0.35">
      <c r="N114" s="90"/>
      <c r="O114" s="79">
        <v>54057</v>
      </c>
      <c r="P114" s="23">
        <f t="shared" si="77"/>
        <v>0</v>
      </c>
      <c r="Q114" s="23">
        <f t="shared" si="77"/>
        <v>0</v>
      </c>
      <c r="R114" s="23">
        <f t="shared" si="77"/>
        <v>403.8</v>
      </c>
      <c r="S114" s="23">
        <f t="shared" si="77"/>
        <v>400</v>
      </c>
      <c r="T114" s="23">
        <f t="shared" si="77"/>
        <v>400</v>
      </c>
      <c r="U114" s="23">
        <f t="shared" si="77"/>
        <v>0</v>
      </c>
      <c r="V114" s="23">
        <f t="shared" si="77"/>
        <v>0</v>
      </c>
      <c r="W114" s="23">
        <f t="shared" si="77"/>
        <v>420</v>
      </c>
      <c r="X114" s="23">
        <f t="shared" si="77"/>
        <v>420</v>
      </c>
      <c r="Y114" s="23">
        <f t="shared" si="77"/>
        <v>47.8</v>
      </c>
      <c r="Z114" s="23">
        <f t="shared" si="75"/>
        <v>132</v>
      </c>
      <c r="AA114" s="23">
        <f t="shared" si="75"/>
        <v>0</v>
      </c>
      <c r="AB114" s="23">
        <f t="shared" si="75"/>
        <v>0</v>
      </c>
      <c r="AC114" s="23">
        <f t="shared" si="75"/>
        <v>0</v>
      </c>
      <c r="AD114" s="23">
        <f t="shared" si="75"/>
        <v>0</v>
      </c>
      <c r="AE114" s="23">
        <f t="shared" si="75"/>
        <v>405.9</v>
      </c>
      <c r="AF114" s="23">
        <f t="shared" si="75"/>
        <v>60</v>
      </c>
      <c r="AG114" s="23">
        <f t="shared" si="75"/>
        <v>67.8</v>
      </c>
      <c r="AH114" s="23">
        <f t="shared" si="75"/>
        <v>55</v>
      </c>
      <c r="AI114" s="23">
        <f t="shared" si="75"/>
        <v>0</v>
      </c>
      <c r="AJ114" s="23">
        <f t="shared" si="75"/>
        <v>0</v>
      </c>
      <c r="AK114" s="23">
        <f t="shared" si="75"/>
        <v>0</v>
      </c>
      <c r="AL114" s="23">
        <f t="shared" si="75"/>
        <v>0</v>
      </c>
      <c r="AM114" s="23">
        <f t="shared" si="75"/>
        <v>0</v>
      </c>
      <c r="AN114" s="23">
        <f t="shared" si="75"/>
        <v>431</v>
      </c>
      <c r="AO114" s="23">
        <f t="shared" si="75"/>
        <v>431</v>
      </c>
      <c r="AP114" s="23">
        <f t="shared" si="78"/>
        <v>110</v>
      </c>
      <c r="AQ114" s="23">
        <f t="shared" si="78"/>
        <v>110</v>
      </c>
      <c r="AR114" s="23">
        <f t="shared" si="78"/>
        <v>47</v>
      </c>
      <c r="AS114" s="23">
        <f t="shared" si="78"/>
        <v>47</v>
      </c>
      <c r="AT114" s="23">
        <f t="shared" si="78"/>
        <v>0</v>
      </c>
      <c r="AU114" s="23">
        <f t="shared" si="78"/>
        <v>0</v>
      </c>
      <c r="AV114" s="23">
        <f t="shared" si="78"/>
        <v>0</v>
      </c>
      <c r="AW114" s="23">
        <f t="shared" si="78"/>
        <v>0</v>
      </c>
      <c r="AX114" s="23">
        <f t="shared" si="78"/>
        <v>0</v>
      </c>
      <c r="AY114" s="23">
        <f t="shared" si="78"/>
        <v>0</v>
      </c>
      <c r="AZ114" s="23">
        <f t="shared" si="78"/>
        <v>0</v>
      </c>
      <c r="BA114" s="23">
        <f t="shared" si="80"/>
        <v>370</v>
      </c>
      <c r="BB114" s="23">
        <f t="shared" si="80"/>
        <v>370</v>
      </c>
      <c r="BC114" s="23">
        <f t="shared" si="80"/>
        <v>22</v>
      </c>
      <c r="BD114" s="23">
        <f t="shared" si="80"/>
        <v>395.7</v>
      </c>
      <c r="BE114" s="23">
        <f t="shared" si="80"/>
        <v>101</v>
      </c>
      <c r="BF114" s="23">
        <f t="shared" si="80"/>
        <v>32.5</v>
      </c>
      <c r="BG114" s="23">
        <f t="shared" si="80"/>
        <v>37.5</v>
      </c>
      <c r="BH114" s="23">
        <f t="shared" si="80"/>
        <v>37.5</v>
      </c>
      <c r="BI114" s="23">
        <f t="shared" si="80"/>
        <v>1.95</v>
      </c>
      <c r="BJ114" s="23">
        <f t="shared" si="80"/>
        <v>68.19</v>
      </c>
      <c r="BK114" s="23">
        <f t="shared" si="80"/>
        <v>68.19</v>
      </c>
      <c r="BL114" s="23">
        <f t="shared" si="80"/>
        <v>40</v>
      </c>
      <c r="BM114" s="23">
        <f t="shared" si="80"/>
        <v>14</v>
      </c>
      <c r="BN114" s="23">
        <f t="shared" si="80"/>
        <v>439.33333333333331</v>
      </c>
      <c r="BO114" s="23">
        <f t="shared" si="80"/>
        <v>439.33333333333331</v>
      </c>
      <c r="BP114" s="23">
        <f t="shared" si="80"/>
        <v>439.33333333333331</v>
      </c>
      <c r="BQ114" s="23">
        <f t="shared" si="79"/>
        <v>100</v>
      </c>
      <c r="BR114" s="23">
        <f t="shared" si="79"/>
        <v>100</v>
      </c>
      <c r="BS114" s="23">
        <f t="shared" si="79"/>
        <v>100</v>
      </c>
      <c r="BT114" s="23">
        <f t="shared" si="79"/>
        <v>100</v>
      </c>
      <c r="BU114" s="23">
        <f t="shared" si="79"/>
        <v>100</v>
      </c>
      <c r="BV114" s="23">
        <f t="shared" si="79"/>
        <v>200</v>
      </c>
      <c r="BW114" s="23">
        <f t="shared" si="79"/>
        <v>200</v>
      </c>
      <c r="BX114" s="23">
        <f t="shared" si="79"/>
        <v>200</v>
      </c>
      <c r="BY114" s="23">
        <f t="shared" si="79"/>
        <v>200</v>
      </c>
      <c r="BZ114" s="23">
        <f t="shared" si="79"/>
        <v>200</v>
      </c>
      <c r="CA114" s="23">
        <f t="shared" si="79"/>
        <v>200</v>
      </c>
      <c r="CB114" s="23">
        <f t="shared" si="79"/>
        <v>200</v>
      </c>
      <c r="CC114" s="23">
        <f t="shared" si="81"/>
        <v>200</v>
      </c>
      <c r="CD114" s="23">
        <f t="shared" si="81"/>
        <v>200</v>
      </c>
      <c r="CE114" s="23">
        <f t="shared" si="81"/>
        <v>200</v>
      </c>
      <c r="CF114" s="23">
        <f t="shared" si="81"/>
        <v>200</v>
      </c>
      <c r="CG114" s="23">
        <f t="shared" si="81"/>
        <v>200</v>
      </c>
      <c r="CH114" s="23">
        <f t="shared" si="81"/>
        <v>200</v>
      </c>
      <c r="CI114" s="23">
        <f t="shared" si="81"/>
        <v>200</v>
      </c>
      <c r="CJ114" s="23">
        <f t="shared" si="81"/>
        <v>200</v>
      </c>
      <c r="CK114" s="23">
        <f t="shared" si="81"/>
        <v>200</v>
      </c>
      <c r="CL114" s="23">
        <f t="shared" si="81"/>
        <v>200</v>
      </c>
      <c r="CM114" s="23">
        <f t="shared" si="81"/>
        <v>200</v>
      </c>
      <c r="CN114" s="23" t="e">
        <f t="shared" si="81"/>
        <v>#NUM!</v>
      </c>
      <c r="CO114" s="23" t="e">
        <f t="shared" si="81"/>
        <v>#NUM!</v>
      </c>
      <c r="CP114" s="23">
        <f t="shared" si="58"/>
        <v>5546.829999999999</v>
      </c>
      <c r="CQ114" s="67">
        <f t="shared" si="69"/>
        <v>8.2687953853506871E-2</v>
      </c>
      <c r="CR114" s="67">
        <v>0.85</v>
      </c>
      <c r="CS114" s="80">
        <f t="shared" si="65"/>
        <v>5719.7494736429853</v>
      </c>
      <c r="CT114" s="81">
        <f t="shared" si="59"/>
        <v>4861.7870525965373</v>
      </c>
      <c r="CU114" s="23">
        <f t="shared" si="60"/>
        <v>10964.829999999998</v>
      </c>
      <c r="CV114" s="67">
        <f t="shared" si="70"/>
        <v>2.6631560351998214E-2</v>
      </c>
      <c r="CW114" s="80">
        <f t="shared" si="71"/>
        <v>11306.652740589636</v>
      </c>
      <c r="CX114" s="81">
        <f t="shared" si="66"/>
        <v>9610.6548295011908</v>
      </c>
      <c r="CY114" s="65">
        <f t="shared" si="61"/>
        <v>9116.7725444739917</v>
      </c>
      <c r="CZ114" s="65">
        <f>'Sensitivity - Population'!S39 + 'Sensitivity - GDP'!P40 +'Sensitivity - GDP'!P102</f>
        <v>83508.119285589055</v>
      </c>
      <c r="DA114" s="65">
        <f t="shared" si="67"/>
        <v>9532.8903294051433</v>
      </c>
      <c r="DB114" s="65">
        <f>'Sensitivity - Population'!E39+'Sensitivity - GDP'!D40+'Sensitivity - GDP'!D102</f>
        <v>76648.682864431816</v>
      </c>
      <c r="DC114" s="65">
        <f t="shared" si="68"/>
        <v>8749.849642058427</v>
      </c>
      <c r="EQ114" s="92"/>
    </row>
    <row r="115" spans="14:147" x14ac:dyDescent="0.35">
      <c r="N115" s="90"/>
      <c r="O115" s="79">
        <v>54423</v>
      </c>
      <c r="P115" s="23">
        <f t="shared" si="77"/>
        <v>0</v>
      </c>
      <c r="Q115" s="23">
        <f t="shared" si="77"/>
        <v>0</v>
      </c>
      <c r="R115" s="23">
        <f t="shared" si="77"/>
        <v>403.8</v>
      </c>
      <c r="S115" s="23">
        <f t="shared" si="77"/>
        <v>400</v>
      </c>
      <c r="T115" s="23">
        <f t="shared" si="77"/>
        <v>400</v>
      </c>
      <c r="U115" s="23">
        <f t="shared" si="77"/>
        <v>0</v>
      </c>
      <c r="V115" s="23">
        <f t="shared" si="77"/>
        <v>0</v>
      </c>
      <c r="W115" s="23">
        <f t="shared" si="77"/>
        <v>420</v>
      </c>
      <c r="X115" s="23">
        <f t="shared" si="77"/>
        <v>420</v>
      </c>
      <c r="Y115" s="23">
        <f t="shared" si="77"/>
        <v>47.8</v>
      </c>
      <c r="Z115" s="23">
        <f t="shared" si="75"/>
        <v>132</v>
      </c>
      <c r="AA115" s="23">
        <f t="shared" si="75"/>
        <v>0</v>
      </c>
      <c r="AB115" s="23">
        <f t="shared" si="75"/>
        <v>0</v>
      </c>
      <c r="AC115" s="23">
        <f t="shared" si="75"/>
        <v>0</v>
      </c>
      <c r="AD115" s="23">
        <f t="shared" si="75"/>
        <v>0</v>
      </c>
      <c r="AE115" s="23">
        <f t="shared" si="75"/>
        <v>405.9</v>
      </c>
      <c r="AF115" s="23">
        <f t="shared" si="75"/>
        <v>60</v>
      </c>
      <c r="AG115" s="23">
        <f t="shared" si="75"/>
        <v>67.8</v>
      </c>
      <c r="AH115" s="23">
        <f t="shared" si="75"/>
        <v>55</v>
      </c>
      <c r="AI115" s="23">
        <f t="shared" si="75"/>
        <v>0</v>
      </c>
      <c r="AJ115" s="23">
        <f t="shared" si="75"/>
        <v>0</v>
      </c>
      <c r="AK115" s="23">
        <f t="shared" si="75"/>
        <v>0</v>
      </c>
      <c r="AL115" s="23">
        <f t="shared" si="75"/>
        <v>0</v>
      </c>
      <c r="AM115" s="23">
        <f t="shared" si="75"/>
        <v>0</v>
      </c>
      <c r="AN115" s="23">
        <f t="shared" si="75"/>
        <v>431</v>
      </c>
      <c r="AO115" s="23">
        <f t="shared" si="75"/>
        <v>431</v>
      </c>
      <c r="AP115" s="23">
        <f t="shared" si="78"/>
        <v>110</v>
      </c>
      <c r="AQ115" s="23">
        <f t="shared" si="78"/>
        <v>110</v>
      </c>
      <c r="AR115" s="23">
        <f t="shared" si="78"/>
        <v>47</v>
      </c>
      <c r="AS115" s="23">
        <f t="shared" si="78"/>
        <v>47</v>
      </c>
      <c r="AT115" s="23">
        <f t="shared" si="78"/>
        <v>0</v>
      </c>
      <c r="AU115" s="23">
        <f t="shared" si="78"/>
        <v>0</v>
      </c>
      <c r="AV115" s="23">
        <f t="shared" si="78"/>
        <v>0</v>
      </c>
      <c r="AW115" s="23">
        <f t="shared" si="78"/>
        <v>0</v>
      </c>
      <c r="AX115" s="23">
        <f t="shared" si="78"/>
        <v>0</v>
      </c>
      <c r="AY115" s="23">
        <f t="shared" si="78"/>
        <v>0</v>
      </c>
      <c r="AZ115" s="23">
        <f t="shared" si="78"/>
        <v>0</v>
      </c>
      <c r="BA115" s="23">
        <f t="shared" si="80"/>
        <v>370</v>
      </c>
      <c r="BB115" s="23">
        <f t="shared" si="80"/>
        <v>370</v>
      </c>
      <c r="BC115" s="23">
        <f t="shared" si="80"/>
        <v>22</v>
      </c>
      <c r="BD115" s="23">
        <f t="shared" si="80"/>
        <v>395.7</v>
      </c>
      <c r="BE115" s="23">
        <f t="shared" si="80"/>
        <v>101</v>
      </c>
      <c r="BF115" s="23">
        <f t="shared" si="80"/>
        <v>32.5</v>
      </c>
      <c r="BG115" s="23">
        <f t="shared" si="80"/>
        <v>37.5</v>
      </c>
      <c r="BH115" s="23">
        <f t="shared" si="80"/>
        <v>37.5</v>
      </c>
      <c r="BI115" s="23">
        <f t="shared" si="80"/>
        <v>1.95</v>
      </c>
      <c r="BJ115" s="23">
        <f t="shared" si="80"/>
        <v>68.19</v>
      </c>
      <c r="BK115" s="23">
        <f t="shared" si="80"/>
        <v>68.19</v>
      </c>
      <c r="BL115" s="23">
        <f t="shared" si="80"/>
        <v>40</v>
      </c>
      <c r="BM115" s="23">
        <f t="shared" si="80"/>
        <v>14</v>
      </c>
      <c r="BN115" s="23">
        <f t="shared" si="80"/>
        <v>439.33333333333331</v>
      </c>
      <c r="BO115" s="23">
        <f t="shared" si="80"/>
        <v>439.33333333333331</v>
      </c>
      <c r="BP115" s="23">
        <f t="shared" si="80"/>
        <v>439.33333333333331</v>
      </c>
      <c r="BQ115" s="23">
        <f t="shared" si="79"/>
        <v>100</v>
      </c>
      <c r="BR115" s="23">
        <f t="shared" si="79"/>
        <v>100</v>
      </c>
      <c r="BS115" s="23">
        <f t="shared" si="79"/>
        <v>100</v>
      </c>
      <c r="BT115" s="23">
        <f t="shared" si="79"/>
        <v>100</v>
      </c>
      <c r="BU115" s="23">
        <f t="shared" si="79"/>
        <v>100</v>
      </c>
      <c r="BV115" s="23">
        <f t="shared" si="79"/>
        <v>200</v>
      </c>
      <c r="BW115" s="23">
        <f t="shared" si="79"/>
        <v>200</v>
      </c>
      <c r="BX115" s="23">
        <f t="shared" si="79"/>
        <v>200</v>
      </c>
      <c r="BY115" s="23">
        <f t="shared" si="79"/>
        <v>200</v>
      </c>
      <c r="BZ115" s="23">
        <f t="shared" si="79"/>
        <v>200</v>
      </c>
      <c r="CA115" s="23">
        <f t="shared" si="79"/>
        <v>200</v>
      </c>
      <c r="CB115" s="23">
        <f t="shared" si="79"/>
        <v>200</v>
      </c>
      <c r="CC115" s="23">
        <f t="shared" si="81"/>
        <v>200</v>
      </c>
      <c r="CD115" s="23">
        <f t="shared" si="81"/>
        <v>200</v>
      </c>
      <c r="CE115" s="23">
        <f t="shared" si="81"/>
        <v>200</v>
      </c>
      <c r="CF115" s="23">
        <f t="shared" si="81"/>
        <v>200</v>
      </c>
      <c r="CG115" s="23">
        <f t="shared" si="81"/>
        <v>200</v>
      </c>
      <c r="CH115" s="23">
        <f t="shared" si="81"/>
        <v>200</v>
      </c>
      <c r="CI115" s="23">
        <f t="shared" si="81"/>
        <v>200</v>
      </c>
      <c r="CJ115" s="23">
        <f t="shared" si="81"/>
        <v>200</v>
      </c>
      <c r="CK115" s="23">
        <f t="shared" si="81"/>
        <v>200</v>
      </c>
      <c r="CL115" s="23">
        <f t="shared" si="81"/>
        <v>200</v>
      </c>
      <c r="CM115" s="23">
        <f t="shared" si="81"/>
        <v>200</v>
      </c>
      <c r="CN115" s="23">
        <f t="shared" si="81"/>
        <v>200</v>
      </c>
      <c r="CO115" s="23" t="e">
        <f t="shared" si="81"/>
        <v>#NUM!</v>
      </c>
      <c r="CP115" s="23">
        <f t="shared" si="58"/>
        <v>5546.829999999999</v>
      </c>
      <c r="CQ115" s="67">
        <f t="shared" si="69"/>
        <v>0</v>
      </c>
      <c r="CR115" s="67">
        <v>0.85</v>
      </c>
      <c r="CS115" s="80">
        <f t="shared" si="65"/>
        <v>5719.7494736429853</v>
      </c>
      <c r="CT115" s="81">
        <f t="shared" si="59"/>
        <v>4861.7870525965373</v>
      </c>
      <c r="CU115" s="23">
        <f t="shared" si="60"/>
        <v>11164.829999999998</v>
      </c>
      <c r="CV115" s="67">
        <f t="shared" si="70"/>
        <v>-1.8240136873987105E-2</v>
      </c>
      <c r="CW115" s="80">
        <f t="shared" si="71"/>
        <v>11512.887634164632</v>
      </c>
      <c r="CX115" s="81">
        <f t="shared" si="66"/>
        <v>9785.9544890399375</v>
      </c>
      <c r="CY115" s="65">
        <f t="shared" si="61"/>
        <v>9232.4051556999439</v>
      </c>
      <c r="CZ115" s="65">
        <f>'Sensitivity - Population'!S40 + 'Sensitivity - GDP'!P41 +'Sensitivity - GDP'!P103</f>
        <v>84609.430680297868</v>
      </c>
      <c r="DA115" s="65">
        <f t="shared" si="67"/>
        <v>9658.6108082531809</v>
      </c>
      <c r="DB115" s="65">
        <f>'Sensitivity - Population'!E40+'Sensitivity - GDP'!D41+'Sensitivity - GDP'!D103</f>
        <v>77630.443059651123</v>
      </c>
      <c r="DC115" s="65">
        <f t="shared" si="68"/>
        <v>8861.9227237044652</v>
      </c>
      <c r="EQ115" s="92"/>
    </row>
    <row r="116" spans="14:147" x14ac:dyDescent="0.35">
      <c r="N116" s="90"/>
      <c r="O116" s="79">
        <v>54788</v>
      </c>
      <c r="P116" s="23">
        <f t="shared" si="77"/>
        <v>0</v>
      </c>
      <c r="Q116" s="23">
        <f t="shared" si="77"/>
        <v>0</v>
      </c>
      <c r="R116" s="23">
        <f t="shared" si="77"/>
        <v>403.8</v>
      </c>
      <c r="S116" s="23">
        <f t="shared" si="77"/>
        <v>400</v>
      </c>
      <c r="T116" s="23">
        <f t="shared" si="77"/>
        <v>400</v>
      </c>
      <c r="U116" s="23">
        <f t="shared" si="77"/>
        <v>0</v>
      </c>
      <c r="V116" s="23">
        <f t="shared" si="77"/>
        <v>0</v>
      </c>
      <c r="W116" s="23">
        <f t="shared" si="77"/>
        <v>420</v>
      </c>
      <c r="X116" s="23">
        <f t="shared" si="77"/>
        <v>420</v>
      </c>
      <c r="Y116" s="23">
        <f t="shared" si="77"/>
        <v>47.8</v>
      </c>
      <c r="Z116" s="23">
        <f t="shared" si="75"/>
        <v>132</v>
      </c>
      <c r="AA116" s="23">
        <f t="shared" si="75"/>
        <v>0</v>
      </c>
      <c r="AB116" s="23">
        <f t="shared" si="75"/>
        <v>0</v>
      </c>
      <c r="AC116" s="23">
        <f t="shared" si="75"/>
        <v>0</v>
      </c>
      <c r="AD116" s="23">
        <f t="shared" si="75"/>
        <v>0</v>
      </c>
      <c r="AE116" s="23">
        <f t="shared" si="75"/>
        <v>405.9</v>
      </c>
      <c r="AF116" s="23">
        <f t="shared" si="75"/>
        <v>60</v>
      </c>
      <c r="AG116" s="23">
        <f t="shared" si="75"/>
        <v>67.8</v>
      </c>
      <c r="AH116" s="23">
        <f t="shared" si="75"/>
        <v>55</v>
      </c>
      <c r="AI116" s="23">
        <f t="shared" si="75"/>
        <v>0</v>
      </c>
      <c r="AJ116" s="23">
        <f t="shared" si="75"/>
        <v>0</v>
      </c>
      <c r="AK116" s="23">
        <f t="shared" si="75"/>
        <v>0</v>
      </c>
      <c r="AL116" s="23">
        <f t="shared" si="75"/>
        <v>0</v>
      </c>
      <c r="AM116" s="23">
        <f t="shared" si="75"/>
        <v>0</v>
      </c>
      <c r="AN116" s="23">
        <f t="shared" si="75"/>
        <v>431</v>
      </c>
      <c r="AO116" s="23">
        <f t="shared" si="75"/>
        <v>431</v>
      </c>
      <c r="AP116" s="23">
        <f t="shared" si="78"/>
        <v>110</v>
      </c>
      <c r="AQ116" s="23">
        <f t="shared" si="78"/>
        <v>110</v>
      </c>
      <c r="AR116" s="23">
        <f t="shared" si="78"/>
        <v>47</v>
      </c>
      <c r="AS116" s="23">
        <f t="shared" si="78"/>
        <v>47</v>
      </c>
      <c r="AT116" s="23">
        <f t="shared" si="78"/>
        <v>0</v>
      </c>
      <c r="AU116" s="23">
        <f t="shared" si="78"/>
        <v>0</v>
      </c>
      <c r="AV116" s="23">
        <f t="shared" si="78"/>
        <v>0</v>
      </c>
      <c r="AW116" s="23">
        <f t="shared" si="78"/>
        <v>0</v>
      </c>
      <c r="AX116" s="23">
        <f t="shared" si="78"/>
        <v>0</v>
      </c>
      <c r="AY116" s="23">
        <f t="shared" si="78"/>
        <v>0</v>
      </c>
      <c r="AZ116" s="23">
        <f t="shared" si="78"/>
        <v>0</v>
      </c>
      <c r="BA116" s="23">
        <f t="shared" si="80"/>
        <v>370</v>
      </c>
      <c r="BB116" s="23">
        <f t="shared" si="80"/>
        <v>370</v>
      </c>
      <c r="BC116" s="23">
        <f t="shared" si="80"/>
        <v>22</v>
      </c>
      <c r="BD116" s="23">
        <f t="shared" si="80"/>
        <v>395.7</v>
      </c>
      <c r="BE116" s="23">
        <f t="shared" si="80"/>
        <v>101</v>
      </c>
      <c r="BF116" s="23">
        <f t="shared" si="80"/>
        <v>32.5</v>
      </c>
      <c r="BG116" s="23">
        <f t="shared" si="80"/>
        <v>37.5</v>
      </c>
      <c r="BH116" s="23">
        <f t="shared" si="80"/>
        <v>37.5</v>
      </c>
      <c r="BI116" s="23">
        <f t="shared" si="80"/>
        <v>1.95</v>
      </c>
      <c r="BJ116" s="23">
        <f t="shared" si="80"/>
        <v>68.19</v>
      </c>
      <c r="BK116" s="23">
        <f t="shared" si="80"/>
        <v>68.19</v>
      </c>
      <c r="BL116" s="23">
        <f t="shared" si="80"/>
        <v>40</v>
      </c>
      <c r="BM116" s="23">
        <f t="shared" si="80"/>
        <v>14</v>
      </c>
      <c r="BN116" s="23">
        <f t="shared" si="80"/>
        <v>439.33333333333331</v>
      </c>
      <c r="BO116" s="23">
        <f t="shared" si="80"/>
        <v>439.33333333333331</v>
      </c>
      <c r="BP116" s="23">
        <f t="shared" si="80"/>
        <v>439.33333333333331</v>
      </c>
      <c r="BQ116" s="23">
        <f t="shared" si="79"/>
        <v>100</v>
      </c>
      <c r="BR116" s="23">
        <f t="shared" si="79"/>
        <v>100</v>
      </c>
      <c r="BS116" s="23">
        <f t="shared" si="79"/>
        <v>100</v>
      </c>
      <c r="BT116" s="23">
        <f t="shared" si="79"/>
        <v>100</v>
      </c>
      <c r="BU116" s="23">
        <f t="shared" si="79"/>
        <v>100</v>
      </c>
      <c r="BV116" s="23">
        <f t="shared" si="79"/>
        <v>200</v>
      </c>
      <c r="BW116" s="23">
        <f t="shared" si="79"/>
        <v>200</v>
      </c>
      <c r="BX116" s="23">
        <f t="shared" si="79"/>
        <v>200</v>
      </c>
      <c r="BY116" s="23">
        <f t="shared" si="79"/>
        <v>200</v>
      </c>
      <c r="BZ116" s="23">
        <f t="shared" si="79"/>
        <v>200</v>
      </c>
      <c r="CA116" s="23">
        <f t="shared" si="79"/>
        <v>200</v>
      </c>
      <c r="CB116" s="23">
        <f t="shared" si="79"/>
        <v>200</v>
      </c>
      <c r="CC116" s="23">
        <f t="shared" si="81"/>
        <v>200</v>
      </c>
      <c r="CD116" s="23">
        <f t="shared" si="81"/>
        <v>200</v>
      </c>
      <c r="CE116" s="23">
        <f t="shared" si="81"/>
        <v>200</v>
      </c>
      <c r="CF116" s="23">
        <f t="shared" si="81"/>
        <v>200</v>
      </c>
      <c r="CG116" s="23">
        <f t="shared" si="81"/>
        <v>200</v>
      </c>
      <c r="CH116" s="23">
        <f t="shared" si="81"/>
        <v>200</v>
      </c>
      <c r="CI116" s="23">
        <f t="shared" si="81"/>
        <v>200</v>
      </c>
      <c r="CJ116" s="23">
        <f t="shared" si="81"/>
        <v>200</v>
      </c>
      <c r="CK116" s="23">
        <f t="shared" si="81"/>
        <v>200</v>
      </c>
      <c r="CL116" s="23">
        <f t="shared" si="81"/>
        <v>200</v>
      </c>
      <c r="CM116" s="23">
        <f t="shared" si="81"/>
        <v>200</v>
      </c>
      <c r="CN116" s="23">
        <f t="shared" si="81"/>
        <v>200</v>
      </c>
      <c r="CO116" s="23">
        <f t="shared" si="81"/>
        <v>200</v>
      </c>
      <c r="CP116" s="23">
        <f t="shared" si="58"/>
        <v>5546.829999999999</v>
      </c>
      <c r="CQ116" s="67">
        <f t="shared" si="69"/>
        <v>0</v>
      </c>
      <c r="CR116" s="67">
        <v>0.85</v>
      </c>
      <c r="CS116" s="80">
        <f t="shared" si="65"/>
        <v>5719.7494736429853</v>
      </c>
      <c r="CT116" s="81">
        <f t="shared" si="59"/>
        <v>4861.7870525965373</v>
      </c>
      <c r="CU116" s="23">
        <f t="shared" si="60"/>
        <v>11364.829999999998</v>
      </c>
      <c r="CV116" s="67">
        <f t="shared" si="70"/>
        <v>-1.7913394113479562E-2</v>
      </c>
      <c r="CW116" s="80">
        <f t="shared" si="71"/>
        <v>11719.122527739628</v>
      </c>
      <c r="CX116" s="81">
        <f t="shared" si="66"/>
        <v>9961.2541485786842</v>
      </c>
      <c r="CY116" s="65">
        <f t="shared" si="61"/>
        <v>9347.9013771425216</v>
      </c>
      <c r="CZ116" s="65">
        <f>'Sensitivity - Population'!S41 + 'Sensitivity - GDP'!P42 +'Sensitivity - GDP'!P104</f>
        <v>85709.549007599184</v>
      </c>
      <c r="DA116" s="65">
        <f t="shared" si="67"/>
        <v>9784.1950921916887</v>
      </c>
      <c r="DB116" s="65">
        <f>'Sensitivity - Population'!E41+'Sensitivity - GDP'!D42+'Sensitivity - GDP'!D104</f>
        <v>78611.026741420996</v>
      </c>
      <c r="DC116" s="65">
        <f t="shared" si="68"/>
        <v>8973.8615001622147</v>
      </c>
      <c r="EQ116" s="92"/>
    </row>
    <row r="117" spans="14:147" x14ac:dyDescent="0.35">
      <c r="N117" s="90"/>
      <c r="O117" s="79">
        <v>55153</v>
      </c>
      <c r="P117" s="23">
        <f t="shared" si="77"/>
        <v>0</v>
      </c>
      <c r="Q117" s="23">
        <f t="shared" si="77"/>
        <v>0</v>
      </c>
      <c r="R117" s="23">
        <f t="shared" si="77"/>
        <v>403.8</v>
      </c>
      <c r="S117" s="23">
        <f t="shared" si="77"/>
        <v>400</v>
      </c>
      <c r="T117" s="23">
        <f t="shared" si="77"/>
        <v>400</v>
      </c>
      <c r="U117" s="23">
        <f t="shared" si="77"/>
        <v>0</v>
      </c>
      <c r="V117" s="23">
        <f t="shared" si="77"/>
        <v>0</v>
      </c>
      <c r="W117" s="23">
        <f t="shared" si="77"/>
        <v>420</v>
      </c>
      <c r="X117" s="23">
        <f t="shared" si="77"/>
        <v>420</v>
      </c>
      <c r="Y117" s="23">
        <f t="shared" si="77"/>
        <v>47.8</v>
      </c>
      <c r="Z117" s="23">
        <f t="shared" si="75"/>
        <v>132</v>
      </c>
      <c r="AA117" s="23">
        <f t="shared" si="75"/>
        <v>0</v>
      </c>
      <c r="AB117" s="23">
        <f t="shared" si="75"/>
        <v>0</v>
      </c>
      <c r="AC117" s="23">
        <f t="shared" si="75"/>
        <v>0</v>
      </c>
      <c r="AD117" s="23">
        <f t="shared" si="75"/>
        <v>0</v>
      </c>
      <c r="AE117" s="23">
        <f t="shared" si="75"/>
        <v>405.9</v>
      </c>
      <c r="AF117" s="23">
        <f t="shared" si="75"/>
        <v>60</v>
      </c>
      <c r="AG117" s="23">
        <f t="shared" si="75"/>
        <v>67.8</v>
      </c>
      <c r="AH117" s="23">
        <f t="shared" si="75"/>
        <v>55</v>
      </c>
      <c r="AI117" s="23">
        <f t="shared" si="75"/>
        <v>0</v>
      </c>
      <c r="AJ117" s="23">
        <f t="shared" si="75"/>
        <v>0</v>
      </c>
      <c r="AK117" s="23">
        <f t="shared" si="75"/>
        <v>0</v>
      </c>
      <c r="AL117" s="23">
        <f t="shared" si="75"/>
        <v>0</v>
      </c>
      <c r="AM117" s="23">
        <f t="shared" si="75"/>
        <v>0</v>
      </c>
      <c r="AN117" s="23">
        <f t="shared" si="75"/>
        <v>431</v>
      </c>
      <c r="AO117" s="23">
        <f t="shared" si="75"/>
        <v>431</v>
      </c>
      <c r="AP117" s="23">
        <f t="shared" si="78"/>
        <v>110</v>
      </c>
      <c r="AQ117" s="23">
        <f t="shared" si="78"/>
        <v>110</v>
      </c>
      <c r="AR117" s="23">
        <f t="shared" si="78"/>
        <v>47</v>
      </c>
      <c r="AS117" s="23">
        <f t="shared" si="78"/>
        <v>47</v>
      </c>
      <c r="AT117" s="23">
        <f t="shared" si="78"/>
        <v>0</v>
      </c>
      <c r="AU117" s="23">
        <f t="shared" si="78"/>
        <v>0</v>
      </c>
      <c r="AV117" s="23">
        <f t="shared" si="78"/>
        <v>0</v>
      </c>
      <c r="AW117" s="23">
        <f t="shared" si="78"/>
        <v>0</v>
      </c>
      <c r="AX117" s="23">
        <f t="shared" si="78"/>
        <v>0</v>
      </c>
      <c r="AY117" s="23">
        <f t="shared" si="78"/>
        <v>0</v>
      </c>
      <c r="AZ117" s="23">
        <f t="shared" si="78"/>
        <v>0</v>
      </c>
      <c r="BA117" s="23">
        <f t="shared" si="80"/>
        <v>0</v>
      </c>
      <c r="BB117" s="23">
        <f t="shared" si="80"/>
        <v>0</v>
      </c>
      <c r="BC117" s="23">
        <f t="shared" si="80"/>
        <v>22</v>
      </c>
      <c r="BD117" s="23">
        <f t="shared" si="80"/>
        <v>395.7</v>
      </c>
      <c r="BE117" s="23">
        <f t="shared" si="80"/>
        <v>101</v>
      </c>
      <c r="BF117" s="23">
        <f t="shared" si="80"/>
        <v>32.5</v>
      </c>
      <c r="BG117" s="23">
        <f t="shared" si="80"/>
        <v>37.5</v>
      </c>
      <c r="BH117" s="23">
        <f t="shared" si="80"/>
        <v>37.5</v>
      </c>
      <c r="BI117" s="23">
        <f t="shared" si="80"/>
        <v>1.95</v>
      </c>
      <c r="BJ117" s="23">
        <f t="shared" si="80"/>
        <v>68.19</v>
      </c>
      <c r="BK117" s="23">
        <f t="shared" si="80"/>
        <v>68.19</v>
      </c>
      <c r="BL117" s="23">
        <f t="shared" si="80"/>
        <v>40</v>
      </c>
      <c r="BM117" s="23">
        <f t="shared" si="80"/>
        <v>14</v>
      </c>
      <c r="BN117" s="23">
        <f t="shared" si="80"/>
        <v>439.33333333333331</v>
      </c>
      <c r="BO117" s="23">
        <f t="shared" si="80"/>
        <v>439.33333333333331</v>
      </c>
      <c r="BP117" s="23">
        <f t="shared" si="80"/>
        <v>439.33333333333331</v>
      </c>
      <c r="BQ117" s="23">
        <f t="shared" si="79"/>
        <v>100</v>
      </c>
      <c r="BR117" s="23">
        <f t="shared" si="79"/>
        <v>100</v>
      </c>
      <c r="BS117" s="23">
        <f t="shared" si="79"/>
        <v>100</v>
      </c>
      <c r="BT117" s="23">
        <f t="shared" si="79"/>
        <v>100</v>
      </c>
      <c r="BU117" s="23">
        <f t="shared" si="79"/>
        <v>100</v>
      </c>
      <c r="BV117" s="23">
        <f t="shared" si="79"/>
        <v>200</v>
      </c>
      <c r="BW117" s="23">
        <f t="shared" si="79"/>
        <v>200</v>
      </c>
      <c r="BX117" s="23">
        <f t="shared" si="79"/>
        <v>200</v>
      </c>
      <c r="BY117" s="23">
        <f t="shared" si="79"/>
        <v>200</v>
      </c>
      <c r="BZ117" s="23">
        <f t="shared" si="79"/>
        <v>200</v>
      </c>
      <c r="CA117" s="23">
        <f t="shared" si="79"/>
        <v>200</v>
      </c>
      <c r="CB117" s="23">
        <f t="shared" si="79"/>
        <v>200</v>
      </c>
      <c r="CC117" s="23">
        <f t="shared" si="81"/>
        <v>200</v>
      </c>
      <c r="CD117" s="23">
        <f t="shared" si="81"/>
        <v>200</v>
      </c>
      <c r="CE117" s="23">
        <f t="shared" si="81"/>
        <v>200</v>
      </c>
      <c r="CF117" s="23">
        <f t="shared" si="81"/>
        <v>200</v>
      </c>
      <c r="CG117" s="23">
        <f t="shared" si="81"/>
        <v>200</v>
      </c>
      <c r="CH117" s="23">
        <f t="shared" si="81"/>
        <v>200</v>
      </c>
      <c r="CI117" s="23">
        <f t="shared" si="81"/>
        <v>200</v>
      </c>
      <c r="CJ117" s="23">
        <f t="shared" si="81"/>
        <v>200</v>
      </c>
      <c r="CK117" s="23">
        <f t="shared" si="81"/>
        <v>200</v>
      </c>
      <c r="CL117" s="23">
        <f t="shared" si="81"/>
        <v>200</v>
      </c>
      <c r="CM117" s="23">
        <f t="shared" si="81"/>
        <v>200</v>
      </c>
      <c r="CN117" s="23">
        <f t="shared" si="81"/>
        <v>200</v>
      </c>
      <c r="CO117" s="23">
        <f t="shared" si="81"/>
        <v>200</v>
      </c>
      <c r="CP117" s="23">
        <f t="shared" si="58"/>
        <v>4806.829999999999</v>
      </c>
      <c r="CQ117" s="67">
        <f t="shared" si="69"/>
        <v>0.13340953301254954</v>
      </c>
      <c r="CR117" s="67">
        <v>0.85</v>
      </c>
      <c r="CS117" s="80">
        <f t="shared" si="65"/>
        <v>4956.6803674154989</v>
      </c>
      <c r="CT117" s="81">
        <f t="shared" si="59"/>
        <v>4213.1783123031737</v>
      </c>
      <c r="CU117" s="23">
        <f t="shared" si="60"/>
        <v>10624.829999999998</v>
      </c>
      <c r="CV117" s="67">
        <f t="shared" si="70"/>
        <v>6.5113160513619664E-2</v>
      </c>
      <c r="CW117" s="80">
        <f t="shared" si="71"/>
        <v>10956.053421512141</v>
      </c>
      <c r="CX117" s="81">
        <f t="shared" si="66"/>
        <v>9312.6454082853197</v>
      </c>
      <c r="CY117" s="65">
        <f t="shared" si="61"/>
        <v>9463.2598713718889</v>
      </c>
      <c r="CZ117" s="65">
        <f>'Sensitivity - Population'!S42 + 'Sensitivity - GDP'!P43 +'Sensitivity - GDP'!P105</f>
        <v>86808.461807427637</v>
      </c>
      <c r="DA117" s="65">
        <f t="shared" si="67"/>
        <v>9909.6417588387703</v>
      </c>
      <c r="DB117" s="65">
        <f>'Sensitivity - Population'!E42+'Sensitivity - GDP'!D43+'Sensitivity - GDP'!D105</f>
        <v>79590.421622561043</v>
      </c>
      <c r="DC117" s="65">
        <f t="shared" si="68"/>
        <v>9085.6645687855071</v>
      </c>
      <c r="EQ117" s="92"/>
    </row>
    <row r="118" spans="14:147" x14ac:dyDescent="0.35">
      <c r="N118" s="94"/>
      <c r="O118" s="95"/>
      <c r="P118" s="95"/>
      <c r="Q118" s="95"/>
      <c r="R118" s="95"/>
      <c r="S118" s="95"/>
      <c r="T118" s="95"/>
      <c r="U118" s="95"/>
      <c r="V118" s="95"/>
      <c r="W118" s="95"/>
      <c r="X118" s="95"/>
      <c r="Y118" s="95"/>
      <c r="Z118" s="95"/>
      <c r="AA118" s="95"/>
      <c r="AB118" s="95"/>
      <c r="AC118" s="95"/>
      <c r="AD118" s="95"/>
      <c r="AE118" s="95"/>
      <c r="AF118" s="95"/>
      <c r="AG118" s="95"/>
      <c r="AH118" s="95"/>
      <c r="AI118" s="95"/>
      <c r="AJ118" s="95"/>
      <c r="AK118" s="95"/>
      <c r="AL118" s="95"/>
      <c r="AM118" s="95"/>
      <c r="AN118" s="95"/>
      <c r="AO118" s="95"/>
      <c r="AP118" s="95"/>
      <c r="AQ118" s="95"/>
      <c r="AR118" s="95"/>
      <c r="AS118" s="95"/>
      <c r="AT118" s="95"/>
      <c r="AU118" s="95"/>
      <c r="AV118" s="95"/>
      <c r="AW118" s="95"/>
      <c r="AX118" s="95"/>
      <c r="AY118" s="95"/>
      <c r="AZ118" s="95"/>
      <c r="BA118" s="95"/>
      <c r="BB118" s="95"/>
      <c r="BC118" s="95"/>
      <c r="BD118" s="95"/>
      <c r="BE118" s="95"/>
      <c r="BF118" s="95"/>
      <c r="BG118" s="95"/>
      <c r="BH118" s="95"/>
      <c r="BI118" s="95"/>
      <c r="BJ118" s="95"/>
      <c r="BK118" s="95"/>
      <c r="BL118" s="95"/>
      <c r="BM118" s="95"/>
      <c r="BN118" s="95"/>
      <c r="BO118" s="95"/>
      <c r="BP118" s="95"/>
      <c r="BQ118" s="95"/>
      <c r="BR118" s="95"/>
      <c r="BS118" s="95"/>
      <c r="BT118" s="95"/>
      <c r="BU118" s="95"/>
      <c r="BV118" s="95"/>
      <c r="BW118" s="95"/>
      <c r="BX118" s="95"/>
      <c r="BY118" s="95"/>
      <c r="BZ118" s="95"/>
      <c r="CA118" s="95"/>
      <c r="CB118" s="95"/>
      <c r="CC118" s="95"/>
      <c r="CD118" s="95"/>
      <c r="CE118" s="95"/>
      <c r="CF118" s="95"/>
      <c r="CG118" s="95"/>
      <c r="CH118" s="95"/>
      <c r="CI118" s="95"/>
      <c r="CJ118" s="95"/>
      <c r="CK118" s="95"/>
      <c r="CL118" s="95"/>
      <c r="CM118" s="95"/>
      <c r="CN118" s="95"/>
      <c r="CO118" s="95"/>
      <c r="CP118" s="95"/>
      <c r="CQ118" s="95"/>
      <c r="CR118" s="95"/>
      <c r="CS118" s="95"/>
      <c r="CT118" s="95"/>
      <c r="CU118" s="95"/>
      <c r="CV118" s="95"/>
      <c r="CW118" s="95"/>
      <c r="CX118" s="95"/>
      <c r="CY118" s="95"/>
      <c r="CZ118" s="95"/>
      <c r="DA118" s="95"/>
      <c r="DB118" s="95"/>
      <c r="DC118" s="95"/>
      <c r="DD118" s="95"/>
      <c r="DE118" s="95"/>
      <c r="DF118" s="95"/>
      <c r="DG118" s="95"/>
      <c r="DH118" s="95"/>
      <c r="DI118" s="95"/>
      <c r="DJ118" s="95"/>
      <c r="DK118" s="95"/>
      <c r="DL118" s="95"/>
      <c r="DM118" s="95"/>
      <c r="DN118" s="95"/>
      <c r="DO118" s="95"/>
      <c r="DP118" s="95"/>
      <c r="DQ118" s="95"/>
      <c r="DR118" s="95"/>
      <c r="DS118" s="95"/>
      <c r="DT118" s="95"/>
      <c r="DU118" s="95"/>
      <c r="DV118" s="95"/>
      <c r="DW118" s="95"/>
      <c r="DX118" s="95"/>
      <c r="DY118" s="95"/>
      <c r="DZ118" s="95"/>
      <c r="EA118" s="95"/>
      <c r="EB118" s="95"/>
      <c r="EC118" s="95"/>
      <c r="ED118" s="95"/>
      <c r="EE118" s="95"/>
      <c r="EF118" s="95"/>
      <c r="EG118" s="95"/>
      <c r="EH118" s="95"/>
      <c r="EI118" s="95"/>
      <c r="EJ118" s="95"/>
      <c r="EK118" s="95"/>
      <c r="EL118" s="95"/>
      <c r="EM118" s="95"/>
      <c r="EN118" s="95"/>
      <c r="EO118" s="95"/>
      <c r="EP118" s="95"/>
      <c r="EQ118" s="96"/>
    </row>
  </sheetData>
  <autoFilter ref="C14:K14" xr:uid="{00000000-0001-0000-0000-000000000000}"/>
  <mergeCells count="9">
    <mergeCell ref="BN86:CO86"/>
    <mergeCell ref="CP86:CT86"/>
    <mergeCell ref="CU86:CX86"/>
    <mergeCell ref="BN12:CO12"/>
    <mergeCell ref="CP12:CT12"/>
    <mergeCell ref="CU12:CX12"/>
    <mergeCell ref="BN49:CO49"/>
    <mergeCell ref="CP49:CT49"/>
    <mergeCell ref="CU49:CX49"/>
  </mergeCells>
  <conditionalFormatting sqref="G15:G64">
    <cfRule type="colorScale" priority="1">
      <colorScale>
        <cfvo type="min"/>
        <cfvo type="max"/>
        <color rgb="FFFF0000"/>
        <color rgb="FF00B050"/>
      </colorScale>
    </cfRule>
  </conditionalFormatting>
  <hyperlinks>
    <hyperlink ref="C12" r:id="rId1" xr:uid="{33A28DDD-C472-4628-AF93-8F1FDE664D71}"/>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1F21C-D3AD-4433-9D12-6D9E3899477F}">
  <sheetPr>
    <tabColor rgb="FF92D050"/>
  </sheetPr>
  <dimension ref="B2:X104"/>
  <sheetViews>
    <sheetView showGridLines="0" zoomScale="80" zoomScaleNormal="80" workbookViewId="0">
      <selection activeCell="D47" sqref="D47"/>
    </sheetView>
  </sheetViews>
  <sheetFormatPr defaultRowHeight="14.5" x14ac:dyDescent="0.35"/>
  <cols>
    <col min="2" max="2" width="11" style="1" customWidth="1"/>
    <col min="3" max="4" width="15.7265625" style="3" customWidth="1"/>
    <col min="5" max="6" width="14.453125" style="1" customWidth="1"/>
    <col min="7" max="7" width="14.7265625" style="1" customWidth="1"/>
    <col min="8" max="8" width="14.453125" style="1" customWidth="1"/>
    <col min="9" max="10" width="15.7265625" style="3" customWidth="1"/>
    <col min="11" max="14" width="16.54296875" customWidth="1"/>
    <col min="15" max="15" width="14.7265625" style="3" customWidth="1"/>
    <col min="16" max="16" width="14.81640625" style="3" customWidth="1"/>
    <col min="17" max="17" width="13.26953125" style="3" customWidth="1"/>
    <col min="18" max="18" width="14.81640625" customWidth="1"/>
    <col min="19" max="19" width="13.81640625" style="3" customWidth="1"/>
    <col min="20" max="20" width="16" customWidth="1"/>
    <col min="21" max="22" width="15.54296875" customWidth="1"/>
    <col min="23" max="23" width="15.54296875" style="3" customWidth="1"/>
    <col min="24" max="24" width="15.54296875" customWidth="1"/>
  </cols>
  <sheetData>
    <row r="2" spans="3:24" x14ac:dyDescent="0.35">
      <c r="C2" s="181" t="s">
        <v>261</v>
      </c>
    </row>
    <row r="3" spans="3:24" x14ac:dyDescent="0.35">
      <c r="C3" s="182" t="s">
        <v>262</v>
      </c>
    </row>
    <row r="4" spans="3:24" x14ac:dyDescent="0.35">
      <c r="C4" s="182"/>
    </row>
    <row r="5" spans="3:24" x14ac:dyDescent="0.35">
      <c r="C5" s="183" t="s">
        <v>263</v>
      </c>
      <c r="D5" s="55"/>
      <c r="E5" s="55"/>
      <c r="F5" s="55"/>
      <c r="G5" s="55"/>
      <c r="H5" s="55"/>
      <c r="I5" s="55"/>
      <c r="J5" s="55"/>
      <c r="P5" s="55"/>
      <c r="Q5" s="1"/>
      <c r="R5" s="209" t="s">
        <v>25</v>
      </c>
    </row>
    <row r="6" spans="3:24" x14ac:dyDescent="0.35">
      <c r="C6" s="55">
        <v>1</v>
      </c>
      <c r="D6" s="55" t="s">
        <v>264</v>
      </c>
      <c r="E6" s="55"/>
      <c r="F6" s="55"/>
      <c r="G6" s="55"/>
      <c r="H6" s="55"/>
      <c r="I6" s="55"/>
      <c r="J6" s="55"/>
      <c r="P6" s="55"/>
      <c r="Q6" s="320" t="s">
        <v>26</v>
      </c>
      <c r="R6" s="217" t="s">
        <v>27</v>
      </c>
    </row>
    <row r="7" spans="3:24" x14ac:dyDescent="0.35">
      <c r="C7" s="55">
        <v>2</v>
      </c>
      <c r="D7" s="182" t="s">
        <v>265</v>
      </c>
      <c r="E7" s="55"/>
      <c r="F7" s="55"/>
      <c r="G7" s="55"/>
      <c r="H7" s="55"/>
      <c r="I7" s="55"/>
      <c r="J7" s="55"/>
      <c r="P7" s="55"/>
      <c r="Q7" s="320"/>
      <c r="R7" s="222" t="s">
        <v>28</v>
      </c>
    </row>
    <row r="8" spans="3:24" x14ac:dyDescent="0.35">
      <c r="C8" s="55">
        <v>3</v>
      </c>
      <c r="D8" s="55" t="s">
        <v>266</v>
      </c>
      <c r="E8" s="55"/>
      <c r="F8" s="55"/>
      <c r="G8" s="55"/>
      <c r="H8" s="55"/>
      <c r="I8" s="55"/>
      <c r="J8" s="55"/>
      <c r="P8" s="55"/>
      <c r="Q8" s="320"/>
      <c r="R8" s="214" t="s">
        <v>29</v>
      </c>
    </row>
    <row r="9" spans="3:24" x14ac:dyDescent="0.35">
      <c r="C9" s="55">
        <v>4</v>
      </c>
      <c r="D9" s="182" t="s">
        <v>267</v>
      </c>
      <c r="E9" s="55"/>
      <c r="F9" s="55"/>
      <c r="G9" s="55"/>
      <c r="H9" s="55"/>
      <c r="I9" s="55"/>
      <c r="J9" s="55"/>
      <c r="P9" s="55"/>
      <c r="Q9" s="319" t="s">
        <v>30</v>
      </c>
      <c r="R9" s="210" t="s">
        <v>31</v>
      </c>
    </row>
    <row r="10" spans="3:24" x14ac:dyDescent="0.35">
      <c r="C10" s="55">
        <v>5</v>
      </c>
      <c r="D10" s="182" t="s">
        <v>268</v>
      </c>
      <c r="E10" s="55"/>
      <c r="F10" s="55"/>
      <c r="G10" s="55"/>
      <c r="H10" s="55"/>
      <c r="I10" s="55"/>
      <c r="J10" s="55"/>
      <c r="P10" s="55"/>
      <c r="Q10" s="319"/>
      <c r="R10" s="211" t="s">
        <v>32</v>
      </c>
    </row>
    <row r="11" spans="3:24" x14ac:dyDescent="0.35">
      <c r="C11" s="55">
        <v>6</v>
      </c>
      <c r="D11" s="55" t="s">
        <v>269</v>
      </c>
      <c r="E11" s="55"/>
      <c r="F11" s="55"/>
      <c r="G11" s="55"/>
      <c r="H11" s="55"/>
      <c r="I11" s="55"/>
      <c r="J11" s="55"/>
      <c r="P11" s="55"/>
      <c r="Q11" s="319"/>
      <c r="R11" s="212" t="s">
        <v>33</v>
      </c>
    </row>
    <row r="12" spans="3:24" x14ac:dyDescent="0.35">
      <c r="C12" s="55">
        <v>7</v>
      </c>
      <c r="D12" s="55" t="s">
        <v>270</v>
      </c>
      <c r="E12" s="55"/>
      <c r="F12" s="55"/>
      <c r="G12" s="55"/>
      <c r="H12" s="55"/>
      <c r="I12" s="55"/>
      <c r="J12" s="55"/>
      <c r="P12" s="55"/>
      <c r="Q12" s="319"/>
      <c r="R12" s="213" t="s">
        <v>34</v>
      </c>
    </row>
    <row r="13" spans="3:24" x14ac:dyDescent="0.35">
      <c r="C13" s="55">
        <v>8</v>
      </c>
      <c r="D13" s="55" t="s">
        <v>271</v>
      </c>
      <c r="E13" s="55"/>
      <c r="F13" s="55"/>
      <c r="G13" s="55"/>
      <c r="H13" s="55"/>
      <c r="I13" s="55"/>
      <c r="J13" s="55"/>
      <c r="K13" s="55"/>
      <c r="L13" s="55"/>
      <c r="M13" s="55"/>
      <c r="N13" s="55"/>
      <c r="O13" s="55"/>
      <c r="P13" s="55"/>
    </row>
    <row r="14" spans="3:24" x14ac:dyDescent="0.35">
      <c r="C14" s="55">
        <v>9</v>
      </c>
      <c r="D14" s="55" t="s">
        <v>272</v>
      </c>
      <c r="E14" s="55"/>
      <c r="F14" s="55"/>
      <c r="G14" s="55"/>
      <c r="H14" s="55"/>
      <c r="I14" s="55"/>
      <c r="J14" s="55"/>
      <c r="K14" s="55"/>
      <c r="L14" s="55"/>
      <c r="M14" s="55"/>
      <c r="N14" s="55"/>
      <c r="O14" s="55"/>
      <c r="Q14"/>
      <c r="R14" s="3"/>
      <c r="V14" s="3"/>
      <c r="W14"/>
      <c r="X14" s="1"/>
    </row>
    <row r="15" spans="3:24" x14ac:dyDescent="0.35">
      <c r="C15" s="184">
        <v>10</v>
      </c>
      <c r="D15" s="55" t="s">
        <v>273</v>
      </c>
      <c r="H15"/>
      <c r="K15" s="3"/>
      <c r="L15" s="3"/>
      <c r="M15" s="3"/>
      <c r="N15" s="3"/>
      <c r="P15"/>
      <c r="R15" s="3"/>
      <c r="S15"/>
      <c r="U15" s="3"/>
      <c r="W15" s="1"/>
    </row>
    <row r="16" spans="3:24" x14ac:dyDescent="0.35">
      <c r="D16" s="1"/>
      <c r="H16"/>
      <c r="P16"/>
      <c r="R16" s="3"/>
      <c r="S16"/>
      <c r="U16" s="3"/>
      <c r="W16" s="1"/>
    </row>
    <row r="17" spans="2:23" x14ac:dyDescent="0.35">
      <c r="D17" s="118" t="s">
        <v>114</v>
      </c>
      <c r="H17"/>
      <c r="P17" s="185"/>
      <c r="Q17" s="186"/>
      <c r="R17" s="3"/>
      <c r="S17"/>
      <c r="U17" s="3"/>
      <c r="W17" s="1"/>
    </row>
    <row r="18" spans="2:23" ht="43.5" x14ac:dyDescent="0.35">
      <c r="B18" s="3"/>
      <c r="D18" s="284" t="s">
        <v>50</v>
      </c>
      <c r="E18" s="285" t="s">
        <v>274</v>
      </c>
      <c r="F18" s="285" t="s">
        <v>116</v>
      </c>
      <c r="G18" s="286" t="s">
        <v>6</v>
      </c>
      <c r="H18" s="279" t="s">
        <v>275</v>
      </c>
      <c r="I18" s="279" t="s">
        <v>276</v>
      </c>
      <c r="J18" s="279" t="s">
        <v>277</v>
      </c>
      <c r="K18" s="280"/>
      <c r="N18" s="279" t="s">
        <v>278</v>
      </c>
      <c r="O18" s="186"/>
      <c r="Q18" s="55"/>
      <c r="R18" s="55"/>
      <c r="S18" s="55"/>
      <c r="T18" s="55"/>
      <c r="U18" s="55"/>
      <c r="V18" s="55"/>
      <c r="W18"/>
    </row>
    <row r="19" spans="2:23" x14ac:dyDescent="0.35">
      <c r="D19" s="127">
        <v>2022</v>
      </c>
      <c r="E19" s="127">
        <v>1318</v>
      </c>
      <c r="F19" s="35">
        <f>E19/(D20-D19)</f>
        <v>439.33333333333331</v>
      </c>
      <c r="G19" s="188">
        <v>2020</v>
      </c>
      <c r="H19" s="188">
        <v>5</v>
      </c>
      <c r="I19" s="281">
        <v>2E-3</v>
      </c>
      <c r="J19" s="282">
        <v>0.05</v>
      </c>
      <c r="K19" s="190"/>
      <c r="N19" s="282">
        <v>0.8</v>
      </c>
      <c r="O19" s="186"/>
      <c r="Q19"/>
      <c r="S19"/>
      <c r="U19" s="1"/>
      <c r="W19"/>
    </row>
    <row r="20" spans="2:23" x14ac:dyDescent="0.35">
      <c r="D20" s="127">
        <v>2025</v>
      </c>
      <c r="E20" s="127">
        <v>500</v>
      </c>
      <c r="F20" s="35">
        <f>E20/(D21-D20)</f>
        <v>100</v>
      </c>
      <c r="G20" s="188">
        <v>2024</v>
      </c>
      <c r="H20" s="188">
        <v>15</v>
      </c>
      <c r="J20" s="190"/>
      <c r="K20" s="190"/>
      <c r="L20" s="190"/>
      <c r="M20" s="3"/>
      <c r="N20" s="185"/>
      <c r="O20" s="186"/>
      <c r="Q20"/>
      <c r="S20"/>
      <c r="U20" s="1"/>
      <c r="W20"/>
    </row>
    <row r="21" spans="2:23" x14ac:dyDescent="0.35">
      <c r="B21" s="338"/>
      <c r="C21" s="338"/>
      <c r="D21" s="127">
        <v>2030</v>
      </c>
      <c r="E21" s="127">
        <v>4000</v>
      </c>
      <c r="F21" s="35">
        <f>E21/(2050-2030)</f>
        <v>200</v>
      </c>
      <c r="G21" s="189">
        <v>2031</v>
      </c>
      <c r="H21" s="188">
        <f>H20+H$27</f>
        <v>25</v>
      </c>
      <c r="J21" s="190"/>
      <c r="K21" s="190"/>
      <c r="L21" s="190"/>
      <c r="M21" s="3"/>
      <c r="Q21"/>
      <c r="S21"/>
      <c r="U21" s="1"/>
      <c r="W21"/>
    </row>
    <row r="22" spans="2:23" x14ac:dyDescent="0.35">
      <c r="B22" s="3"/>
      <c r="G22" s="188">
        <v>2035</v>
      </c>
      <c r="H22" s="188">
        <f>H21+H$27</f>
        <v>35</v>
      </c>
      <c r="J22" s="190"/>
      <c r="K22" s="190"/>
      <c r="L22" s="190"/>
      <c r="M22" s="3"/>
      <c r="Q22"/>
      <c r="S22"/>
      <c r="U22" s="1"/>
      <c r="W22"/>
    </row>
    <row r="23" spans="2:23" x14ac:dyDescent="0.35">
      <c r="B23" s="3"/>
      <c r="D23" s="1"/>
      <c r="G23" s="188">
        <v>2040</v>
      </c>
      <c r="H23" s="188">
        <f>H22+H$27</f>
        <v>45</v>
      </c>
      <c r="J23" s="190"/>
      <c r="K23" s="190"/>
      <c r="L23" s="190"/>
      <c r="M23" s="3"/>
      <c r="Q23"/>
      <c r="S23"/>
      <c r="U23" s="1"/>
      <c r="W23"/>
    </row>
    <row r="24" spans="2:23" x14ac:dyDescent="0.35">
      <c r="B24" s="3"/>
      <c r="D24" s="1"/>
      <c r="G24" s="188">
        <v>2050</v>
      </c>
      <c r="H24" s="188">
        <f>H23+H$27</f>
        <v>55</v>
      </c>
      <c r="L24" s="3"/>
      <c r="M24" s="3"/>
      <c r="O24"/>
      <c r="P24"/>
      <c r="S24" s="1"/>
      <c r="W24"/>
    </row>
    <row r="25" spans="2:23" x14ac:dyDescent="0.35">
      <c r="B25" s="3"/>
      <c r="D25" s="1"/>
      <c r="G25" s="190"/>
      <c r="H25" s="190"/>
      <c r="L25" s="3"/>
      <c r="M25" s="3"/>
      <c r="O25"/>
      <c r="P25"/>
      <c r="S25" s="1"/>
      <c r="W25"/>
    </row>
    <row r="26" spans="2:23" x14ac:dyDescent="0.35">
      <c r="B26" s="3"/>
      <c r="D26" s="1"/>
      <c r="G26" s="190"/>
      <c r="H26" s="187" t="s">
        <v>279</v>
      </c>
      <c r="L26" s="3"/>
      <c r="M26" s="3"/>
      <c r="O26"/>
      <c r="P26"/>
      <c r="S26" s="1"/>
      <c r="W26"/>
    </row>
    <row r="27" spans="2:23" x14ac:dyDescent="0.35">
      <c r="B27" s="3"/>
      <c r="D27" s="1"/>
      <c r="G27" s="190"/>
      <c r="H27" s="191">
        <v>10</v>
      </c>
      <c r="L27" s="3"/>
      <c r="M27" s="3"/>
      <c r="O27"/>
      <c r="P27"/>
      <c r="S27" s="3" t="s">
        <v>280</v>
      </c>
      <c r="W27"/>
    </row>
    <row r="28" spans="2:23" x14ac:dyDescent="0.35">
      <c r="B28" s="3"/>
      <c r="D28" s="1"/>
      <c r="G28" s="190"/>
      <c r="H28" s="190" t="s">
        <v>281</v>
      </c>
      <c r="J28" s="190"/>
      <c r="K28" s="190"/>
      <c r="L28" s="190"/>
      <c r="M28" s="3"/>
      <c r="Q28"/>
      <c r="S28"/>
      <c r="U28" s="1"/>
      <c r="W28"/>
    </row>
    <row r="29" spans="2:23" x14ac:dyDescent="0.35">
      <c r="B29" s="3"/>
      <c r="D29" s="1"/>
      <c r="H29" s="3"/>
      <c r="K29" s="3"/>
      <c r="L29" s="3"/>
      <c r="M29" s="3"/>
      <c r="N29" s="3"/>
      <c r="O29"/>
      <c r="S29"/>
      <c r="T29" s="3"/>
      <c r="V29" s="1"/>
      <c r="W29"/>
    </row>
    <row r="30" spans="2:23" ht="58" x14ac:dyDescent="0.35">
      <c r="B30" s="232" t="s">
        <v>6</v>
      </c>
      <c r="C30" s="231" t="s">
        <v>282</v>
      </c>
      <c r="D30" s="231" t="s">
        <v>283</v>
      </c>
      <c r="E30" s="231" t="s">
        <v>284</v>
      </c>
      <c r="F30" s="231" t="s">
        <v>285</v>
      </c>
      <c r="G30" s="231" t="s">
        <v>286</v>
      </c>
      <c r="H30" s="231" t="s">
        <v>287</v>
      </c>
      <c r="I30" s="231" t="s">
        <v>288</v>
      </c>
      <c r="J30" s="231" t="s">
        <v>289</v>
      </c>
      <c r="K30" s="231" t="s">
        <v>290</v>
      </c>
      <c r="L30" s="231" t="s">
        <v>291</v>
      </c>
      <c r="M30" s="231" t="s">
        <v>292</v>
      </c>
      <c r="N30" s="231" t="s">
        <v>293</v>
      </c>
      <c r="O30" s="231" t="s">
        <v>294</v>
      </c>
      <c r="P30"/>
      <c r="Q30" s="231" t="s">
        <v>295</v>
      </c>
      <c r="R30" s="231" t="s">
        <v>296</v>
      </c>
      <c r="S30" s="231" t="s">
        <v>297</v>
      </c>
      <c r="T30" s="231" t="s">
        <v>298</v>
      </c>
      <c r="U30" s="231" t="s">
        <v>299</v>
      </c>
      <c r="W30"/>
    </row>
    <row r="31" spans="2:23" ht="14.5" hidden="1" customHeight="1" x14ac:dyDescent="0.35">
      <c r="B31" s="127">
        <v>2005</v>
      </c>
      <c r="C31" s="237">
        <v>35489.256682580002</v>
      </c>
      <c r="D31" s="238">
        <v>9766.7999999999993</v>
      </c>
      <c r="E31" s="239">
        <v>0</v>
      </c>
      <c r="F31" s="240">
        <f t="shared" ref="F31:F76" si="0">E31/D31</f>
        <v>0</v>
      </c>
      <c r="G31" s="241">
        <v>0.52549999999999997</v>
      </c>
      <c r="H31" s="192"/>
      <c r="I31" s="237">
        <v>22.6</v>
      </c>
      <c r="J31" s="237"/>
      <c r="K31" s="62">
        <f t="shared" ref="K31:K46" si="1">(I31/100)*C31</f>
        <v>8020.5720102630803</v>
      </c>
      <c r="L31" s="62"/>
      <c r="M31" s="193"/>
      <c r="N31" s="23"/>
      <c r="O31" s="194">
        <f t="shared" ref="O31:O76" si="2">G31*C31*10^6/10^6</f>
        <v>18649.604386695792</v>
      </c>
      <c r="P31"/>
      <c r="Q31" s="7"/>
      <c r="R31" s="127"/>
      <c r="S31" s="23"/>
      <c r="T31" s="127"/>
      <c r="U31" s="194"/>
      <c r="W31"/>
    </row>
    <row r="32" spans="2:23" ht="14.5" hidden="1" customHeight="1" x14ac:dyDescent="0.35">
      <c r="B32" s="127">
        <v>2006</v>
      </c>
      <c r="C32" s="237">
        <v>36801.807691399998</v>
      </c>
      <c r="D32" s="238">
        <v>9549.7999999999993</v>
      </c>
      <c r="E32" s="239">
        <v>0</v>
      </c>
      <c r="F32" s="240">
        <f t="shared" si="0"/>
        <v>0</v>
      </c>
      <c r="G32" s="241">
        <v>0.53</v>
      </c>
      <c r="H32" s="192"/>
      <c r="I32" s="237">
        <v>26.5</v>
      </c>
      <c r="J32" s="237"/>
      <c r="K32" s="62">
        <f t="shared" si="1"/>
        <v>9752.4790382209994</v>
      </c>
      <c r="L32" s="62"/>
      <c r="M32" s="193"/>
      <c r="N32" s="23"/>
      <c r="O32" s="194">
        <f t="shared" si="2"/>
        <v>19504.958076441999</v>
      </c>
      <c r="P32"/>
      <c r="Q32" s="7"/>
      <c r="R32" s="127"/>
      <c r="S32" s="23"/>
      <c r="T32" s="127"/>
      <c r="U32" s="194"/>
      <c r="W32"/>
    </row>
    <row r="33" spans="2:23" ht="14.5" hidden="1" customHeight="1" x14ac:dyDescent="0.35">
      <c r="B33" s="127">
        <v>2007</v>
      </c>
      <c r="C33" s="237">
        <v>38304.913148959997</v>
      </c>
      <c r="D33" s="238">
        <v>10064.799999999999</v>
      </c>
      <c r="E33" s="239">
        <v>0</v>
      </c>
      <c r="F33" s="240">
        <f t="shared" si="0"/>
        <v>0</v>
      </c>
      <c r="G33" s="241">
        <v>0.50460000000000005</v>
      </c>
      <c r="H33" s="192"/>
      <c r="I33" s="237">
        <v>24.9</v>
      </c>
      <c r="J33" s="237"/>
      <c r="K33" s="62">
        <f t="shared" si="1"/>
        <v>9537.9233740910386</v>
      </c>
      <c r="L33" s="62"/>
      <c r="M33" s="193"/>
      <c r="N33" s="23"/>
      <c r="O33" s="194">
        <f t="shared" si="2"/>
        <v>19328.659174965218</v>
      </c>
      <c r="P33"/>
      <c r="Q33" s="7"/>
      <c r="R33" s="127"/>
      <c r="S33" s="23"/>
      <c r="T33" s="127"/>
      <c r="U33" s="194"/>
      <c r="W33"/>
    </row>
    <row r="34" spans="2:23" ht="14.5" hidden="1" customHeight="1" x14ac:dyDescent="0.35">
      <c r="B34" s="127">
        <v>2008</v>
      </c>
      <c r="C34" s="237">
        <v>38986.956093520006</v>
      </c>
      <c r="D34" s="238">
        <v>10104.004682249999</v>
      </c>
      <c r="E34" s="242">
        <v>0.27868225000000002</v>
      </c>
      <c r="F34" s="240">
        <f t="shared" si="0"/>
        <v>2.758136588055717E-5</v>
      </c>
      <c r="G34" s="241">
        <v>0.4965</v>
      </c>
      <c r="H34" s="192"/>
      <c r="I34" s="237">
        <v>29.7</v>
      </c>
      <c r="J34" s="237"/>
      <c r="K34" s="62">
        <f t="shared" si="1"/>
        <v>11579.125959775442</v>
      </c>
      <c r="L34" s="62"/>
      <c r="M34" s="193"/>
      <c r="N34" s="23"/>
      <c r="O34" s="194">
        <f t="shared" si="2"/>
        <v>19357.023700432685</v>
      </c>
      <c r="P34"/>
      <c r="Q34" s="7"/>
      <c r="R34" s="127"/>
      <c r="S34" s="23"/>
      <c r="T34" s="127"/>
      <c r="U34" s="194"/>
      <c r="W34"/>
    </row>
    <row r="35" spans="2:23" ht="14.5" hidden="1" customHeight="1" x14ac:dyDescent="0.35">
      <c r="B35" s="127">
        <v>2009</v>
      </c>
      <c r="C35" s="237">
        <v>38822.874245740008</v>
      </c>
      <c r="D35" s="238">
        <v>10029.821743479999</v>
      </c>
      <c r="E35" s="242">
        <v>1.4957434800000002</v>
      </c>
      <c r="F35" s="240">
        <f t="shared" si="0"/>
        <v>1.4912961748022346E-4</v>
      </c>
      <c r="G35" s="241">
        <v>0.49730000000000002</v>
      </c>
      <c r="H35" s="192"/>
      <c r="I35" s="237">
        <v>23.9</v>
      </c>
      <c r="J35" s="237"/>
      <c r="K35" s="62">
        <f t="shared" si="1"/>
        <v>9278.6669447318618</v>
      </c>
      <c r="L35" s="62"/>
      <c r="M35" s="193"/>
      <c r="N35" s="23"/>
      <c r="O35" s="194">
        <f t="shared" si="2"/>
        <v>19306.615362406508</v>
      </c>
      <c r="P35"/>
      <c r="Q35" s="7"/>
      <c r="R35" s="127"/>
      <c r="S35" s="23"/>
      <c r="T35" s="127"/>
      <c r="U35" s="194"/>
      <c r="W35"/>
    </row>
    <row r="36" spans="2:23" ht="14.5" hidden="1" customHeight="1" x14ac:dyDescent="0.35">
      <c r="B36" s="127">
        <v>2010</v>
      </c>
      <c r="C36" s="237">
        <v>42251.754561449998</v>
      </c>
      <c r="D36" s="238">
        <v>9931.251313929999</v>
      </c>
      <c r="E36" s="242">
        <v>2.9253139300000006</v>
      </c>
      <c r="F36" s="240">
        <f t="shared" si="0"/>
        <v>2.9455642975189137E-4</v>
      </c>
      <c r="G36" s="241">
        <v>0.50829999999999997</v>
      </c>
      <c r="H36" s="192"/>
      <c r="I36" s="237">
        <v>27</v>
      </c>
      <c r="J36" s="237"/>
      <c r="K36" s="62">
        <f t="shared" si="1"/>
        <v>11407.973731591501</v>
      </c>
      <c r="L36" s="62"/>
      <c r="M36" s="193"/>
      <c r="N36" s="23"/>
      <c r="O36" s="194">
        <f t="shared" si="2"/>
        <v>21476.566843585031</v>
      </c>
      <c r="P36"/>
      <c r="Q36" s="7"/>
      <c r="R36" s="127"/>
      <c r="S36" s="23"/>
      <c r="T36" s="127"/>
      <c r="U36" s="194"/>
      <c r="W36"/>
    </row>
    <row r="37" spans="2:23" ht="14.5" hidden="1" customHeight="1" x14ac:dyDescent="0.35">
      <c r="B37" s="127">
        <v>2011</v>
      </c>
      <c r="C37" s="237">
        <v>43007.136492679994</v>
      </c>
      <c r="D37" s="238">
        <v>9917.465196789999</v>
      </c>
      <c r="E37" s="242">
        <v>4.5651970980000014</v>
      </c>
      <c r="F37" s="240">
        <f t="shared" si="0"/>
        <v>4.6031894313857796E-4</v>
      </c>
      <c r="G37" s="241">
        <v>0.50849999999999995</v>
      </c>
      <c r="H37" s="192"/>
      <c r="I37" s="237">
        <v>29.2</v>
      </c>
      <c r="J37" s="237"/>
      <c r="K37" s="62">
        <f t="shared" si="1"/>
        <v>12558.083855862558</v>
      </c>
      <c r="L37" s="62"/>
      <c r="M37" s="193"/>
      <c r="N37" s="23"/>
      <c r="O37" s="194">
        <f t="shared" si="2"/>
        <v>21869.128906527774</v>
      </c>
      <c r="P37"/>
      <c r="Q37" s="7"/>
      <c r="R37" s="127"/>
      <c r="S37" s="23"/>
      <c r="T37" s="127"/>
      <c r="U37" s="194"/>
      <c r="W37"/>
    </row>
    <row r="38" spans="2:23" ht="14.5" hidden="1" customHeight="1" x14ac:dyDescent="0.35">
      <c r="B38" s="127">
        <v>2012</v>
      </c>
      <c r="C38" s="237">
        <v>44200.708214070008</v>
      </c>
      <c r="D38" s="238">
        <v>10817.54628701</v>
      </c>
      <c r="E38" s="242">
        <v>7.7462873180000003</v>
      </c>
      <c r="F38" s="240">
        <f t="shared" si="0"/>
        <v>7.160854330988119E-4</v>
      </c>
      <c r="G38" s="243">
        <v>0.4778</v>
      </c>
      <c r="H38" s="192"/>
      <c r="I38" s="237">
        <v>30.6</v>
      </c>
      <c r="J38" s="237"/>
      <c r="K38" s="62">
        <f t="shared" si="1"/>
        <v>13525.416713505421</v>
      </c>
      <c r="L38" s="62"/>
      <c r="M38" s="193"/>
      <c r="N38" s="23"/>
      <c r="O38" s="194">
        <f t="shared" si="2"/>
        <v>21119.098384682649</v>
      </c>
      <c r="P38"/>
      <c r="Q38" s="7"/>
      <c r="R38" s="127"/>
      <c r="S38" s="23"/>
      <c r="T38" s="127"/>
      <c r="U38" s="194"/>
      <c r="W38"/>
    </row>
    <row r="39" spans="2:23" ht="14.5" hidden="1" customHeight="1" x14ac:dyDescent="0.35">
      <c r="B39" s="127">
        <v>2013</v>
      </c>
      <c r="C39" s="237">
        <v>44948.815456919998</v>
      </c>
      <c r="D39" s="238">
        <v>12433.770498739999</v>
      </c>
      <c r="E39" s="242">
        <v>11.756100047999999</v>
      </c>
      <c r="F39" s="240">
        <f t="shared" si="0"/>
        <v>9.4549759054916816E-4</v>
      </c>
      <c r="G39" s="244">
        <v>0.43880000000000002</v>
      </c>
      <c r="H39" s="192"/>
      <c r="I39" s="237">
        <v>28.3</v>
      </c>
      <c r="J39" s="237"/>
      <c r="K39" s="62">
        <f t="shared" si="1"/>
        <v>12720.51477430836</v>
      </c>
      <c r="L39" s="62"/>
      <c r="M39" s="193"/>
      <c r="N39" s="23"/>
      <c r="O39" s="194">
        <f t="shared" si="2"/>
        <v>19723.540222496496</v>
      </c>
      <c r="P39"/>
      <c r="Q39" s="7"/>
      <c r="R39" s="127"/>
      <c r="S39" s="23"/>
      <c r="T39" s="127"/>
      <c r="U39" s="194"/>
      <c r="W39"/>
    </row>
    <row r="40" spans="2:23" ht="14.5" hidden="1" customHeight="1" x14ac:dyDescent="0.35">
      <c r="B40" s="127">
        <v>2014</v>
      </c>
      <c r="C40" s="237">
        <v>46402.945983739999</v>
      </c>
      <c r="D40" s="238">
        <v>12909.099999999999</v>
      </c>
      <c r="E40" s="242">
        <v>25.327956808</v>
      </c>
      <c r="F40" s="240">
        <f t="shared" si="0"/>
        <v>1.9620234414482809E-3</v>
      </c>
      <c r="G40" s="245">
        <v>0.42770000000000002</v>
      </c>
      <c r="H40" s="192"/>
      <c r="I40" s="237">
        <v>27</v>
      </c>
      <c r="J40" s="237"/>
      <c r="K40" s="62">
        <f t="shared" si="1"/>
        <v>12528.7954156098</v>
      </c>
      <c r="L40" s="62"/>
      <c r="M40" s="193"/>
      <c r="N40" s="23"/>
      <c r="O40" s="194">
        <f t="shared" si="2"/>
        <v>19846.539997245603</v>
      </c>
      <c r="P40"/>
      <c r="Q40" s="7"/>
      <c r="R40" s="127"/>
      <c r="S40" s="23"/>
      <c r="T40" s="127"/>
      <c r="U40" s="194"/>
      <c r="W40"/>
    </row>
    <row r="41" spans="2:23" ht="14.5" hidden="1" customHeight="1" x14ac:dyDescent="0.35">
      <c r="B41" s="127">
        <v>2015</v>
      </c>
      <c r="C41" s="237">
        <v>47513.942689659998</v>
      </c>
      <c r="D41" s="238">
        <v>13394.499999999998</v>
      </c>
      <c r="E41" s="242">
        <v>45.686528117999998</v>
      </c>
      <c r="F41" s="240">
        <f t="shared" si="0"/>
        <v>3.4108423694800107E-3</v>
      </c>
      <c r="G41" s="244">
        <v>0.4224</v>
      </c>
      <c r="H41" s="192"/>
      <c r="I41" s="237">
        <v>22.8</v>
      </c>
      <c r="J41" s="237"/>
      <c r="K41" s="62">
        <f t="shared" si="1"/>
        <v>10833.17893324248</v>
      </c>
      <c r="L41" s="62"/>
      <c r="M41" s="193"/>
      <c r="N41" s="23"/>
      <c r="O41" s="194">
        <f t="shared" si="2"/>
        <v>20069.889392112382</v>
      </c>
      <c r="P41"/>
      <c r="Q41" s="7"/>
      <c r="R41" s="127"/>
      <c r="S41" s="23"/>
      <c r="T41" s="127"/>
      <c r="U41" s="194"/>
      <c r="W41"/>
    </row>
    <row r="42" spans="2:23" ht="14.5" hidden="1" customHeight="1" x14ac:dyDescent="0.35">
      <c r="B42" s="127">
        <v>2016</v>
      </c>
      <c r="C42" s="237">
        <v>48626.636447099998</v>
      </c>
      <c r="D42" s="238">
        <v>13444.999999999998</v>
      </c>
      <c r="E42" s="242">
        <v>96.643976197999976</v>
      </c>
      <c r="F42" s="240">
        <f t="shared" si="0"/>
        <v>7.1880978949795454E-3</v>
      </c>
      <c r="G42" s="244">
        <v>0.42370000000000002</v>
      </c>
      <c r="H42" s="192"/>
      <c r="I42" s="237">
        <v>19.7</v>
      </c>
      <c r="J42" s="237"/>
      <c r="K42" s="62">
        <f t="shared" si="1"/>
        <v>9579.4473800786982</v>
      </c>
      <c r="L42" s="62"/>
      <c r="M42" s="193"/>
      <c r="N42" s="23"/>
      <c r="O42" s="194">
        <f t="shared" si="2"/>
        <v>20603.105862636272</v>
      </c>
      <c r="P42"/>
      <c r="Q42" s="7"/>
      <c r="R42" s="127"/>
      <c r="S42" s="23"/>
      <c r="T42" s="127"/>
      <c r="U42" s="194"/>
      <c r="W42"/>
    </row>
    <row r="43" spans="2:23" ht="14.5" hidden="1" customHeight="1" x14ac:dyDescent="0.35">
      <c r="B43" s="127">
        <v>2017</v>
      </c>
      <c r="C43" s="237">
        <v>49643.651990849998</v>
      </c>
      <c r="D43" s="238">
        <v>13615.5</v>
      </c>
      <c r="E43" s="239">
        <v>115.9</v>
      </c>
      <c r="F43" s="240">
        <f t="shared" si="0"/>
        <v>8.512357239910397E-3</v>
      </c>
      <c r="G43" s="244">
        <v>0.42099999999999999</v>
      </c>
      <c r="H43" s="192"/>
      <c r="I43" s="237">
        <v>21.2</v>
      </c>
      <c r="J43" s="237"/>
      <c r="K43" s="62">
        <f t="shared" si="1"/>
        <v>10524.4542220602</v>
      </c>
      <c r="L43" s="62"/>
      <c r="M43" s="193"/>
      <c r="N43" s="23"/>
      <c r="O43" s="194">
        <f t="shared" si="2"/>
        <v>20899.977488147848</v>
      </c>
      <c r="P43"/>
      <c r="Q43" s="7"/>
      <c r="R43" s="127"/>
      <c r="S43" s="23"/>
      <c r="T43" s="127"/>
      <c r="U43" s="194"/>
      <c r="W43"/>
    </row>
    <row r="44" spans="2:23" ht="14.5" hidden="1" customHeight="1" x14ac:dyDescent="0.35">
      <c r="B44" s="127">
        <v>2018</v>
      </c>
      <c r="C44" s="237">
        <v>50448.897246589993</v>
      </c>
      <c r="D44" s="238">
        <v>13652.21</v>
      </c>
      <c r="E44" s="239">
        <v>159.5</v>
      </c>
      <c r="F44" s="240">
        <f t="shared" si="0"/>
        <v>1.1683090137054734E-2</v>
      </c>
      <c r="G44" s="244">
        <v>0.42059999999999997</v>
      </c>
      <c r="H44" s="192"/>
      <c r="I44" s="237">
        <v>23.1</v>
      </c>
      <c r="J44" s="237"/>
      <c r="K44" s="62">
        <f t="shared" si="1"/>
        <v>11653.695263962289</v>
      </c>
      <c r="L44" s="62"/>
      <c r="M44" s="193"/>
      <c r="N44" s="23"/>
      <c r="O44" s="194">
        <f t="shared" si="2"/>
        <v>21218.806181915748</v>
      </c>
      <c r="P44"/>
      <c r="Q44" s="7"/>
      <c r="R44" s="127"/>
      <c r="S44" s="23"/>
      <c r="T44" s="127"/>
      <c r="U44" s="194"/>
      <c r="W44"/>
    </row>
    <row r="45" spans="2:23" ht="14.5" hidden="1" customHeight="1" x14ac:dyDescent="0.35">
      <c r="B45" s="127">
        <v>2019</v>
      </c>
      <c r="C45" s="237">
        <v>51720.028003719999</v>
      </c>
      <c r="D45" s="238">
        <v>12563.609999999999</v>
      </c>
      <c r="E45" s="239">
        <v>271.8</v>
      </c>
      <c r="F45" s="240">
        <f t="shared" si="0"/>
        <v>2.1633909362038461E-2</v>
      </c>
      <c r="G45" s="244">
        <v>0.40849999999999997</v>
      </c>
      <c r="H45" s="192"/>
      <c r="I45" s="237">
        <v>23.6</v>
      </c>
      <c r="J45" s="237"/>
      <c r="K45" s="62">
        <f t="shared" si="1"/>
        <v>12205.92660887792</v>
      </c>
      <c r="L45" s="62"/>
      <c r="M45" s="193"/>
      <c r="N45" s="23"/>
      <c r="O45" s="194">
        <f t="shared" si="2"/>
        <v>21127.631439519617</v>
      </c>
      <c r="P45"/>
      <c r="Q45" s="7"/>
      <c r="R45" s="127"/>
      <c r="S45" s="23"/>
      <c r="T45" s="127"/>
      <c r="U45" s="194"/>
      <c r="W45"/>
    </row>
    <row r="46" spans="2:23" ht="14.5" hidden="1" customHeight="1" x14ac:dyDescent="0.35">
      <c r="B46" s="127">
        <v>2020</v>
      </c>
      <c r="C46" s="237">
        <v>50656.465103100003</v>
      </c>
      <c r="D46" s="238">
        <v>12021.109999999999</v>
      </c>
      <c r="E46" s="239">
        <v>329.3</v>
      </c>
      <c r="F46" s="240">
        <f t="shared" si="0"/>
        <v>2.7393476975087996E-2</v>
      </c>
      <c r="G46" s="244">
        <v>0.40799999999999997</v>
      </c>
      <c r="H46" s="192">
        <f t="shared" ref="H46:H76" si="3" xml:space="preserve"> LOOKUP(B46,$G$19:$G$24,$H$19:$H$24)</f>
        <v>5</v>
      </c>
      <c r="I46" s="237">
        <v>23.1</v>
      </c>
      <c r="J46" s="237"/>
      <c r="K46" s="62">
        <f t="shared" si="1"/>
        <v>11701.643438816101</v>
      </c>
      <c r="L46" s="62"/>
      <c r="M46" s="193">
        <f>N46/K46</f>
        <v>7.0649350649350639E-3</v>
      </c>
      <c r="N46" s="195">
        <f t="shared" ref="N46:N76" si="4">$N$19*(H46*(G46*C46*10^6)/10^3)/10^6</f>
        <v>82.671351048259197</v>
      </c>
      <c r="O46" s="194">
        <f t="shared" si="2"/>
        <v>20667.837762064799</v>
      </c>
      <c r="P46"/>
      <c r="Q46" s="7"/>
      <c r="R46" s="7"/>
      <c r="S46" s="65"/>
      <c r="T46" s="196"/>
      <c r="U46" s="194"/>
      <c r="W46"/>
    </row>
    <row r="47" spans="2:23" x14ac:dyDescent="0.35">
      <c r="B47" s="197">
        <v>2021</v>
      </c>
      <c r="C47" s="65">
        <f>'Base Model'!J24</f>
        <v>53158.890369894623</v>
      </c>
      <c r="D47" s="198">
        <v>12033.31</v>
      </c>
      <c r="E47" s="197">
        <v>341.5</v>
      </c>
      <c r="F47" s="199">
        <f t="shared" si="0"/>
        <v>2.837955641465233E-2</v>
      </c>
      <c r="G47" s="235">
        <f t="shared" ref="G47:G76" si="5">_xlfn.FORECAST.LINEAR(F47,$G$41:$G$46,$F$41:$F$46)</f>
        <v>0.40622022911790451</v>
      </c>
      <c r="H47" s="236">
        <f t="shared" si="3"/>
        <v>5</v>
      </c>
      <c r="I47" s="80">
        <v>26.77</v>
      </c>
      <c r="J47" s="80">
        <f t="shared" ref="J47:J76" si="6">I47+$J$19*H47</f>
        <v>27.02</v>
      </c>
      <c r="K47" s="200">
        <f>(I47/100)*$C47</f>
        <v>14230.63495202079</v>
      </c>
      <c r="L47" s="200">
        <f>(J47/100)*$C47</f>
        <v>14363.532177945526</v>
      </c>
      <c r="M47" s="203">
        <f>(L47-K47)/K47</f>
        <v>9.3388121031004918E-3</v>
      </c>
      <c r="N47" s="202">
        <f t="shared" si="4"/>
        <v>86.376866502848657</v>
      </c>
      <c r="O47" s="204">
        <f t="shared" si="2"/>
        <v>21594.216625712161</v>
      </c>
      <c r="P47"/>
      <c r="Q47" s="233">
        <v>52667.042753592847</v>
      </c>
      <c r="R47" s="7">
        <f>Q47*J47/100</f>
        <v>14230.634952020788</v>
      </c>
      <c r="S47" s="65">
        <f t="shared" ref="S47:S76" si="7">$N$19*H47*G47*Q47/10^3</f>
        <v>85.577672697307833</v>
      </c>
      <c r="T47" s="234">
        <f>R47-K47</f>
        <v>0</v>
      </c>
      <c r="U47" s="204">
        <f t="shared" ref="U47:U76" si="8">G47*Q47*10^6/10^6</f>
        <v>21394.418174326958</v>
      </c>
      <c r="W47"/>
    </row>
    <row r="48" spans="2:23" x14ac:dyDescent="0.35">
      <c r="B48" s="197">
        <v>2022</v>
      </c>
      <c r="C48" s="65">
        <f>'Base Model'!J25</f>
        <v>54196.993567490885</v>
      </c>
      <c r="D48" s="198">
        <v>12472.643333333335</v>
      </c>
      <c r="E48" s="205">
        <f t="shared" ref="E48:E76" si="9">E47+LOOKUP(B48,$D$19:$D$21,$F$19:$F$21)</f>
        <v>780.83333333333326</v>
      </c>
      <c r="F48" s="199">
        <f t="shared" si="0"/>
        <v>6.2603676900352304E-2</v>
      </c>
      <c r="G48" s="235">
        <f t="shared" si="5"/>
        <v>0.38091651074141825</v>
      </c>
      <c r="H48" s="236">
        <f t="shared" si="3"/>
        <v>5</v>
      </c>
      <c r="I48" s="80">
        <f>I47*(1+I$19)</f>
        <v>26.823540000000001</v>
      </c>
      <c r="J48" s="80">
        <f t="shared" si="6"/>
        <v>27.073540000000001</v>
      </c>
      <c r="K48" s="200">
        <f t="shared" ref="K48:L76" si="10">(I48/100)*$C48</f>
        <v>14537.552248373346</v>
      </c>
      <c r="L48" s="200">
        <f t="shared" si="10"/>
        <v>14673.044732292072</v>
      </c>
      <c r="M48" s="203">
        <f t="shared" ref="M48:M76" si="11">(L48-K48)/K48</f>
        <v>9.3201717595812437E-3</v>
      </c>
      <c r="N48" s="202">
        <f t="shared" si="4"/>
        <v>82.578118729614872</v>
      </c>
      <c r="O48" s="204">
        <f t="shared" si="2"/>
        <v>20644.529682403718</v>
      </c>
      <c r="P48"/>
      <c r="Q48" s="233">
        <v>53696.532660203819</v>
      </c>
      <c r="R48" s="7">
        <f t="shared" ref="R48:R76" si="12">Q48*J48/100</f>
        <v>14537.552248373346</v>
      </c>
      <c r="S48" s="65">
        <f t="shared" si="7"/>
        <v>81.81558343934978</v>
      </c>
      <c r="T48" s="234">
        <f t="shared" ref="T48:T76" si="13">R48-K48</f>
        <v>0</v>
      </c>
      <c r="U48" s="204">
        <f t="shared" si="8"/>
        <v>20453.895859837445</v>
      </c>
      <c r="W48"/>
    </row>
    <row r="49" spans="2:23" x14ac:dyDescent="0.35">
      <c r="B49" s="197">
        <v>2023</v>
      </c>
      <c r="C49" s="65">
        <f>'Base Model'!J26</f>
        <v>55234.386898904093</v>
      </c>
      <c r="D49" s="198">
        <v>12911.976666666666</v>
      </c>
      <c r="E49" s="205">
        <f t="shared" si="9"/>
        <v>1220.1666666666665</v>
      </c>
      <c r="F49" s="199">
        <f t="shared" si="0"/>
        <v>9.4498828348770769E-2</v>
      </c>
      <c r="G49" s="235">
        <f t="shared" si="5"/>
        <v>0.3573347234413361</v>
      </c>
      <c r="H49" s="236">
        <f t="shared" si="3"/>
        <v>5</v>
      </c>
      <c r="I49" s="80">
        <f t="shared" ref="I49:I76" si="14">I48*(1+I$19)</f>
        <v>26.877187080000002</v>
      </c>
      <c r="J49" s="80">
        <f t="shared" si="6"/>
        <v>27.127187080000002</v>
      </c>
      <c r="K49" s="200">
        <f t="shared" si="10"/>
        <v>14845.449499309465</v>
      </c>
      <c r="L49" s="200">
        <f t="shared" si="10"/>
        <v>14983.535466556727</v>
      </c>
      <c r="M49" s="203">
        <f t="shared" si="11"/>
        <v>9.3015686223367391E-3</v>
      </c>
      <c r="N49" s="202">
        <f t="shared" si="4"/>
        <v>78.948657467886591</v>
      </c>
      <c r="O49" s="204">
        <f t="shared" si="2"/>
        <v>19737.16436697165</v>
      </c>
      <c r="P49"/>
      <c r="Q49" s="233">
        <v>54725.355251649118</v>
      </c>
      <c r="R49" s="7">
        <f t="shared" si="12"/>
        <v>14845.449499309463</v>
      </c>
      <c r="S49" s="65">
        <f t="shared" si="7"/>
        <v>78.221078736307632</v>
      </c>
      <c r="T49" s="234">
        <f t="shared" si="13"/>
        <v>0</v>
      </c>
      <c r="U49" s="204">
        <f t="shared" si="8"/>
        <v>19555.269684076909</v>
      </c>
      <c r="W49"/>
    </row>
    <row r="50" spans="2:23" x14ac:dyDescent="0.35">
      <c r="B50" s="197">
        <v>2024</v>
      </c>
      <c r="C50" s="65">
        <f>'Base Model'!J27</f>
        <v>56271.047084393118</v>
      </c>
      <c r="D50" s="198">
        <v>13351.31</v>
      </c>
      <c r="E50" s="205">
        <f t="shared" si="9"/>
        <v>1659.4999999999998</v>
      </c>
      <c r="F50" s="199">
        <f t="shared" si="0"/>
        <v>0.12429491937495271</v>
      </c>
      <c r="G50" s="235">
        <f t="shared" si="5"/>
        <v>0.33530488351128784</v>
      </c>
      <c r="H50" s="236">
        <f t="shared" si="3"/>
        <v>15</v>
      </c>
      <c r="I50" s="80">
        <f t="shared" si="14"/>
        <v>26.930941454160003</v>
      </c>
      <c r="J50" s="80">
        <f t="shared" si="6"/>
        <v>27.680941454160003</v>
      </c>
      <c r="K50" s="200">
        <f t="shared" si="10"/>
        <v>15154.322745940719</v>
      </c>
      <c r="L50" s="200">
        <f t="shared" si="10"/>
        <v>15576.355599073668</v>
      </c>
      <c r="M50" s="203">
        <f t="shared" si="11"/>
        <v>2.7849007851307356E-2</v>
      </c>
      <c r="N50" s="202">
        <f t="shared" si="4"/>
        <v>226.41548265228755</v>
      </c>
      <c r="O50" s="204">
        <f t="shared" si="2"/>
        <v>18867.956887690627</v>
      </c>
      <c r="P50"/>
      <c r="Q50" s="233">
        <v>54746.413777278765</v>
      </c>
      <c r="R50" s="7">
        <f t="shared" si="12"/>
        <v>15154.322745940721</v>
      </c>
      <c r="S50" s="65">
        <f t="shared" si="7"/>
        <v>220.28087873101461</v>
      </c>
      <c r="T50" s="234">
        <f t="shared" si="13"/>
        <v>0</v>
      </c>
      <c r="U50" s="204">
        <f t="shared" si="8"/>
        <v>18356.739894251219</v>
      </c>
      <c r="W50"/>
    </row>
    <row r="51" spans="2:23" x14ac:dyDescent="0.35">
      <c r="B51" s="197">
        <v>2025</v>
      </c>
      <c r="C51" s="65">
        <f>'Base Model'!J28</f>
        <v>57306.951068618298</v>
      </c>
      <c r="D51" s="198">
        <v>13451.31</v>
      </c>
      <c r="E51" s="205">
        <f t="shared" si="9"/>
        <v>1759.4999999999998</v>
      </c>
      <c r="F51" s="199">
        <f t="shared" si="0"/>
        <v>0.13080510374082524</v>
      </c>
      <c r="G51" s="235">
        <f t="shared" si="5"/>
        <v>0.33049155684473774</v>
      </c>
      <c r="H51" s="236">
        <f t="shared" si="3"/>
        <v>15</v>
      </c>
      <c r="I51" s="80">
        <f t="shared" si="14"/>
        <v>26.984803337068321</v>
      </c>
      <c r="J51" s="80">
        <f t="shared" si="6"/>
        <v>27.734803337068321</v>
      </c>
      <c r="K51" s="200">
        <f t="shared" si="10"/>
        <v>15464.16804433662</v>
      </c>
      <c r="L51" s="200">
        <f t="shared" si="10"/>
        <v>15893.970177351257</v>
      </c>
      <c r="M51" s="203">
        <f t="shared" si="11"/>
        <v>2.7793421009288718E-2</v>
      </c>
      <c r="N51" s="202">
        <f t="shared" si="4"/>
        <v>227.2735617203144</v>
      </c>
      <c r="O51" s="204">
        <f t="shared" si="2"/>
        <v>18939.463476692868</v>
      </c>
      <c r="P51"/>
      <c r="Q51" s="233">
        <v>55757.265903048028</v>
      </c>
      <c r="R51" s="7">
        <f t="shared" si="12"/>
        <v>15464.168044336622</v>
      </c>
      <c r="S51" s="65">
        <f t="shared" si="7"/>
        <v>221.12766736445226</v>
      </c>
      <c r="T51" s="234">
        <f t="shared" si="13"/>
        <v>0</v>
      </c>
      <c r="U51" s="204">
        <f t="shared" si="8"/>
        <v>18427.305613704353</v>
      </c>
      <c r="W51"/>
    </row>
    <row r="52" spans="2:23" x14ac:dyDescent="0.35">
      <c r="B52" s="197">
        <v>2026</v>
      </c>
      <c r="C52" s="65">
        <f>'Base Model'!J29</f>
        <v>58342.076039862462</v>
      </c>
      <c r="D52" s="198">
        <v>13551.31</v>
      </c>
      <c r="E52" s="205">
        <f t="shared" si="9"/>
        <v>1859.4999999999998</v>
      </c>
      <c r="F52" s="199">
        <f t="shared" si="0"/>
        <v>0.13721920611365246</v>
      </c>
      <c r="G52" s="235">
        <f t="shared" si="5"/>
        <v>0.32574926872230703</v>
      </c>
      <c r="H52" s="236">
        <f t="shared" si="3"/>
        <v>15</v>
      </c>
      <c r="I52" s="80">
        <f t="shared" si="14"/>
        <v>27.038772943742458</v>
      </c>
      <c r="J52" s="80">
        <f t="shared" si="6"/>
        <v>27.788772943742458</v>
      </c>
      <c r="K52" s="200">
        <f t="shared" si="10"/>
        <v>15774.981471083982</v>
      </c>
      <c r="L52" s="200">
        <f t="shared" si="10"/>
        <v>16212.54704138295</v>
      </c>
      <c r="M52" s="203">
        <f t="shared" si="11"/>
        <v>2.7737945119050623E-2</v>
      </c>
      <c r="N52" s="202">
        <f t="shared" si="4"/>
        <v>228.05866326871717</v>
      </c>
      <c r="O52" s="204">
        <f t="shared" si="2"/>
        <v>19004.888605726428</v>
      </c>
      <c r="P52"/>
      <c r="Q52" s="233">
        <v>56767.463259424825</v>
      </c>
      <c r="R52" s="7">
        <f t="shared" si="12"/>
        <v>15774.981471083986</v>
      </c>
      <c r="S52" s="65">
        <f t="shared" si="7"/>
        <v>221.90351572773682</v>
      </c>
      <c r="T52" s="234">
        <f t="shared" si="13"/>
        <v>0</v>
      </c>
      <c r="U52" s="204">
        <f t="shared" si="8"/>
        <v>18491.959643978069</v>
      </c>
      <c r="W52"/>
    </row>
    <row r="53" spans="2:23" x14ac:dyDescent="0.35">
      <c r="B53" s="197">
        <v>2027</v>
      </c>
      <c r="C53" s="65">
        <f>'Base Model'!J30</f>
        <v>59376.399449179415</v>
      </c>
      <c r="D53" s="198">
        <v>13651.31</v>
      </c>
      <c r="E53" s="205">
        <f t="shared" si="9"/>
        <v>1959.4999999999998</v>
      </c>
      <c r="F53" s="199">
        <f t="shared" si="0"/>
        <v>0.14353933798294816</v>
      </c>
      <c r="G53" s="235">
        <f t="shared" si="5"/>
        <v>0.32107645800713513</v>
      </c>
      <c r="H53" s="236">
        <f t="shared" si="3"/>
        <v>15</v>
      </c>
      <c r="I53" s="80">
        <f t="shared" si="14"/>
        <v>27.092850489629942</v>
      </c>
      <c r="J53" s="80">
        <f t="shared" si="6"/>
        <v>27.842850489629942</v>
      </c>
      <c r="K53" s="200">
        <f t="shared" si="10"/>
        <v>16086.759128891636</v>
      </c>
      <c r="L53" s="200">
        <f t="shared" si="10"/>
        <v>16532.082124760484</v>
      </c>
      <c r="M53" s="203">
        <f t="shared" si="11"/>
        <v>2.768257995913254E-2</v>
      </c>
      <c r="N53" s="202">
        <f t="shared" si="4"/>
        <v>228.77236829231205</v>
      </c>
      <c r="O53" s="204">
        <f t="shared" si="2"/>
        <v>19064.364024359336</v>
      </c>
      <c r="P53"/>
      <c r="Q53" s="233">
        <v>57776.983484083801</v>
      </c>
      <c r="R53" s="7">
        <f t="shared" si="12"/>
        <v>16086.759128891637</v>
      </c>
      <c r="S53" s="65">
        <f t="shared" si="7"/>
        <v>222.60995053687648</v>
      </c>
      <c r="T53" s="234">
        <f t="shared" si="13"/>
        <v>0</v>
      </c>
      <c r="U53" s="204">
        <f t="shared" si="8"/>
        <v>18550.829211406373</v>
      </c>
      <c r="W53"/>
    </row>
    <row r="54" spans="2:23" x14ac:dyDescent="0.35">
      <c r="B54" s="197">
        <v>2028</v>
      </c>
      <c r="C54" s="65">
        <f>'Base Model'!J31</f>
        <v>60409.899029446402</v>
      </c>
      <c r="D54" s="198">
        <v>13751.31</v>
      </c>
      <c r="E54" s="205">
        <f t="shared" si="9"/>
        <v>2059.5</v>
      </c>
      <c r="F54" s="199">
        <f t="shared" si="0"/>
        <v>0.14976754941892809</v>
      </c>
      <c r="G54" s="235">
        <f t="shared" si="5"/>
        <v>0.31647160897292553</v>
      </c>
      <c r="H54" s="236">
        <f t="shared" si="3"/>
        <v>15</v>
      </c>
      <c r="I54" s="80">
        <f t="shared" si="14"/>
        <v>27.147036190609203</v>
      </c>
      <c r="J54" s="80">
        <f t="shared" si="6"/>
        <v>27.897036190609203</v>
      </c>
      <c r="K54" s="200">
        <f t="shared" si="10"/>
        <v>16399.497152234293</v>
      </c>
      <c r="L54" s="200">
        <f t="shared" si="10"/>
        <v>16852.571394955139</v>
      </c>
      <c r="M54" s="203">
        <f t="shared" si="11"/>
        <v>2.7627325308515239E-2</v>
      </c>
      <c r="N54" s="202">
        <f t="shared" si="4"/>
        <v>229.41621532489052</v>
      </c>
      <c r="O54" s="204">
        <f t="shared" si="2"/>
        <v>19118.017943740877</v>
      </c>
      <c r="P54"/>
      <c r="Q54" s="233">
        <v>58785.804485405308</v>
      </c>
      <c r="R54" s="7">
        <f t="shared" si="12"/>
        <v>16399.497152234289</v>
      </c>
      <c r="S54" s="65">
        <f t="shared" si="7"/>
        <v>223.24845756316847</v>
      </c>
      <c r="T54" s="234">
        <f t="shared" si="13"/>
        <v>0</v>
      </c>
      <c r="U54" s="204">
        <f t="shared" si="8"/>
        <v>18604.038130264042</v>
      </c>
      <c r="W54"/>
    </row>
    <row r="55" spans="2:23" x14ac:dyDescent="0.35">
      <c r="B55" s="197">
        <v>2029</v>
      </c>
      <c r="C55" s="65">
        <f>'Base Model'!J32</f>
        <v>61442.552814301293</v>
      </c>
      <c r="D55" s="198">
        <v>13851.31</v>
      </c>
      <c r="E55" s="205">
        <f t="shared" si="9"/>
        <v>2159.5</v>
      </c>
      <c r="F55" s="199">
        <f t="shared" si="0"/>
        <v>0.15590583128960367</v>
      </c>
      <c r="G55" s="235">
        <f t="shared" si="5"/>
        <v>0.31193324966473046</v>
      </c>
      <c r="H55" s="236">
        <f t="shared" si="3"/>
        <v>15</v>
      </c>
      <c r="I55" s="80">
        <f t="shared" si="14"/>
        <v>27.201330262990421</v>
      </c>
      <c r="J55" s="80">
        <f t="shared" si="6"/>
        <v>27.951330262990421</v>
      </c>
      <c r="K55" s="200">
        <f t="shared" si="10"/>
        <v>16713.19171303041</v>
      </c>
      <c r="L55" s="200">
        <f t="shared" si="10"/>
        <v>17174.01085913767</v>
      </c>
      <c r="M55" s="203">
        <f t="shared" si="11"/>
        <v>2.7572180946622143E-2</v>
      </c>
      <c r="N55" s="202">
        <f t="shared" si="4"/>
        <v>229.99170200474202</v>
      </c>
      <c r="O55" s="204">
        <f t="shared" si="2"/>
        <v>19165.975167061832</v>
      </c>
      <c r="P55"/>
      <c r="Q55" s="233">
        <v>59793.904460997641</v>
      </c>
      <c r="R55" s="7">
        <f t="shared" si="12"/>
        <v>16713.191713030414</v>
      </c>
      <c r="S55" s="65">
        <f t="shared" si="7"/>
        <v>223.82048314393703</v>
      </c>
      <c r="T55" s="234">
        <f t="shared" si="13"/>
        <v>0</v>
      </c>
      <c r="U55" s="204">
        <f t="shared" si="8"/>
        <v>18651.706928661417</v>
      </c>
      <c r="W55"/>
    </row>
    <row r="56" spans="2:23" x14ac:dyDescent="0.35">
      <c r="B56" s="197">
        <v>2030</v>
      </c>
      <c r="C56" s="65">
        <f>'Base Model'!J33</f>
        <v>62474.339156938891</v>
      </c>
      <c r="D56" s="198">
        <v>14051.31</v>
      </c>
      <c r="E56" s="205">
        <f t="shared" si="9"/>
        <v>2359.5</v>
      </c>
      <c r="F56" s="199">
        <f t="shared" si="0"/>
        <v>0.16792028643592663</v>
      </c>
      <c r="G56" s="235">
        <f t="shared" si="5"/>
        <v>0.30305032191801135</v>
      </c>
      <c r="H56" s="236">
        <f t="shared" si="3"/>
        <v>15</v>
      </c>
      <c r="I56" s="80">
        <f t="shared" si="14"/>
        <v>27.255732923516401</v>
      </c>
      <c r="J56" s="80">
        <f t="shared" si="6"/>
        <v>28.005732923516401</v>
      </c>
      <c r="K56" s="200">
        <f t="shared" si="10"/>
        <v>17027.839026347094</v>
      </c>
      <c r="L56" s="200">
        <f t="shared" si="10"/>
        <v>17496.396570024135</v>
      </c>
      <c r="M56" s="203">
        <f t="shared" si="11"/>
        <v>2.7517146653315464E-2</v>
      </c>
      <c r="N56" s="202">
        <f t="shared" si="4"/>
        <v>227.19442311750427</v>
      </c>
      <c r="O56" s="204">
        <f t="shared" si="2"/>
        <v>18932.868593125353</v>
      </c>
      <c r="P56"/>
      <c r="Q56" s="233">
        <v>60801.261916087285</v>
      </c>
      <c r="R56" s="7">
        <f t="shared" si="12"/>
        <v>17027.839026347097</v>
      </c>
      <c r="S56" s="65">
        <f t="shared" si="7"/>
        <v>221.11010396029889</v>
      </c>
      <c r="T56" s="234">
        <f t="shared" si="13"/>
        <v>0</v>
      </c>
      <c r="U56" s="204">
        <f t="shared" si="8"/>
        <v>18425.841996691575</v>
      </c>
      <c r="W56"/>
    </row>
    <row r="57" spans="2:23" x14ac:dyDescent="0.35">
      <c r="B57" s="197">
        <v>2031</v>
      </c>
      <c r="C57" s="65">
        <f>'Base Model'!J34</f>
        <v>63505.236748746618</v>
      </c>
      <c r="D57" s="198">
        <v>14251.31</v>
      </c>
      <c r="E57" s="205">
        <f t="shared" si="9"/>
        <v>2559.5</v>
      </c>
      <c r="F57" s="199">
        <f t="shared" si="0"/>
        <v>0.17959752471878024</v>
      </c>
      <c r="G57" s="235">
        <f t="shared" si="5"/>
        <v>0.29441671659138469</v>
      </c>
      <c r="H57" s="236">
        <f t="shared" si="3"/>
        <v>25</v>
      </c>
      <c r="I57" s="80">
        <f t="shared" si="14"/>
        <v>27.310244389363433</v>
      </c>
      <c r="J57" s="80">
        <f t="shared" si="6"/>
        <v>28.560244389363433</v>
      </c>
      <c r="K57" s="200">
        <f t="shared" si="10"/>
        <v>17343.435356126538</v>
      </c>
      <c r="L57" s="200">
        <f t="shared" si="10"/>
        <v>18137.25081548587</v>
      </c>
      <c r="M57" s="203">
        <f t="shared" si="11"/>
        <v>4.577037034816276E-2</v>
      </c>
      <c r="N57" s="202">
        <f t="shared" si="4"/>
        <v>373.94006579849042</v>
      </c>
      <c r="O57" s="204">
        <f t="shared" si="2"/>
        <v>18697.00328992452</v>
      </c>
      <c r="P57"/>
      <c r="Q57" s="233">
        <v>60725.79463845789</v>
      </c>
      <c r="R57" s="7">
        <f t="shared" si="12"/>
        <v>17343.435356126531</v>
      </c>
      <c r="S57" s="65">
        <f t="shared" si="7"/>
        <v>357.57378139714967</v>
      </c>
      <c r="T57" s="234">
        <f t="shared" si="13"/>
        <v>0</v>
      </c>
      <c r="U57" s="204">
        <f t="shared" si="8"/>
        <v>17878.689069857483</v>
      </c>
      <c r="W57"/>
    </row>
    <row r="58" spans="2:23" x14ac:dyDescent="0.35">
      <c r="B58" s="197">
        <v>2032</v>
      </c>
      <c r="C58" s="65">
        <f>'Base Model'!J35</f>
        <v>64535.224637754363</v>
      </c>
      <c r="D58" s="198">
        <v>14451.31</v>
      </c>
      <c r="E58" s="205">
        <f t="shared" si="9"/>
        <v>2759.5</v>
      </c>
      <c r="F58" s="199">
        <f t="shared" si="0"/>
        <v>0.19095154695318281</v>
      </c>
      <c r="G58" s="235">
        <f t="shared" si="5"/>
        <v>0.28602208213526392</v>
      </c>
      <c r="H58" s="236">
        <f t="shared" si="3"/>
        <v>25</v>
      </c>
      <c r="I58" s="80">
        <f t="shared" si="14"/>
        <v>27.364864878142161</v>
      </c>
      <c r="J58" s="80">
        <f t="shared" si="6"/>
        <v>28.614864878142161</v>
      </c>
      <c r="K58" s="200">
        <f t="shared" si="10"/>
        <v>17659.977020926988</v>
      </c>
      <c r="L58" s="200">
        <f t="shared" si="10"/>
        <v>18466.667328898919</v>
      </c>
      <c r="M58" s="203">
        <f t="shared" si="11"/>
        <v>4.5679012323515837E-2</v>
      </c>
      <c r="N58" s="202">
        <f t="shared" si="4"/>
        <v>369.16998643914974</v>
      </c>
      <c r="O58" s="204">
        <f t="shared" si="2"/>
        <v>18458.499321957486</v>
      </c>
      <c r="P58"/>
      <c r="Q58" s="233">
        <v>61716.094401049602</v>
      </c>
      <c r="R58" s="7">
        <f t="shared" si="12"/>
        <v>17659.977020927003</v>
      </c>
      <c r="S58" s="65">
        <f t="shared" si="7"/>
        <v>353.04331643689426</v>
      </c>
      <c r="T58" s="234">
        <f t="shared" si="13"/>
        <v>0</v>
      </c>
      <c r="U58" s="204">
        <f t="shared" si="8"/>
        <v>17652.165821844712</v>
      </c>
      <c r="W58"/>
    </row>
    <row r="59" spans="2:23" x14ac:dyDescent="0.35">
      <c r="B59" s="197">
        <v>2033</v>
      </c>
      <c r="C59" s="65">
        <f>'Base Model'!J36</f>
        <v>65564.282246879899</v>
      </c>
      <c r="D59" s="198">
        <v>14651.31</v>
      </c>
      <c r="E59" s="205">
        <f t="shared" si="9"/>
        <v>2959.5</v>
      </c>
      <c r="F59" s="199">
        <f t="shared" si="0"/>
        <v>0.20199558947288673</v>
      </c>
      <c r="G59" s="235">
        <f t="shared" si="5"/>
        <v>0.27785663222185286</v>
      </c>
      <c r="H59" s="236">
        <f t="shared" si="3"/>
        <v>25</v>
      </c>
      <c r="I59" s="80">
        <f t="shared" si="14"/>
        <v>27.419594607898446</v>
      </c>
      <c r="J59" s="80">
        <f t="shared" si="6"/>
        <v>28.669594607898446</v>
      </c>
      <c r="K59" s="200">
        <f t="shared" si="10"/>
        <v>17977.4603996728</v>
      </c>
      <c r="L59" s="200">
        <f t="shared" si="10"/>
        <v>18797.013927758799</v>
      </c>
      <c r="M59" s="203">
        <f t="shared" si="11"/>
        <v>4.558783665021534E-2</v>
      </c>
      <c r="N59" s="202">
        <f t="shared" si="4"/>
        <v>364.34941318322132</v>
      </c>
      <c r="O59" s="204">
        <f t="shared" si="2"/>
        <v>18217.470659161067</v>
      </c>
      <c r="P59"/>
      <c r="Q59" s="233">
        <v>62705.666562582046</v>
      </c>
      <c r="R59" s="7">
        <f t="shared" si="12"/>
        <v>17977.4603996728</v>
      </c>
      <c r="S59" s="65">
        <f t="shared" si="7"/>
        <v>348.46370664610993</v>
      </c>
      <c r="T59" s="234">
        <f t="shared" si="13"/>
        <v>0</v>
      </c>
      <c r="U59" s="204">
        <f t="shared" si="8"/>
        <v>17423.185332305497</v>
      </c>
      <c r="W59"/>
    </row>
    <row r="60" spans="2:23" x14ac:dyDescent="0.35">
      <c r="B60" s="197">
        <v>2034</v>
      </c>
      <c r="C60" s="65">
        <f>'Base Model'!J37</f>
        <v>66592.389391945588</v>
      </c>
      <c r="D60" s="198">
        <v>14851.31</v>
      </c>
      <c r="E60" s="205">
        <f t="shared" si="9"/>
        <v>3159.5</v>
      </c>
      <c r="F60" s="199">
        <f t="shared" si="0"/>
        <v>0.21274217560605765</v>
      </c>
      <c r="G60" s="235">
        <f t="shared" si="5"/>
        <v>0.26991110768642967</v>
      </c>
      <c r="H60" s="236">
        <f t="shared" si="3"/>
        <v>25</v>
      </c>
      <c r="I60" s="80">
        <f t="shared" si="14"/>
        <v>27.474433797114244</v>
      </c>
      <c r="J60" s="80">
        <f t="shared" si="6"/>
        <v>28.724433797114244</v>
      </c>
      <c r="K60" s="200">
        <f t="shared" si="10"/>
        <v>18295.881937406619</v>
      </c>
      <c r="L60" s="200">
        <f t="shared" si="10"/>
        <v>19128.286804805939</v>
      </c>
      <c r="M60" s="203">
        <f t="shared" si="11"/>
        <v>4.5496842964286799E-2</v>
      </c>
      <c r="N60" s="202">
        <f t="shared" si="4"/>
        <v>359.48051168532157</v>
      </c>
      <c r="O60" s="204">
        <f t="shared" si="2"/>
        <v>17974.025584266077</v>
      </c>
      <c r="P60"/>
      <c r="Q60" s="233">
        <v>63694.49113125664</v>
      </c>
      <c r="R60" s="7">
        <f t="shared" si="12"/>
        <v>18295.881937406619</v>
      </c>
      <c r="S60" s="65">
        <f t="shared" si="7"/>
        <v>343.83701309521899</v>
      </c>
      <c r="T60" s="234">
        <f t="shared" si="13"/>
        <v>0</v>
      </c>
      <c r="U60" s="204">
        <f t="shared" si="8"/>
        <v>17191.85065476095</v>
      </c>
      <c r="W60"/>
    </row>
    <row r="61" spans="2:23" x14ac:dyDescent="0.35">
      <c r="B61" s="197">
        <v>2035</v>
      </c>
      <c r="C61" s="65">
        <f>'Base Model'!J38</f>
        <v>67619.526299443358</v>
      </c>
      <c r="D61" s="198">
        <v>15051.31</v>
      </c>
      <c r="E61" s="205">
        <f t="shared" si="9"/>
        <v>3359.5</v>
      </c>
      <c r="F61" s="199">
        <f t="shared" si="0"/>
        <v>0.22320316304693746</v>
      </c>
      <c r="G61" s="235">
        <f t="shared" si="5"/>
        <v>0.26217674150294851</v>
      </c>
      <c r="H61" s="236">
        <f t="shared" si="3"/>
        <v>35</v>
      </c>
      <c r="I61" s="80">
        <f t="shared" si="14"/>
        <v>27.529382664708471</v>
      </c>
      <c r="J61" s="80">
        <f t="shared" si="6"/>
        <v>29.279382664708471</v>
      </c>
      <c r="K61" s="200">
        <f t="shared" si="10"/>
        <v>18615.238151036949</v>
      </c>
      <c r="L61" s="200">
        <f t="shared" si="10"/>
        <v>19798.579861277201</v>
      </c>
      <c r="M61" s="203">
        <f t="shared" si="11"/>
        <v>6.3568443263474203E-2</v>
      </c>
      <c r="N61" s="202">
        <f t="shared" si="4"/>
        <v>496.39147788050769</v>
      </c>
      <c r="O61" s="204">
        <f t="shared" si="2"/>
        <v>17728.267067160989</v>
      </c>
      <c r="P61"/>
      <c r="Q61" s="233">
        <v>63577.973498309402</v>
      </c>
      <c r="R61" s="7">
        <f t="shared" si="12"/>
        <v>18615.238151036949</v>
      </c>
      <c r="S61" s="65">
        <f t="shared" si="7"/>
        <v>466.72264584813206</v>
      </c>
      <c r="T61" s="234">
        <f t="shared" si="13"/>
        <v>0</v>
      </c>
      <c r="U61" s="204">
        <f t="shared" si="8"/>
        <v>16668.665923147575</v>
      </c>
      <c r="W61"/>
    </row>
    <row r="62" spans="2:23" x14ac:dyDescent="0.35">
      <c r="B62" s="197">
        <v>2036</v>
      </c>
      <c r="C62" s="65">
        <f>'Base Model'!J39</f>
        <v>68645.673624029383</v>
      </c>
      <c r="D62" s="198">
        <v>15251.31</v>
      </c>
      <c r="E62" s="205">
        <f t="shared" si="9"/>
        <v>3559.5</v>
      </c>
      <c r="F62" s="199">
        <f t="shared" si="0"/>
        <v>0.2333897875002213</v>
      </c>
      <c r="G62" s="235">
        <f t="shared" si="5"/>
        <v>0.25464522651542315</v>
      </c>
      <c r="H62" s="236">
        <f t="shared" si="3"/>
        <v>35</v>
      </c>
      <c r="I62" s="80">
        <f t="shared" si="14"/>
        <v>27.584441430037888</v>
      </c>
      <c r="J62" s="80">
        <f t="shared" si="6"/>
        <v>29.334441430037888</v>
      </c>
      <c r="K62" s="200">
        <f t="shared" si="10"/>
        <v>18935.525635075352</v>
      </c>
      <c r="L62" s="200">
        <f t="shared" si="10"/>
        <v>20136.824923495868</v>
      </c>
      <c r="M62" s="203">
        <f t="shared" si="11"/>
        <v>6.3441560143188261E-2</v>
      </c>
      <c r="N62" s="202">
        <f t="shared" si="4"/>
        <v>489.44820706025354</v>
      </c>
      <c r="O62" s="204">
        <f t="shared" si="2"/>
        <v>17480.293109294769</v>
      </c>
      <c r="P62"/>
      <c r="Q62" s="233">
        <v>64550.489840538597</v>
      </c>
      <c r="R62" s="7">
        <f t="shared" si="12"/>
        <v>18935.525635075352</v>
      </c>
      <c r="S62" s="65">
        <f t="shared" si="7"/>
        <v>460.2492749995132</v>
      </c>
      <c r="T62" s="234">
        <f t="shared" si="13"/>
        <v>0</v>
      </c>
      <c r="U62" s="204">
        <f t="shared" si="8"/>
        <v>16437.474107125472</v>
      </c>
      <c r="W62"/>
    </row>
    <row r="63" spans="2:23" x14ac:dyDescent="0.35">
      <c r="B63" s="197">
        <v>2037</v>
      </c>
      <c r="C63" s="65">
        <f>'Base Model'!J40</f>
        <v>69670.812465724273</v>
      </c>
      <c r="D63" s="198">
        <v>15451.31</v>
      </c>
      <c r="E63" s="205">
        <f t="shared" si="9"/>
        <v>3759.5</v>
      </c>
      <c r="F63" s="199">
        <f t="shared" si="0"/>
        <v>0.24331270293586757</v>
      </c>
      <c r="G63" s="235">
        <f t="shared" si="5"/>
        <v>0.24730868567539793</v>
      </c>
      <c r="H63" s="236">
        <f t="shared" si="3"/>
        <v>35</v>
      </c>
      <c r="I63" s="80">
        <f t="shared" si="14"/>
        <v>27.639610312897965</v>
      </c>
      <c r="J63" s="80">
        <f t="shared" si="6"/>
        <v>29.389610312897965</v>
      </c>
      <c r="K63" s="200">
        <f t="shared" si="10"/>
        <v>19256.741067356128</v>
      </c>
      <c r="L63" s="200">
        <f t="shared" si="10"/>
        <v>20475.980285506299</v>
      </c>
      <c r="M63" s="203">
        <f t="shared" si="11"/>
        <v>6.3314930282622708E-2</v>
      </c>
      <c r="N63" s="202">
        <f t="shared" si="4"/>
        <v>482.4455177033912</v>
      </c>
      <c r="O63" s="204">
        <f t="shared" si="2"/>
        <v>17230.197060835399</v>
      </c>
      <c r="P63"/>
      <c r="Q63" s="233">
        <v>65522.274240244304</v>
      </c>
      <c r="R63" s="7">
        <f t="shared" si="12"/>
        <v>19256.741067356128</v>
      </c>
      <c r="S63" s="65">
        <f t="shared" si="7"/>
        <v>453.71837069489845</v>
      </c>
      <c r="T63" s="234">
        <f t="shared" si="13"/>
        <v>0</v>
      </c>
      <c r="U63" s="204">
        <f t="shared" si="8"/>
        <v>16204.227524817801</v>
      </c>
      <c r="W63"/>
    </row>
    <row r="64" spans="2:23" x14ac:dyDescent="0.35">
      <c r="B64" s="197">
        <v>2038</v>
      </c>
      <c r="C64" s="65">
        <f>'Base Model'!J41</f>
        <v>70694.924386798739</v>
      </c>
      <c r="D64" s="198">
        <v>15651.31</v>
      </c>
      <c r="E64" s="205">
        <f t="shared" si="9"/>
        <v>3959.5</v>
      </c>
      <c r="F64" s="199">
        <f t="shared" si="0"/>
        <v>0.25298201875753534</v>
      </c>
      <c r="G64" s="235">
        <f t="shared" si="5"/>
        <v>0.24015964456133873</v>
      </c>
      <c r="H64" s="236">
        <f t="shared" si="3"/>
        <v>35</v>
      </c>
      <c r="I64" s="80">
        <f t="shared" si="14"/>
        <v>27.69488953352376</v>
      </c>
      <c r="J64" s="80">
        <f t="shared" si="6"/>
        <v>29.44488953352376</v>
      </c>
      <c r="K64" s="200">
        <f t="shared" si="10"/>
        <v>19578.88121473206</v>
      </c>
      <c r="L64" s="200">
        <f t="shared" si="10"/>
        <v>20816.04239150104</v>
      </c>
      <c r="M64" s="203">
        <f t="shared" si="11"/>
        <v>6.3188553176270437E-2</v>
      </c>
      <c r="N64" s="202">
        <f t="shared" si="4"/>
        <v>475.38590156468052</v>
      </c>
      <c r="O64" s="204">
        <f t="shared" si="2"/>
        <v>16978.067913024304</v>
      </c>
      <c r="P64"/>
      <c r="Q64" s="233">
        <v>66493.308431132013</v>
      </c>
      <c r="R64" s="7">
        <f t="shared" si="12"/>
        <v>19578.88121473206</v>
      </c>
      <c r="S64" s="65">
        <f t="shared" si="7"/>
        <v>447.13226091878767</v>
      </c>
      <c r="T64" s="234">
        <f t="shared" si="13"/>
        <v>0</v>
      </c>
      <c r="U64" s="204">
        <f t="shared" si="8"/>
        <v>15969.009318528131</v>
      </c>
      <c r="W64"/>
    </row>
    <row r="65" spans="2:23" x14ac:dyDescent="0.35">
      <c r="B65" s="197">
        <v>2039</v>
      </c>
      <c r="C65" s="65">
        <f>'Base Model'!J42</f>
        <v>71717.991428322493</v>
      </c>
      <c r="D65" s="198">
        <v>15851.31</v>
      </c>
      <c r="E65" s="205">
        <f t="shared" si="9"/>
        <v>4159.5</v>
      </c>
      <c r="F65" s="199">
        <f t="shared" si="0"/>
        <v>0.26240733415723999</v>
      </c>
      <c r="G65" s="235">
        <f t="shared" si="5"/>
        <v>0.23319100597840314</v>
      </c>
      <c r="H65" s="236">
        <f t="shared" si="3"/>
        <v>35</v>
      </c>
      <c r="I65" s="80">
        <f t="shared" si="14"/>
        <v>27.750279312590809</v>
      </c>
      <c r="J65" s="80">
        <f t="shared" si="6"/>
        <v>29.500279312590809</v>
      </c>
      <c r="K65" s="200">
        <f t="shared" si="10"/>
        <v>19901.942938739427</v>
      </c>
      <c r="L65" s="200">
        <f t="shared" si="10"/>
        <v>21157.007788735071</v>
      </c>
      <c r="M65" s="203">
        <f t="shared" si="11"/>
        <v>6.3062428319631145E-2</v>
      </c>
      <c r="N65" s="202">
        <f t="shared" si="4"/>
        <v>468.27173590178853</v>
      </c>
      <c r="O65" s="204">
        <f t="shared" si="2"/>
        <v>16723.990567921017</v>
      </c>
      <c r="P65"/>
      <c r="Q65" s="233">
        <v>67463.574591462297</v>
      </c>
      <c r="R65" s="7">
        <f t="shared" si="12"/>
        <v>19901.942938739423</v>
      </c>
      <c r="S65" s="65">
        <f t="shared" si="7"/>
        <v>440.49316712469965</v>
      </c>
      <c r="T65" s="234">
        <f t="shared" si="13"/>
        <v>0</v>
      </c>
      <c r="U65" s="204">
        <f t="shared" si="8"/>
        <v>15731.89882588213</v>
      </c>
      <c r="W65"/>
    </row>
    <row r="66" spans="2:23" x14ac:dyDescent="0.35">
      <c r="B66" s="197">
        <v>2040</v>
      </c>
      <c r="C66" s="65">
        <f>'Base Model'!J43</f>
        <v>72739.996126357379</v>
      </c>
      <c r="D66" s="198">
        <v>16051.31</v>
      </c>
      <c r="E66" s="205">
        <f t="shared" si="9"/>
        <v>4359.5</v>
      </c>
      <c r="F66" s="199">
        <f t="shared" si="0"/>
        <v>0.27159776990164669</v>
      </c>
      <c r="G66" s="235">
        <f t="shared" si="5"/>
        <v>0.22639602645713747</v>
      </c>
      <c r="H66" s="236">
        <f t="shared" si="3"/>
        <v>45</v>
      </c>
      <c r="I66" s="80">
        <f t="shared" si="14"/>
        <v>27.805779871215989</v>
      </c>
      <c r="J66" s="80">
        <f t="shared" si="6"/>
        <v>30.055779871215989</v>
      </c>
      <c r="K66" s="200">
        <f t="shared" si="10"/>
        <v>20225.923201225971</v>
      </c>
      <c r="L66" s="200">
        <f t="shared" si="10"/>
        <v>21862.573114069011</v>
      </c>
      <c r="M66" s="203">
        <f t="shared" si="11"/>
        <v>8.0918428126130579E-2</v>
      </c>
      <c r="N66" s="202">
        <f t="shared" si="4"/>
        <v>592.84965915053579</v>
      </c>
      <c r="O66" s="204">
        <f t="shared" si="2"/>
        <v>16468.046087514882</v>
      </c>
      <c r="P66"/>
      <c r="Q66" s="233">
        <v>67294.621160690673</v>
      </c>
      <c r="R66" s="7">
        <f t="shared" si="12"/>
        <v>20225.923201225924</v>
      </c>
      <c r="S66" s="65">
        <f t="shared" si="7"/>
        <v>548.46845397787581</v>
      </c>
      <c r="T66" s="234">
        <f t="shared" si="13"/>
        <v>-4.7293724492192268E-11</v>
      </c>
      <c r="U66" s="204">
        <f t="shared" si="8"/>
        <v>15235.234832718768</v>
      </c>
      <c r="W66"/>
    </row>
    <row r="67" spans="2:23" x14ac:dyDescent="0.35">
      <c r="B67" s="197">
        <v>2041</v>
      </c>
      <c r="C67" s="65">
        <f>'Base Model'!J44</f>
        <v>73760.92152777352</v>
      </c>
      <c r="D67" s="198">
        <v>16251.31</v>
      </c>
      <c r="E67" s="205">
        <f t="shared" si="9"/>
        <v>4559.5</v>
      </c>
      <c r="F67" s="199">
        <f t="shared" si="0"/>
        <v>0.28056199777125662</v>
      </c>
      <c r="G67" s="235">
        <f t="shared" si="5"/>
        <v>0.21976829448751575</v>
      </c>
      <c r="H67" s="236">
        <f t="shared" si="3"/>
        <v>45</v>
      </c>
      <c r="I67" s="80">
        <f t="shared" si="14"/>
        <v>27.86139143095842</v>
      </c>
      <c r="J67" s="80">
        <f t="shared" si="6"/>
        <v>30.11139143095842</v>
      </c>
      <c r="K67" s="200">
        <f t="shared" si="10"/>
        <v>20550.819069935056</v>
      </c>
      <c r="L67" s="200">
        <f t="shared" si="10"/>
        <v>22210.439804309961</v>
      </c>
      <c r="M67" s="203">
        <f t="shared" si="11"/>
        <v>8.0756914297535551E-2</v>
      </c>
      <c r="N67" s="202">
        <f t="shared" si="4"/>
        <v>583.57122926350587</v>
      </c>
      <c r="O67" s="204">
        <f t="shared" si="2"/>
        <v>16210.311923986272</v>
      </c>
      <c r="P67"/>
      <c r="Q67" s="233">
        <v>68249.317262722194</v>
      </c>
      <c r="R67" s="7">
        <f t="shared" si="12"/>
        <v>20550.819069934958</v>
      </c>
      <c r="S67" s="65">
        <f t="shared" si="7"/>
        <v>539.96529797156961</v>
      </c>
      <c r="T67" s="234">
        <f t="shared" si="13"/>
        <v>-9.822542779147625E-11</v>
      </c>
      <c r="U67" s="204">
        <f t="shared" si="8"/>
        <v>14999.036054765824</v>
      </c>
      <c r="W67"/>
    </row>
    <row r="68" spans="2:23" x14ac:dyDescent="0.35">
      <c r="B68" s="197">
        <v>2042</v>
      </c>
      <c r="C68" s="65">
        <f>'Base Model'!J45</f>
        <v>74780.751205667577</v>
      </c>
      <c r="D68" s="198">
        <v>16451.309999999998</v>
      </c>
      <c r="E68" s="205">
        <f t="shared" si="9"/>
        <v>4759.5</v>
      </c>
      <c r="F68" s="199">
        <f t="shared" si="0"/>
        <v>0.2893082678522258</v>
      </c>
      <c r="G68" s="235">
        <f t="shared" si="5"/>
        <v>0.2133017103406418</v>
      </c>
      <c r="H68" s="236">
        <f t="shared" si="3"/>
        <v>45</v>
      </c>
      <c r="I68" s="80">
        <f t="shared" si="14"/>
        <v>27.917114213820337</v>
      </c>
      <c r="J68" s="80">
        <f t="shared" si="6"/>
        <v>30.167114213820337</v>
      </c>
      <c r="K68" s="200">
        <f t="shared" si="10"/>
        <v>20876.627724039048</v>
      </c>
      <c r="L68" s="200">
        <f t="shared" si="10"/>
        <v>22559.194626166569</v>
      </c>
      <c r="M68" s="203">
        <f t="shared" si="11"/>
        <v>8.0595722851831877E-2</v>
      </c>
      <c r="N68" s="202">
        <f t="shared" si="4"/>
        <v>574.23103677816857</v>
      </c>
      <c r="O68" s="204">
        <f t="shared" si="2"/>
        <v>15950.862132726905</v>
      </c>
      <c r="P68"/>
      <c r="Q68" s="233">
        <v>69203.26411094013</v>
      </c>
      <c r="R68" s="7">
        <f t="shared" si="12"/>
        <v>20876.627724039048</v>
      </c>
      <c r="S68" s="65">
        <f t="shared" si="7"/>
        <v>531.40228545667264</v>
      </c>
      <c r="T68" s="234">
        <f t="shared" si="13"/>
        <v>0</v>
      </c>
      <c r="U68" s="204">
        <f t="shared" si="8"/>
        <v>14761.174596018684</v>
      </c>
      <c r="W68"/>
    </row>
    <row r="69" spans="2:23" x14ac:dyDescent="0.35">
      <c r="B69" s="197">
        <v>2043</v>
      </c>
      <c r="C69" s="65">
        <f>'Base Model'!J46</f>
        <v>75799.469274365241</v>
      </c>
      <c r="D69" s="198">
        <v>16651.309999999998</v>
      </c>
      <c r="E69" s="205">
        <f t="shared" si="9"/>
        <v>4959.5</v>
      </c>
      <c r="F69" s="199">
        <f t="shared" si="0"/>
        <v>0.29784443386135989</v>
      </c>
      <c r="G69" s="235">
        <f t="shared" si="5"/>
        <v>0.20699046734462923</v>
      </c>
      <c r="H69" s="236">
        <f t="shared" si="3"/>
        <v>45</v>
      </c>
      <c r="I69" s="80">
        <f t="shared" si="14"/>
        <v>27.972948442247979</v>
      </c>
      <c r="J69" s="80">
        <f t="shared" si="6"/>
        <v>30.222948442247979</v>
      </c>
      <c r="K69" s="200">
        <f t="shared" si="10"/>
        <v>21203.346459615786</v>
      </c>
      <c r="L69" s="200">
        <f t="shared" si="10"/>
        <v>22908.834518289004</v>
      </c>
      <c r="M69" s="203">
        <f t="shared" si="11"/>
        <v>8.0434853145540788E-2</v>
      </c>
      <c r="N69" s="202">
        <f t="shared" si="4"/>
        <v>564.83163250472603</v>
      </c>
      <c r="O69" s="204">
        <f t="shared" si="2"/>
        <v>15689.767569575724</v>
      </c>
      <c r="P69"/>
      <c r="Q69" s="233">
        <v>70156.445854819642</v>
      </c>
      <c r="R69" s="7">
        <f t="shared" si="12"/>
        <v>21203.346459615761</v>
      </c>
      <c r="S69" s="65">
        <f t="shared" si="7"/>
        <v>522.78175853018263</v>
      </c>
      <c r="T69" s="234">
        <f t="shared" si="13"/>
        <v>0</v>
      </c>
      <c r="U69" s="204">
        <f t="shared" si="8"/>
        <v>14521.715514727293</v>
      </c>
      <c r="W69"/>
    </row>
    <row r="70" spans="2:23" x14ac:dyDescent="0.35">
      <c r="B70" s="197">
        <v>2044</v>
      </c>
      <c r="C70" s="65">
        <f>'Base Model'!J47</f>
        <v>76817.060403988144</v>
      </c>
      <c r="D70" s="198">
        <v>16851.309999999998</v>
      </c>
      <c r="E70" s="205">
        <f t="shared" si="9"/>
        <v>5159.5</v>
      </c>
      <c r="F70" s="199">
        <f t="shared" si="0"/>
        <v>0.30617797666768937</v>
      </c>
      <c r="G70" s="235">
        <f t="shared" si="5"/>
        <v>0.20082903449384604</v>
      </c>
      <c r="H70" s="236">
        <f t="shared" si="3"/>
        <v>45</v>
      </c>
      <c r="I70" s="80">
        <f t="shared" si="14"/>
        <v>28.028894339132474</v>
      </c>
      <c r="J70" s="80">
        <f t="shared" si="6"/>
        <v>30.278894339132474</v>
      </c>
      <c r="K70" s="200">
        <f t="shared" si="10"/>
        <v>21530.972695061409</v>
      </c>
      <c r="L70" s="200">
        <f t="shared" si="10"/>
        <v>23259.356554151138</v>
      </c>
      <c r="M70" s="203">
        <f t="shared" si="11"/>
        <v>8.0274304536467611E-2</v>
      </c>
      <c r="N70" s="202">
        <f t="shared" si="4"/>
        <v>555.37545864918206</v>
      </c>
      <c r="O70" s="204">
        <f t="shared" si="2"/>
        <v>15427.096073588389</v>
      </c>
      <c r="P70"/>
      <c r="Q70" s="233">
        <v>71108.847152436341</v>
      </c>
      <c r="R70" s="7">
        <f t="shared" si="12"/>
        <v>21530.972695061409</v>
      </c>
      <c r="S70" s="65">
        <f t="shared" si="7"/>
        <v>514.10596023339349</v>
      </c>
      <c r="T70" s="234">
        <f t="shared" si="13"/>
        <v>0</v>
      </c>
      <c r="U70" s="204">
        <f t="shared" si="8"/>
        <v>14280.721117594263</v>
      </c>
      <c r="W70"/>
    </row>
    <row r="71" spans="2:23" x14ac:dyDescent="0.35">
      <c r="B71" s="197">
        <v>2045</v>
      </c>
      <c r="C71" s="65">
        <f>'Base Model'!J48</f>
        <v>77833.50983456579</v>
      </c>
      <c r="D71" s="198">
        <v>17051.309999999998</v>
      </c>
      <c r="E71" s="205">
        <f t="shared" si="9"/>
        <v>5359.5</v>
      </c>
      <c r="F71" s="199">
        <f t="shared" si="0"/>
        <v>0.31431602615869403</v>
      </c>
      <c r="G71" s="235">
        <f t="shared" si="5"/>
        <v>0.19481214028204791</v>
      </c>
      <c r="H71" s="236">
        <f t="shared" si="3"/>
        <v>45</v>
      </c>
      <c r="I71" s="80">
        <f t="shared" si="14"/>
        <v>28.084952127810741</v>
      </c>
      <c r="J71" s="80">
        <f t="shared" si="6"/>
        <v>30.334952127810741</v>
      </c>
      <c r="K71" s="200">
        <f t="shared" si="10"/>
        <v>21859.503976432668</v>
      </c>
      <c r="L71" s="200">
        <f t="shared" si="10"/>
        <v>23610.757947710401</v>
      </c>
      <c r="M71" s="203">
        <f t="shared" si="11"/>
        <v>8.0114076383700536E-2</v>
      </c>
      <c r="N71" s="202">
        <f t="shared" si="4"/>
        <v>545.86485491528106</v>
      </c>
      <c r="O71" s="204">
        <f t="shared" si="2"/>
        <v>15162.912636535586</v>
      </c>
      <c r="P71"/>
      <c r="Q71" s="233">
        <v>72060.453183943304</v>
      </c>
      <c r="R71" s="7">
        <f t="shared" si="12"/>
        <v>21859.503976432672</v>
      </c>
      <c r="S71" s="65">
        <f t="shared" si="7"/>
        <v>505.37704012049915</v>
      </c>
      <c r="T71" s="234">
        <f t="shared" si="13"/>
        <v>0</v>
      </c>
      <c r="U71" s="204">
        <f t="shared" si="8"/>
        <v>14038.25111445831</v>
      </c>
      <c r="W71"/>
    </row>
    <row r="72" spans="2:23" x14ac:dyDescent="0.35">
      <c r="B72" s="197">
        <v>2046</v>
      </c>
      <c r="C72" s="65">
        <f>'Base Model'!J49</f>
        <v>78848.803389675508</v>
      </c>
      <c r="D72" s="198">
        <v>17251.309999999998</v>
      </c>
      <c r="E72" s="205">
        <f t="shared" si="9"/>
        <v>5559.5</v>
      </c>
      <c r="F72" s="199">
        <f t="shared" si="0"/>
        <v>0.32226538158551443</v>
      </c>
      <c r="G72" s="235">
        <f t="shared" si="5"/>
        <v>0.18893475766007806</v>
      </c>
      <c r="H72" s="236">
        <f t="shared" si="3"/>
        <v>45</v>
      </c>
      <c r="I72" s="80">
        <f t="shared" si="14"/>
        <v>28.141122032066363</v>
      </c>
      <c r="J72" s="80">
        <f t="shared" si="6"/>
        <v>30.391122032066363</v>
      </c>
      <c r="K72" s="200">
        <f t="shared" si="10"/>
        <v>22188.937982712661</v>
      </c>
      <c r="L72" s="200">
        <f t="shared" si="10"/>
        <v>23963.036058980364</v>
      </c>
      <c r="M72" s="203">
        <f t="shared" si="11"/>
        <v>7.9954168047605412E-2</v>
      </c>
      <c r="N72" s="202">
        <f t="shared" si="4"/>
        <v>536.30206416775741</v>
      </c>
      <c r="O72" s="204">
        <f t="shared" si="2"/>
        <v>14897.279560215484</v>
      </c>
      <c r="P72"/>
      <c r="Q72" s="233">
        <v>73011.249664624469</v>
      </c>
      <c r="R72" s="7">
        <f t="shared" si="12"/>
        <v>22188.937982712669</v>
      </c>
      <c r="S72" s="65">
        <f t="shared" si="7"/>
        <v>496.59705942643001</v>
      </c>
      <c r="T72" s="234">
        <f t="shared" si="13"/>
        <v>0</v>
      </c>
      <c r="U72" s="204">
        <f t="shared" si="8"/>
        <v>13794.362761845279</v>
      </c>
      <c r="W72"/>
    </row>
    <row r="73" spans="2:23" x14ac:dyDescent="0.35">
      <c r="B73" s="197">
        <v>2047</v>
      </c>
      <c r="C73" s="65">
        <f>'Base Model'!J50</f>
        <v>79862.92748959217</v>
      </c>
      <c r="D73" s="198">
        <v>17451.309999999998</v>
      </c>
      <c r="E73" s="205">
        <f t="shared" si="9"/>
        <v>5759.5</v>
      </c>
      <c r="F73" s="199">
        <f t="shared" si="0"/>
        <v>0.33003253050917097</v>
      </c>
      <c r="G73" s="235">
        <f t="shared" si="5"/>
        <v>0.18319209002791628</v>
      </c>
      <c r="H73" s="236">
        <f t="shared" si="3"/>
        <v>45</v>
      </c>
      <c r="I73" s="80">
        <f t="shared" si="14"/>
        <v>28.197404276130495</v>
      </c>
      <c r="J73" s="80">
        <f t="shared" si="6"/>
        <v>30.447404276130495</v>
      </c>
      <c r="K73" s="200">
        <f t="shared" si="10"/>
        <v>22519.272530993258</v>
      </c>
      <c r="L73" s="200">
        <f t="shared" si="10"/>
        <v>24316.188399509083</v>
      </c>
      <c r="M73" s="203">
        <f t="shared" si="11"/>
        <v>7.9794578889825662E-2</v>
      </c>
      <c r="N73" s="202">
        <f t="shared" si="4"/>
        <v>526.68923769238756</v>
      </c>
      <c r="O73" s="204">
        <f t="shared" si="2"/>
        <v>14630.256602566318</v>
      </c>
      <c r="P73"/>
      <c r="Q73" s="233">
        <v>73961.222857501314</v>
      </c>
      <c r="R73" s="7">
        <f t="shared" si="12"/>
        <v>22519.272530993261</v>
      </c>
      <c r="S73" s="65">
        <f t="shared" si="7"/>
        <v>487.76799586630176</v>
      </c>
      <c r="T73" s="234">
        <f t="shared" si="13"/>
        <v>0</v>
      </c>
      <c r="U73" s="204">
        <f t="shared" si="8"/>
        <v>13549.110996286161</v>
      </c>
      <c r="W73"/>
    </row>
    <row r="74" spans="2:23" x14ac:dyDescent="0.35">
      <c r="B74" s="197">
        <v>2048</v>
      </c>
      <c r="C74" s="65">
        <f>'Base Model'!J51</f>
        <v>80875.869163931508</v>
      </c>
      <c r="D74" s="198">
        <v>17651.309999999998</v>
      </c>
      <c r="E74" s="205">
        <f t="shared" si="9"/>
        <v>5959.5</v>
      </c>
      <c r="F74" s="199">
        <f t="shared" si="0"/>
        <v>0.33762366645875014</v>
      </c>
      <c r="G74" s="235">
        <f t="shared" si="5"/>
        <v>0.17757955817903995</v>
      </c>
      <c r="H74" s="236">
        <f t="shared" si="3"/>
        <v>45</v>
      </c>
      <c r="I74" s="80">
        <f t="shared" si="14"/>
        <v>28.253799084682758</v>
      </c>
      <c r="J74" s="80">
        <f t="shared" si="6"/>
        <v>30.503799084682758</v>
      </c>
      <c r="K74" s="200">
        <f t="shared" si="10"/>
        <v>22850.505581568104</v>
      </c>
      <c r="L74" s="200">
        <f t="shared" si="10"/>
        <v>24670.212637756566</v>
      </c>
      <c r="M74" s="203">
        <f t="shared" si="11"/>
        <v>7.9635308273279123E-2</v>
      </c>
      <c r="N74" s="202">
        <f t="shared" si="4"/>
        <v>517.02844008516479</v>
      </c>
      <c r="O74" s="204">
        <f t="shared" si="2"/>
        <v>14361.901113476799</v>
      </c>
      <c r="P74"/>
      <c r="Q74" s="233">
        <v>74910.359585479659</v>
      </c>
      <c r="R74" s="7">
        <f t="shared" si="12"/>
        <v>22850.505581568108</v>
      </c>
      <c r="S74" s="65">
        <f t="shared" si="7"/>
        <v>478.89174809600962</v>
      </c>
      <c r="T74" s="234">
        <f t="shared" si="13"/>
        <v>0</v>
      </c>
      <c r="U74" s="204">
        <f t="shared" si="8"/>
        <v>13302.548558222488</v>
      </c>
      <c r="W74"/>
    </row>
    <row r="75" spans="2:23" x14ac:dyDescent="0.35">
      <c r="B75" s="197">
        <v>2049</v>
      </c>
      <c r="C75" s="65">
        <f>'Base Model'!J52</f>
        <v>81887.616063768495</v>
      </c>
      <c r="D75" s="198">
        <v>17851.309999999998</v>
      </c>
      <c r="E75" s="205">
        <f t="shared" si="9"/>
        <v>6159.5</v>
      </c>
      <c r="F75" s="199">
        <f t="shared" si="0"/>
        <v>0.34504470540257276</v>
      </c>
      <c r="G75" s="235">
        <f t="shared" si="5"/>
        <v>0.1720927881224103</v>
      </c>
      <c r="H75" s="236">
        <f t="shared" si="3"/>
        <v>45</v>
      </c>
      <c r="I75" s="80">
        <f t="shared" si="14"/>
        <v>28.310306682852122</v>
      </c>
      <c r="J75" s="80">
        <f t="shared" si="6"/>
        <v>30.560306682852122</v>
      </c>
      <c r="K75" s="200">
        <f t="shared" si="10"/>
        <v>23182.63524292934</v>
      </c>
      <c r="L75" s="200">
        <f t="shared" si="10"/>
        <v>25025.106604364133</v>
      </c>
      <c r="M75" s="203">
        <f t="shared" si="11"/>
        <v>7.9476355562154793E-2</v>
      </c>
      <c r="N75" s="202">
        <f t="shared" si="4"/>
        <v>507.32165380001015</v>
      </c>
      <c r="O75" s="204">
        <f t="shared" si="2"/>
        <v>14092.268161111393</v>
      </c>
      <c r="P75"/>
      <c r="Q75" s="233">
        <v>75858.647243018306</v>
      </c>
      <c r="R75" s="7">
        <f t="shared" si="12"/>
        <v>23182.635242929344</v>
      </c>
      <c r="S75" s="65">
        <f t="shared" si="7"/>
        <v>469.97013986083493</v>
      </c>
      <c r="T75" s="234">
        <f t="shared" si="13"/>
        <v>0</v>
      </c>
      <c r="U75" s="204">
        <f t="shared" si="8"/>
        <v>13054.726107245413</v>
      </c>
      <c r="W75"/>
    </row>
    <row r="76" spans="2:23" x14ac:dyDescent="0.35">
      <c r="B76" s="197">
        <v>2050</v>
      </c>
      <c r="C76" s="65">
        <f>'Base Model'!J53</f>
        <v>82898.156473217736</v>
      </c>
      <c r="D76" s="198">
        <v>18051.309999999998</v>
      </c>
      <c r="E76" s="205">
        <f t="shared" si="9"/>
        <v>6359.5</v>
      </c>
      <c r="F76" s="199">
        <f t="shared" si="0"/>
        <v>0.352301301124406</v>
      </c>
      <c r="G76" s="235">
        <f t="shared" si="5"/>
        <v>0.16672759971401846</v>
      </c>
      <c r="H76" s="236">
        <f t="shared" si="3"/>
        <v>55</v>
      </c>
      <c r="I76" s="80">
        <f t="shared" si="14"/>
        <v>28.366927296217828</v>
      </c>
      <c r="J76" s="80">
        <f t="shared" si="6"/>
        <v>31.116927296217828</v>
      </c>
      <c r="K76" s="200">
        <f t="shared" si="10"/>
        <v>23515.659776662567</v>
      </c>
      <c r="L76" s="200">
        <f t="shared" si="10"/>
        <v>25795.359079676055</v>
      </c>
      <c r="M76" s="203">
        <f t="shared" si="11"/>
        <v>9.6943880149002182E-2</v>
      </c>
      <c r="N76" s="202">
        <f t="shared" si="4"/>
        <v>608.14206857785541</v>
      </c>
      <c r="O76" s="204">
        <f t="shared" si="2"/>
        <v>13821.410649496715</v>
      </c>
      <c r="P76"/>
      <c r="Q76" s="233">
        <v>75571.921201619334</v>
      </c>
      <c r="R76" s="7">
        <f t="shared" si="12"/>
        <v>23515.659776662913</v>
      </c>
      <c r="S76" s="65">
        <f t="shared" si="7"/>
        <v>554.39670121980896</v>
      </c>
      <c r="T76" s="234">
        <f t="shared" si="13"/>
        <v>3.4560798667371273E-10</v>
      </c>
      <c r="U76" s="204">
        <f t="shared" si="8"/>
        <v>12599.925027722933</v>
      </c>
      <c r="W76"/>
    </row>
    <row r="77" spans="2:23" x14ac:dyDescent="0.35">
      <c r="D77" s="1"/>
      <c r="H77"/>
      <c r="K77" s="3"/>
      <c r="L77" s="3"/>
      <c r="M77" s="3"/>
      <c r="N77" s="3"/>
      <c r="P77"/>
      <c r="Q77" s="206"/>
      <c r="R77" s="206"/>
      <c r="S77"/>
      <c r="T77" s="207">
        <f>SUM(T46:T76)</f>
        <v>2.0008883439004421E-10</v>
      </c>
      <c r="U77" s="3"/>
    </row>
    <row r="78" spans="2:23" x14ac:dyDescent="0.35">
      <c r="D78" s="1"/>
      <c r="H78"/>
      <c r="K78" s="3"/>
      <c r="L78" s="3"/>
      <c r="M78" s="3"/>
      <c r="N78" s="3"/>
      <c r="P78"/>
      <c r="R78" s="3"/>
      <c r="S78"/>
      <c r="U78" s="3"/>
      <c r="W78" s="1"/>
    </row>
    <row r="79" spans="2:23" x14ac:dyDescent="0.35">
      <c r="D79" s="1"/>
      <c r="H79"/>
      <c r="K79" s="3"/>
      <c r="L79" s="3"/>
      <c r="M79" s="3"/>
      <c r="N79" s="3"/>
      <c r="P79"/>
      <c r="R79" s="3"/>
      <c r="S79"/>
      <c r="U79" s="3"/>
      <c r="W79" s="1"/>
    </row>
    <row r="80" spans="2:23" x14ac:dyDescent="0.35">
      <c r="D80" s="1"/>
      <c r="H80"/>
      <c r="K80" s="3"/>
      <c r="L80" s="3"/>
      <c r="M80" s="3"/>
      <c r="N80" s="3"/>
      <c r="P80"/>
      <c r="R80" s="3"/>
      <c r="S80"/>
      <c r="U80" s="3"/>
      <c r="W80" s="1"/>
    </row>
    <row r="81" spans="3:23" x14ac:dyDescent="0.35">
      <c r="D81" s="1"/>
      <c r="H81"/>
      <c r="K81" s="3"/>
      <c r="L81" s="3"/>
      <c r="M81" s="3"/>
      <c r="N81" s="3"/>
      <c r="P81"/>
      <c r="R81" s="3"/>
      <c r="S81"/>
      <c r="U81" s="3"/>
      <c r="W81" s="1"/>
    </row>
    <row r="82" spans="3:23" x14ac:dyDescent="0.35">
      <c r="D82" s="1"/>
      <c r="H82"/>
      <c r="K82" s="3"/>
      <c r="L82" s="3"/>
      <c r="M82" s="3"/>
      <c r="N82" s="3"/>
      <c r="P82"/>
      <c r="R82" s="3"/>
      <c r="S82"/>
      <c r="U82" s="3"/>
      <c r="W82" s="1"/>
    </row>
    <row r="83" spans="3:23" x14ac:dyDescent="0.35">
      <c r="D83" s="1"/>
      <c r="H83"/>
      <c r="K83" s="3"/>
      <c r="L83" s="3"/>
      <c r="M83" s="3"/>
      <c r="N83" s="3"/>
      <c r="P83"/>
      <c r="R83" s="3"/>
      <c r="S83"/>
      <c r="U83" s="3"/>
      <c r="W83" s="1"/>
    </row>
    <row r="84" spans="3:23" x14ac:dyDescent="0.35">
      <c r="D84" s="1"/>
      <c r="H84"/>
      <c r="K84" s="3"/>
      <c r="L84" s="3"/>
      <c r="M84" s="3"/>
      <c r="N84" s="3"/>
      <c r="P84"/>
      <c r="R84" s="3"/>
      <c r="S84"/>
      <c r="U84" s="3"/>
      <c r="W84" s="1"/>
    </row>
    <row r="85" spans="3:23" x14ac:dyDescent="0.35">
      <c r="D85" s="1"/>
      <c r="H85"/>
      <c r="K85" s="3"/>
      <c r="L85" s="3"/>
      <c r="M85" s="3"/>
      <c r="N85" s="3"/>
      <c r="P85"/>
      <c r="R85" s="3"/>
      <c r="S85"/>
      <c r="U85" s="3"/>
      <c r="W85" s="1"/>
    </row>
    <row r="86" spans="3:23" x14ac:dyDescent="0.35">
      <c r="D86" s="1"/>
      <c r="H86"/>
      <c r="K86" s="3"/>
      <c r="L86" s="3"/>
      <c r="M86" s="3"/>
      <c r="N86" s="3"/>
      <c r="P86"/>
      <c r="R86" s="3"/>
      <c r="S86"/>
      <c r="U86" s="3"/>
      <c r="W86" s="1"/>
    </row>
    <row r="87" spans="3:23" x14ac:dyDescent="0.35">
      <c r="D87" s="1"/>
      <c r="H87"/>
      <c r="K87" s="3"/>
      <c r="L87" s="3"/>
      <c r="M87" s="3"/>
      <c r="N87" s="3"/>
      <c r="P87"/>
      <c r="R87" s="3"/>
      <c r="S87"/>
      <c r="U87" s="3"/>
      <c r="W87" s="1"/>
    </row>
    <row r="88" spans="3:23" x14ac:dyDescent="0.35">
      <c r="D88" s="1"/>
      <c r="H88"/>
      <c r="K88" s="3"/>
      <c r="L88" s="3"/>
      <c r="M88" s="3"/>
      <c r="N88" s="3"/>
      <c r="P88"/>
      <c r="R88" s="3"/>
      <c r="S88"/>
      <c r="U88" s="3"/>
      <c r="W88" s="1"/>
    </row>
    <row r="89" spans="3:23" x14ac:dyDescent="0.35">
      <c r="D89" s="1"/>
      <c r="H89"/>
      <c r="K89" s="3"/>
      <c r="L89" s="3"/>
      <c r="M89" s="3"/>
      <c r="N89" s="3"/>
      <c r="P89"/>
      <c r="R89" s="3"/>
      <c r="S89"/>
      <c r="U89" s="3"/>
      <c r="W89" s="1"/>
    </row>
    <row r="90" spans="3:23" x14ac:dyDescent="0.35">
      <c r="D90" s="1"/>
      <c r="H90"/>
      <c r="K90" s="3"/>
      <c r="L90" s="3"/>
      <c r="M90" s="3"/>
      <c r="N90" s="3"/>
      <c r="P90"/>
      <c r="R90" s="3"/>
      <c r="S90"/>
      <c r="U90" s="3"/>
      <c r="W90" s="1"/>
    </row>
    <row r="91" spans="3:23" x14ac:dyDescent="0.35">
      <c r="D91" s="1"/>
      <c r="H91"/>
      <c r="K91" s="3"/>
      <c r="L91" s="3"/>
      <c r="M91" s="3"/>
      <c r="N91" s="3"/>
      <c r="P91"/>
      <c r="R91" s="3"/>
      <c r="S91"/>
      <c r="U91" s="3"/>
      <c r="W91" s="1"/>
    </row>
    <row r="92" spans="3:23" x14ac:dyDescent="0.35">
      <c r="C92" s="55"/>
      <c r="D92" s="1"/>
      <c r="H92"/>
      <c r="K92" s="3"/>
      <c r="L92" s="3"/>
      <c r="M92" s="3"/>
      <c r="N92" s="3"/>
      <c r="P92"/>
      <c r="R92" s="3"/>
      <c r="S92"/>
      <c r="U92" s="3"/>
      <c r="W92" s="1"/>
    </row>
    <row r="93" spans="3:23" x14ac:dyDescent="0.35">
      <c r="C93" s="55"/>
      <c r="D93" s="1"/>
      <c r="H93"/>
      <c r="K93" s="3"/>
      <c r="L93" s="3"/>
      <c r="M93" s="3"/>
      <c r="N93" s="3"/>
      <c r="P93"/>
      <c r="R93" s="3"/>
      <c r="S93"/>
      <c r="U93" s="3"/>
      <c r="W93" s="1"/>
    </row>
    <row r="94" spans="3:23" x14ac:dyDescent="0.35">
      <c r="C94" s="55"/>
      <c r="D94" s="1"/>
      <c r="H94"/>
      <c r="K94" s="3"/>
      <c r="L94" s="3"/>
      <c r="M94" s="3"/>
      <c r="N94" s="3"/>
      <c r="P94"/>
      <c r="R94" s="3"/>
      <c r="S94"/>
      <c r="U94" s="3"/>
      <c r="W94" s="1"/>
    </row>
    <row r="95" spans="3:23" x14ac:dyDescent="0.35">
      <c r="C95" s="55"/>
      <c r="D95" s="1"/>
      <c r="H95"/>
      <c r="K95" s="3"/>
      <c r="L95" s="3"/>
      <c r="M95" s="3"/>
      <c r="N95" s="3"/>
      <c r="P95"/>
      <c r="R95" s="3"/>
      <c r="S95"/>
      <c r="U95" s="3"/>
      <c r="W95" s="1"/>
    </row>
    <row r="96" spans="3:23" x14ac:dyDescent="0.35">
      <c r="C96" s="55"/>
      <c r="D96" s="1"/>
      <c r="H96"/>
      <c r="K96" s="3"/>
      <c r="L96" s="3"/>
      <c r="M96" s="3"/>
      <c r="N96" s="3"/>
      <c r="P96"/>
      <c r="R96" s="3"/>
      <c r="S96"/>
      <c r="U96" s="3"/>
      <c r="W96" s="1"/>
    </row>
    <row r="97" spans="3:24" x14ac:dyDescent="0.35">
      <c r="C97" s="55"/>
      <c r="H97" s="3"/>
      <c r="I97"/>
      <c r="J97"/>
      <c r="K97" s="3"/>
      <c r="L97" s="3"/>
      <c r="M97" s="3"/>
      <c r="N97" s="3"/>
      <c r="Q97"/>
      <c r="R97" s="3"/>
      <c r="V97" s="3"/>
      <c r="W97"/>
      <c r="X97" s="1"/>
    </row>
    <row r="98" spans="3:24" x14ac:dyDescent="0.35">
      <c r="C98" s="55"/>
    </row>
    <row r="99" spans="3:24" x14ac:dyDescent="0.35">
      <c r="C99" s="55"/>
    </row>
    <row r="100" spans="3:24" x14ac:dyDescent="0.35">
      <c r="C100" s="55"/>
    </row>
    <row r="101" spans="3:24" x14ac:dyDescent="0.35">
      <c r="C101" s="55"/>
    </row>
    <row r="102" spans="3:24" x14ac:dyDescent="0.35">
      <c r="C102" s="55"/>
    </row>
    <row r="103" spans="3:24" x14ac:dyDescent="0.35">
      <c r="C103" s="55"/>
    </row>
    <row r="104" spans="3:24" x14ac:dyDescent="0.35">
      <c r="C104" s="55"/>
      <c r="D104" s="55"/>
      <c r="E104" s="55"/>
      <c r="F104" s="55"/>
      <c r="G104" s="55"/>
      <c r="H104" s="55"/>
      <c r="I104" s="55"/>
      <c r="J104" s="55"/>
      <c r="K104" s="55"/>
      <c r="L104" s="55"/>
      <c r="M104" s="55"/>
      <c r="N104" s="55"/>
      <c r="O104" s="55"/>
      <c r="P104" s="55"/>
      <c r="Q104" s="55"/>
    </row>
  </sheetData>
  <mergeCells count="3">
    <mergeCell ref="B21:C21"/>
    <mergeCell ref="Q6:Q8"/>
    <mergeCell ref="Q9:Q12"/>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C1B7-4E45-484A-B900-84386068D06F}">
  <sheetPr>
    <tabColor rgb="FF92D050"/>
  </sheetPr>
  <dimension ref="A2:T36"/>
  <sheetViews>
    <sheetView showGridLines="0" tabSelected="1" zoomScale="70" zoomScaleNormal="70" workbookViewId="0">
      <selection activeCell="E13" sqref="E13"/>
    </sheetView>
  </sheetViews>
  <sheetFormatPr defaultRowHeight="14.5" x14ac:dyDescent="0.35"/>
  <cols>
    <col min="2" max="2" width="11.81640625" style="1" customWidth="1"/>
    <col min="3" max="4" width="14.1796875" style="3" customWidth="1"/>
    <col min="5" max="13" width="13.81640625" style="3" customWidth="1"/>
    <col min="14" max="19" width="13.81640625" customWidth="1"/>
  </cols>
  <sheetData>
    <row r="2" spans="1:20" x14ac:dyDescent="0.35">
      <c r="B2" s="181" t="s">
        <v>343</v>
      </c>
    </row>
    <row r="5" spans="1:20" x14ac:dyDescent="0.35">
      <c r="B5" s="127"/>
      <c r="C5" s="340" t="s">
        <v>300</v>
      </c>
      <c r="D5" s="341"/>
      <c r="E5" s="339" t="s">
        <v>301</v>
      </c>
      <c r="F5" s="339"/>
      <c r="G5" s="339"/>
      <c r="H5" s="339" t="s">
        <v>302</v>
      </c>
      <c r="I5" s="339"/>
      <c r="J5" s="339"/>
      <c r="K5" s="339" t="s">
        <v>303</v>
      </c>
      <c r="L5" s="339"/>
      <c r="M5" s="339"/>
      <c r="N5" s="339" t="s">
        <v>304</v>
      </c>
      <c r="O5" s="339"/>
      <c r="P5" s="339"/>
      <c r="Q5" s="339" t="s">
        <v>305</v>
      </c>
      <c r="R5" s="339"/>
      <c r="S5" s="339"/>
    </row>
    <row r="6" spans="1:20" ht="43.5" x14ac:dyDescent="0.35">
      <c r="A6" s="117"/>
      <c r="B6" s="5" t="s">
        <v>6</v>
      </c>
      <c r="C6" s="5" t="s">
        <v>306</v>
      </c>
      <c r="D6" s="5" t="s">
        <v>294</v>
      </c>
      <c r="E6" s="5" t="s">
        <v>287</v>
      </c>
      <c r="F6" s="5" t="s">
        <v>295</v>
      </c>
      <c r="G6" s="5" t="s">
        <v>307</v>
      </c>
      <c r="H6" s="5" t="s">
        <v>287</v>
      </c>
      <c r="I6" s="5" t="s">
        <v>295</v>
      </c>
      <c r="J6" s="5" t="s">
        <v>294</v>
      </c>
      <c r="K6" s="5" t="s">
        <v>287</v>
      </c>
      <c r="L6" s="5" t="s">
        <v>295</v>
      </c>
      <c r="M6" s="5" t="s">
        <v>294</v>
      </c>
      <c r="N6" s="5" t="s">
        <v>287</v>
      </c>
      <c r="O6" s="5" t="s">
        <v>295</v>
      </c>
      <c r="P6" s="5" t="s">
        <v>294</v>
      </c>
      <c r="Q6" s="5" t="s">
        <v>287</v>
      </c>
      <c r="R6" s="5" t="s">
        <v>295</v>
      </c>
      <c r="S6" s="5" t="s">
        <v>294</v>
      </c>
      <c r="T6" s="117"/>
    </row>
    <row r="7" spans="1:20" x14ac:dyDescent="0.35">
      <c r="B7" s="127">
        <v>2021</v>
      </c>
      <c r="C7" s="83">
        <v>53158.890369894623</v>
      </c>
      <c r="D7" s="83">
        <v>21594.216625712161</v>
      </c>
      <c r="E7" s="23">
        <v>5</v>
      </c>
      <c r="F7" s="7">
        <v>52667.042753592847</v>
      </c>
      <c r="G7" s="204">
        <v>21394.418174326958</v>
      </c>
      <c r="H7" s="23">
        <v>5</v>
      </c>
      <c r="I7" s="7">
        <v>52667.042753592847</v>
      </c>
      <c r="J7" s="204">
        <v>21394.418174326958</v>
      </c>
      <c r="K7" s="23">
        <v>5</v>
      </c>
      <c r="L7" s="7">
        <v>52667.042753592847</v>
      </c>
      <c r="M7" s="204">
        <v>21394.418174326958</v>
      </c>
      <c r="N7" s="201">
        <v>5</v>
      </c>
      <c r="O7" s="7">
        <v>52667.042753592847</v>
      </c>
      <c r="P7" s="204">
        <v>21394.418174326958</v>
      </c>
      <c r="Q7" s="127">
        <v>5</v>
      </c>
      <c r="R7" s="7">
        <v>52667.042753592847</v>
      </c>
      <c r="S7" s="204">
        <v>21394.418174326958</v>
      </c>
    </row>
    <row r="8" spans="1:20" x14ac:dyDescent="0.35">
      <c r="B8" s="127">
        <v>2022</v>
      </c>
      <c r="C8" s="83">
        <v>54196.993567490885</v>
      </c>
      <c r="D8" s="83">
        <v>20644.529682403718</v>
      </c>
      <c r="E8" s="23">
        <v>5</v>
      </c>
      <c r="F8" s="7">
        <v>53696.532660203819</v>
      </c>
      <c r="G8" s="204">
        <v>20453.895859837445</v>
      </c>
      <c r="H8" s="23">
        <v>5</v>
      </c>
      <c r="I8" s="7">
        <v>53696.532660203819</v>
      </c>
      <c r="J8" s="204">
        <v>20453.895859837445</v>
      </c>
      <c r="K8" s="23">
        <v>5</v>
      </c>
      <c r="L8" s="7">
        <v>53696.532660203819</v>
      </c>
      <c r="M8" s="204">
        <v>20453.895859837445</v>
      </c>
      <c r="N8" s="201">
        <v>5</v>
      </c>
      <c r="O8" s="7">
        <v>53696.532660203819</v>
      </c>
      <c r="P8" s="204">
        <v>20453.895859837445</v>
      </c>
      <c r="Q8" s="127">
        <v>5</v>
      </c>
      <c r="R8" s="7">
        <v>53696.532660203819</v>
      </c>
      <c r="S8" s="204">
        <v>20453.895859837445</v>
      </c>
    </row>
    <row r="9" spans="1:20" x14ac:dyDescent="0.35">
      <c r="B9" s="127">
        <v>2023</v>
      </c>
      <c r="C9" s="83">
        <v>55234.386898904093</v>
      </c>
      <c r="D9" s="83">
        <v>19737.16436697165</v>
      </c>
      <c r="E9" s="23">
        <v>5</v>
      </c>
      <c r="F9" s="7">
        <v>54725.355251649118</v>
      </c>
      <c r="G9" s="204">
        <v>19555.269684076909</v>
      </c>
      <c r="H9" s="23">
        <v>5</v>
      </c>
      <c r="I9" s="7">
        <v>54725.355251649118</v>
      </c>
      <c r="J9" s="204">
        <v>19555.269684076909</v>
      </c>
      <c r="K9" s="23">
        <v>5</v>
      </c>
      <c r="L9" s="7">
        <v>54725.355251649118</v>
      </c>
      <c r="M9" s="204">
        <v>19555.269684076909</v>
      </c>
      <c r="N9" s="201">
        <v>5</v>
      </c>
      <c r="O9" s="7">
        <v>54725.355251649118</v>
      </c>
      <c r="P9" s="204">
        <v>19555.269684076909</v>
      </c>
      <c r="Q9" s="127">
        <v>5</v>
      </c>
      <c r="R9" s="7">
        <v>54725.355251649118</v>
      </c>
      <c r="S9" s="204">
        <v>19555.269684076909</v>
      </c>
    </row>
    <row r="10" spans="1:20" x14ac:dyDescent="0.35">
      <c r="B10" s="127">
        <v>2024</v>
      </c>
      <c r="C10" s="83">
        <v>56271.047084393118</v>
      </c>
      <c r="D10" s="83">
        <v>18867.956887690627</v>
      </c>
      <c r="E10" s="23">
        <v>15</v>
      </c>
      <c r="F10" s="7">
        <v>54746.413777278765</v>
      </c>
      <c r="G10" s="204">
        <v>18356.739894251219</v>
      </c>
      <c r="H10" s="23">
        <v>15</v>
      </c>
      <c r="I10" s="7">
        <v>54746.413777278765</v>
      </c>
      <c r="J10" s="204">
        <v>18356.739894251219</v>
      </c>
      <c r="K10" s="23">
        <v>15</v>
      </c>
      <c r="L10" s="7">
        <v>54746.413777278765</v>
      </c>
      <c r="M10" s="204">
        <v>18356.739894251219</v>
      </c>
      <c r="N10" s="201">
        <v>15</v>
      </c>
      <c r="O10" s="7">
        <v>54746.413777278765</v>
      </c>
      <c r="P10" s="204">
        <v>18356.739894251219</v>
      </c>
      <c r="Q10" s="127">
        <v>15</v>
      </c>
      <c r="R10" s="7">
        <v>54746.413777278765</v>
      </c>
      <c r="S10" s="204">
        <v>18356.739894251219</v>
      </c>
    </row>
    <row r="11" spans="1:20" x14ac:dyDescent="0.35">
      <c r="B11" s="127">
        <v>2025</v>
      </c>
      <c r="C11" s="83">
        <v>57306.951068618298</v>
      </c>
      <c r="D11" s="83">
        <v>18939.463476692868</v>
      </c>
      <c r="E11" s="23">
        <v>15</v>
      </c>
      <c r="F11" s="7">
        <v>55757.265903048028</v>
      </c>
      <c r="G11" s="204">
        <v>18427.305613704353</v>
      </c>
      <c r="H11" s="23">
        <v>15</v>
      </c>
      <c r="I11" s="7">
        <v>55757.265903048028</v>
      </c>
      <c r="J11" s="204">
        <v>18427.305613704353</v>
      </c>
      <c r="K11" s="23">
        <v>15</v>
      </c>
      <c r="L11" s="7">
        <v>55757.265903048028</v>
      </c>
      <c r="M11" s="204">
        <v>18427.305613704353</v>
      </c>
      <c r="N11" s="201">
        <v>15</v>
      </c>
      <c r="O11" s="7">
        <v>55757.265903048028</v>
      </c>
      <c r="P11" s="204">
        <v>18427.305613704353</v>
      </c>
      <c r="Q11" s="127">
        <v>15</v>
      </c>
      <c r="R11" s="7">
        <v>55757.265903048028</v>
      </c>
      <c r="S11" s="204">
        <v>18427.305613704353</v>
      </c>
    </row>
    <row r="12" spans="1:20" x14ac:dyDescent="0.35">
      <c r="B12" s="127">
        <v>2026</v>
      </c>
      <c r="C12" s="83">
        <v>58342.076039862462</v>
      </c>
      <c r="D12" s="83">
        <v>19004.888605726428</v>
      </c>
      <c r="E12" s="23">
        <v>15</v>
      </c>
      <c r="F12" s="7">
        <v>56767.463259424825</v>
      </c>
      <c r="G12" s="204">
        <v>18491.959643978069</v>
      </c>
      <c r="H12" s="23">
        <v>15</v>
      </c>
      <c r="I12" s="7">
        <v>56767.463259424825</v>
      </c>
      <c r="J12" s="204">
        <v>18491.959643978069</v>
      </c>
      <c r="K12" s="23">
        <v>15</v>
      </c>
      <c r="L12" s="7">
        <v>56767.463259424825</v>
      </c>
      <c r="M12" s="204">
        <v>18491.959643978069</v>
      </c>
      <c r="N12" s="201">
        <v>15</v>
      </c>
      <c r="O12" s="7">
        <v>56767.463259424825</v>
      </c>
      <c r="P12" s="204">
        <v>18491.959643978069</v>
      </c>
      <c r="Q12" s="127">
        <v>15</v>
      </c>
      <c r="R12" s="7">
        <v>56767.463259424825</v>
      </c>
      <c r="S12" s="204">
        <v>18491.959643978069</v>
      </c>
    </row>
    <row r="13" spans="1:20" x14ac:dyDescent="0.35">
      <c r="B13" s="127">
        <v>2027</v>
      </c>
      <c r="C13" s="83">
        <v>59376.399449179415</v>
      </c>
      <c r="D13" s="83">
        <v>19064.364024359336</v>
      </c>
      <c r="E13" s="23">
        <v>15</v>
      </c>
      <c r="F13" s="7">
        <v>57776.983484083801</v>
      </c>
      <c r="G13" s="204">
        <v>18550.829211406373</v>
      </c>
      <c r="H13" s="23">
        <v>15</v>
      </c>
      <c r="I13" s="7">
        <v>57776.983484083801</v>
      </c>
      <c r="J13" s="204">
        <v>18550.829211406373</v>
      </c>
      <c r="K13" s="23">
        <v>15</v>
      </c>
      <c r="L13" s="7">
        <v>57776.983484083801</v>
      </c>
      <c r="M13" s="204">
        <v>18550.829211406373</v>
      </c>
      <c r="N13" s="201">
        <v>15</v>
      </c>
      <c r="O13" s="7">
        <v>57776.983484083801</v>
      </c>
      <c r="P13" s="204">
        <v>18550.829211406373</v>
      </c>
      <c r="Q13" s="127">
        <v>15</v>
      </c>
      <c r="R13" s="7">
        <v>57776.983484083801</v>
      </c>
      <c r="S13" s="204">
        <v>18550.829211406373</v>
      </c>
    </row>
    <row r="14" spans="1:20" x14ac:dyDescent="0.35">
      <c r="B14" s="127">
        <v>2028</v>
      </c>
      <c r="C14" s="83">
        <v>60409.899029446402</v>
      </c>
      <c r="D14" s="83">
        <v>19118.017943740877</v>
      </c>
      <c r="E14" s="23">
        <v>15</v>
      </c>
      <c r="F14" s="7">
        <v>58785.804485405308</v>
      </c>
      <c r="G14" s="204">
        <v>18604.038130264042</v>
      </c>
      <c r="H14" s="23">
        <v>15</v>
      </c>
      <c r="I14" s="7">
        <v>58785.804485405308</v>
      </c>
      <c r="J14" s="204">
        <v>18604.038130264042</v>
      </c>
      <c r="K14" s="23">
        <v>15</v>
      </c>
      <c r="L14" s="7">
        <v>58785.804485405308</v>
      </c>
      <c r="M14" s="204">
        <v>18604.038130264042</v>
      </c>
      <c r="N14" s="201">
        <v>15</v>
      </c>
      <c r="O14" s="7">
        <v>58785.804485405308</v>
      </c>
      <c r="P14" s="204">
        <v>18604.038130264042</v>
      </c>
      <c r="Q14" s="127">
        <v>15</v>
      </c>
      <c r="R14" s="7">
        <v>58785.804485405308</v>
      </c>
      <c r="S14" s="204">
        <v>18604.038130264042</v>
      </c>
    </row>
    <row r="15" spans="1:20" x14ac:dyDescent="0.35">
      <c r="B15" s="127">
        <v>2029</v>
      </c>
      <c r="C15" s="83">
        <v>61442.552814301293</v>
      </c>
      <c r="D15" s="83">
        <v>19165.975167061832</v>
      </c>
      <c r="E15" s="23">
        <v>15</v>
      </c>
      <c r="F15" s="7">
        <v>59793.904460997641</v>
      </c>
      <c r="G15" s="204">
        <v>18651.706928661417</v>
      </c>
      <c r="H15" s="23">
        <v>15</v>
      </c>
      <c r="I15" s="7">
        <v>59793.904460997641</v>
      </c>
      <c r="J15" s="204">
        <v>18651.706928661417</v>
      </c>
      <c r="K15" s="23">
        <v>15</v>
      </c>
      <c r="L15" s="7">
        <v>59793.904460997641</v>
      </c>
      <c r="M15" s="204">
        <v>18651.706928661417</v>
      </c>
      <c r="N15" s="201">
        <v>15</v>
      </c>
      <c r="O15" s="7">
        <v>59793.904460997641</v>
      </c>
      <c r="P15" s="204">
        <v>18651.706928661417</v>
      </c>
      <c r="Q15" s="127">
        <v>15</v>
      </c>
      <c r="R15" s="7">
        <v>59793.904460997641</v>
      </c>
      <c r="S15" s="204">
        <v>18651.706928661417</v>
      </c>
    </row>
    <row r="16" spans="1:20" x14ac:dyDescent="0.35">
      <c r="B16" s="127">
        <v>2030</v>
      </c>
      <c r="C16" s="83">
        <v>62474.339156938891</v>
      </c>
      <c r="D16" s="83">
        <v>18932.868593125353</v>
      </c>
      <c r="E16" s="23">
        <v>15</v>
      </c>
      <c r="F16" s="7">
        <v>60801.261916087285</v>
      </c>
      <c r="G16" s="204">
        <v>18425.841996691575</v>
      </c>
      <c r="H16" s="23">
        <v>15</v>
      </c>
      <c r="I16" s="7">
        <v>60801.261916087285</v>
      </c>
      <c r="J16" s="204">
        <v>18425.841996691575</v>
      </c>
      <c r="K16" s="23">
        <v>15</v>
      </c>
      <c r="L16" s="7">
        <v>60801.261916087285</v>
      </c>
      <c r="M16" s="204">
        <v>18425.841996691575</v>
      </c>
      <c r="N16" s="201">
        <v>15</v>
      </c>
      <c r="O16" s="7">
        <v>60801.261916087285</v>
      </c>
      <c r="P16" s="204">
        <v>18425.841996691575</v>
      </c>
      <c r="Q16" s="127">
        <v>15</v>
      </c>
      <c r="R16" s="7">
        <v>60801.261916087285</v>
      </c>
      <c r="S16" s="204">
        <v>18425.841996691575</v>
      </c>
    </row>
    <row r="17" spans="2:19" x14ac:dyDescent="0.35">
      <c r="B17" s="127">
        <v>2031</v>
      </c>
      <c r="C17" s="83">
        <v>63505.236748746618</v>
      </c>
      <c r="D17" s="83">
        <v>18697.00328992452</v>
      </c>
      <c r="E17" s="23">
        <v>25</v>
      </c>
      <c r="F17" s="7">
        <v>60725.794638457846</v>
      </c>
      <c r="G17" s="204">
        <v>17878.689069857472</v>
      </c>
      <c r="H17" s="23">
        <v>35</v>
      </c>
      <c r="I17" s="7">
        <v>59680.968693004361</v>
      </c>
      <c r="J17" s="204">
        <v>17571.074845587566</v>
      </c>
      <c r="K17" s="23">
        <v>45</v>
      </c>
      <c r="L17" s="7">
        <v>58671.488393942978</v>
      </c>
      <c r="M17" s="204">
        <v>17273.866970474224</v>
      </c>
      <c r="N17" s="201">
        <v>55</v>
      </c>
      <c r="O17" s="7">
        <v>57695.590000803117</v>
      </c>
      <c r="P17" s="204">
        <v>16986.546169839181</v>
      </c>
      <c r="Q17" s="127">
        <v>65</v>
      </c>
      <c r="R17" s="7">
        <v>56751.625200232294</v>
      </c>
      <c r="S17" s="204">
        <v>16708.627152677276</v>
      </c>
    </row>
    <row r="18" spans="2:19" x14ac:dyDescent="0.35">
      <c r="B18" s="127">
        <v>2032</v>
      </c>
      <c r="C18" s="83">
        <v>64535.224637754363</v>
      </c>
      <c r="D18" s="83">
        <v>18458.499321957486</v>
      </c>
      <c r="E18" s="23">
        <v>25</v>
      </c>
      <c r="F18" s="7">
        <v>61716.094401049595</v>
      </c>
      <c r="G18" s="204">
        <v>17652.165821844708</v>
      </c>
      <c r="H18" s="23">
        <v>35</v>
      </c>
      <c r="I18" s="7">
        <v>60656.221812607946</v>
      </c>
      <c r="J18" s="204">
        <v>17349.018857300536</v>
      </c>
      <c r="K18" s="23">
        <v>45</v>
      </c>
      <c r="L18" s="7">
        <v>59632.137757823395</v>
      </c>
      <c r="M18" s="204">
        <v>17056.108203669537</v>
      </c>
      <c r="N18" s="201">
        <v>55</v>
      </c>
      <c r="O18" s="7">
        <v>58642.059635289552</v>
      </c>
      <c r="P18" s="204">
        <v>16772.923997585833</v>
      </c>
      <c r="Q18" s="127">
        <v>65</v>
      </c>
      <c r="R18" s="7">
        <v>57684.321296925096</v>
      </c>
      <c r="S18" s="204">
        <v>16498.989683906064</v>
      </c>
    </row>
    <row r="19" spans="2:19" x14ac:dyDescent="0.35">
      <c r="B19" s="127">
        <v>2033</v>
      </c>
      <c r="C19" s="83">
        <v>65564.282246879899</v>
      </c>
      <c r="D19" s="83">
        <v>18217.470659161067</v>
      </c>
      <c r="E19" s="23">
        <v>25</v>
      </c>
      <c r="F19" s="7">
        <v>62705.666562582046</v>
      </c>
      <c r="G19" s="204">
        <v>17423.185332305497</v>
      </c>
      <c r="H19" s="23">
        <v>35</v>
      </c>
      <c r="I19" s="7">
        <v>61630.820178779359</v>
      </c>
      <c r="J19" s="204">
        <v>17124.532135946243</v>
      </c>
      <c r="K19" s="23">
        <v>45</v>
      </c>
      <c r="L19" s="7">
        <v>60592.200996527827</v>
      </c>
      <c r="M19" s="204">
        <v>16835.94490780482</v>
      </c>
      <c r="N19" s="201">
        <v>55</v>
      </c>
      <c r="O19" s="7">
        <v>59588.007838084377</v>
      </c>
      <c r="P19" s="204">
        <v>16556.923178699497</v>
      </c>
      <c r="Q19" s="127">
        <v>65</v>
      </c>
      <c r="R19" s="7">
        <v>58616.556982605238</v>
      </c>
      <c r="S19" s="204">
        <v>16286.999115627024</v>
      </c>
    </row>
    <row r="20" spans="2:19" x14ac:dyDescent="0.35">
      <c r="B20" s="127">
        <v>2034</v>
      </c>
      <c r="C20" s="83">
        <v>66592.389391945588</v>
      </c>
      <c r="D20" s="83">
        <v>17974.025584266077</v>
      </c>
      <c r="E20" s="23">
        <v>25</v>
      </c>
      <c r="F20" s="7">
        <v>63694.491131256589</v>
      </c>
      <c r="G20" s="204">
        <v>17191.850654760936</v>
      </c>
      <c r="H20" s="23">
        <v>35</v>
      </c>
      <c r="I20" s="7">
        <v>62604.743908548327</v>
      </c>
      <c r="J20" s="204">
        <v>16897.71577478154</v>
      </c>
      <c r="K20" s="23">
        <v>45</v>
      </c>
      <c r="L20" s="7">
        <v>61551.658350453923</v>
      </c>
      <c r="M20" s="204">
        <v>16613.476285307697</v>
      </c>
      <c r="N20" s="201">
        <v>55</v>
      </c>
      <c r="O20" s="7">
        <v>60533.414985439587</v>
      </c>
      <c r="P20" s="204">
        <v>16338.641090762319</v>
      </c>
      <c r="Q20" s="127">
        <v>65</v>
      </c>
      <c r="R20" s="7">
        <v>59548.312780055319</v>
      </c>
      <c r="S20" s="204">
        <v>16072.751063322708</v>
      </c>
    </row>
    <row r="21" spans="2:19" x14ac:dyDescent="0.35">
      <c r="B21" s="127">
        <v>2035</v>
      </c>
      <c r="C21" s="83">
        <v>67619.526299443358</v>
      </c>
      <c r="D21" s="83">
        <v>17728.267067160989</v>
      </c>
      <c r="E21" s="23">
        <v>35</v>
      </c>
      <c r="F21" s="7">
        <v>63577.973498309395</v>
      </c>
      <c r="G21" s="204">
        <v>16668.665923147571</v>
      </c>
      <c r="H21" s="23">
        <v>55</v>
      </c>
      <c r="I21" s="7">
        <v>61478.261816524966</v>
      </c>
      <c r="J21" s="204">
        <v>16118.170356321656</v>
      </c>
      <c r="K21" s="23">
        <v>75</v>
      </c>
      <c r="L21" s="7">
        <v>59512.805449450025</v>
      </c>
      <c r="M21" s="204">
        <v>15602.873410435725</v>
      </c>
      <c r="N21" s="201">
        <v>95</v>
      </c>
      <c r="O21" s="7">
        <v>57669.126898728653</v>
      </c>
      <c r="P21" s="204">
        <v>15119.503775628717</v>
      </c>
      <c r="Q21" s="127">
        <v>115</v>
      </c>
      <c r="R21" s="7">
        <v>55936.248393146147</v>
      </c>
      <c r="S21" s="204">
        <v>14665.183335614596</v>
      </c>
    </row>
    <row r="22" spans="2:19" x14ac:dyDescent="0.35">
      <c r="B22" s="127">
        <v>2036</v>
      </c>
      <c r="C22" s="83">
        <v>68645.673624029383</v>
      </c>
      <c r="D22" s="83">
        <v>17480.293109294769</v>
      </c>
      <c r="E22" s="23">
        <v>35</v>
      </c>
      <c r="F22" s="7">
        <v>64550.48984053859</v>
      </c>
      <c r="G22" s="204">
        <v>16437.474107125468</v>
      </c>
      <c r="H22" s="23">
        <v>55</v>
      </c>
      <c r="I22" s="7">
        <v>62422.529449726164</v>
      </c>
      <c r="J22" s="204">
        <v>15895.599151391192</v>
      </c>
      <c r="K22" s="23">
        <v>75</v>
      </c>
      <c r="L22" s="7">
        <v>60430.391514569412</v>
      </c>
      <c r="M22" s="204">
        <v>15388.310735643234</v>
      </c>
      <c r="N22" s="201">
        <v>95</v>
      </c>
      <c r="O22" s="7">
        <v>58561.474383425448</v>
      </c>
      <c r="P22" s="204">
        <v>14912.399909444523</v>
      </c>
      <c r="Q22" s="127">
        <v>115</v>
      </c>
      <c r="R22" s="7">
        <v>56804.68855258033</v>
      </c>
      <c r="S22" s="204">
        <v>14465.042783609882</v>
      </c>
    </row>
    <row r="23" spans="2:19" x14ac:dyDescent="0.35">
      <c r="B23" s="127">
        <v>2037</v>
      </c>
      <c r="C23" s="83">
        <v>69670.812465724273</v>
      </c>
      <c r="D23" s="83">
        <v>17230.197060835399</v>
      </c>
      <c r="E23" s="23">
        <v>35</v>
      </c>
      <c r="F23" s="7">
        <v>65522.274240244304</v>
      </c>
      <c r="G23" s="204">
        <v>16204.227524817801</v>
      </c>
      <c r="H23" s="23">
        <v>55</v>
      </c>
      <c r="I23" s="7">
        <v>63366.19939869114</v>
      </c>
      <c r="J23" s="204">
        <v>15671.011489535496</v>
      </c>
      <c r="K23" s="23">
        <v>75</v>
      </c>
      <c r="L23" s="7">
        <v>61347.499619782</v>
      </c>
      <c r="M23" s="204">
        <v>15171.769500440261</v>
      </c>
      <c r="N23" s="201">
        <v>95</v>
      </c>
      <c r="O23" s="7">
        <v>59453.450910114363</v>
      </c>
      <c r="P23" s="204">
        <v>14703.354803447173</v>
      </c>
      <c r="Q23" s="127">
        <v>115</v>
      </c>
      <c r="R23" s="7">
        <v>57672.85358199435</v>
      </c>
      <c r="S23" s="204">
        <v>14262.997618512689</v>
      </c>
    </row>
    <row r="24" spans="2:19" x14ac:dyDescent="0.35">
      <c r="B24" s="127">
        <v>2038</v>
      </c>
      <c r="C24" s="83">
        <v>70694.924386798739</v>
      </c>
      <c r="D24" s="83">
        <v>16978.067913024304</v>
      </c>
      <c r="E24" s="23">
        <v>35</v>
      </c>
      <c r="F24" s="7">
        <v>66493.308431132013</v>
      </c>
      <c r="G24" s="204">
        <v>15969.009318528131</v>
      </c>
      <c r="H24" s="23">
        <v>55</v>
      </c>
      <c r="I24" s="7">
        <v>64309.253588104475</v>
      </c>
      <c r="J24" s="204">
        <v>15444.487483724168</v>
      </c>
      <c r="K24" s="23">
        <v>75</v>
      </c>
      <c r="L24" s="7">
        <v>62264.111927818347</v>
      </c>
      <c r="M24" s="204">
        <v>14953.326989512265</v>
      </c>
      <c r="N24" s="201">
        <v>95</v>
      </c>
      <c r="O24" s="7">
        <v>60345.038914378616</v>
      </c>
      <c r="P24" s="204">
        <v>14492.443096717323</v>
      </c>
      <c r="Q24" s="127">
        <v>115</v>
      </c>
      <c r="R24" s="7">
        <v>58540.72621500821</v>
      </c>
      <c r="S24" s="204">
        <v>14059.120000159017</v>
      </c>
    </row>
    <row r="25" spans="2:19" x14ac:dyDescent="0.35">
      <c r="B25" s="127">
        <v>2039</v>
      </c>
      <c r="C25" s="83">
        <v>71717.991428322493</v>
      </c>
      <c r="D25" s="83">
        <v>16723.990567921017</v>
      </c>
      <c r="E25" s="23">
        <v>35</v>
      </c>
      <c r="F25" s="7">
        <v>67463.574591462311</v>
      </c>
      <c r="G25" s="204">
        <v>15731.898825882134</v>
      </c>
      <c r="H25" s="23">
        <v>55</v>
      </c>
      <c r="I25" s="7">
        <v>65251.674369171204</v>
      </c>
      <c r="J25" s="204">
        <v>15216.103587922218</v>
      </c>
      <c r="K25" s="23">
        <v>75</v>
      </c>
      <c r="L25" s="7">
        <v>63180.211010968851</v>
      </c>
      <c r="M25" s="204">
        <v>14733.056963575609</v>
      </c>
      <c r="N25" s="201">
        <v>95</v>
      </c>
      <c r="O25" s="7">
        <v>61236.221225425936</v>
      </c>
      <c r="P25" s="204">
        <v>14279.736029873116</v>
      </c>
      <c r="Q25" s="127">
        <v>115</v>
      </c>
      <c r="R25" s="7">
        <v>59408.289563900573</v>
      </c>
      <c r="S25" s="204">
        <v>13853.478806862244</v>
      </c>
    </row>
    <row r="26" spans="2:19" x14ac:dyDescent="0.35">
      <c r="B26" s="127">
        <v>2040</v>
      </c>
      <c r="C26" s="83">
        <v>72739.996126357379</v>
      </c>
      <c r="D26" s="83">
        <v>16468.046087514882</v>
      </c>
      <c r="E26" s="23">
        <v>45</v>
      </c>
      <c r="F26" s="7">
        <v>67294.621160690687</v>
      </c>
      <c r="G26" s="204">
        <v>15235.234832718774</v>
      </c>
      <c r="H26" s="23">
        <v>75</v>
      </c>
      <c r="I26" s="7">
        <v>64095.779865910874</v>
      </c>
      <c r="J26" s="204">
        <v>14511.029874313617</v>
      </c>
      <c r="K26" s="23">
        <v>105</v>
      </c>
      <c r="L26" s="7">
        <v>61187.248700798067</v>
      </c>
      <c r="M26" s="204">
        <v>13852.549975705329</v>
      </c>
      <c r="N26" s="201">
        <v>135</v>
      </c>
      <c r="O26" s="7">
        <v>58531.227941599987</v>
      </c>
      <c r="P26" s="204">
        <v>13251.237429635214</v>
      </c>
      <c r="Q26" s="127">
        <v>165</v>
      </c>
      <c r="R26" s="7">
        <v>56096.197164095203</v>
      </c>
      <c r="S26" s="204">
        <v>12699.956137307297</v>
      </c>
    </row>
    <row r="27" spans="2:19" x14ac:dyDescent="0.35">
      <c r="B27" s="127">
        <v>2041</v>
      </c>
      <c r="C27" s="83">
        <v>73760.92152777352</v>
      </c>
      <c r="D27" s="83">
        <v>16210.311923986272</v>
      </c>
      <c r="E27" s="23">
        <v>45</v>
      </c>
      <c r="F27" s="7">
        <v>68249.317262722325</v>
      </c>
      <c r="G27" s="204">
        <v>14999.036054765851</v>
      </c>
      <c r="H27" s="23">
        <v>75</v>
      </c>
      <c r="I27" s="7">
        <v>65010.801928221204</v>
      </c>
      <c r="J27" s="204">
        <v>14287.313063030875</v>
      </c>
      <c r="K27" s="23">
        <v>105</v>
      </c>
      <c r="L27" s="7">
        <v>62065.70369482712</v>
      </c>
      <c r="M27" s="204">
        <v>13640.073847179661</v>
      </c>
      <c r="N27" s="201">
        <v>135</v>
      </c>
      <c r="O27" s="7">
        <v>59375.882391001614</v>
      </c>
      <c r="P27" s="204">
        <v>13048.936406761744</v>
      </c>
      <c r="Q27" s="127">
        <v>165</v>
      </c>
      <c r="R27" s="7">
        <v>56909.513573455479</v>
      </c>
      <c r="S27" s="204">
        <v>12506.906738152438</v>
      </c>
    </row>
    <row r="28" spans="2:19" x14ac:dyDescent="0.35">
      <c r="B28" s="127">
        <v>2042</v>
      </c>
      <c r="C28" s="83">
        <v>74780.751205667577</v>
      </c>
      <c r="D28" s="83">
        <v>15950.862132726905</v>
      </c>
      <c r="E28" s="23">
        <v>45</v>
      </c>
      <c r="F28" s="7">
        <v>69203.264110940218</v>
      </c>
      <c r="G28" s="204">
        <v>14761.174596018702</v>
      </c>
      <c r="H28" s="23">
        <v>75</v>
      </c>
      <c r="I28" s="7">
        <v>65925.261086556333</v>
      </c>
      <c r="J28" s="204">
        <v>14061.970944415823</v>
      </c>
      <c r="K28" s="23">
        <v>105</v>
      </c>
      <c r="L28" s="7">
        <v>62943.756847377386</v>
      </c>
      <c r="M28" s="204">
        <v>13426.010990811081</v>
      </c>
      <c r="N28" s="201">
        <v>135</v>
      </c>
      <c r="O28" s="7">
        <v>60220.264067195923</v>
      </c>
      <c r="P28" s="204">
        <v>12845.085322697985</v>
      </c>
      <c r="Q28" s="127">
        <v>165</v>
      </c>
      <c r="R28" s="7">
        <v>57722.675113926765</v>
      </c>
      <c r="S28" s="204">
        <v>12312.345327237779</v>
      </c>
    </row>
    <row r="29" spans="2:19" x14ac:dyDescent="0.35">
      <c r="B29" s="127">
        <v>2043</v>
      </c>
      <c r="C29" s="83">
        <v>75799.469274365241</v>
      </c>
      <c r="D29" s="83">
        <v>15689.767569575724</v>
      </c>
      <c r="E29" s="23">
        <v>45</v>
      </c>
      <c r="F29" s="7">
        <v>70156.445854819671</v>
      </c>
      <c r="G29" s="204">
        <v>14521.715514727299</v>
      </c>
      <c r="H29" s="23">
        <v>75</v>
      </c>
      <c r="I29" s="7">
        <v>66839.14169648118</v>
      </c>
      <c r="J29" s="204">
        <v>13835.065176668533</v>
      </c>
      <c r="K29" s="23">
        <v>105</v>
      </c>
      <c r="L29" s="7">
        <v>63821.386884050742</v>
      </c>
      <c r="M29" s="204">
        <v>13210.418697712053</v>
      </c>
      <c r="N29" s="201">
        <v>135</v>
      </c>
      <c r="O29" s="7">
        <v>61064.360634240773</v>
      </c>
      <c r="P29" s="204">
        <v>12639.740545782477</v>
      </c>
      <c r="Q29" s="127">
        <v>165</v>
      </c>
      <c r="R29" s="7">
        <v>58535.672471337719</v>
      </c>
      <c r="S29" s="204">
        <v>12116.326201174343</v>
      </c>
    </row>
    <row r="30" spans="2:19" x14ac:dyDescent="0.35">
      <c r="B30" s="127">
        <v>2044</v>
      </c>
      <c r="C30" s="83">
        <v>76817.060403988144</v>
      </c>
      <c r="D30" s="83">
        <v>15427.096073588389</v>
      </c>
      <c r="E30" s="23">
        <v>45</v>
      </c>
      <c r="F30" s="7">
        <v>71108.847152436341</v>
      </c>
      <c r="G30" s="204">
        <v>14280.721117594263</v>
      </c>
      <c r="H30" s="23">
        <v>75</v>
      </c>
      <c r="I30" s="7">
        <v>67752.428593930686</v>
      </c>
      <c r="J30" s="204">
        <v>13606.654819132347</v>
      </c>
      <c r="K30" s="23">
        <v>105</v>
      </c>
      <c r="L30" s="7">
        <v>64698.581856859506</v>
      </c>
      <c r="M30" s="204">
        <v>12993.35372743416</v>
      </c>
      <c r="N30" s="201">
        <v>135</v>
      </c>
      <c r="O30" s="7">
        <v>61908.157531147241</v>
      </c>
      <c r="P30" s="204">
        <v>12432.955504273223</v>
      </c>
      <c r="Q30" s="127">
        <v>165</v>
      </c>
      <c r="R30" s="7">
        <v>59348.480948155244</v>
      </c>
      <c r="S30" s="204">
        <v>11918.898127494434</v>
      </c>
    </row>
    <row r="31" spans="2:19" x14ac:dyDescent="0.35">
      <c r="B31" s="127">
        <v>2045</v>
      </c>
      <c r="C31" s="83">
        <v>77833.50983456579</v>
      </c>
      <c r="D31" s="83">
        <v>15162.912636535586</v>
      </c>
      <c r="E31" s="23">
        <v>45</v>
      </c>
      <c r="F31" s="7">
        <v>72060.453183943289</v>
      </c>
      <c r="G31" s="204">
        <v>14038.251114458306</v>
      </c>
      <c r="H31" s="23">
        <v>75</v>
      </c>
      <c r="I31" s="7">
        <v>68665.107108285592</v>
      </c>
      <c r="J31" s="204">
        <v>13376.796478461178</v>
      </c>
      <c r="K31" s="23">
        <v>105</v>
      </c>
      <c r="L31" s="7">
        <v>65575.327339965515</v>
      </c>
      <c r="M31" s="204">
        <v>12774.869868794573</v>
      </c>
      <c r="N31" s="201">
        <v>135</v>
      </c>
      <c r="O31" s="7">
        <v>62751.64064020916</v>
      </c>
      <c r="P31" s="204">
        <v>12224.781419329085</v>
      </c>
      <c r="Q31" s="127">
        <v>165</v>
      </c>
      <c r="R31" s="7">
        <v>60161.09199632446</v>
      </c>
      <c r="S31" s="204">
        <v>11720.111093509151</v>
      </c>
    </row>
    <row r="32" spans="2:19" x14ac:dyDescent="0.35">
      <c r="B32" s="127">
        <v>2046</v>
      </c>
      <c r="C32" s="83">
        <v>78848.803389675508</v>
      </c>
      <c r="D32" s="83">
        <v>14897.279560215484</v>
      </c>
      <c r="E32" s="23">
        <v>45</v>
      </c>
      <c r="F32" s="7">
        <v>73011.249664624454</v>
      </c>
      <c r="G32" s="204">
        <v>13794.362761845277</v>
      </c>
      <c r="H32" s="23">
        <v>75</v>
      </c>
      <c r="I32" s="7">
        <v>69577.16307504577</v>
      </c>
      <c r="J32" s="204">
        <v>13145.544444259504</v>
      </c>
      <c r="K32" s="23">
        <v>105</v>
      </c>
      <c r="L32" s="7">
        <v>66451.60938708215</v>
      </c>
      <c r="M32" s="204">
        <v>12555.018715670534</v>
      </c>
      <c r="N32" s="201">
        <v>135</v>
      </c>
      <c r="O32" s="7">
        <v>63594.79629895572</v>
      </c>
      <c r="P32" s="204">
        <v>12015.267427185228</v>
      </c>
      <c r="Q32" s="127">
        <v>165</v>
      </c>
      <c r="R32" s="7">
        <v>60973.492279684826</v>
      </c>
      <c r="S32" s="204">
        <v>11520.011987550894</v>
      </c>
    </row>
    <row r="33" spans="2:19" x14ac:dyDescent="0.35">
      <c r="B33" s="127">
        <v>2047</v>
      </c>
      <c r="C33" s="83">
        <v>79862.92748959217</v>
      </c>
      <c r="D33" s="83">
        <v>14630.256602566318</v>
      </c>
      <c r="E33" s="23">
        <v>45</v>
      </c>
      <c r="F33" s="7">
        <v>73961.222857501241</v>
      </c>
      <c r="G33" s="204">
        <v>13549.110996286146</v>
      </c>
      <c r="H33" s="23">
        <v>75</v>
      </c>
      <c r="I33" s="7">
        <v>70488.582848086167</v>
      </c>
      <c r="J33" s="204">
        <v>12912.950815046837</v>
      </c>
      <c r="K33" s="23">
        <v>105</v>
      </c>
      <c r="L33" s="7">
        <v>67327.414543388019</v>
      </c>
      <c r="M33" s="204">
        <v>12333.849786379178</v>
      </c>
      <c r="N33" s="201">
        <v>135</v>
      </c>
      <c r="O33" s="7">
        <v>64437.611311733963</v>
      </c>
      <c r="P33" s="204">
        <v>11804.460692603045</v>
      </c>
      <c r="Q33" s="127">
        <v>165</v>
      </c>
      <c r="R33" s="7">
        <v>61785.668906307306</v>
      </c>
      <c r="S33" s="204">
        <v>11318.645820719274</v>
      </c>
    </row>
    <row r="34" spans="2:19" x14ac:dyDescent="0.35">
      <c r="B34" s="127">
        <v>2048</v>
      </c>
      <c r="C34" s="83">
        <v>80875.869163931508</v>
      </c>
      <c r="D34" s="83">
        <v>14361.901113476799</v>
      </c>
      <c r="E34" s="23">
        <v>45</v>
      </c>
      <c r="F34" s="7">
        <v>74910.359585479659</v>
      </c>
      <c r="G34" s="204">
        <v>13302.548558222488</v>
      </c>
      <c r="H34" s="23">
        <v>75</v>
      </c>
      <c r="I34" s="7">
        <v>71399.353311477695</v>
      </c>
      <c r="J34" s="204">
        <v>12679.065615321382</v>
      </c>
      <c r="K34" s="23">
        <v>105</v>
      </c>
      <c r="L34" s="7">
        <v>68202.72985702951</v>
      </c>
      <c r="M34" s="204">
        <v>12111.410634615717</v>
      </c>
      <c r="N34" s="201">
        <v>135</v>
      </c>
      <c r="O34" s="7">
        <v>65280.072960901023</v>
      </c>
      <c r="P34" s="204">
        <v>11592.406514292295</v>
      </c>
      <c r="Q34" s="127">
        <v>165</v>
      </c>
      <c r="R34" s="7">
        <v>62597.609439386637</v>
      </c>
      <c r="S34" s="204">
        <v>11116.05582731038</v>
      </c>
    </row>
    <row r="35" spans="2:19" x14ac:dyDescent="0.35">
      <c r="B35" s="127">
        <v>2049</v>
      </c>
      <c r="C35" s="83">
        <v>81887.616063768495</v>
      </c>
      <c r="D35" s="83">
        <v>14092.268161111393</v>
      </c>
      <c r="E35" s="23">
        <v>45</v>
      </c>
      <c r="F35" s="7">
        <v>75858.647243018379</v>
      </c>
      <c r="G35" s="204">
        <v>13054.726107245426</v>
      </c>
      <c r="H35" s="23">
        <v>75</v>
      </c>
      <c r="I35" s="7">
        <v>72309.461890858569</v>
      </c>
      <c r="J35" s="204">
        <v>12443.936904429025</v>
      </c>
      <c r="K35" s="23">
        <v>105</v>
      </c>
      <c r="L35" s="7">
        <v>69077.542890198543</v>
      </c>
      <c r="M35" s="204">
        <v>11887.746952619647</v>
      </c>
      <c r="N35" s="201">
        <v>135</v>
      </c>
      <c r="O35" s="7">
        <v>66122.169017614127</v>
      </c>
      <c r="P35" s="204">
        <v>11379.148422942471</v>
      </c>
      <c r="Q35" s="127">
        <v>165</v>
      </c>
      <c r="R35" s="7">
        <v>63409.301907750931</v>
      </c>
      <c r="S35" s="204">
        <v>10912.283558200528</v>
      </c>
    </row>
    <row r="36" spans="2:19" x14ac:dyDescent="0.35">
      <c r="B36" s="127">
        <v>2050</v>
      </c>
      <c r="C36" s="83">
        <v>82898.156473217736</v>
      </c>
      <c r="D36" s="83">
        <v>13821.410649496715</v>
      </c>
      <c r="E36" s="23">
        <v>55</v>
      </c>
      <c r="F36" s="7">
        <v>75571.921201618024</v>
      </c>
      <c r="G36" s="204">
        <v>12599.925027722715</v>
      </c>
      <c r="H36" s="23">
        <v>95</v>
      </c>
      <c r="I36" s="7">
        <v>71007.975970488595</v>
      </c>
      <c r="J36" s="204">
        <v>11838.989394110264</v>
      </c>
      <c r="K36" s="23">
        <v>135</v>
      </c>
      <c r="L36" s="7">
        <v>66963.883708116293</v>
      </c>
      <c r="M36" s="204">
        <v>11164.727598182895</v>
      </c>
      <c r="N36" s="201">
        <v>175</v>
      </c>
      <c r="O36" s="7">
        <v>63355.617370238113</v>
      </c>
      <c r="P36" s="204">
        <v>10563.130012539576</v>
      </c>
      <c r="Q36" s="127">
        <v>215</v>
      </c>
      <c r="R36" s="7">
        <v>60116.319771318915</v>
      </c>
      <c r="S36" s="204">
        <v>10023.049699112395</v>
      </c>
    </row>
  </sheetData>
  <mergeCells count="6">
    <mergeCell ref="Q5:S5"/>
    <mergeCell ref="C5:D5"/>
    <mergeCell ref="E5:G5"/>
    <mergeCell ref="H5:J5"/>
    <mergeCell ref="K5:M5"/>
    <mergeCell ref="N5:P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6FD7E-9182-4071-B277-F4A8F5ACF093}">
  <dimension ref="A1:AE226"/>
  <sheetViews>
    <sheetView zoomScale="70" zoomScaleNormal="70" workbookViewId="0">
      <selection activeCell="G27" sqref="G27"/>
    </sheetView>
  </sheetViews>
  <sheetFormatPr defaultRowHeight="14.5" x14ac:dyDescent="0.35"/>
  <cols>
    <col min="2" max="7" width="13.453125" customWidth="1"/>
    <col min="8" max="8" width="11.1796875" customWidth="1"/>
    <col min="9" max="9" width="10.54296875" style="1" bestFit="1" customWidth="1"/>
    <col min="10" max="10" width="16.81640625" bestFit="1" customWidth="1"/>
    <col min="11" max="11" width="19.54296875" bestFit="1" customWidth="1"/>
    <col min="12" max="12" width="18.453125" bestFit="1" customWidth="1"/>
    <col min="13" max="13" width="13.1796875" bestFit="1" customWidth="1"/>
    <col min="14" max="14" width="11.1796875" customWidth="1"/>
    <col min="15" max="15" width="8.7265625" style="2"/>
    <col min="16" max="20" width="12.54296875" style="2" customWidth="1"/>
    <col min="24" max="24" width="13.54296875" style="56" customWidth="1"/>
    <col min="25" max="30" width="13" style="56" customWidth="1"/>
    <col min="33" max="33" width="10.81640625" bestFit="1" customWidth="1"/>
  </cols>
  <sheetData>
    <row r="1" spans="1:31" ht="39" x14ac:dyDescent="0.35">
      <c r="A1" s="25" t="s">
        <v>308</v>
      </c>
      <c r="B1" s="26" t="s">
        <v>309</v>
      </c>
      <c r="C1" s="26" t="s">
        <v>310</v>
      </c>
      <c r="D1" s="27" t="s">
        <v>311</v>
      </c>
      <c r="E1" s="27" t="s">
        <v>312</v>
      </c>
      <c r="F1" s="27" t="s">
        <v>313</v>
      </c>
      <c r="G1" s="28" t="s">
        <v>314</v>
      </c>
      <c r="I1" s="29"/>
      <c r="J1" s="53" t="s">
        <v>315</v>
      </c>
      <c r="K1" s="30"/>
      <c r="L1" s="30"/>
      <c r="M1" s="31"/>
      <c r="O1" s="322" t="s">
        <v>300</v>
      </c>
      <c r="P1" s="322"/>
      <c r="Q1" s="322"/>
      <c r="R1" s="322"/>
      <c r="S1" s="322"/>
      <c r="T1" s="322"/>
      <c r="V1" s="321" t="s">
        <v>38</v>
      </c>
      <c r="W1" s="321"/>
      <c r="X1" s="321"/>
    </row>
    <row r="2" spans="1:31" ht="44" thickBot="1" x14ac:dyDescent="0.4">
      <c r="A2" s="32">
        <v>37622</v>
      </c>
      <c r="B2" s="33">
        <v>954</v>
      </c>
      <c r="C2" s="33">
        <v>8085</v>
      </c>
      <c r="D2" s="34">
        <f>24*DAY(EOMONTH(A2,0))</f>
        <v>744</v>
      </c>
      <c r="E2" s="34">
        <f>B2*$D2/1000</f>
        <v>709.77599999999995</v>
      </c>
      <c r="F2" s="34">
        <f>C2*$D2/1000</f>
        <v>6015.24</v>
      </c>
      <c r="G2" s="35">
        <f>SUM(E2:F2)</f>
        <v>6725.0159999999996</v>
      </c>
      <c r="H2" s="57" t="s">
        <v>316</v>
      </c>
      <c r="I2" s="151" t="s">
        <v>42</v>
      </c>
      <c r="J2" s="7" t="s">
        <v>317</v>
      </c>
      <c r="K2" s="7" t="s">
        <v>318</v>
      </c>
      <c r="L2" s="22" t="s">
        <v>45</v>
      </c>
      <c r="M2" s="127" t="s">
        <v>46</v>
      </c>
      <c r="O2" s="160" t="s">
        <v>42</v>
      </c>
      <c r="P2" s="160" t="s">
        <v>43</v>
      </c>
      <c r="Q2" s="160" t="s">
        <v>44</v>
      </c>
      <c r="R2" s="160" t="s">
        <v>45</v>
      </c>
      <c r="S2" s="160" t="s">
        <v>47</v>
      </c>
      <c r="T2" s="160" t="s">
        <v>46</v>
      </c>
      <c r="V2" s="135" t="s">
        <v>50</v>
      </c>
      <c r="W2" s="135" t="s">
        <v>115</v>
      </c>
      <c r="X2" s="136" t="s">
        <v>116</v>
      </c>
    </row>
    <row r="3" spans="1:31" x14ac:dyDescent="0.35">
      <c r="A3" s="32">
        <v>37653</v>
      </c>
      <c r="B3" s="33">
        <v>1818</v>
      </c>
      <c r="C3" s="33">
        <v>7221</v>
      </c>
      <c r="D3" s="34">
        <f t="shared" ref="D3:D66" si="0">24*DAY(EOMONTH(A3,0))</f>
        <v>672</v>
      </c>
      <c r="E3" s="34">
        <f t="shared" ref="E3:F66" si="1">B3*$D3/1000</f>
        <v>1221.6959999999999</v>
      </c>
      <c r="F3" s="34">
        <f t="shared" si="1"/>
        <v>4852.5119999999997</v>
      </c>
      <c r="G3" s="35">
        <f t="shared" ref="G3:G66" si="2">SUM(E3:F3)</f>
        <v>6074.2079999999996</v>
      </c>
      <c r="I3" s="127" t="s">
        <v>319</v>
      </c>
      <c r="J3" s="7">
        <v>13961.938836000001</v>
      </c>
      <c r="K3" s="7">
        <v>65219.701163999998</v>
      </c>
      <c r="L3" s="7">
        <v>79181.640000000014</v>
      </c>
      <c r="M3" s="152">
        <v>0.82367201745253049</v>
      </c>
      <c r="O3" s="144">
        <v>2005</v>
      </c>
      <c r="P3" s="158">
        <v>73655.882400000002</v>
      </c>
      <c r="Q3" s="158">
        <v>16802.229600000002</v>
      </c>
      <c r="R3" s="158">
        <v>90458.111999999994</v>
      </c>
      <c r="S3" s="158">
        <f t="shared" ref="S3:S17" si="3">S$18*R3/R$18</f>
        <v>88565.794726420616</v>
      </c>
      <c r="T3" s="159">
        <v>0.81425403174454947</v>
      </c>
      <c r="V3" s="164">
        <v>2018</v>
      </c>
      <c r="W3" s="164">
        <v>182</v>
      </c>
      <c r="X3" s="165">
        <f>(W3/(V4-V3))/1000</f>
        <v>4.5499999999999999E-2</v>
      </c>
    </row>
    <row r="4" spans="1:31" x14ac:dyDescent="0.35">
      <c r="A4" s="32">
        <v>37681</v>
      </c>
      <c r="B4" s="33">
        <v>2004.0125</v>
      </c>
      <c r="C4" s="33">
        <v>7034.9875000000002</v>
      </c>
      <c r="D4" s="34">
        <f t="shared" si="0"/>
        <v>744</v>
      </c>
      <c r="E4" s="34">
        <f t="shared" si="1"/>
        <v>1490.9853000000001</v>
      </c>
      <c r="F4" s="34">
        <f t="shared" si="1"/>
        <v>5234.0307000000003</v>
      </c>
      <c r="G4" s="35">
        <f t="shared" si="2"/>
        <v>6725.0160000000005</v>
      </c>
      <c r="I4" s="127" t="s">
        <v>320</v>
      </c>
      <c r="J4" s="7">
        <v>16148.683200000001</v>
      </c>
      <c r="K4" s="7">
        <v>67993.252800000002</v>
      </c>
      <c r="L4" s="7">
        <v>84141.935999999987</v>
      </c>
      <c r="M4" s="152">
        <v>0.80807806466444998</v>
      </c>
      <c r="O4" s="138">
        <v>2006</v>
      </c>
      <c r="P4" s="153">
        <v>75648.873600000006</v>
      </c>
      <c r="Q4" s="153">
        <v>16248.446400000001</v>
      </c>
      <c r="R4" s="153">
        <v>91897.319999999992</v>
      </c>
      <c r="S4" s="153">
        <f t="shared" si="3"/>
        <v>89974.895551967609</v>
      </c>
      <c r="T4" s="154">
        <v>0.82318911585234489</v>
      </c>
      <c r="V4" s="23">
        <v>2022</v>
      </c>
      <c r="W4" s="23">
        <v>1318</v>
      </c>
      <c r="X4" s="161">
        <f>(W4/(V5-V4))/1000</f>
        <v>0.4393333333333333</v>
      </c>
    </row>
    <row r="5" spans="1:31" x14ac:dyDescent="0.35">
      <c r="A5" s="32">
        <v>37712</v>
      </c>
      <c r="B5" s="33">
        <v>1363.5</v>
      </c>
      <c r="C5" s="33">
        <v>7675.5</v>
      </c>
      <c r="D5" s="34">
        <f t="shared" si="0"/>
        <v>720</v>
      </c>
      <c r="E5" s="34">
        <f t="shared" si="1"/>
        <v>981.72</v>
      </c>
      <c r="F5" s="34">
        <f t="shared" si="1"/>
        <v>5526.36</v>
      </c>
      <c r="G5" s="35">
        <f t="shared" si="2"/>
        <v>6508.08</v>
      </c>
      <c r="I5" s="127" t="s">
        <v>321</v>
      </c>
      <c r="J5" s="7">
        <v>16802.229600000002</v>
      </c>
      <c r="K5" s="7">
        <v>73655.882400000002</v>
      </c>
      <c r="L5" s="7">
        <v>90458.111999999994</v>
      </c>
      <c r="M5" s="152">
        <v>0.81425403174454947</v>
      </c>
      <c r="O5" s="138">
        <v>2007</v>
      </c>
      <c r="P5" s="153">
        <v>78843.98771999999</v>
      </c>
      <c r="Q5" s="153">
        <v>16515.332279999999</v>
      </c>
      <c r="R5" s="153">
        <v>95359.319999999992</v>
      </c>
      <c r="S5" s="153">
        <f t="shared" si="3"/>
        <v>93364.473054346468</v>
      </c>
      <c r="T5" s="154">
        <v>0.8268094583728155</v>
      </c>
      <c r="V5" s="23">
        <v>2025</v>
      </c>
      <c r="W5" s="23">
        <v>500</v>
      </c>
      <c r="X5" s="161">
        <f>(W5/(V6-V5))/1000</f>
        <v>0.1</v>
      </c>
    </row>
    <row r="6" spans="1:31" x14ac:dyDescent="0.35">
      <c r="A6" s="32">
        <v>37742</v>
      </c>
      <c r="B6" s="33">
        <v>1376.5</v>
      </c>
      <c r="C6" s="33">
        <v>7662.5</v>
      </c>
      <c r="D6" s="34">
        <f t="shared" si="0"/>
        <v>744</v>
      </c>
      <c r="E6" s="34">
        <f t="shared" si="1"/>
        <v>1024.116</v>
      </c>
      <c r="F6" s="34">
        <f t="shared" si="1"/>
        <v>5700.9</v>
      </c>
      <c r="G6" s="35">
        <f t="shared" si="2"/>
        <v>6725.0159999999996</v>
      </c>
      <c r="I6" s="127" t="s">
        <v>322</v>
      </c>
      <c r="J6" s="7">
        <v>16248.446400000001</v>
      </c>
      <c r="K6" s="7">
        <v>75648.873600000006</v>
      </c>
      <c r="L6" s="7">
        <v>91897.319999999992</v>
      </c>
      <c r="M6" s="152">
        <v>0.82318911585234489</v>
      </c>
      <c r="O6" s="138">
        <v>2008</v>
      </c>
      <c r="P6" s="153">
        <v>80108.063999999998</v>
      </c>
      <c r="Q6" s="153">
        <v>13503.023999999999</v>
      </c>
      <c r="R6" s="153">
        <v>93611.087999999989</v>
      </c>
      <c r="S6" s="153">
        <f t="shared" si="3"/>
        <v>91652.812783942427</v>
      </c>
      <c r="T6" s="154">
        <v>0.85575401067873502</v>
      </c>
      <c r="V6" s="23">
        <v>2030</v>
      </c>
      <c r="W6" s="23">
        <v>4000</v>
      </c>
      <c r="X6" s="161">
        <f>(W6/(V7-V6))/1000</f>
        <v>0.2</v>
      </c>
    </row>
    <row r="7" spans="1:31" x14ac:dyDescent="0.35">
      <c r="A7" s="32">
        <v>37773</v>
      </c>
      <c r="B7" s="33">
        <v>1526</v>
      </c>
      <c r="C7" s="33">
        <v>7513</v>
      </c>
      <c r="D7" s="34">
        <f t="shared" si="0"/>
        <v>720</v>
      </c>
      <c r="E7" s="34">
        <f t="shared" si="1"/>
        <v>1098.72</v>
      </c>
      <c r="F7" s="34">
        <f t="shared" si="1"/>
        <v>5409.36</v>
      </c>
      <c r="G7" s="35">
        <f t="shared" si="2"/>
        <v>6508.08</v>
      </c>
      <c r="I7" s="127" t="s">
        <v>323</v>
      </c>
      <c r="J7" s="7">
        <v>16515.332279999999</v>
      </c>
      <c r="K7" s="7">
        <v>78843.98771999999</v>
      </c>
      <c r="L7" s="7">
        <v>95359.319999999992</v>
      </c>
      <c r="M7" s="152">
        <v>0.8268094583728155</v>
      </c>
      <c r="O7" s="138">
        <v>2009</v>
      </c>
      <c r="P7" s="153">
        <v>75387.312000000005</v>
      </c>
      <c r="Q7" s="153">
        <v>15578.495999999999</v>
      </c>
      <c r="R7" s="153">
        <v>90965.80799999999</v>
      </c>
      <c r="S7" s="153">
        <f t="shared" si="3"/>
        <v>89062.870098935848</v>
      </c>
      <c r="T7" s="154">
        <v>0.82874338894455835</v>
      </c>
      <c r="V7" s="23">
        <v>2050</v>
      </c>
      <c r="W7" s="162"/>
      <c r="X7" s="163"/>
    </row>
    <row r="8" spans="1:31" x14ac:dyDescent="0.35">
      <c r="A8" s="32">
        <v>37803</v>
      </c>
      <c r="B8" s="33">
        <v>1850.5</v>
      </c>
      <c r="C8" s="33">
        <v>7188.5</v>
      </c>
      <c r="D8" s="34">
        <f t="shared" si="0"/>
        <v>744</v>
      </c>
      <c r="E8" s="34">
        <f t="shared" si="1"/>
        <v>1376.7719999999999</v>
      </c>
      <c r="F8" s="34">
        <f t="shared" si="1"/>
        <v>5348.2439999999997</v>
      </c>
      <c r="G8" s="35">
        <f t="shared" si="2"/>
        <v>6725.0159999999996</v>
      </c>
      <c r="I8" s="127" t="s">
        <v>324</v>
      </c>
      <c r="J8" s="7">
        <v>13503.023999999999</v>
      </c>
      <c r="K8" s="7">
        <v>80108.063999999998</v>
      </c>
      <c r="L8" s="7">
        <v>93611.087999999989</v>
      </c>
      <c r="M8" s="152">
        <v>0.85575401067873502</v>
      </c>
      <c r="O8" s="138">
        <v>2010</v>
      </c>
      <c r="P8" s="153">
        <v>75953.22</v>
      </c>
      <c r="Q8" s="153">
        <v>12904.199999999997</v>
      </c>
      <c r="R8" s="153">
        <v>88857.420000000013</v>
      </c>
      <c r="S8" s="153">
        <f t="shared" si="3"/>
        <v>86998.5880275651</v>
      </c>
      <c r="T8" s="154">
        <v>0.85477633719277457</v>
      </c>
    </row>
    <row r="9" spans="1:31" x14ac:dyDescent="0.35">
      <c r="A9" s="32">
        <v>37834</v>
      </c>
      <c r="B9" s="33">
        <v>1693.5440000000001</v>
      </c>
      <c r="C9" s="33">
        <v>7345.4560000000001</v>
      </c>
      <c r="D9" s="34">
        <f t="shared" si="0"/>
        <v>744</v>
      </c>
      <c r="E9" s="34">
        <f t="shared" si="1"/>
        <v>1259.9967360000001</v>
      </c>
      <c r="F9" s="34">
        <f t="shared" si="1"/>
        <v>5465.0192640000005</v>
      </c>
      <c r="G9" s="35">
        <f t="shared" si="2"/>
        <v>6725.0160000000005</v>
      </c>
      <c r="I9" s="127" t="s">
        <v>325</v>
      </c>
      <c r="J9" s="7">
        <v>15578.495999999999</v>
      </c>
      <c r="K9" s="7">
        <v>75387.312000000005</v>
      </c>
      <c r="L9" s="7">
        <v>90965.80799999999</v>
      </c>
      <c r="M9" s="152">
        <v>0.82874338894455835</v>
      </c>
      <c r="O9" s="138">
        <v>2011</v>
      </c>
      <c r="P9" s="153">
        <v>76721.243999999992</v>
      </c>
      <c r="Q9" s="153">
        <v>14094.936000000002</v>
      </c>
      <c r="R9" s="153">
        <v>90816.18</v>
      </c>
      <c r="S9" s="153">
        <f t="shared" si="3"/>
        <v>88916.372206813961</v>
      </c>
      <c r="T9" s="154">
        <v>0.84479708351529426</v>
      </c>
    </row>
    <row r="10" spans="1:31" x14ac:dyDescent="0.35">
      <c r="A10" s="32">
        <v>37865</v>
      </c>
      <c r="B10" s="33">
        <v>1226.44</v>
      </c>
      <c r="C10" s="33">
        <v>7812.5599999999995</v>
      </c>
      <c r="D10" s="34">
        <f t="shared" si="0"/>
        <v>720</v>
      </c>
      <c r="E10" s="34">
        <f t="shared" si="1"/>
        <v>883.03680000000008</v>
      </c>
      <c r="F10" s="34">
        <f t="shared" si="1"/>
        <v>5625.0431999999992</v>
      </c>
      <c r="G10" s="35">
        <f t="shared" si="2"/>
        <v>6508.079999999999</v>
      </c>
      <c r="I10" s="127" t="s">
        <v>326</v>
      </c>
      <c r="J10" s="7">
        <v>12904.199999999997</v>
      </c>
      <c r="K10" s="7">
        <v>75953.22</v>
      </c>
      <c r="L10" s="7">
        <v>88857.420000000013</v>
      </c>
      <c r="M10" s="152">
        <v>0.85477633719277457</v>
      </c>
      <c r="O10" s="138">
        <v>2012</v>
      </c>
      <c r="P10" s="153">
        <v>76078.680000000008</v>
      </c>
      <c r="Q10" s="153">
        <v>15494.736000000001</v>
      </c>
      <c r="R10" s="153">
        <v>91573.415999999997</v>
      </c>
      <c r="S10" s="153">
        <f t="shared" si="3"/>
        <v>89657.767385783169</v>
      </c>
      <c r="T10" s="154">
        <v>0.83079438687751928</v>
      </c>
    </row>
    <row r="11" spans="1:31" x14ac:dyDescent="0.35">
      <c r="A11" s="32">
        <v>37895</v>
      </c>
      <c r="B11" s="33">
        <v>1706.5</v>
      </c>
      <c r="C11" s="33">
        <v>7332.5</v>
      </c>
      <c r="D11" s="34">
        <f t="shared" si="0"/>
        <v>744</v>
      </c>
      <c r="E11" s="34">
        <f t="shared" si="1"/>
        <v>1269.636</v>
      </c>
      <c r="F11" s="34">
        <f t="shared" si="1"/>
        <v>5455.38</v>
      </c>
      <c r="G11" s="35">
        <f t="shared" si="2"/>
        <v>6725.0159999999996</v>
      </c>
      <c r="I11" s="127" t="s">
        <v>327</v>
      </c>
      <c r="J11" s="7">
        <v>14094.936000000002</v>
      </c>
      <c r="K11" s="7">
        <v>76721.243999999992</v>
      </c>
      <c r="L11" s="7">
        <v>90816.18</v>
      </c>
      <c r="M11" s="152">
        <v>0.84479708351529426</v>
      </c>
      <c r="O11" s="138">
        <v>2013</v>
      </c>
      <c r="P11" s="153">
        <v>85380.012000000002</v>
      </c>
      <c r="Q11" s="153">
        <v>13122.503999999999</v>
      </c>
      <c r="R11" s="153">
        <v>98502.515999999989</v>
      </c>
      <c r="S11" s="153">
        <f t="shared" si="3"/>
        <v>96441.915702286191</v>
      </c>
      <c r="T11" s="154">
        <v>0.86678001199482069</v>
      </c>
    </row>
    <row r="12" spans="1:31" x14ac:dyDescent="0.35">
      <c r="A12" s="32">
        <v>37926</v>
      </c>
      <c r="B12" s="33">
        <v>2146.5</v>
      </c>
      <c r="C12" s="33">
        <v>6892.5</v>
      </c>
      <c r="D12" s="34">
        <f t="shared" si="0"/>
        <v>720</v>
      </c>
      <c r="E12" s="34">
        <f t="shared" si="1"/>
        <v>1545.48</v>
      </c>
      <c r="F12" s="34">
        <f t="shared" si="1"/>
        <v>4962.6000000000004</v>
      </c>
      <c r="G12" s="35">
        <f t="shared" si="2"/>
        <v>6508.08</v>
      </c>
      <c r="I12" s="127" t="s">
        <v>328</v>
      </c>
      <c r="J12" s="7">
        <v>15494.736000000001</v>
      </c>
      <c r="K12" s="7">
        <v>76078.680000000008</v>
      </c>
      <c r="L12" s="7">
        <v>91573.415999999997</v>
      </c>
      <c r="M12" s="152">
        <v>0.83079438687751928</v>
      </c>
      <c r="O12" s="138">
        <v>2014</v>
      </c>
      <c r="P12" s="153">
        <v>98190.086400000015</v>
      </c>
      <c r="Q12" s="153">
        <v>13546.008</v>
      </c>
      <c r="R12" s="153">
        <v>111736.09440000002</v>
      </c>
      <c r="S12" s="153">
        <f t="shared" si="3"/>
        <v>109398.65736046269</v>
      </c>
      <c r="T12" s="154">
        <v>0.8787678406629541</v>
      </c>
      <c r="X12" s="58"/>
      <c r="Y12" s="58"/>
      <c r="Z12" s="58"/>
      <c r="AA12" s="58"/>
      <c r="AB12" s="58"/>
      <c r="AC12" s="58"/>
      <c r="AD12" s="58"/>
      <c r="AE12" s="58"/>
    </row>
    <row r="13" spans="1:31" x14ac:dyDescent="0.35">
      <c r="A13" s="32">
        <v>37956</v>
      </c>
      <c r="B13" s="33">
        <v>1478.5</v>
      </c>
      <c r="C13" s="33">
        <v>7560.5</v>
      </c>
      <c r="D13" s="34">
        <f t="shared" si="0"/>
        <v>744</v>
      </c>
      <c r="E13" s="34">
        <f t="shared" si="1"/>
        <v>1100.0039999999999</v>
      </c>
      <c r="F13" s="34">
        <f t="shared" si="1"/>
        <v>5625.0119999999997</v>
      </c>
      <c r="G13" s="35">
        <f t="shared" si="2"/>
        <v>6725.0159999999996</v>
      </c>
      <c r="I13" s="127" t="s">
        <v>329</v>
      </c>
      <c r="J13" s="7">
        <v>13122.503999999999</v>
      </c>
      <c r="K13" s="7">
        <v>85380.012000000002</v>
      </c>
      <c r="L13" s="7">
        <v>98502.515999999989</v>
      </c>
      <c r="M13" s="152">
        <v>0.86678001199482069</v>
      </c>
      <c r="O13" s="138">
        <v>2015</v>
      </c>
      <c r="P13" s="153">
        <v>101673.9264</v>
      </c>
      <c r="Q13" s="153">
        <v>13915.560000000001</v>
      </c>
      <c r="R13" s="153">
        <v>115589.48640000002</v>
      </c>
      <c r="S13" s="153">
        <f t="shared" si="3"/>
        <v>113171.43922962697</v>
      </c>
      <c r="T13" s="154">
        <v>0.87961223435282931</v>
      </c>
      <c r="X13" s="58"/>
      <c r="Y13" s="58"/>
      <c r="Z13" s="58"/>
      <c r="AA13" s="58"/>
      <c r="AB13" s="58"/>
      <c r="AC13" s="58"/>
      <c r="AD13" s="58"/>
      <c r="AE13" s="58"/>
    </row>
    <row r="14" spans="1:31" x14ac:dyDescent="0.35">
      <c r="A14" s="32">
        <v>37987</v>
      </c>
      <c r="B14" s="33">
        <v>829.4</v>
      </c>
      <c r="C14" s="33">
        <v>8209.6</v>
      </c>
      <c r="D14" s="34">
        <f t="shared" si="0"/>
        <v>744</v>
      </c>
      <c r="E14" s="34">
        <f t="shared" si="1"/>
        <v>617.07359999999994</v>
      </c>
      <c r="F14" s="34">
        <f t="shared" si="1"/>
        <v>6107.9424000000008</v>
      </c>
      <c r="G14" s="35">
        <f t="shared" si="2"/>
        <v>6725.0160000000005</v>
      </c>
      <c r="I14" s="127" t="s">
        <v>330</v>
      </c>
      <c r="J14" s="7">
        <v>13546.008</v>
      </c>
      <c r="K14" s="7">
        <v>98190.086400000015</v>
      </c>
      <c r="L14" s="7">
        <v>111736.09440000002</v>
      </c>
      <c r="M14" s="152">
        <v>0.8787678406629541</v>
      </c>
      <c r="O14" s="138">
        <v>2016</v>
      </c>
      <c r="P14" s="153">
        <v>103223.1744</v>
      </c>
      <c r="Q14" s="153">
        <v>15976.127999999997</v>
      </c>
      <c r="R14" s="153">
        <v>119199.30240000002</v>
      </c>
      <c r="S14" s="153">
        <f t="shared" si="3"/>
        <v>116705.74052983704</v>
      </c>
      <c r="T14" s="154">
        <v>0.86597129615416268</v>
      </c>
      <c r="X14" s="58"/>
      <c r="Y14" s="58"/>
      <c r="Z14" s="58"/>
      <c r="AA14" s="58"/>
      <c r="AB14" s="58"/>
      <c r="AC14" s="58"/>
      <c r="AD14" s="58"/>
      <c r="AE14" s="58"/>
    </row>
    <row r="15" spans="1:31" x14ac:dyDescent="0.35">
      <c r="A15" s="32">
        <v>38018</v>
      </c>
      <c r="B15" s="33">
        <v>1311</v>
      </c>
      <c r="C15" s="33">
        <v>8088</v>
      </c>
      <c r="D15" s="34">
        <f t="shared" si="0"/>
        <v>696</v>
      </c>
      <c r="E15" s="34">
        <f t="shared" si="1"/>
        <v>912.45600000000002</v>
      </c>
      <c r="F15" s="34">
        <f t="shared" si="1"/>
        <v>5629.2479999999996</v>
      </c>
      <c r="G15" s="35">
        <f t="shared" si="2"/>
        <v>6541.7039999999997</v>
      </c>
      <c r="I15" s="127" t="s">
        <v>331</v>
      </c>
      <c r="J15" s="7">
        <v>13915.560000000001</v>
      </c>
      <c r="K15" s="7">
        <v>101673.9264</v>
      </c>
      <c r="L15" s="7">
        <v>115589.48640000002</v>
      </c>
      <c r="M15" s="152">
        <v>0.87961223435282931</v>
      </c>
      <c r="O15" s="138">
        <v>2017</v>
      </c>
      <c r="P15" s="153">
        <v>102049.13040000001</v>
      </c>
      <c r="Q15" s="153">
        <v>17969.736000000001</v>
      </c>
      <c r="R15" s="153">
        <v>120018.86640000003</v>
      </c>
      <c r="S15" s="153">
        <f t="shared" si="3"/>
        <v>117508.15985281789</v>
      </c>
      <c r="T15" s="154">
        <v>0.85027573964821235</v>
      </c>
      <c r="X15" s="58"/>
      <c r="Y15" s="58"/>
      <c r="Z15" s="58"/>
      <c r="AA15" s="58"/>
      <c r="AB15" s="58"/>
      <c r="AC15" s="58"/>
      <c r="AD15" s="58"/>
      <c r="AE15" s="58"/>
    </row>
    <row r="16" spans="1:31" x14ac:dyDescent="0.35">
      <c r="A16" s="32">
        <v>38047</v>
      </c>
      <c r="B16" s="33">
        <v>1675</v>
      </c>
      <c r="C16" s="33">
        <v>7724</v>
      </c>
      <c r="D16" s="34">
        <f t="shared" si="0"/>
        <v>744</v>
      </c>
      <c r="E16" s="34">
        <f t="shared" si="1"/>
        <v>1246.2</v>
      </c>
      <c r="F16" s="34">
        <f t="shared" si="1"/>
        <v>5746.6559999999999</v>
      </c>
      <c r="G16" s="35">
        <f t="shared" si="2"/>
        <v>6992.8559999999998</v>
      </c>
      <c r="I16" s="127" t="s">
        <v>332</v>
      </c>
      <c r="J16" s="7">
        <v>15976.127999999997</v>
      </c>
      <c r="K16" s="7">
        <v>103223.1744</v>
      </c>
      <c r="L16" s="7">
        <v>119199.30240000002</v>
      </c>
      <c r="M16" s="152">
        <v>0.86597129615416268</v>
      </c>
      <c r="O16" s="138">
        <v>2018</v>
      </c>
      <c r="P16" s="153">
        <v>104565.58344000002</v>
      </c>
      <c r="Q16" s="153">
        <v>16257.599999999999</v>
      </c>
      <c r="R16" s="153">
        <v>120823.18344000002</v>
      </c>
      <c r="S16" s="153">
        <f t="shared" si="3"/>
        <v>118295.65117100504</v>
      </c>
      <c r="T16" s="154">
        <v>0.86544304216190915</v>
      </c>
      <c r="X16" s="58"/>
      <c r="Y16" s="58"/>
      <c r="Z16" s="58"/>
      <c r="AA16" s="58"/>
      <c r="AB16" s="58"/>
      <c r="AC16" s="58"/>
      <c r="AD16" s="58"/>
      <c r="AE16" s="58"/>
    </row>
    <row r="17" spans="1:31" x14ac:dyDescent="0.35">
      <c r="A17" s="32">
        <v>38078</v>
      </c>
      <c r="B17" s="33">
        <v>1418.4</v>
      </c>
      <c r="C17" s="33">
        <v>7980.6</v>
      </c>
      <c r="D17" s="34">
        <f t="shared" si="0"/>
        <v>720</v>
      </c>
      <c r="E17" s="34">
        <f t="shared" si="1"/>
        <v>1021.2480000000002</v>
      </c>
      <c r="F17" s="34">
        <f t="shared" si="1"/>
        <v>5746.0320000000002</v>
      </c>
      <c r="G17" s="35">
        <f t="shared" si="2"/>
        <v>6767.2800000000007</v>
      </c>
      <c r="I17" s="127" t="s">
        <v>333</v>
      </c>
      <c r="J17" s="7">
        <v>17969.736000000001</v>
      </c>
      <c r="K17" s="7">
        <v>102049.13040000001</v>
      </c>
      <c r="L17" s="7">
        <v>120018.86640000003</v>
      </c>
      <c r="M17" s="152">
        <v>0.85027573964821235</v>
      </c>
      <c r="O17" s="138">
        <v>2019</v>
      </c>
      <c r="P17" s="153">
        <v>97784.063999999998</v>
      </c>
      <c r="Q17" s="153">
        <v>19007.112000000001</v>
      </c>
      <c r="R17" s="153">
        <v>116791.17600000001</v>
      </c>
      <c r="S17" s="153">
        <f t="shared" si="3"/>
        <v>114347.99036567625</v>
      </c>
      <c r="T17" s="154">
        <v>0.83725558170593295</v>
      </c>
      <c r="X17" s="58"/>
      <c r="Y17" s="58"/>
      <c r="Z17" s="58"/>
      <c r="AA17" s="58"/>
      <c r="AB17" s="58"/>
      <c r="AC17" s="58"/>
      <c r="AD17" s="58"/>
      <c r="AE17" s="58"/>
    </row>
    <row r="18" spans="1:31" x14ac:dyDescent="0.35">
      <c r="A18" s="32">
        <v>38108</v>
      </c>
      <c r="B18" s="33">
        <v>1386.5</v>
      </c>
      <c r="C18" s="33">
        <v>8012.5</v>
      </c>
      <c r="D18" s="34">
        <f t="shared" si="0"/>
        <v>744</v>
      </c>
      <c r="E18" s="34">
        <f t="shared" si="1"/>
        <v>1031.556</v>
      </c>
      <c r="F18" s="34">
        <f t="shared" si="1"/>
        <v>5961.3</v>
      </c>
      <c r="G18" s="35">
        <f t="shared" si="2"/>
        <v>6992.8559999999998</v>
      </c>
      <c r="I18" s="127" t="s">
        <v>334</v>
      </c>
      <c r="J18" s="7">
        <v>16257.599999999999</v>
      </c>
      <c r="K18" s="7">
        <v>104565.58344000002</v>
      </c>
      <c r="L18" s="7">
        <v>120823.18344000002</v>
      </c>
      <c r="M18" s="152">
        <v>0.86544304216190915</v>
      </c>
      <c r="O18" s="138">
        <v>2020</v>
      </c>
      <c r="P18" s="153">
        <v>93194.285327999998</v>
      </c>
      <c r="Q18" s="153">
        <v>15363.071999999998</v>
      </c>
      <c r="R18" s="153">
        <v>108557.35732800003</v>
      </c>
      <c r="S18" s="153">
        <f>R18*$S$19/$R$19</f>
        <v>106286.41713364904</v>
      </c>
      <c r="T18" s="154">
        <v>0.85847967951558213</v>
      </c>
      <c r="X18" s="58"/>
      <c r="Y18" s="58"/>
      <c r="Z18" s="58"/>
      <c r="AA18" s="58"/>
      <c r="AB18" s="58"/>
      <c r="AC18" s="58"/>
      <c r="AD18" s="58"/>
      <c r="AE18" s="58"/>
    </row>
    <row r="19" spans="1:31" x14ac:dyDescent="0.35">
      <c r="A19" s="32">
        <v>38139</v>
      </c>
      <c r="B19" s="33">
        <v>2094</v>
      </c>
      <c r="C19" s="33">
        <v>7665</v>
      </c>
      <c r="D19" s="34">
        <f t="shared" si="0"/>
        <v>720</v>
      </c>
      <c r="E19" s="34">
        <f t="shared" si="1"/>
        <v>1507.68</v>
      </c>
      <c r="F19" s="34">
        <f t="shared" si="1"/>
        <v>5518.8</v>
      </c>
      <c r="G19" s="35">
        <f t="shared" si="2"/>
        <v>7026.4800000000005</v>
      </c>
      <c r="I19" s="127" t="s">
        <v>335</v>
      </c>
      <c r="J19" s="7">
        <v>19007.112000000001</v>
      </c>
      <c r="K19" s="7">
        <v>97784.063999999998</v>
      </c>
      <c r="L19" s="7">
        <v>116791.17600000001</v>
      </c>
      <c r="M19" s="152">
        <v>0.83725558170593295</v>
      </c>
      <c r="N19" s="21"/>
      <c r="O19" s="5">
        <v>2021</v>
      </c>
      <c r="P19" s="155">
        <f>T19*R19</f>
        <v>92365.25</v>
      </c>
      <c r="Q19" s="155">
        <f>(1-T19)*R19</f>
        <v>16299.750000000002</v>
      </c>
      <c r="R19" s="155">
        <v>108665</v>
      </c>
      <c r="S19" s="155">
        <f>12112*24*366/1000</f>
        <v>106391.808</v>
      </c>
      <c r="T19" s="156">
        <v>0.85</v>
      </c>
      <c r="X19" s="58"/>
      <c r="Y19" s="58"/>
      <c r="Z19" s="58"/>
      <c r="AA19" s="58"/>
      <c r="AB19" s="58"/>
      <c r="AC19" s="58"/>
      <c r="AD19" s="58"/>
      <c r="AE19" s="58"/>
    </row>
    <row r="20" spans="1:31" x14ac:dyDescent="0.35">
      <c r="A20" s="32">
        <v>38169</v>
      </c>
      <c r="B20" s="33">
        <v>1356</v>
      </c>
      <c r="C20" s="33">
        <v>8403</v>
      </c>
      <c r="D20" s="34">
        <f t="shared" si="0"/>
        <v>744</v>
      </c>
      <c r="E20" s="34">
        <f t="shared" si="1"/>
        <v>1008.864</v>
      </c>
      <c r="F20" s="34">
        <f t="shared" si="1"/>
        <v>6251.8320000000003</v>
      </c>
      <c r="G20" s="35">
        <f t="shared" si="2"/>
        <v>7260.6959999999999</v>
      </c>
      <c r="I20" s="127" t="s">
        <v>336</v>
      </c>
      <c r="J20" s="7">
        <v>15363.071999999998</v>
      </c>
      <c r="K20" s="7">
        <v>93194.285327999998</v>
      </c>
      <c r="L20" s="7">
        <v>108557.35732800003</v>
      </c>
      <c r="M20" s="152">
        <v>0.85847967951558213</v>
      </c>
      <c r="N20" s="21"/>
      <c r="O20" s="5">
        <v>2022</v>
      </c>
      <c r="P20" s="155">
        <f t="shared" ref="P20:P48" si="4">T20*R20</f>
        <v>95636.525999999998</v>
      </c>
      <c r="Q20" s="155">
        <f>(1-T20)*R20</f>
        <v>16877.034000000003</v>
      </c>
      <c r="R20" s="155">
        <f t="shared" ref="R20:R48" si="5">R19+(LOOKUP(O20,$V$3:$V$6,$X$3:$X$6)*24*(365+IF(MOD(O20,4),0,1)))</f>
        <v>112513.56</v>
      </c>
      <c r="S20" s="155">
        <f t="shared" ref="S20:S48" si="6">S$18*R20/R$18</f>
        <v>110159.85895105582</v>
      </c>
      <c r="T20" s="157">
        <v>0.85</v>
      </c>
      <c r="X20" s="58"/>
      <c r="Y20" s="58"/>
      <c r="Z20" s="58"/>
      <c r="AA20" s="58"/>
      <c r="AB20" s="58"/>
      <c r="AC20" s="58"/>
      <c r="AD20" s="58"/>
      <c r="AE20" s="58"/>
    </row>
    <row r="21" spans="1:31" x14ac:dyDescent="0.35">
      <c r="A21" s="32">
        <v>38200</v>
      </c>
      <c r="B21" s="33">
        <v>1954</v>
      </c>
      <c r="C21" s="33">
        <v>7805</v>
      </c>
      <c r="D21" s="34">
        <f t="shared" si="0"/>
        <v>744</v>
      </c>
      <c r="E21" s="34">
        <f t="shared" si="1"/>
        <v>1453.7760000000001</v>
      </c>
      <c r="F21" s="34">
        <f t="shared" si="1"/>
        <v>5806.92</v>
      </c>
      <c r="G21" s="35">
        <f t="shared" si="2"/>
        <v>7260.6959999999999</v>
      </c>
      <c r="I21" s="127" t="s">
        <v>337</v>
      </c>
      <c r="J21" s="7">
        <v>11609.472000000002</v>
      </c>
      <c r="K21" s="7">
        <v>68838.345264000003</v>
      </c>
      <c r="L21" s="7">
        <v>80447.817264000012</v>
      </c>
      <c r="M21" s="152">
        <v>0.85568940967158857</v>
      </c>
      <c r="N21" s="21"/>
      <c r="O21" s="5">
        <v>2023</v>
      </c>
      <c r="P21" s="155">
        <f t="shared" si="4"/>
        <v>98907.801999999996</v>
      </c>
      <c r="Q21" s="155">
        <f t="shared" ref="Q21:Q48" si="7">(1-T21)*R21</f>
        <v>17454.318000000003</v>
      </c>
      <c r="R21" s="155">
        <f t="shared" si="5"/>
        <v>116362.12</v>
      </c>
      <c r="S21" s="155">
        <f t="shared" si="6"/>
        <v>113927.90990211163</v>
      </c>
      <c r="T21" s="157">
        <v>0.85</v>
      </c>
      <c r="X21" s="58"/>
      <c r="Y21" s="58"/>
      <c r="Z21" s="58"/>
      <c r="AA21" s="58"/>
      <c r="AB21" s="58"/>
      <c r="AC21" s="58"/>
      <c r="AD21" s="58"/>
      <c r="AE21" s="58"/>
    </row>
    <row r="22" spans="1:31" x14ac:dyDescent="0.35">
      <c r="A22" s="32">
        <v>38231</v>
      </c>
      <c r="B22" s="33">
        <v>2114</v>
      </c>
      <c r="C22" s="33">
        <v>7645</v>
      </c>
      <c r="D22" s="34">
        <f t="shared" si="0"/>
        <v>720</v>
      </c>
      <c r="E22" s="34">
        <f t="shared" si="1"/>
        <v>1522.08</v>
      </c>
      <c r="F22" s="34">
        <f t="shared" si="1"/>
        <v>5504.4</v>
      </c>
      <c r="G22" s="35">
        <f t="shared" si="2"/>
        <v>7026.48</v>
      </c>
      <c r="I22" s="127" t="s">
        <v>338</v>
      </c>
      <c r="J22" s="7">
        <v>288019.214316</v>
      </c>
      <c r="K22" s="7">
        <v>1600508.8253159998</v>
      </c>
      <c r="L22" s="7">
        <v>1888528.0396319998</v>
      </c>
      <c r="M22" s="7">
        <v>0.84749010431842864</v>
      </c>
      <c r="N22" s="21"/>
      <c r="O22" s="5">
        <v>2024</v>
      </c>
      <c r="P22" s="155">
        <f t="shared" si="4"/>
        <v>102188.04039999998</v>
      </c>
      <c r="Q22" s="155">
        <f t="shared" si="7"/>
        <v>18033.1836</v>
      </c>
      <c r="R22" s="155">
        <f t="shared" si="5"/>
        <v>120221.22399999999</v>
      </c>
      <c r="S22" s="155">
        <f t="shared" si="6"/>
        <v>117706.2842804306</v>
      </c>
      <c r="T22" s="157">
        <v>0.85</v>
      </c>
      <c r="X22" s="58"/>
      <c r="Y22" s="58"/>
      <c r="Z22" s="58"/>
      <c r="AA22" s="58"/>
      <c r="AB22" s="58"/>
      <c r="AC22" s="58"/>
      <c r="AD22" s="58"/>
      <c r="AE22" s="58"/>
    </row>
    <row r="23" spans="1:31" x14ac:dyDescent="0.35">
      <c r="A23" s="32">
        <v>38261</v>
      </c>
      <c r="B23" s="33">
        <v>2909.4</v>
      </c>
      <c r="C23" s="33">
        <v>6849.6</v>
      </c>
      <c r="D23" s="34">
        <f t="shared" si="0"/>
        <v>744</v>
      </c>
      <c r="E23" s="34">
        <f t="shared" si="1"/>
        <v>2164.5936000000002</v>
      </c>
      <c r="F23" s="34">
        <f t="shared" si="1"/>
        <v>5096.1024000000007</v>
      </c>
      <c r="G23" s="35">
        <f t="shared" si="2"/>
        <v>7260.6960000000008</v>
      </c>
      <c r="N23" s="54"/>
      <c r="O23" s="5">
        <v>2025</v>
      </c>
      <c r="P23" s="155">
        <f t="shared" si="4"/>
        <v>102932.64039999999</v>
      </c>
      <c r="Q23" s="155">
        <f t="shared" si="7"/>
        <v>18164.583600000002</v>
      </c>
      <c r="R23" s="155">
        <f t="shared" si="5"/>
        <v>121097.22399999999</v>
      </c>
      <c r="S23" s="155">
        <f t="shared" si="6"/>
        <v>118563.95900373618</v>
      </c>
      <c r="T23" s="157">
        <v>0.85</v>
      </c>
      <c r="X23" s="58"/>
      <c r="Y23" s="58"/>
      <c r="Z23" s="58"/>
      <c r="AA23" s="58"/>
      <c r="AB23" s="58"/>
      <c r="AC23" s="58"/>
      <c r="AD23" s="58"/>
      <c r="AE23" s="58"/>
    </row>
    <row r="24" spans="1:31" x14ac:dyDescent="0.35">
      <c r="A24" s="32">
        <v>38292</v>
      </c>
      <c r="B24" s="33">
        <v>2461.5</v>
      </c>
      <c r="C24" s="33">
        <v>7297.5</v>
      </c>
      <c r="D24" s="34">
        <f t="shared" si="0"/>
        <v>720</v>
      </c>
      <c r="E24" s="34">
        <f t="shared" si="1"/>
        <v>1772.28</v>
      </c>
      <c r="F24" s="34">
        <f t="shared" si="1"/>
        <v>5254.2</v>
      </c>
      <c r="G24" s="35">
        <f t="shared" si="2"/>
        <v>7026.48</v>
      </c>
      <c r="N24" s="21"/>
      <c r="O24" s="5">
        <v>2026</v>
      </c>
      <c r="P24" s="155">
        <f t="shared" si="4"/>
        <v>103677.24039999998</v>
      </c>
      <c r="Q24" s="155">
        <f t="shared" si="7"/>
        <v>18295.9836</v>
      </c>
      <c r="R24" s="155">
        <f t="shared" si="5"/>
        <v>121973.22399999999</v>
      </c>
      <c r="S24" s="155">
        <f t="shared" si="6"/>
        <v>119421.63372704174</v>
      </c>
      <c r="T24" s="157">
        <v>0.85</v>
      </c>
      <c r="X24" s="58"/>
      <c r="Y24" s="58"/>
      <c r="Z24" s="58"/>
      <c r="AA24" s="58"/>
      <c r="AB24" s="58"/>
      <c r="AC24" s="58"/>
      <c r="AD24" s="58"/>
      <c r="AE24" s="58"/>
    </row>
    <row r="25" spans="1:31" x14ac:dyDescent="0.35">
      <c r="A25" s="32">
        <v>38322</v>
      </c>
      <c r="B25" s="33">
        <v>2541.5</v>
      </c>
      <c r="C25" s="33">
        <v>7217.5</v>
      </c>
      <c r="D25" s="34">
        <f t="shared" si="0"/>
        <v>744</v>
      </c>
      <c r="E25" s="34">
        <f t="shared" si="1"/>
        <v>1890.876</v>
      </c>
      <c r="F25" s="34">
        <f t="shared" si="1"/>
        <v>5369.82</v>
      </c>
      <c r="G25" s="35">
        <f t="shared" si="2"/>
        <v>7260.6959999999999</v>
      </c>
      <c r="N25" s="21"/>
      <c r="O25" s="5">
        <v>2027</v>
      </c>
      <c r="P25" s="155">
        <f t="shared" si="4"/>
        <v>104421.84039999999</v>
      </c>
      <c r="Q25" s="155">
        <f t="shared" si="7"/>
        <v>18427.383600000001</v>
      </c>
      <c r="R25" s="155">
        <f t="shared" si="5"/>
        <v>122849.22399999999</v>
      </c>
      <c r="S25" s="155">
        <f t="shared" si="6"/>
        <v>120279.30845034732</v>
      </c>
      <c r="T25" s="157">
        <v>0.85</v>
      </c>
      <c r="X25" s="58"/>
      <c r="Y25" s="58"/>
      <c r="Z25" s="58"/>
      <c r="AA25" s="58"/>
      <c r="AB25" s="58"/>
      <c r="AC25" s="58"/>
      <c r="AD25" s="58"/>
      <c r="AE25" s="58"/>
    </row>
    <row r="26" spans="1:31" x14ac:dyDescent="0.35">
      <c r="A26" s="32">
        <v>38353</v>
      </c>
      <c r="B26" s="33">
        <v>2441.5</v>
      </c>
      <c r="C26" s="33">
        <v>7321.5</v>
      </c>
      <c r="D26" s="34">
        <f t="shared" si="0"/>
        <v>744</v>
      </c>
      <c r="E26" s="34">
        <f t="shared" si="1"/>
        <v>1816.4760000000001</v>
      </c>
      <c r="F26" s="34">
        <f t="shared" si="1"/>
        <v>5447.1959999999999</v>
      </c>
      <c r="G26" s="35">
        <f t="shared" si="2"/>
        <v>7263.6720000000005</v>
      </c>
      <c r="N26" s="21"/>
      <c r="O26" s="5">
        <v>2028</v>
      </c>
      <c r="P26" s="155">
        <f t="shared" si="4"/>
        <v>105168.48039999999</v>
      </c>
      <c r="Q26" s="155">
        <f t="shared" si="7"/>
        <v>18559.143599999999</v>
      </c>
      <c r="R26" s="155">
        <f t="shared" si="5"/>
        <v>123727.62399999998</v>
      </c>
      <c r="S26" s="155">
        <f t="shared" si="6"/>
        <v>121139.33296741538</v>
      </c>
      <c r="T26" s="157">
        <v>0.85</v>
      </c>
    </row>
    <row r="27" spans="1:31" x14ac:dyDescent="0.35">
      <c r="A27" s="32">
        <v>38384</v>
      </c>
      <c r="B27" s="33">
        <v>2084</v>
      </c>
      <c r="C27" s="33">
        <v>8046</v>
      </c>
      <c r="D27" s="34">
        <f t="shared" si="0"/>
        <v>672</v>
      </c>
      <c r="E27" s="34">
        <f t="shared" si="1"/>
        <v>1400.4480000000001</v>
      </c>
      <c r="F27" s="34">
        <f t="shared" si="1"/>
        <v>5406.9120000000003</v>
      </c>
      <c r="G27" s="35">
        <f t="shared" si="2"/>
        <v>6807.3600000000006</v>
      </c>
      <c r="N27" s="21"/>
      <c r="O27" s="5">
        <v>2029</v>
      </c>
      <c r="P27" s="155">
        <f t="shared" si="4"/>
        <v>105913.08039999998</v>
      </c>
      <c r="Q27" s="155">
        <f t="shared" si="7"/>
        <v>18690.543600000001</v>
      </c>
      <c r="R27" s="155">
        <f t="shared" si="5"/>
        <v>124603.62399999998</v>
      </c>
      <c r="S27" s="155">
        <f t="shared" si="6"/>
        <v>121997.00769072094</v>
      </c>
      <c r="T27" s="157">
        <v>0.85</v>
      </c>
    </row>
    <row r="28" spans="1:31" x14ac:dyDescent="0.35">
      <c r="A28" s="32">
        <v>38412</v>
      </c>
      <c r="B28" s="33">
        <v>2435</v>
      </c>
      <c r="C28" s="33">
        <v>7695</v>
      </c>
      <c r="D28" s="34">
        <f t="shared" si="0"/>
        <v>744</v>
      </c>
      <c r="E28" s="34">
        <f t="shared" si="1"/>
        <v>1811.64</v>
      </c>
      <c r="F28" s="34">
        <f t="shared" si="1"/>
        <v>5725.08</v>
      </c>
      <c r="G28" s="35">
        <f t="shared" si="2"/>
        <v>7536.72</v>
      </c>
      <c r="N28" s="54"/>
      <c r="O28" s="5">
        <v>2030</v>
      </c>
      <c r="P28" s="155">
        <f t="shared" si="4"/>
        <v>107402.28039999999</v>
      </c>
      <c r="Q28" s="155">
        <f t="shared" si="7"/>
        <v>18953.3436</v>
      </c>
      <c r="R28" s="155">
        <f t="shared" si="5"/>
        <v>126355.62399999998</v>
      </c>
      <c r="S28" s="155">
        <f t="shared" si="6"/>
        <v>123712.35713733207</v>
      </c>
      <c r="T28" s="157">
        <v>0.85</v>
      </c>
    </row>
    <row r="29" spans="1:31" x14ac:dyDescent="0.35">
      <c r="A29" s="32">
        <v>38443</v>
      </c>
      <c r="B29" s="33">
        <v>2254.4</v>
      </c>
      <c r="C29" s="33">
        <v>7875.6</v>
      </c>
      <c r="D29" s="34">
        <f t="shared" si="0"/>
        <v>720</v>
      </c>
      <c r="E29" s="34">
        <f t="shared" si="1"/>
        <v>1623.1679999999999</v>
      </c>
      <c r="F29" s="34">
        <f t="shared" si="1"/>
        <v>5670.4319999999998</v>
      </c>
      <c r="G29" s="35">
        <f t="shared" si="2"/>
        <v>7293.5999999999995</v>
      </c>
      <c r="N29" s="21"/>
      <c r="O29" s="5">
        <v>2031</v>
      </c>
      <c r="P29" s="155">
        <f t="shared" si="4"/>
        <v>108891.48039999999</v>
      </c>
      <c r="Q29" s="155">
        <f t="shared" si="7"/>
        <v>19216.143599999999</v>
      </c>
      <c r="R29" s="155">
        <f t="shared" si="5"/>
        <v>128107.62399999998</v>
      </c>
      <c r="S29" s="155">
        <f t="shared" si="6"/>
        <v>125427.70658394323</v>
      </c>
      <c r="T29" s="157">
        <v>0.85</v>
      </c>
    </row>
    <row r="30" spans="1:31" x14ac:dyDescent="0.35">
      <c r="A30" s="32">
        <v>38473</v>
      </c>
      <c r="B30" s="33">
        <v>2034.5</v>
      </c>
      <c r="C30" s="33">
        <v>8462.5</v>
      </c>
      <c r="D30" s="34">
        <f t="shared" si="0"/>
        <v>744</v>
      </c>
      <c r="E30" s="34">
        <f t="shared" si="1"/>
        <v>1513.6679999999999</v>
      </c>
      <c r="F30" s="34">
        <f t="shared" si="1"/>
        <v>6296.1</v>
      </c>
      <c r="G30" s="35">
        <f t="shared" si="2"/>
        <v>7809.768</v>
      </c>
      <c r="N30" s="21"/>
      <c r="O30" s="5">
        <v>2032</v>
      </c>
      <c r="P30" s="155">
        <f t="shared" si="4"/>
        <v>110384.76039999998</v>
      </c>
      <c r="Q30" s="155">
        <f t="shared" si="7"/>
        <v>19479.6636</v>
      </c>
      <c r="R30" s="155">
        <f t="shared" si="5"/>
        <v>129864.42399999998</v>
      </c>
      <c r="S30" s="155">
        <f t="shared" si="6"/>
        <v>127147.75561807935</v>
      </c>
      <c r="T30" s="157">
        <v>0.85</v>
      </c>
    </row>
    <row r="31" spans="1:31" x14ac:dyDescent="0.35">
      <c r="A31" s="32">
        <v>38504</v>
      </c>
      <c r="B31" s="33">
        <v>2106.5</v>
      </c>
      <c r="C31" s="33">
        <v>8390.5</v>
      </c>
      <c r="D31" s="34">
        <f t="shared" si="0"/>
        <v>720</v>
      </c>
      <c r="E31" s="34">
        <f t="shared" si="1"/>
        <v>1516.68</v>
      </c>
      <c r="F31" s="34">
        <f t="shared" si="1"/>
        <v>6041.16</v>
      </c>
      <c r="G31" s="35">
        <f t="shared" si="2"/>
        <v>7557.84</v>
      </c>
      <c r="N31" s="21"/>
      <c r="O31" s="5">
        <v>2033</v>
      </c>
      <c r="P31" s="155">
        <f t="shared" si="4"/>
        <v>111873.9604</v>
      </c>
      <c r="Q31" s="155">
        <f t="shared" si="7"/>
        <v>19742.463600000003</v>
      </c>
      <c r="R31" s="155">
        <f t="shared" si="5"/>
        <v>131616.424</v>
      </c>
      <c r="S31" s="155">
        <f t="shared" si="6"/>
        <v>128863.10506469051</v>
      </c>
      <c r="T31" s="157">
        <v>0.85</v>
      </c>
    </row>
    <row r="32" spans="1:31" x14ac:dyDescent="0.35">
      <c r="A32" s="32">
        <v>38534</v>
      </c>
      <c r="B32" s="33">
        <v>1690.4</v>
      </c>
      <c r="C32" s="33">
        <v>8821.6</v>
      </c>
      <c r="D32" s="34">
        <f t="shared" si="0"/>
        <v>744</v>
      </c>
      <c r="E32" s="34">
        <f t="shared" si="1"/>
        <v>1257.6576</v>
      </c>
      <c r="F32" s="34">
        <f t="shared" si="1"/>
        <v>6563.2704000000003</v>
      </c>
      <c r="G32" s="35">
        <f t="shared" si="2"/>
        <v>7820.9279999999999</v>
      </c>
      <c r="N32" s="21"/>
      <c r="O32" s="5">
        <v>2034</v>
      </c>
      <c r="P32" s="155">
        <f t="shared" si="4"/>
        <v>113363.16039999999</v>
      </c>
      <c r="Q32" s="155">
        <f t="shared" si="7"/>
        <v>20005.263600000002</v>
      </c>
      <c r="R32" s="155">
        <f t="shared" si="5"/>
        <v>133368.424</v>
      </c>
      <c r="S32" s="155">
        <f t="shared" si="6"/>
        <v>130578.45451130164</v>
      </c>
      <c r="T32" s="157">
        <v>0.85</v>
      </c>
    </row>
    <row r="33" spans="1:20" x14ac:dyDescent="0.35">
      <c r="A33" s="32">
        <v>38565</v>
      </c>
      <c r="B33" s="33">
        <v>1347.5</v>
      </c>
      <c r="C33" s="33">
        <v>9164.5</v>
      </c>
      <c r="D33" s="34">
        <f t="shared" si="0"/>
        <v>744</v>
      </c>
      <c r="E33" s="34">
        <f t="shared" si="1"/>
        <v>1002.54</v>
      </c>
      <c r="F33" s="34">
        <f t="shared" si="1"/>
        <v>6818.3879999999999</v>
      </c>
      <c r="G33" s="35">
        <f t="shared" si="2"/>
        <v>7820.9279999999999</v>
      </c>
      <c r="N33" s="54"/>
      <c r="O33" s="5">
        <v>2035</v>
      </c>
      <c r="P33" s="155">
        <f t="shared" si="4"/>
        <v>114852.36039999999</v>
      </c>
      <c r="Q33" s="155">
        <f t="shared" si="7"/>
        <v>20268.063600000001</v>
      </c>
      <c r="R33" s="155">
        <f t="shared" si="5"/>
        <v>135120.424</v>
      </c>
      <c r="S33" s="155">
        <f t="shared" si="6"/>
        <v>132293.80395791278</v>
      </c>
      <c r="T33" s="157">
        <v>0.85</v>
      </c>
    </row>
    <row r="34" spans="1:20" x14ac:dyDescent="0.35">
      <c r="A34" s="32">
        <v>38596</v>
      </c>
      <c r="B34" s="33">
        <v>1750</v>
      </c>
      <c r="C34" s="33">
        <v>8762</v>
      </c>
      <c r="D34" s="34">
        <f t="shared" si="0"/>
        <v>720</v>
      </c>
      <c r="E34" s="34">
        <f t="shared" si="1"/>
        <v>1260</v>
      </c>
      <c r="F34" s="34">
        <f t="shared" si="1"/>
        <v>6308.64</v>
      </c>
      <c r="G34" s="35">
        <f t="shared" si="2"/>
        <v>7568.64</v>
      </c>
      <c r="O34" s="5">
        <v>2036</v>
      </c>
      <c r="P34" s="155">
        <f t="shared" si="4"/>
        <v>116345.64039999999</v>
      </c>
      <c r="Q34" s="155">
        <f t="shared" si="7"/>
        <v>20531.583600000002</v>
      </c>
      <c r="R34" s="155">
        <f t="shared" si="5"/>
        <v>136877.22399999999</v>
      </c>
      <c r="S34" s="155">
        <f t="shared" si="6"/>
        <v>134013.85299204889</v>
      </c>
      <c r="T34" s="157">
        <v>0.85</v>
      </c>
    </row>
    <row r="35" spans="1:20" x14ac:dyDescent="0.35">
      <c r="A35" s="32">
        <v>38626</v>
      </c>
      <c r="B35" s="33">
        <v>1851.5</v>
      </c>
      <c r="C35" s="33">
        <v>8555.5</v>
      </c>
      <c r="D35" s="34">
        <f t="shared" si="0"/>
        <v>744</v>
      </c>
      <c r="E35" s="34">
        <f t="shared" si="1"/>
        <v>1377.5160000000001</v>
      </c>
      <c r="F35" s="34">
        <f t="shared" si="1"/>
        <v>6365.2920000000004</v>
      </c>
      <c r="G35" s="35">
        <f t="shared" si="2"/>
        <v>7742.8080000000009</v>
      </c>
      <c r="O35" s="5">
        <v>2037</v>
      </c>
      <c r="P35" s="155">
        <f t="shared" si="4"/>
        <v>117834.84039999999</v>
      </c>
      <c r="Q35" s="155">
        <f t="shared" si="7"/>
        <v>20794.383600000001</v>
      </c>
      <c r="R35" s="155">
        <f t="shared" si="5"/>
        <v>138629.22399999999</v>
      </c>
      <c r="S35" s="155">
        <f t="shared" si="6"/>
        <v>135729.20243866002</v>
      </c>
      <c r="T35" s="157">
        <v>0.85</v>
      </c>
    </row>
    <row r="36" spans="1:20" x14ac:dyDescent="0.35">
      <c r="A36" s="32">
        <v>38657</v>
      </c>
      <c r="B36" s="33">
        <v>1530</v>
      </c>
      <c r="C36" s="33">
        <v>8877</v>
      </c>
      <c r="D36" s="34">
        <f t="shared" si="0"/>
        <v>720</v>
      </c>
      <c r="E36" s="34">
        <f t="shared" si="1"/>
        <v>1101.5999999999999</v>
      </c>
      <c r="F36" s="34">
        <f t="shared" si="1"/>
        <v>6391.44</v>
      </c>
      <c r="G36" s="35">
        <f t="shared" si="2"/>
        <v>7493.0399999999991</v>
      </c>
      <c r="O36" s="5">
        <v>2038</v>
      </c>
      <c r="P36" s="155">
        <f t="shared" si="4"/>
        <v>119324.04039999998</v>
      </c>
      <c r="Q36" s="155">
        <f t="shared" si="7"/>
        <v>21057.1836</v>
      </c>
      <c r="R36" s="155">
        <f t="shared" si="5"/>
        <v>140381.22399999999</v>
      </c>
      <c r="S36" s="155">
        <f t="shared" si="6"/>
        <v>137444.55188527118</v>
      </c>
      <c r="T36" s="157">
        <v>0.85</v>
      </c>
    </row>
    <row r="37" spans="1:20" x14ac:dyDescent="0.35">
      <c r="A37" s="32">
        <v>38687</v>
      </c>
      <c r="B37" s="33">
        <v>1506.5</v>
      </c>
      <c r="C37" s="33">
        <v>8900.5</v>
      </c>
      <c r="D37" s="34">
        <f t="shared" si="0"/>
        <v>744</v>
      </c>
      <c r="E37" s="34">
        <f t="shared" si="1"/>
        <v>1120.836</v>
      </c>
      <c r="F37" s="34">
        <f t="shared" si="1"/>
        <v>6621.9719999999998</v>
      </c>
      <c r="G37" s="35">
        <f t="shared" si="2"/>
        <v>7742.808</v>
      </c>
      <c r="O37" s="5">
        <v>2039</v>
      </c>
      <c r="P37" s="155">
        <f t="shared" si="4"/>
        <v>120813.24039999998</v>
      </c>
      <c r="Q37" s="155">
        <f t="shared" si="7"/>
        <v>21319.9836</v>
      </c>
      <c r="R37" s="155">
        <f t="shared" si="5"/>
        <v>142133.22399999999</v>
      </c>
      <c r="S37" s="155">
        <f t="shared" si="6"/>
        <v>139159.90133188231</v>
      </c>
      <c r="T37" s="157">
        <v>0.85</v>
      </c>
    </row>
    <row r="38" spans="1:20" x14ac:dyDescent="0.35">
      <c r="A38" s="32">
        <v>38718</v>
      </c>
      <c r="B38" s="33">
        <v>1862.5</v>
      </c>
      <c r="C38" s="33">
        <v>8544.5</v>
      </c>
      <c r="D38" s="34">
        <f t="shared" si="0"/>
        <v>744</v>
      </c>
      <c r="E38" s="34">
        <f t="shared" si="1"/>
        <v>1385.7</v>
      </c>
      <c r="F38" s="34">
        <f t="shared" si="1"/>
        <v>6357.1080000000002</v>
      </c>
      <c r="G38" s="35">
        <f t="shared" si="2"/>
        <v>7742.808</v>
      </c>
      <c r="N38" s="54"/>
      <c r="O38" s="5">
        <v>2040</v>
      </c>
      <c r="P38" s="155">
        <f t="shared" si="4"/>
        <v>122306.52039999998</v>
      </c>
      <c r="Q38" s="155">
        <f t="shared" si="7"/>
        <v>21583.5036</v>
      </c>
      <c r="R38" s="155">
        <f t="shared" si="5"/>
        <v>143890.02399999998</v>
      </c>
      <c r="S38" s="155">
        <f t="shared" si="6"/>
        <v>140879.95036601843</v>
      </c>
      <c r="T38" s="157">
        <v>0.85</v>
      </c>
    </row>
    <row r="39" spans="1:20" x14ac:dyDescent="0.35">
      <c r="A39" s="32">
        <v>38749</v>
      </c>
      <c r="B39" s="33">
        <v>1619</v>
      </c>
      <c r="C39" s="33">
        <v>8788</v>
      </c>
      <c r="D39" s="34">
        <f t="shared" si="0"/>
        <v>672</v>
      </c>
      <c r="E39" s="34">
        <f t="shared" si="1"/>
        <v>1087.9680000000001</v>
      </c>
      <c r="F39" s="34">
        <f t="shared" si="1"/>
        <v>5905.5360000000001</v>
      </c>
      <c r="G39" s="35">
        <f t="shared" si="2"/>
        <v>6993.5039999999999</v>
      </c>
      <c r="O39" s="5">
        <v>2041</v>
      </c>
      <c r="P39" s="155">
        <f t="shared" si="4"/>
        <v>123795.72039999998</v>
      </c>
      <c r="Q39" s="155">
        <f t="shared" si="7"/>
        <v>21846.303599999999</v>
      </c>
      <c r="R39" s="155">
        <f t="shared" si="5"/>
        <v>145642.02399999998</v>
      </c>
      <c r="S39" s="155">
        <f t="shared" si="6"/>
        <v>142595.29981262956</v>
      </c>
      <c r="T39" s="157">
        <v>0.85</v>
      </c>
    </row>
    <row r="40" spans="1:20" x14ac:dyDescent="0.35">
      <c r="A40" s="32">
        <v>38777</v>
      </c>
      <c r="B40" s="33">
        <v>1406.9</v>
      </c>
      <c r="C40" s="33">
        <v>9000.1</v>
      </c>
      <c r="D40" s="34">
        <f t="shared" si="0"/>
        <v>744</v>
      </c>
      <c r="E40" s="34">
        <f t="shared" si="1"/>
        <v>1046.7336</v>
      </c>
      <c r="F40" s="34">
        <f t="shared" si="1"/>
        <v>6696.0744000000004</v>
      </c>
      <c r="G40" s="35">
        <f t="shared" si="2"/>
        <v>7742.8080000000009</v>
      </c>
      <c r="O40" s="5">
        <v>2042</v>
      </c>
      <c r="P40" s="155">
        <f t="shared" si="4"/>
        <v>125284.92039999997</v>
      </c>
      <c r="Q40" s="155">
        <f t="shared" si="7"/>
        <v>22109.103599999999</v>
      </c>
      <c r="R40" s="155">
        <f t="shared" si="5"/>
        <v>147394.02399999998</v>
      </c>
      <c r="S40" s="155">
        <f t="shared" si="6"/>
        <v>144310.64925924069</v>
      </c>
      <c r="T40" s="157">
        <v>0.85</v>
      </c>
    </row>
    <row r="41" spans="1:20" x14ac:dyDescent="0.35">
      <c r="A41" s="32">
        <v>38808</v>
      </c>
      <c r="B41" s="33">
        <v>2157.5</v>
      </c>
      <c r="C41" s="33">
        <v>8249.5</v>
      </c>
      <c r="D41" s="34">
        <f t="shared" si="0"/>
        <v>720</v>
      </c>
      <c r="E41" s="34">
        <f t="shared" si="1"/>
        <v>1553.4</v>
      </c>
      <c r="F41" s="34">
        <f t="shared" si="1"/>
        <v>5939.64</v>
      </c>
      <c r="G41" s="35">
        <f t="shared" si="2"/>
        <v>7493.0400000000009</v>
      </c>
      <c r="O41" s="5">
        <v>2043</v>
      </c>
      <c r="P41" s="155">
        <f t="shared" si="4"/>
        <v>126774.12039999997</v>
      </c>
      <c r="Q41" s="155">
        <f t="shared" si="7"/>
        <v>22371.903600000001</v>
      </c>
      <c r="R41" s="155">
        <f t="shared" si="5"/>
        <v>149146.02399999998</v>
      </c>
      <c r="S41" s="155">
        <f t="shared" si="6"/>
        <v>146025.99870585185</v>
      </c>
      <c r="T41" s="157">
        <v>0.85</v>
      </c>
    </row>
    <row r="42" spans="1:20" x14ac:dyDescent="0.35">
      <c r="A42" s="32">
        <v>38838</v>
      </c>
      <c r="B42" s="33">
        <v>1926</v>
      </c>
      <c r="C42" s="33">
        <v>8481</v>
      </c>
      <c r="D42" s="34">
        <f t="shared" si="0"/>
        <v>744</v>
      </c>
      <c r="E42" s="34">
        <f t="shared" si="1"/>
        <v>1432.944</v>
      </c>
      <c r="F42" s="34">
        <f t="shared" si="1"/>
        <v>6309.8639999999996</v>
      </c>
      <c r="G42" s="35">
        <f t="shared" si="2"/>
        <v>7742.8079999999991</v>
      </c>
      <c r="O42" s="5">
        <v>2044</v>
      </c>
      <c r="P42" s="155">
        <f t="shared" si="4"/>
        <v>128267.40039999997</v>
      </c>
      <c r="Q42" s="155">
        <f t="shared" si="7"/>
        <v>22635.423599999998</v>
      </c>
      <c r="R42" s="155">
        <f t="shared" si="5"/>
        <v>150902.82399999996</v>
      </c>
      <c r="S42" s="155">
        <f t="shared" si="6"/>
        <v>147746.04773998793</v>
      </c>
      <c r="T42" s="157">
        <v>0.85</v>
      </c>
    </row>
    <row r="43" spans="1:20" x14ac:dyDescent="0.35">
      <c r="A43" s="32">
        <v>38869</v>
      </c>
      <c r="B43" s="33">
        <v>2088.5</v>
      </c>
      <c r="C43" s="33">
        <v>8318.5</v>
      </c>
      <c r="D43" s="34">
        <f t="shared" si="0"/>
        <v>720</v>
      </c>
      <c r="E43" s="34">
        <f t="shared" si="1"/>
        <v>1503.72</v>
      </c>
      <c r="F43" s="34">
        <f t="shared" si="1"/>
        <v>5989.32</v>
      </c>
      <c r="G43" s="35">
        <f t="shared" si="2"/>
        <v>7493.04</v>
      </c>
      <c r="N43" s="54"/>
      <c r="O43" s="5">
        <v>2045</v>
      </c>
      <c r="P43" s="155">
        <f t="shared" si="4"/>
        <v>129756.60039999997</v>
      </c>
      <c r="Q43" s="155">
        <f t="shared" si="7"/>
        <v>22898.223599999998</v>
      </c>
      <c r="R43" s="155">
        <f t="shared" si="5"/>
        <v>152654.82399999996</v>
      </c>
      <c r="S43" s="155">
        <f t="shared" si="6"/>
        <v>149461.39718659909</v>
      </c>
      <c r="T43" s="157">
        <v>0.85</v>
      </c>
    </row>
    <row r="44" spans="1:20" x14ac:dyDescent="0.35">
      <c r="A44" s="32">
        <v>38899</v>
      </c>
      <c r="B44" s="33">
        <v>2049.5</v>
      </c>
      <c r="C44" s="33">
        <v>8357.5</v>
      </c>
      <c r="D44" s="34">
        <f t="shared" si="0"/>
        <v>744</v>
      </c>
      <c r="E44" s="34">
        <f t="shared" si="1"/>
        <v>1524.828</v>
      </c>
      <c r="F44" s="34">
        <f t="shared" si="1"/>
        <v>6217.98</v>
      </c>
      <c r="G44" s="35">
        <f t="shared" si="2"/>
        <v>7742.8079999999991</v>
      </c>
      <c r="O44" s="5">
        <v>2046</v>
      </c>
      <c r="P44" s="155">
        <f t="shared" si="4"/>
        <v>131245.80039999998</v>
      </c>
      <c r="Q44" s="155">
        <f t="shared" si="7"/>
        <v>23161.023599999997</v>
      </c>
      <c r="R44" s="155">
        <f t="shared" si="5"/>
        <v>154406.82399999996</v>
      </c>
      <c r="S44" s="155">
        <f t="shared" si="6"/>
        <v>151176.74663321025</v>
      </c>
      <c r="T44" s="157">
        <v>0.85</v>
      </c>
    </row>
    <row r="45" spans="1:20" x14ac:dyDescent="0.35">
      <c r="A45" s="32">
        <v>38930</v>
      </c>
      <c r="B45" s="33">
        <v>2434.6999999999998</v>
      </c>
      <c r="C45" s="33">
        <v>7972.3</v>
      </c>
      <c r="D45" s="34">
        <f t="shared" si="0"/>
        <v>744</v>
      </c>
      <c r="E45" s="34">
        <f t="shared" si="1"/>
        <v>1811.4167999999997</v>
      </c>
      <c r="F45" s="34">
        <f t="shared" si="1"/>
        <v>5931.3912</v>
      </c>
      <c r="G45" s="35">
        <f t="shared" si="2"/>
        <v>7742.808</v>
      </c>
      <c r="O45" s="5">
        <v>2047</v>
      </c>
      <c r="P45" s="155">
        <f t="shared" si="4"/>
        <v>132735.00039999996</v>
      </c>
      <c r="Q45" s="155">
        <f t="shared" si="7"/>
        <v>23423.8236</v>
      </c>
      <c r="R45" s="155">
        <f t="shared" si="5"/>
        <v>156158.82399999996</v>
      </c>
      <c r="S45" s="155">
        <f t="shared" si="6"/>
        <v>152892.09607982138</v>
      </c>
      <c r="T45" s="157">
        <v>0.85</v>
      </c>
    </row>
    <row r="46" spans="1:20" x14ac:dyDescent="0.35">
      <c r="A46" s="32">
        <v>38961</v>
      </c>
      <c r="B46" s="33">
        <v>1662</v>
      </c>
      <c r="C46" s="33">
        <v>8745</v>
      </c>
      <c r="D46" s="34">
        <f t="shared" si="0"/>
        <v>720</v>
      </c>
      <c r="E46" s="34">
        <f t="shared" si="1"/>
        <v>1196.6400000000001</v>
      </c>
      <c r="F46" s="34">
        <f t="shared" si="1"/>
        <v>6296.4</v>
      </c>
      <c r="G46" s="35">
        <f t="shared" si="2"/>
        <v>7493.04</v>
      </c>
      <c r="O46" s="5">
        <v>2048</v>
      </c>
      <c r="P46" s="155">
        <f t="shared" si="4"/>
        <v>134228.28039999996</v>
      </c>
      <c r="Q46" s="155">
        <f t="shared" si="7"/>
        <v>23687.343599999997</v>
      </c>
      <c r="R46" s="155">
        <f t="shared" si="5"/>
        <v>157915.62399999995</v>
      </c>
      <c r="S46" s="155">
        <f t="shared" si="6"/>
        <v>154612.14511395746</v>
      </c>
      <c r="T46" s="157">
        <v>0.85</v>
      </c>
    </row>
    <row r="47" spans="1:20" x14ac:dyDescent="0.35">
      <c r="A47" s="32">
        <v>38991</v>
      </c>
      <c r="B47" s="33">
        <v>1782</v>
      </c>
      <c r="C47" s="33">
        <v>8625</v>
      </c>
      <c r="D47" s="34">
        <f t="shared" si="0"/>
        <v>744</v>
      </c>
      <c r="E47" s="34">
        <f t="shared" si="1"/>
        <v>1325.808</v>
      </c>
      <c r="F47" s="34">
        <f t="shared" si="1"/>
        <v>6417</v>
      </c>
      <c r="G47" s="35">
        <f t="shared" si="2"/>
        <v>7742.808</v>
      </c>
      <c r="O47" s="5">
        <v>2049</v>
      </c>
      <c r="P47" s="155">
        <f t="shared" si="4"/>
        <v>135717.48039999994</v>
      </c>
      <c r="Q47" s="155">
        <f t="shared" si="7"/>
        <v>23950.143599999996</v>
      </c>
      <c r="R47" s="155">
        <f t="shared" si="5"/>
        <v>159667.62399999995</v>
      </c>
      <c r="S47" s="155">
        <f t="shared" si="6"/>
        <v>156327.49456056862</v>
      </c>
      <c r="T47" s="157">
        <v>0.85</v>
      </c>
    </row>
    <row r="48" spans="1:20" x14ac:dyDescent="0.35">
      <c r="A48" s="32">
        <v>39022</v>
      </c>
      <c r="B48" s="33">
        <v>1458</v>
      </c>
      <c r="C48" s="33">
        <v>9449</v>
      </c>
      <c r="D48" s="34">
        <f t="shared" si="0"/>
        <v>720</v>
      </c>
      <c r="E48" s="34">
        <f t="shared" si="1"/>
        <v>1049.76</v>
      </c>
      <c r="F48" s="34">
        <f t="shared" si="1"/>
        <v>6803.28</v>
      </c>
      <c r="G48" s="35">
        <f t="shared" si="2"/>
        <v>7853.04</v>
      </c>
      <c r="N48" s="54"/>
      <c r="O48" s="5">
        <v>2050</v>
      </c>
      <c r="P48" s="155">
        <f t="shared" si="4"/>
        <v>137206.68039999995</v>
      </c>
      <c r="Q48" s="155">
        <f t="shared" si="7"/>
        <v>24212.943599999995</v>
      </c>
      <c r="R48" s="155">
        <f t="shared" si="5"/>
        <v>161419.62399999995</v>
      </c>
      <c r="S48" s="155">
        <f t="shared" si="6"/>
        <v>158042.84400717975</v>
      </c>
      <c r="T48" s="157">
        <v>0.85</v>
      </c>
    </row>
    <row r="49" spans="1:7" x14ac:dyDescent="0.35">
      <c r="A49" s="32">
        <v>39052</v>
      </c>
      <c r="B49" s="33">
        <v>1787</v>
      </c>
      <c r="C49" s="33">
        <v>9120</v>
      </c>
      <c r="D49" s="34">
        <f t="shared" si="0"/>
        <v>744</v>
      </c>
      <c r="E49" s="34">
        <f t="shared" si="1"/>
        <v>1329.528</v>
      </c>
      <c r="F49" s="34">
        <f t="shared" si="1"/>
        <v>6785.28</v>
      </c>
      <c r="G49" s="35">
        <f t="shared" si="2"/>
        <v>8114.808</v>
      </c>
    </row>
    <row r="50" spans="1:7" x14ac:dyDescent="0.35">
      <c r="A50" s="32">
        <v>39083</v>
      </c>
      <c r="B50" s="33">
        <v>1981.9949999999999</v>
      </c>
      <c r="C50" s="33">
        <v>8925.005000000001</v>
      </c>
      <c r="D50" s="34">
        <f t="shared" si="0"/>
        <v>744</v>
      </c>
      <c r="E50" s="34">
        <f t="shared" si="1"/>
        <v>1474.60428</v>
      </c>
      <c r="F50" s="34">
        <f t="shared" si="1"/>
        <v>6640.2037200000004</v>
      </c>
      <c r="G50" s="35">
        <f t="shared" si="2"/>
        <v>8114.8080000000009</v>
      </c>
    </row>
    <row r="51" spans="1:7" x14ac:dyDescent="0.35">
      <c r="A51" s="32">
        <v>39114</v>
      </c>
      <c r="B51" s="33">
        <v>2244.5</v>
      </c>
      <c r="C51" s="33">
        <v>8662.5</v>
      </c>
      <c r="D51" s="34">
        <f t="shared" si="0"/>
        <v>672</v>
      </c>
      <c r="E51" s="34">
        <f t="shared" si="1"/>
        <v>1508.3040000000001</v>
      </c>
      <c r="F51" s="34">
        <f t="shared" si="1"/>
        <v>5821.2</v>
      </c>
      <c r="G51" s="35">
        <f t="shared" si="2"/>
        <v>7329.5039999999999</v>
      </c>
    </row>
    <row r="52" spans="1:7" x14ac:dyDescent="0.35">
      <c r="A52" s="32">
        <v>39142</v>
      </c>
      <c r="B52" s="33">
        <v>2461.5</v>
      </c>
      <c r="C52" s="33">
        <v>8445.5</v>
      </c>
      <c r="D52" s="34">
        <f t="shared" si="0"/>
        <v>744</v>
      </c>
      <c r="E52" s="34">
        <f t="shared" si="1"/>
        <v>1831.356</v>
      </c>
      <c r="F52" s="34">
        <f t="shared" si="1"/>
        <v>6283.4520000000002</v>
      </c>
      <c r="G52" s="35">
        <f t="shared" si="2"/>
        <v>8114.808</v>
      </c>
    </row>
    <row r="53" spans="1:7" x14ac:dyDescent="0.35">
      <c r="A53" s="32">
        <v>39173</v>
      </c>
      <c r="B53" s="33">
        <v>1852.5</v>
      </c>
      <c r="C53" s="33">
        <v>9054.5</v>
      </c>
      <c r="D53" s="34">
        <f t="shared" si="0"/>
        <v>720</v>
      </c>
      <c r="E53" s="34">
        <f t="shared" si="1"/>
        <v>1333.8</v>
      </c>
      <c r="F53" s="34">
        <f t="shared" si="1"/>
        <v>6519.24</v>
      </c>
      <c r="G53" s="35">
        <f t="shared" si="2"/>
        <v>7853.04</v>
      </c>
    </row>
    <row r="54" spans="1:7" x14ac:dyDescent="0.35">
      <c r="A54" s="32">
        <v>39203</v>
      </c>
      <c r="B54" s="33">
        <v>1852.5</v>
      </c>
      <c r="C54" s="33">
        <v>9054.5</v>
      </c>
      <c r="D54" s="34">
        <f t="shared" si="0"/>
        <v>744</v>
      </c>
      <c r="E54" s="34">
        <f t="shared" si="1"/>
        <v>1378.26</v>
      </c>
      <c r="F54" s="34">
        <f t="shared" si="1"/>
        <v>6736.5479999999998</v>
      </c>
      <c r="G54" s="35">
        <f t="shared" si="2"/>
        <v>8114.808</v>
      </c>
    </row>
    <row r="55" spans="1:7" x14ac:dyDescent="0.35">
      <c r="A55" s="32">
        <v>39234</v>
      </c>
      <c r="B55" s="33">
        <v>1590</v>
      </c>
      <c r="C55" s="33">
        <v>9317</v>
      </c>
      <c r="D55" s="34">
        <f t="shared" si="0"/>
        <v>720</v>
      </c>
      <c r="E55" s="34">
        <f t="shared" si="1"/>
        <v>1144.8</v>
      </c>
      <c r="F55" s="34">
        <f t="shared" si="1"/>
        <v>6708.24</v>
      </c>
      <c r="G55" s="35">
        <f t="shared" si="2"/>
        <v>7853.04</v>
      </c>
    </row>
    <row r="56" spans="1:7" x14ac:dyDescent="0.35">
      <c r="A56" s="32">
        <v>39264</v>
      </c>
      <c r="B56" s="33">
        <v>1039</v>
      </c>
      <c r="C56" s="33">
        <v>9868</v>
      </c>
      <c r="D56" s="34">
        <f t="shared" si="0"/>
        <v>744</v>
      </c>
      <c r="E56" s="34">
        <f t="shared" si="1"/>
        <v>773.01599999999996</v>
      </c>
      <c r="F56" s="34">
        <f t="shared" si="1"/>
        <v>7341.7920000000004</v>
      </c>
      <c r="G56" s="35">
        <f t="shared" si="2"/>
        <v>8114.808</v>
      </c>
    </row>
    <row r="57" spans="1:7" x14ac:dyDescent="0.35">
      <c r="A57" s="32">
        <v>39295</v>
      </c>
      <c r="B57" s="33">
        <v>2214</v>
      </c>
      <c r="C57" s="33">
        <v>8693</v>
      </c>
      <c r="D57" s="34">
        <f t="shared" si="0"/>
        <v>744</v>
      </c>
      <c r="E57" s="34">
        <f t="shared" si="1"/>
        <v>1647.2159999999999</v>
      </c>
      <c r="F57" s="34">
        <f t="shared" si="1"/>
        <v>6467.5919999999996</v>
      </c>
      <c r="G57" s="35">
        <f t="shared" si="2"/>
        <v>8114.8079999999991</v>
      </c>
    </row>
    <row r="58" spans="1:7" x14ac:dyDescent="0.35">
      <c r="A58" s="32">
        <v>39326</v>
      </c>
      <c r="B58" s="33">
        <v>1415</v>
      </c>
      <c r="C58" s="33">
        <v>9492</v>
      </c>
      <c r="D58" s="34">
        <f t="shared" si="0"/>
        <v>720</v>
      </c>
      <c r="E58" s="34">
        <f t="shared" si="1"/>
        <v>1018.8</v>
      </c>
      <c r="F58" s="34">
        <f t="shared" si="1"/>
        <v>6834.24</v>
      </c>
      <c r="G58" s="35">
        <f t="shared" si="2"/>
        <v>7853.04</v>
      </c>
    </row>
    <row r="59" spans="1:7" x14ac:dyDescent="0.35">
      <c r="A59" s="32">
        <v>39356</v>
      </c>
      <c r="B59" s="33">
        <v>2155</v>
      </c>
      <c r="C59" s="33">
        <v>8752</v>
      </c>
      <c r="D59" s="34">
        <f t="shared" si="0"/>
        <v>744</v>
      </c>
      <c r="E59" s="34">
        <f t="shared" si="1"/>
        <v>1603.32</v>
      </c>
      <c r="F59" s="34">
        <f t="shared" si="1"/>
        <v>6511.4880000000003</v>
      </c>
      <c r="G59" s="35">
        <f t="shared" si="2"/>
        <v>8114.808</v>
      </c>
    </row>
    <row r="60" spans="1:7" x14ac:dyDescent="0.35">
      <c r="A60" s="32">
        <v>39387</v>
      </c>
      <c r="B60" s="33">
        <v>2110</v>
      </c>
      <c r="C60" s="33">
        <v>8797</v>
      </c>
      <c r="D60" s="34">
        <f t="shared" si="0"/>
        <v>720</v>
      </c>
      <c r="E60" s="34">
        <f t="shared" si="1"/>
        <v>1519.2</v>
      </c>
      <c r="F60" s="34">
        <f t="shared" si="1"/>
        <v>6333.84</v>
      </c>
      <c r="G60" s="35">
        <f t="shared" si="2"/>
        <v>7853.04</v>
      </c>
    </row>
    <row r="61" spans="1:7" x14ac:dyDescent="0.35">
      <c r="A61" s="32">
        <v>39417</v>
      </c>
      <c r="B61" s="33">
        <v>1724</v>
      </c>
      <c r="C61" s="33">
        <v>8933</v>
      </c>
      <c r="D61" s="34">
        <f t="shared" si="0"/>
        <v>744</v>
      </c>
      <c r="E61" s="34">
        <f t="shared" si="1"/>
        <v>1282.6559999999999</v>
      </c>
      <c r="F61" s="34">
        <f t="shared" si="1"/>
        <v>6646.152</v>
      </c>
      <c r="G61" s="35">
        <f t="shared" si="2"/>
        <v>7928.808</v>
      </c>
    </row>
    <row r="62" spans="1:7" x14ac:dyDescent="0.35">
      <c r="A62" s="32">
        <v>39448</v>
      </c>
      <c r="B62" s="33">
        <v>1350</v>
      </c>
      <c r="C62" s="33">
        <v>9307</v>
      </c>
      <c r="D62" s="34">
        <f t="shared" si="0"/>
        <v>744</v>
      </c>
      <c r="E62" s="34">
        <f t="shared" si="1"/>
        <v>1004.4</v>
      </c>
      <c r="F62" s="34">
        <f t="shared" si="1"/>
        <v>6924.4080000000004</v>
      </c>
      <c r="G62" s="35">
        <f t="shared" si="2"/>
        <v>7928.808</v>
      </c>
    </row>
    <row r="63" spans="1:7" x14ac:dyDescent="0.35">
      <c r="A63" s="32">
        <v>39479</v>
      </c>
      <c r="B63" s="33">
        <v>1436.5</v>
      </c>
      <c r="C63" s="33">
        <v>9220.5</v>
      </c>
      <c r="D63" s="34">
        <f t="shared" si="0"/>
        <v>696</v>
      </c>
      <c r="E63" s="34">
        <f t="shared" si="1"/>
        <v>999.80399999999997</v>
      </c>
      <c r="F63" s="34">
        <f t="shared" si="1"/>
        <v>6417.4679999999998</v>
      </c>
      <c r="G63" s="35">
        <f t="shared" si="2"/>
        <v>7417.2719999999999</v>
      </c>
    </row>
    <row r="64" spans="1:7" x14ac:dyDescent="0.35">
      <c r="A64" s="32">
        <v>39508</v>
      </c>
      <c r="B64" s="33">
        <v>1960</v>
      </c>
      <c r="C64" s="33">
        <v>8697</v>
      </c>
      <c r="D64" s="34">
        <f t="shared" si="0"/>
        <v>744</v>
      </c>
      <c r="E64" s="34">
        <f t="shared" si="1"/>
        <v>1458.24</v>
      </c>
      <c r="F64" s="34">
        <f t="shared" si="1"/>
        <v>6470.5680000000002</v>
      </c>
      <c r="G64" s="35">
        <f t="shared" si="2"/>
        <v>7928.808</v>
      </c>
    </row>
    <row r="65" spans="1:7" x14ac:dyDescent="0.35">
      <c r="A65" s="32">
        <v>39539</v>
      </c>
      <c r="B65" s="33">
        <v>1289</v>
      </c>
      <c r="C65" s="33">
        <v>9368</v>
      </c>
      <c r="D65" s="34">
        <f t="shared" si="0"/>
        <v>720</v>
      </c>
      <c r="E65" s="34">
        <f t="shared" si="1"/>
        <v>928.08</v>
      </c>
      <c r="F65" s="34">
        <f t="shared" si="1"/>
        <v>6744.96</v>
      </c>
      <c r="G65" s="35">
        <f t="shared" si="2"/>
        <v>7673.04</v>
      </c>
    </row>
    <row r="66" spans="1:7" x14ac:dyDescent="0.35">
      <c r="A66" s="32">
        <v>39569</v>
      </c>
      <c r="B66" s="33">
        <v>1602.5</v>
      </c>
      <c r="C66" s="33">
        <v>9054.5</v>
      </c>
      <c r="D66" s="34">
        <f t="shared" si="0"/>
        <v>744</v>
      </c>
      <c r="E66" s="34">
        <f t="shared" si="1"/>
        <v>1192.26</v>
      </c>
      <c r="F66" s="34">
        <f t="shared" si="1"/>
        <v>6736.5479999999998</v>
      </c>
      <c r="G66" s="35">
        <f t="shared" si="2"/>
        <v>7928.808</v>
      </c>
    </row>
    <row r="67" spans="1:7" x14ac:dyDescent="0.35">
      <c r="A67" s="32">
        <v>39600</v>
      </c>
      <c r="B67" s="33">
        <v>1158</v>
      </c>
      <c r="C67" s="33">
        <v>9499</v>
      </c>
      <c r="D67" s="34">
        <f t="shared" ref="D67:D130" si="8">24*DAY(EOMONTH(A67,0))</f>
        <v>720</v>
      </c>
      <c r="E67" s="34">
        <f t="shared" ref="E67:F130" si="9">B67*$D67/1000</f>
        <v>833.76</v>
      </c>
      <c r="F67" s="34">
        <f t="shared" si="9"/>
        <v>6839.28</v>
      </c>
      <c r="G67" s="35">
        <f t="shared" ref="G67:G130" si="10">SUM(E67:F67)</f>
        <v>7673.04</v>
      </c>
    </row>
    <row r="68" spans="1:7" x14ac:dyDescent="0.35">
      <c r="A68" s="32">
        <v>39630</v>
      </c>
      <c r="B68" s="33">
        <v>1131</v>
      </c>
      <c r="C68" s="33">
        <v>9526</v>
      </c>
      <c r="D68" s="34">
        <f t="shared" si="8"/>
        <v>744</v>
      </c>
      <c r="E68" s="34">
        <f t="shared" si="9"/>
        <v>841.46400000000006</v>
      </c>
      <c r="F68" s="34">
        <f t="shared" si="9"/>
        <v>7087.3440000000001</v>
      </c>
      <c r="G68" s="35">
        <f t="shared" si="10"/>
        <v>7928.808</v>
      </c>
    </row>
    <row r="69" spans="1:7" x14ac:dyDescent="0.35">
      <c r="A69" s="32">
        <v>39661</v>
      </c>
      <c r="B69" s="33">
        <v>1681</v>
      </c>
      <c r="C69" s="33">
        <v>8976</v>
      </c>
      <c r="D69" s="34">
        <f t="shared" si="8"/>
        <v>744</v>
      </c>
      <c r="E69" s="34">
        <f t="shared" si="9"/>
        <v>1250.664</v>
      </c>
      <c r="F69" s="34">
        <f t="shared" si="9"/>
        <v>6678.1440000000002</v>
      </c>
      <c r="G69" s="35">
        <f t="shared" si="10"/>
        <v>7928.808</v>
      </c>
    </row>
    <row r="70" spans="1:7" x14ac:dyDescent="0.35">
      <c r="A70" s="32">
        <v>39692</v>
      </c>
      <c r="B70" s="33">
        <v>1217.5</v>
      </c>
      <c r="C70" s="33">
        <v>9439.5</v>
      </c>
      <c r="D70" s="34">
        <f t="shared" si="8"/>
        <v>720</v>
      </c>
      <c r="E70" s="34">
        <f t="shared" si="9"/>
        <v>876.6</v>
      </c>
      <c r="F70" s="34">
        <f t="shared" si="9"/>
        <v>6796.44</v>
      </c>
      <c r="G70" s="35">
        <f t="shared" si="10"/>
        <v>7673.04</v>
      </c>
    </row>
    <row r="71" spans="1:7" x14ac:dyDescent="0.35">
      <c r="A71" s="32">
        <v>39722</v>
      </c>
      <c r="B71" s="33">
        <v>1686.5</v>
      </c>
      <c r="C71" s="33">
        <v>8970.5</v>
      </c>
      <c r="D71" s="34">
        <f t="shared" si="8"/>
        <v>744</v>
      </c>
      <c r="E71" s="34">
        <f t="shared" si="9"/>
        <v>1254.7560000000001</v>
      </c>
      <c r="F71" s="34">
        <f t="shared" si="9"/>
        <v>6674.0519999999997</v>
      </c>
      <c r="G71" s="35">
        <f t="shared" si="10"/>
        <v>7928.808</v>
      </c>
    </row>
    <row r="72" spans="1:7" x14ac:dyDescent="0.35">
      <c r="A72" s="32">
        <v>39753</v>
      </c>
      <c r="B72" s="33">
        <v>1965</v>
      </c>
      <c r="C72" s="33">
        <v>8692</v>
      </c>
      <c r="D72" s="34">
        <f t="shared" si="8"/>
        <v>720</v>
      </c>
      <c r="E72" s="34">
        <f t="shared" si="9"/>
        <v>1414.8</v>
      </c>
      <c r="F72" s="34">
        <f t="shared" si="9"/>
        <v>6258.24</v>
      </c>
      <c r="G72" s="35">
        <f t="shared" si="10"/>
        <v>7673.04</v>
      </c>
    </row>
    <row r="73" spans="1:7" x14ac:dyDescent="0.35">
      <c r="A73" s="32">
        <v>39783</v>
      </c>
      <c r="B73" s="33">
        <v>1946.5</v>
      </c>
      <c r="C73" s="33">
        <v>8710.5</v>
      </c>
      <c r="D73" s="34">
        <f t="shared" si="8"/>
        <v>744</v>
      </c>
      <c r="E73" s="34">
        <f t="shared" si="9"/>
        <v>1448.1959999999999</v>
      </c>
      <c r="F73" s="34">
        <f t="shared" si="9"/>
        <v>6480.6120000000001</v>
      </c>
      <c r="G73" s="35">
        <f t="shared" si="10"/>
        <v>7928.808</v>
      </c>
    </row>
    <row r="74" spans="1:7" x14ac:dyDescent="0.35">
      <c r="A74" s="32">
        <v>39814</v>
      </c>
      <c r="B74" s="36">
        <v>2195</v>
      </c>
      <c r="C74" s="33">
        <v>8462</v>
      </c>
      <c r="D74" s="34">
        <f t="shared" si="8"/>
        <v>744</v>
      </c>
      <c r="E74" s="34">
        <f t="shared" si="9"/>
        <v>1633.08</v>
      </c>
      <c r="F74" s="34">
        <f t="shared" si="9"/>
        <v>6295.7280000000001</v>
      </c>
      <c r="G74" s="35">
        <f t="shared" si="10"/>
        <v>7928.808</v>
      </c>
    </row>
    <row r="75" spans="1:7" x14ac:dyDescent="0.35">
      <c r="A75" s="32">
        <v>39845</v>
      </c>
      <c r="B75" s="36">
        <v>2146</v>
      </c>
      <c r="C75" s="33">
        <v>8261</v>
      </c>
      <c r="D75" s="34">
        <f t="shared" si="8"/>
        <v>672</v>
      </c>
      <c r="E75" s="34">
        <f t="shared" si="9"/>
        <v>1442.1120000000001</v>
      </c>
      <c r="F75" s="34">
        <f t="shared" si="9"/>
        <v>5551.3919999999998</v>
      </c>
      <c r="G75" s="35">
        <f t="shared" si="10"/>
        <v>6993.5039999999999</v>
      </c>
    </row>
    <row r="76" spans="1:7" x14ac:dyDescent="0.35">
      <c r="A76" s="32">
        <v>39873</v>
      </c>
      <c r="B76" s="36">
        <v>1541</v>
      </c>
      <c r="C76" s="33">
        <v>8866</v>
      </c>
      <c r="D76" s="34">
        <f t="shared" si="8"/>
        <v>744</v>
      </c>
      <c r="E76" s="34">
        <f t="shared" si="9"/>
        <v>1146.5039999999999</v>
      </c>
      <c r="F76" s="34">
        <f t="shared" si="9"/>
        <v>6596.3040000000001</v>
      </c>
      <c r="G76" s="35">
        <f t="shared" si="10"/>
        <v>7742.808</v>
      </c>
    </row>
    <row r="77" spans="1:7" x14ac:dyDescent="0.35">
      <c r="A77" s="32">
        <v>39904</v>
      </c>
      <c r="B77" s="36">
        <v>1813</v>
      </c>
      <c r="C77" s="33">
        <v>8594</v>
      </c>
      <c r="D77" s="34">
        <f t="shared" si="8"/>
        <v>720</v>
      </c>
      <c r="E77" s="34">
        <f t="shared" si="9"/>
        <v>1305.3599999999999</v>
      </c>
      <c r="F77" s="34">
        <f t="shared" si="9"/>
        <v>6187.68</v>
      </c>
      <c r="G77" s="35">
        <f t="shared" si="10"/>
        <v>7493.04</v>
      </c>
    </row>
    <row r="78" spans="1:7" x14ac:dyDescent="0.35">
      <c r="A78" s="32">
        <v>39943</v>
      </c>
      <c r="B78" s="36">
        <v>1605</v>
      </c>
      <c r="C78" s="33">
        <v>8802</v>
      </c>
      <c r="D78" s="34">
        <f t="shared" si="8"/>
        <v>744</v>
      </c>
      <c r="E78" s="34">
        <f t="shared" si="9"/>
        <v>1194.1199999999999</v>
      </c>
      <c r="F78" s="34">
        <f t="shared" si="9"/>
        <v>6548.6880000000001</v>
      </c>
      <c r="G78" s="35">
        <f t="shared" si="10"/>
        <v>7742.808</v>
      </c>
    </row>
    <row r="79" spans="1:7" x14ac:dyDescent="0.35">
      <c r="A79" s="32">
        <v>39974</v>
      </c>
      <c r="B79" s="36">
        <v>1758</v>
      </c>
      <c r="C79" s="33">
        <v>8649</v>
      </c>
      <c r="D79" s="34">
        <f t="shared" si="8"/>
        <v>720</v>
      </c>
      <c r="E79" s="34">
        <f t="shared" si="9"/>
        <v>1265.76</v>
      </c>
      <c r="F79" s="34">
        <f t="shared" si="9"/>
        <v>6227.28</v>
      </c>
      <c r="G79" s="35">
        <f t="shared" si="10"/>
        <v>7493.04</v>
      </c>
    </row>
    <row r="80" spans="1:7" x14ac:dyDescent="0.35">
      <c r="A80" s="32">
        <v>40004</v>
      </c>
      <c r="B80" s="36">
        <v>1858</v>
      </c>
      <c r="C80" s="33">
        <v>8549</v>
      </c>
      <c r="D80" s="34">
        <f t="shared" si="8"/>
        <v>744</v>
      </c>
      <c r="E80" s="34">
        <f t="shared" si="9"/>
        <v>1382.3520000000001</v>
      </c>
      <c r="F80" s="34">
        <f t="shared" si="9"/>
        <v>6360.4560000000001</v>
      </c>
      <c r="G80" s="35">
        <f t="shared" si="10"/>
        <v>7742.808</v>
      </c>
    </row>
    <row r="81" spans="1:7" x14ac:dyDescent="0.35">
      <c r="A81" s="32">
        <v>40035</v>
      </c>
      <c r="B81" s="36">
        <v>1579</v>
      </c>
      <c r="C81" s="33">
        <v>8828</v>
      </c>
      <c r="D81" s="34">
        <f t="shared" si="8"/>
        <v>744</v>
      </c>
      <c r="E81" s="34">
        <f t="shared" si="9"/>
        <v>1174.7760000000001</v>
      </c>
      <c r="F81" s="34">
        <f t="shared" si="9"/>
        <v>6568.0320000000002</v>
      </c>
      <c r="G81" s="35">
        <f t="shared" si="10"/>
        <v>7742.808</v>
      </c>
    </row>
    <row r="82" spans="1:7" x14ac:dyDescent="0.35">
      <c r="A82" s="32">
        <v>40066</v>
      </c>
      <c r="B82" s="36">
        <v>2157</v>
      </c>
      <c r="C82" s="33">
        <v>8250</v>
      </c>
      <c r="D82" s="34">
        <f t="shared" si="8"/>
        <v>720</v>
      </c>
      <c r="E82" s="34">
        <f t="shared" si="9"/>
        <v>1553.04</v>
      </c>
      <c r="F82" s="34">
        <f t="shared" si="9"/>
        <v>5940</v>
      </c>
      <c r="G82" s="35">
        <f t="shared" si="10"/>
        <v>7493.04</v>
      </c>
    </row>
    <row r="83" spans="1:7" x14ac:dyDescent="0.35">
      <c r="A83" s="32">
        <v>40096</v>
      </c>
      <c r="B83" s="36">
        <v>1508</v>
      </c>
      <c r="C83" s="33">
        <v>8907.5</v>
      </c>
      <c r="D83" s="34">
        <f t="shared" si="8"/>
        <v>744</v>
      </c>
      <c r="E83" s="34">
        <f t="shared" si="9"/>
        <v>1121.952</v>
      </c>
      <c r="F83" s="34">
        <f t="shared" si="9"/>
        <v>6627.18</v>
      </c>
      <c r="G83" s="35">
        <f t="shared" si="10"/>
        <v>7749.1320000000005</v>
      </c>
    </row>
    <row r="84" spans="1:7" x14ac:dyDescent="0.35">
      <c r="A84" s="32">
        <v>40127</v>
      </c>
      <c r="B84" s="36">
        <v>1975</v>
      </c>
      <c r="C84" s="33">
        <v>8545.5</v>
      </c>
      <c r="D84" s="34">
        <f t="shared" si="8"/>
        <v>720</v>
      </c>
      <c r="E84" s="34">
        <f t="shared" si="9"/>
        <v>1422</v>
      </c>
      <c r="F84" s="34">
        <f t="shared" si="9"/>
        <v>6152.76</v>
      </c>
      <c r="G84" s="35">
        <f t="shared" si="10"/>
        <v>7574.76</v>
      </c>
    </row>
    <row r="85" spans="1:7" x14ac:dyDescent="0.35">
      <c r="A85" s="32">
        <v>40157</v>
      </c>
      <c r="B85" s="36">
        <v>1260</v>
      </c>
      <c r="C85" s="33">
        <v>8510.5</v>
      </c>
      <c r="D85" s="34">
        <f t="shared" si="8"/>
        <v>744</v>
      </c>
      <c r="E85" s="34">
        <f t="shared" si="9"/>
        <v>937.44</v>
      </c>
      <c r="F85" s="34">
        <f t="shared" si="9"/>
        <v>6331.8119999999999</v>
      </c>
      <c r="G85" s="35">
        <f t="shared" si="10"/>
        <v>7269.2520000000004</v>
      </c>
    </row>
    <row r="86" spans="1:7" x14ac:dyDescent="0.35">
      <c r="A86" s="32">
        <v>40188</v>
      </c>
      <c r="B86" s="36">
        <v>1275</v>
      </c>
      <c r="C86" s="33">
        <v>8495.5</v>
      </c>
      <c r="D86" s="34">
        <f t="shared" si="8"/>
        <v>744</v>
      </c>
      <c r="E86" s="34">
        <f t="shared" si="9"/>
        <v>948.6</v>
      </c>
      <c r="F86" s="34">
        <f t="shared" si="9"/>
        <v>6320.652</v>
      </c>
      <c r="G86" s="35">
        <f t="shared" si="10"/>
        <v>7269.2520000000004</v>
      </c>
    </row>
    <row r="87" spans="1:7" x14ac:dyDescent="0.35">
      <c r="A87" s="32">
        <v>40219</v>
      </c>
      <c r="B87" s="36">
        <v>1395</v>
      </c>
      <c r="C87" s="33">
        <v>8375.5</v>
      </c>
      <c r="D87" s="34">
        <f t="shared" si="8"/>
        <v>672</v>
      </c>
      <c r="E87" s="34">
        <f t="shared" si="9"/>
        <v>937.44</v>
      </c>
      <c r="F87" s="34">
        <f t="shared" si="9"/>
        <v>5628.3360000000002</v>
      </c>
      <c r="G87" s="35">
        <f t="shared" si="10"/>
        <v>6565.7759999999998</v>
      </c>
    </row>
    <row r="88" spans="1:7" x14ac:dyDescent="0.35">
      <c r="A88" s="32">
        <v>40247</v>
      </c>
      <c r="B88" s="36">
        <v>1531</v>
      </c>
      <c r="C88" s="33">
        <v>8239.5</v>
      </c>
      <c r="D88" s="34">
        <f t="shared" si="8"/>
        <v>744</v>
      </c>
      <c r="E88" s="34">
        <f t="shared" si="9"/>
        <v>1139.0640000000001</v>
      </c>
      <c r="F88" s="34">
        <f t="shared" si="9"/>
        <v>6130.1880000000001</v>
      </c>
      <c r="G88" s="35">
        <f t="shared" si="10"/>
        <v>7269.2520000000004</v>
      </c>
    </row>
    <row r="89" spans="1:7" x14ac:dyDescent="0.35">
      <c r="A89" s="32">
        <v>40278</v>
      </c>
      <c r="B89" s="36">
        <v>1037</v>
      </c>
      <c r="C89" s="33">
        <v>8733.5</v>
      </c>
      <c r="D89" s="34">
        <f t="shared" si="8"/>
        <v>720</v>
      </c>
      <c r="E89" s="34">
        <f t="shared" si="9"/>
        <v>746.64</v>
      </c>
      <c r="F89" s="34">
        <f t="shared" si="9"/>
        <v>6288.12</v>
      </c>
      <c r="G89" s="35">
        <f t="shared" si="10"/>
        <v>7034.76</v>
      </c>
    </row>
    <row r="90" spans="1:7" x14ac:dyDescent="0.35">
      <c r="A90" s="32">
        <v>40308</v>
      </c>
      <c r="B90" s="36">
        <v>1416</v>
      </c>
      <c r="C90" s="33">
        <v>8354.5</v>
      </c>
      <c r="D90" s="34">
        <f t="shared" si="8"/>
        <v>744</v>
      </c>
      <c r="E90" s="34">
        <f t="shared" si="9"/>
        <v>1053.5039999999999</v>
      </c>
      <c r="F90" s="34">
        <f t="shared" si="9"/>
        <v>6215.7479999999996</v>
      </c>
      <c r="G90" s="35">
        <f t="shared" si="10"/>
        <v>7269.2519999999995</v>
      </c>
    </row>
    <row r="91" spans="1:7" x14ac:dyDescent="0.35">
      <c r="A91" s="32">
        <v>40339</v>
      </c>
      <c r="B91" s="36">
        <v>1409</v>
      </c>
      <c r="C91" s="33">
        <v>8361.5</v>
      </c>
      <c r="D91" s="34">
        <f t="shared" si="8"/>
        <v>720</v>
      </c>
      <c r="E91" s="34">
        <f t="shared" si="9"/>
        <v>1014.48</v>
      </c>
      <c r="F91" s="34">
        <f t="shared" si="9"/>
        <v>6020.28</v>
      </c>
      <c r="G91" s="35">
        <f t="shared" si="10"/>
        <v>7034.76</v>
      </c>
    </row>
    <row r="92" spans="1:7" x14ac:dyDescent="0.35">
      <c r="A92" s="32">
        <v>40369</v>
      </c>
      <c r="B92" s="36">
        <v>1694</v>
      </c>
      <c r="C92" s="33">
        <v>8816.5</v>
      </c>
      <c r="D92" s="34">
        <f t="shared" si="8"/>
        <v>744</v>
      </c>
      <c r="E92" s="34">
        <f t="shared" si="9"/>
        <v>1260.336</v>
      </c>
      <c r="F92" s="34">
        <f t="shared" si="9"/>
        <v>6559.4759999999997</v>
      </c>
      <c r="G92" s="35">
        <f t="shared" si="10"/>
        <v>7819.8119999999999</v>
      </c>
    </row>
    <row r="93" spans="1:7" x14ac:dyDescent="0.35">
      <c r="A93" s="32">
        <v>40400</v>
      </c>
      <c r="B93" s="36">
        <v>1653</v>
      </c>
      <c r="C93" s="33">
        <v>8857.5</v>
      </c>
      <c r="D93" s="34">
        <f t="shared" si="8"/>
        <v>744</v>
      </c>
      <c r="E93" s="34">
        <f t="shared" si="9"/>
        <v>1229.8320000000001</v>
      </c>
      <c r="F93" s="34">
        <f t="shared" si="9"/>
        <v>6589.98</v>
      </c>
      <c r="G93" s="35">
        <f t="shared" si="10"/>
        <v>7819.8119999999999</v>
      </c>
    </row>
    <row r="94" spans="1:7" x14ac:dyDescent="0.35">
      <c r="A94" s="32">
        <v>40431</v>
      </c>
      <c r="B94" s="36">
        <v>998</v>
      </c>
      <c r="C94" s="33">
        <v>9512.5</v>
      </c>
      <c r="D94" s="34">
        <f t="shared" si="8"/>
        <v>720</v>
      </c>
      <c r="E94" s="34">
        <f t="shared" si="9"/>
        <v>718.56</v>
      </c>
      <c r="F94" s="34">
        <f t="shared" si="9"/>
        <v>6849</v>
      </c>
      <c r="G94" s="35">
        <f t="shared" si="10"/>
        <v>7567.5599999999995</v>
      </c>
    </row>
    <row r="95" spans="1:7" x14ac:dyDescent="0.35">
      <c r="A95" s="32">
        <v>40461</v>
      </c>
      <c r="B95" s="36">
        <v>1593</v>
      </c>
      <c r="C95" s="33">
        <v>8917.5</v>
      </c>
      <c r="D95" s="34">
        <f t="shared" si="8"/>
        <v>744</v>
      </c>
      <c r="E95" s="34">
        <f t="shared" si="9"/>
        <v>1185.192</v>
      </c>
      <c r="F95" s="34">
        <f t="shared" si="9"/>
        <v>6634.62</v>
      </c>
      <c r="G95" s="35">
        <f t="shared" si="10"/>
        <v>7819.8119999999999</v>
      </c>
    </row>
    <row r="96" spans="1:7" x14ac:dyDescent="0.35">
      <c r="A96" s="32">
        <v>40492</v>
      </c>
      <c r="B96" s="37">
        <v>1505</v>
      </c>
      <c r="C96" s="33">
        <v>9005.5</v>
      </c>
      <c r="D96" s="34">
        <f t="shared" si="8"/>
        <v>720</v>
      </c>
      <c r="E96" s="34">
        <f t="shared" si="9"/>
        <v>1083.5999999999999</v>
      </c>
      <c r="F96" s="34">
        <f t="shared" si="9"/>
        <v>6483.96</v>
      </c>
      <c r="G96" s="35">
        <f t="shared" si="10"/>
        <v>7567.5599999999995</v>
      </c>
    </row>
    <row r="97" spans="1:7" x14ac:dyDescent="0.35">
      <c r="A97" s="32">
        <v>40522</v>
      </c>
      <c r="B97" s="37">
        <v>2133</v>
      </c>
      <c r="C97" s="33">
        <v>8377.5</v>
      </c>
      <c r="D97" s="34">
        <f t="shared" si="8"/>
        <v>744</v>
      </c>
      <c r="E97" s="34">
        <f t="shared" si="9"/>
        <v>1586.952</v>
      </c>
      <c r="F97" s="34">
        <f t="shared" si="9"/>
        <v>6232.86</v>
      </c>
      <c r="G97" s="35">
        <f t="shared" si="10"/>
        <v>7819.8119999999999</v>
      </c>
    </row>
    <row r="98" spans="1:7" x14ac:dyDescent="0.35">
      <c r="A98" s="32">
        <v>40553</v>
      </c>
      <c r="B98" s="36">
        <v>2296</v>
      </c>
      <c r="C98" s="33">
        <v>8109.5</v>
      </c>
      <c r="D98" s="34">
        <f t="shared" si="8"/>
        <v>744</v>
      </c>
      <c r="E98" s="34">
        <f t="shared" si="9"/>
        <v>1708.2239999999999</v>
      </c>
      <c r="F98" s="34">
        <f t="shared" si="9"/>
        <v>6033.4679999999998</v>
      </c>
      <c r="G98" s="35">
        <f t="shared" si="10"/>
        <v>7741.692</v>
      </c>
    </row>
    <row r="99" spans="1:7" x14ac:dyDescent="0.35">
      <c r="A99" s="32">
        <v>40584</v>
      </c>
      <c r="B99" s="36">
        <v>1355</v>
      </c>
      <c r="C99" s="33">
        <v>9050.5</v>
      </c>
      <c r="D99" s="34">
        <f t="shared" si="8"/>
        <v>672</v>
      </c>
      <c r="E99" s="34">
        <f t="shared" si="9"/>
        <v>910.56</v>
      </c>
      <c r="F99" s="34">
        <f t="shared" si="9"/>
        <v>6081.9359999999997</v>
      </c>
      <c r="G99" s="35">
        <f t="shared" si="10"/>
        <v>6992.4959999999992</v>
      </c>
    </row>
    <row r="100" spans="1:7" x14ac:dyDescent="0.35">
      <c r="A100" s="32">
        <v>40612</v>
      </c>
      <c r="B100" s="36">
        <v>1570</v>
      </c>
      <c r="C100" s="33">
        <v>8835.5</v>
      </c>
      <c r="D100" s="34">
        <f t="shared" si="8"/>
        <v>744</v>
      </c>
      <c r="E100" s="34">
        <f t="shared" si="9"/>
        <v>1168.08</v>
      </c>
      <c r="F100" s="34">
        <f t="shared" si="9"/>
        <v>6573.6120000000001</v>
      </c>
      <c r="G100" s="35">
        <f t="shared" si="10"/>
        <v>7741.692</v>
      </c>
    </row>
    <row r="101" spans="1:7" x14ac:dyDescent="0.35">
      <c r="A101" s="32">
        <v>40643</v>
      </c>
      <c r="B101" s="36">
        <v>2107</v>
      </c>
      <c r="C101" s="33">
        <v>8358.5</v>
      </c>
      <c r="D101" s="34">
        <f t="shared" si="8"/>
        <v>720</v>
      </c>
      <c r="E101" s="34">
        <f t="shared" si="9"/>
        <v>1517.04</v>
      </c>
      <c r="F101" s="34">
        <f t="shared" si="9"/>
        <v>6018.12</v>
      </c>
      <c r="G101" s="35">
        <f t="shared" si="10"/>
        <v>7535.16</v>
      </c>
    </row>
    <row r="102" spans="1:7" x14ac:dyDescent="0.35">
      <c r="A102" s="32">
        <v>40673</v>
      </c>
      <c r="B102" s="36">
        <v>1313</v>
      </c>
      <c r="C102" s="33">
        <v>9152.5</v>
      </c>
      <c r="D102" s="34">
        <f t="shared" si="8"/>
        <v>744</v>
      </c>
      <c r="E102" s="34">
        <f t="shared" si="9"/>
        <v>976.87199999999996</v>
      </c>
      <c r="F102" s="34">
        <f t="shared" si="9"/>
        <v>6809.46</v>
      </c>
      <c r="G102" s="35">
        <f t="shared" si="10"/>
        <v>7786.3320000000003</v>
      </c>
    </row>
    <row r="103" spans="1:7" x14ac:dyDescent="0.35">
      <c r="A103" s="32">
        <v>40704</v>
      </c>
      <c r="B103" s="36">
        <v>1018</v>
      </c>
      <c r="C103" s="33">
        <v>9447.5</v>
      </c>
      <c r="D103" s="34">
        <f t="shared" si="8"/>
        <v>720</v>
      </c>
      <c r="E103" s="34">
        <f t="shared" si="9"/>
        <v>732.96</v>
      </c>
      <c r="F103" s="34">
        <f t="shared" si="9"/>
        <v>6802.2</v>
      </c>
      <c r="G103" s="35">
        <f t="shared" si="10"/>
        <v>7535.16</v>
      </c>
    </row>
    <row r="104" spans="1:7" x14ac:dyDescent="0.35">
      <c r="A104" s="32">
        <v>40734</v>
      </c>
      <c r="B104" s="36">
        <v>1486</v>
      </c>
      <c r="C104" s="33">
        <v>8979.5</v>
      </c>
      <c r="D104" s="34">
        <f t="shared" si="8"/>
        <v>744</v>
      </c>
      <c r="E104" s="34">
        <f t="shared" si="9"/>
        <v>1105.5840000000001</v>
      </c>
      <c r="F104" s="34">
        <f t="shared" si="9"/>
        <v>6680.7479999999996</v>
      </c>
      <c r="G104" s="35">
        <f t="shared" si="10"/>
        <v>7786.3319999999994</v>
      </c>
    </row>
    <row r="105" spans="1:7" x14ac:dyDescent="0.35">
      <c r="A105" s="32">
        <v>40765</v>
      </c>
      <c r="B105" s="36">
        <v>1796</v>
      </c>
      <c r="C105" s="33">
        <v>8669.5</v>
      </c>
      <c r="D105" s="34">
        <f t="shared" si="8"/>
        <v>744</v>
      </c>
      <c r="E105" s="34">
        <f t="shared" si="9"/>
        <v>1336.2239999999999</v>
      </c>
      <c r="F105" s="34">
        <f t="shared" si="9"/>
        <v>6450.1080000000002</v>
      </c>
      <c r="G105" s="35">
        <f t="shared" si="10"/>
        <v>7786.3320000000003</v>
      </c>
    </row>
    <row r="106" spans="1:7" x14ac:dyDescent="0.35">
      <c r="A106" s="32">
        <v>40796</v>
      </c>
      <c r="B106" s="36">
        <v>1688</v>
      </c>
      <c r="C106" s="33">
        <v>8527.5</v>
      </c>
      <c r="D106" s="34">
        <f t="shared" si="8"/>
        <v>720</v>
      </c>
      <c r="E106" s="34">
        <f t="shared" si="9"/>
        <v>1215.3599999999999</v>
      </c>
      <c r="F106" s="34">
        <f t="shared" si="9"/>
        <v>6139.8</v>
      </c>
      <c r="G106" s="35">
        <f t="shared" si="10"/>
        <v>7355.16</v>
      </c>
    </row>
    <row r="107" spans="1:7" x14ac:dyDescent="0.35">
      <c r="A107" s="32">
        <v>40826</v>
      </c>
      <c r="B107" s="36">
        <v>1608</v>
      </c>
      <c r="C107" s="33">
        <v>8607.5</v>
      </c>
      <c r="D107" s="34">
        <f t="shared" si="8"/>
        <v>744</v>
      </c>
      <c r="E107" s="34">
        <f t="shared" si="9"/>
        <v>1196.3520000000001</v>
      </c>
      <c r="F107" s="34">
        <f t="shared" si="9"/>
        <v>6403.98</v>
      </c>
      <c r="G107" s="35">
        <f t="shared" si="10"/>
        <v>7600.3319999999994</v>
      </c>
    </row>
    <row r="108" spans="1:7" x14ac:dyDescent="0.35">
      <c r="A108" s="32">
        <v>40857</v>
      </c>
      <c r="B108" s="36">
        <v>1544</v>
      </c>
      <c r="C108" s="33">
        <v>8671.5</v>
      </c>
      <c r="D108" s="34">
        <f t="shared" si="8"/>
        <v>720</v>
      </c>
      <c r="E108" s="34">
        <f t="shared" si="9"/>
        <v>1111.68</v>
      </c>
      <c r="F108" s="34">
        <f t="shared" si="9"/>
        <v>6243.48</v>
      </c>
      <c r="G108" s="35">
        <f t="shared" si="10"/>
        <v>7355.16</v>
      </c>
    </row>
    <row r="109" spans="1:7" x14ac:dyDescent="0.35">
      <c r="A109" s="32">
        <v>40887</v>
      </c>
      <c r="B109" s="36">
        <v>1500</v>
      </c>
      <c r="C109" s="33">
        <v>8715.5</v>
      </c>
      <c r="D109" s="34">
        <f t="shared" si="8"/>
        <v>744</v>
      </c>
      <c r="E109" s="34">
        <f t="shared" si="9"/>
        <v>1116</v>
      </c>
      <c r="F109" s="34">
        <f t="shared" si="9"/>
        <v>6484.3320000000003</v>
      </c>
      <c r="G109" s="35">
        <f t="shared" si="10"/>
        <v>7600.3320000000003</v>
      </c>
    </row>
    <row r="110" spans="1:7" x14ac:dyDescent="0.35">
      <c r="A110" s="32">
        <v>40918</v>
      </c>
      <c r="B110" s="36">
        <v>1845</v>
      </c>
      <c r="C110" s="33">
        <v>8370.5</v>
      </c>
      <c r="D110" s="34">
        <f t="shared" si="8"/>
        <v>744</v>
      </c>
      <c r="E110" s="34">
        <f t="shared" si="9"/>
        <v>1372.68</v>
      </c>
      <c r="F110" s="34">
        <f t="shared" si="9"/>
        <v>6227.652</v>
      </c>
      <c r="G110" s="35">
        <f t="shared" si="10"/>
        <v>7600.3320000000003</v>
      </c>
    </row>
    <row r="111" spans="1:7" x14ac:dyDescent="0.35">
      <c r="A111" s="32">
        <v>40949</v>
      </c>
      <c r="B111" s="36">
        <v>1329</v>
      </c>
      <c r="C111" s="33">
        <v>8886.5</v>
      </c>
      <c r="D111" s="34">
        <f t="shared" si="8"/>
        <v>696</v>
      </c>
      <c r="E111" s="34">
        <f t="shared" si="9"/>
        <v>924.98400000000004</v>
      </c>
      <c r="F111" s="34">
        <f t="shared" si="9"/>
        <v>6185.0039999999999</v>
      </c>
      <c r="G111" s="35">
        <f t="shared" si="10"/>
        <v>7109.9880000000003</v>
      </c>
    </row>
    <row r="112" spans="1:7" x14ac:dyDescent="0.35">
      <c r="A112" s="32">
        <v>40978</v>
      </c>
      <c r="B112" s="36">
        <v>2156</v>
      </c>
      <c r="C112" s="33">
        <v>8059.5</v>
      </c>
      <c r="D112" s="34">
        <f t="shared" si="8"/>
        <v>744</v>
      </c>
      <c r="E112" s="34">
        <f t="shared" si="9"/>
        <v>1604.0640000000001</v>
      </c>
      <c r="F112" s="34">
        <f t="shared" si="9"/>
        <v>5996.268</v>
      </c>
      <c r="G112" s="35">
        <f t="shared" si="10"/>
        <v>7600.3320000000003</v>
      </c>
    </row>
    <row r="113" spans="1:7" x14ac:dyDescent="0.35">
      <c r="A113" s="32">
        <v>41009</v>
      </c>
      <c r="B113" s="36">
        <v>2017</v>
      </c>
      <c r="C113" s="33">
        <v>8198.5</v>
      </c>
      <c r="D113" s="34">
        <f t="shared" si="8"/>
        <v>720</v>
      </c>
      <c r="E113" s="34">
        <f t="shared" si="9"/>
        <v>1452.24</v>
      </c>
      <c r="F113" s="34">
        <f t="shared" si="9"/>
        <v>5902.92</v>
      </c>
      <c r="G113" s="35">
        <f t="shared" si="10"/>
        <v>7355.16</v>
      </c>
    </row>
    <row r="114" spans="1:7" x14ac:dyDescent="0.35">
      <c r="A114" s="32">
        <v>41039</v>
      </c>
      <c r="B114" s="36">
        <v>1770</v>
      </c>
      <c r="C114" s="33">
        <v>8445.5</v>
      </c>
      <c r="D114" s="34">
        <f t="shared" si="8"/>
        <v>744</v>
      </c>
      <c r="E114" s="34">
        <f t="shared" si="9"/>
        <v>1316.88</v>
      </c>
      <c r="F114" s="34">
        <f t="shared" si="9"/>
        <v>6283.4520000000002</v>
      </c>
      <c r="G114" s="35">
        <f t="shared" si="10"/>
        <v>7600.3320000000003</v>
      </c>
    </row>
    <row r="115" spans="1:7" x14ac:dyDescent="0.35">
      <c r="A115" s="32">
        <v>41070</v>
      </c>
      <c r="B115" s="36">
        <v>2691</v>
      </c>
      <c r="C115" s="33">
        <v>7524.5</v>
      </c>
      <c r="D115" s="34">
        <f t="shared" si="8"/>
        <v>720</v>
      </c>
      <c r="E115" s="34">
        <f t="shared" si="9"/>
        <v>1937.52</v>
      </c>
      <c r="F115" s="34">
        <f t="shared" si="9"/>
        <v>5417.64</v>
      </c>
      <c r="G115" s="35">
        <f t="shared" si="10"/>
        <v>7355.16</v>
      </c>
    </row>
    <row r="116" spans="1:7" x14ac:dyDescent="0.35">
      <c r="A116" s="32">
        <v>41100</v>
      </c>
      <c r="B116" s="36">
        <v>2082</v>
      </c>
      <c r="C116" s="33">
        <v>8133.5</v>
      </c>
      <c r="D116" s="34">
        <f t="shared" si="8"/>
        <v>744</v>
      </c>
      <c r="E116" s="34">
        <f t="shared" si="9"/>
        <v>1549.008</v>
      </c>
      <c r="F116" s="34">
        <f t="shared" si="9"/>
        <v>6051.3239999999996</v>
      </c>
      <c r="G116" s="35">
        <f t="shared" si="10"/>
        <v>7600.3319999999994</v>
      </c>
    </row>
    <row r="117" spans="1:7" x14ac:dyDescent="0.35">
      <c r="A117" s="32">
        <v>41131</v>
      </c>
      <c r="B117" s="36">
        <v>1592</v>
      </c>
      <c r="C117" s="33">
        <v>9485.5</v>
      </c>
      <c r="D117" s="34">
        <f t="shared" si="8"/>
        <v>744</v>
      </c>
      <c r="E117" s="34">
        <f t="shared" si="9"/>
        <v>1184.4480000000001</v>
      </c>
      <c r="F117" s="34">
        <f t="shared" si="9"/>
        <v>7057.2120000000004</v>
      </c>
      <c r="G117" s="35">
        <f t="shared" si="10"/>
        <v>8241.66</v>
      </c>
    </row>
    <row r="118" spans="1:7" x14ac:dyDescent="0.35">
      <c r="A118" s="32">
        <v>41162</v>
      </c>
      <c r="B118" s="36">
        <v>1256</v>
      </c>
      <c r="C118" s="33">
        <v>9821.5</v>
      </c>
      <c r="D118" s="34">
        <f t="shared" si="8"/>
        <v>720</v>
      </c>
      <c r="E118" s="34">
        <f t="shared" si="9"/>
        <v>904.32</v>
      </c>
      <c r="F118" s="34">
        <f t="shared" si="9"/>
        <v>7071.48</v>
      </c>
      <c r="G118" s="35">
        <f t="shared" si="10"/>
        <v>7975.7999999999993</v>
      </c>
    </row>
    <row r="119" spans="1:7" x14ac:dyDescent="0.35">
      <c r="A119" s="32">
        <v>41192</v>
      </c>
      <c r="B119" s="36">
        <v>1235</v>
      </c>
      <c r="C119" s="33">
        <v>9242.5</v>
      </c>
      <c r="D119" s="34">
        <f t="shared" si="8"/>
        <v>744</v>
      </c>
      <c r="E119" s="34">
        <f t="shared" si="9"/>
        <v>918.84</v>
      </c>
      <c r="F119" s="34">
        <f t="shared" si="9"/>
        <v>6876.42</v>
      </c>
      <c r="G119" s="35">
        <f t="shared" si="10"/>
        <v>7795.26</v>
      </c>
    </row>
    <row r="120" spans="1:7" x14ac:dyDescent="0.35">
      <c r="A120" s="32">
        <v>41223</v>
      </c>
      <c r="B120" s="36">
        <v>1414</v>
      </c>
      <c r="C120" s="33">
        <v>9063.5</v>
      </c>
      <c r="D120" s="34">
        <f t="shared" si="8"/>
        <v>720</v>
      </c>
      <c r="E120" s="34">
        <f t="shared" si="9"/>
        <v>1018.08</v>
      </c>
      <c r="F120" s="34">
        <f t="shared" si="9"/>
        <v>6525.72</v>
      </c>
      <c r="G120" s="35">
        <f t="shared" si="10"/>
        <v>7543.8</v>
      </c>
    </row>
    <row r="121" spans="1:7" x14ac:dyDescent="0.35">
      <c r="A121" s="32">
        <v>41253</v>
      </c>
      <c r="B121" s="36">
        <v>1763</v>
      </c>
      <c r="C121" s="33">
        <v>8714.5</v>
      </c>
      <c r="D121" s="34">
        <f t="shared" si="8"/>
        <v>744</v>
      </c>
      <c r="E121" s="34">
        <f t="shared" si="9"/>
        <v>1311.672</v>
      </c>
      <c r="F121" s="34">
        <f t="shared" si="9"/>
        <v>6483.5879999999997</v>
      </c>
      <c r="G121" s="35">
        <f t="shared" si="10"/>
        <v>7795.26</v>
      </c>
    </row>
    <row r="122" spans="1:7" x14ac:dyDescent="0.35">
      <c r="A122" s="32">
        <v>41275</v>
      </c>
      <c r="B122" s="36">
        <v>1533</v>
      </c>
      <c r="C122" s="33">
        <v>8944.5</v>
      </c>
      <c r="D122" s="34">
        <f t="shared" si="8"/>
        <v>744</v>
      </c>
      <c r="E122" s="34">
        <f t="shared" si="9"/>
        <v>1140.5519999999999</v>
      </c>
      <c r="F122" s="34">
        <f t="shared" si="9"/>
        <v>6654.7079999999996</v>
      </c>
      <c r="G122" s="35">
        <f t="shared" si="10"/>
        <v>7795.2599999999993</v>
      </c>
    </row>
    <row r="123" spans="1:7" x14ac:dyDescent="0.35">
      <c r="A123" s="32">
        <v>41306</v>
      </c>
      <c r="B123" s="36">
        <v>1781</v>
      </c>
      <c r="C123" s="33">
        <v>8696.5</v>
      </c>
      <c r="D123" s="34">
        <f t="shared" si="8"/>
        <v>672</v>
      </c>
      <c r="E123" s="34">
        <f t="shared" si="9"/>
        <v>1196.8320000000001</v>
      </c>
      <c r="F123" s="34">
        <f t="shared" si="9"/>
        <v>5844.0479999999998</v>
      </c>
      <c r="G123" s="35">
        <f t="shared" si="10"/>
        <v>7040.88</v>
      </c>
    </row>
    <row r="124" spans="1:7" x14ac:dyDescent="0.35">
      <c r="A124" s="32">
        <v>41334</v>
      </c>
      <c r="B124" s="36">
        <v>1826</v>
      </c>
      <c r="C124" s="33">
        <v>9061.5</v>
      </c>
      <c r="D124" s="34">
        <f t="shared" si="8"/>
        <v>744</v>
      </c>
      <c r="E124" s="34">
        <f t="shared" si="9"/>
        <v>1358.5440000000001</v>
      </c>
      <c r="F124" s="34">
        <f t="shared" si="9"/>
        <v>6741.7560000000003</v>
      </c>
      <c r="G124" s="35">
        <f t="shared" si="10"/>
        <v>8100.3</v>
      </c>
    </row>
    <row r="125" spans="1:7" x14ac:dyDescent="0.35">
      <c r="A125" s="32">
        <v>41365</v>
      </c>
      <c r="B125" s="36">
        <v>1480</v>
      </c>
      <c r="C125" s="33">
        <v>9627.5</v>
      </c>
      <c r="D125" s="34">
        <f t="shared" si="8"/>
        <v>720</v>
      </c>
      <c r="E125" s="34">
        <f t="shared" si="9"/>
        <v>1065.5999999999999</v>
      </c>
      <c r="F125" s="34">
        <f t="shared" si="9"/>
        <v>6931.8</v>
      </c>
      <c r="G125" s="35">
        <f t="shared" si="10"/>
        <v>7997.4</v>
      </c>
    </row>
    <row r="126" spans="1:7" x14ac:dyDescent="0.35">
      <c r="A126" s="32">
        <v>41395</v>
      </c>
      <c r="B126" s="36">
        <v>1507</v>
      </c>
      <c r="C126" s="33">
        <v>9600.5</v>
      </c>
      <c r="D126" s="34">
        <f t="shared" si="8"/>
        <v>744</v>
      </c>
      <c r="E126" s="34">
        <f t="shared" si="9"/>
        <v>1121.2080000000001</v>
      </c>
      <c r="F126" s="34">
        <f t="shared" si="9"/>
        <v>7142.7719999999999</v>
      </c>
      <c r="G126" s="35">
        <f t="shared" si="10"/>
        <v>8263.98</v>
      </c>
    </row>
    <row r="127" spans="1:7" x14ac:dyDescent="0.35">
      <c r="A127" s="32">
        <v>41426</v>
      </c>
      <c r="B127" s="36">
        <v>1563</v>
      </c>
      <c r="C127" s="33">
        <v>9544.5</v>
      </c>
      <c r="D127" s="34">
        <f t="shared" si="8"/>
        <v>720</v>
      </c>
      <c r="E127" s="34">
        <f t="shared" si="9"/>
        <v>1125.3599999999999</v>
      </c>
      <c r="F127" s="34">
        <f t="shared" si="9"/>
        <v>6872.04</v>
      </c>
      <c r="G127" s="35">
        <f t="shared" si="10"/>
        <v>7997.4</v>
      </c>
    </row>
    <row r="128" spans="1:7" x14ac:dyDescent="0.35">
      <c r="A128" s="32">
        <v>41456</v>
      </c>
      <c r="B128" s="36">
        <v>1483</v>
      </c>
      <c r="C128" s="36">
        <v>10135.5</v>
      </c>
      <c r="D128" s="34">
        <f t="shared" si="8"/>
        <v>744</v>
      </c>
      <c r="E128" s="34">
        <f t="shared" si="9"/>
        <v>1103.3520000000001</v>
      </c>
      <c r="F128" s="34">
        <f t="shared" si="9"/>
        <v>7540.8119999999999</v>
      </c>
      <c r="G128" s="35">
        <f t="shared" si="10"/>
        <v>8644.1640000000007</v>
      </c>
    </row>
    <row r="129" spans="1:7" x14ac:dyDescent="0.35">
      <c r="A129" s="32">
        <v>41487</v>
      </c>
      <c r="B129" s="36">
        <v>1160</v>
      </c>
      <c r="C129" s="36">
        <v>10458.5</v>
      </c>
      <c r="D129" s="34">
        <f t="shared" si="8"/>
        <v>744</v>
      </c>
      <c r="E129" s="34">
        <f t="shared" si="9"/>
        <v>863.04</v>
      </c>
      <c r="F129" s="34">
        <f t="shared" si="9"/>
        <v>7781.1239999999998</v>
      </c>
      <c r="G129" s="35">
        <f t="shared" si="10"/>
        <v>8644.1640000000007</v>
      </c>
    </row>
    <row r="130" spans="1:7" x14ac:dyDescent="0.35">
      <c r="A130" s="32">
        <v>41518</v>
      </c>
      <c r="B130" s="36">
        <v>1243</v>
      </c>
      <c r="C130" s="36">
        <v>10375.5</v>
      </c>
      <c r="D130" s="34">
        <f t="shared" si="8"/>
        <v>720</v>
      </c>
      <c r="E130" s="34">
        <f t="shared" si="9"/>
        <v>894.96</v>
      </c>
      <c r="F130" s="34">
        <f t="shared" si="9"/>
        <v>7470.36</v>
      </c>
      <c r="G130" s="35">
        <f t="shared" si="10"/>
        <v>8365.32</v>
      </c>
    </row>
    <row r="131" spans="1:7" x14ac:dyDescent="0.35">
      <c r="A131" s="32">
        <v>41548</v>
      </c>
      <c r="B131" s="36">
        <v>1243</v>
      </c>
      <c r="C131" s="36">
        <v>10375.5</v>
      </c>
      <c r="D131" s="34">
        <f t="shared" ref="D131:D194" si="11">24*DAY(EOMONTH(A131,0))</f>
        <v>744</v>
      </c>
      <c r="E131" s="34">
        <f t="shared" ref="E131:F194" si="12">B131*$D131/1000</f>
        <v>924.79200000000003</v>
      </c>
      <c r="F131" s="34">
        <f t="shared" si="12"/>
        <v>7719.3720000000003</v>
      </c>
      <c r="G131" s="35">
        <f t="shared" ref="G131:G194" si="13">SUM(E131:F131)</f>
        <v>8644.1640000000007</v>
      </c>
    </row>
    <row r="132" spans="1:7" x14ac:dyDescent="0.35">
      <c r="A132" s="32">
        <v>41579</v>
      </c>
      <c r="B132" s="36">
        <v>1507</v>
      </c>
      <c r="C132" s="36">
        <v>10111.5</v>
      </c>
      <c r="D132" s="34">
        <f t="shared" si="11"/>
        <v>720</v>
      </c>
      <c r="E132" s="34">
        <f t="shared" si="12"/>
        <v>1085.04</v>
      </c>
      <c r="F132" s="34">
        <f t="shared" si="12"/>
        <v>7280.28</v>
      </c>
      <c r="G132" s="35">
        <f t="shared" si="13"/>
        <v>8365.32</v>
      </c>
    </row>
    <row r="133" spans="1:7" x14ac:dyDescent="0.35">
      <c r="A133" s="32">
        <v>41609</v>
      </c>
      <c r="B133" s="36">
        <v>1671</v>
      </c>
      <c r="C133" s="36">
        <v>9947.5</v>
      </c>
      <c r="D133" s="34">
        <f t="shared" si="11"/>
        <v>744</v>
      </c>
      <c r="E133" s="34">
        <f t="shared" si="12"/>
        <v>1243.2239999999999</v>
      </c>
      <c r="F133" s="34">
        <f t="shared" si="12"/>
        <v>7400.94</v>
      </c>
      <c r="G133" s="35">
        <f t="shared" si="13"/>
        <v>8644.1639999999989</v>
      </c>
    </row>
    <row r="134" spans="1:7" x14ac:dyDescent="0.35">
      <c r="A134" s="32">
        <v>41640</v>
      </c>
      <c r="B134" s="36">
        <v>1474</v>
      </c>
      <c r="C134" s="36">
        <v>10544.5</v>
      </c>
      <c r="D134" s="34">
        <f t="shared" si="11"/>
        <v>744</v>
      </c>
      <c r="E134" s="34">
        <f t="shared" si="12"/>
        <v>1096.6559999999999</v>
      </c>
      <c r="F134" s="34">
        <f t="shared" si="12"/>
        <v>7845.1080000000002</v>
      </c>
      <c r="G134" s="35">
        <f t="shared" si="13"/>
        <v>8941.7639999999992</v>
      </c>
    </row>
    <row r="135" spans="1:7" x14ac:dyDescent="0.35">
      <c r="A135" s="32">
        <v>41671</v>
      </c>
      <c r="B135" s="36">
        <v>1093</v>
      </c>
      <c r="C135" s="36">
        <v>11325.5</v>
      </c>
      <c r="D135" s="34">
        <f t="shared" si="11"/>
        <v>672</v>
      </c>
      <c r="E135" s="34">
        <f t="shared" si="12"/>
        <v>734.49599999999998</v>
      </c>
      <c r="F135" s="34">
        <f t="shared" si="12"/>
        <v>7610.7359999999999</v>
      </c>
      <c r="G135" s="35">
        <f t="shared" si="13"/>
        <v>8345.232</v>
      </c>
    </row>
    <row r="136" spans="1:7" x14ac:dyDescent="0.35">
      <c r="A136" s="32">
        <v>41699</v>
      </c>
      <c r="B136" s="36">
        <v>1376</v>
      </c>
      <c r="C136" s="36">
        <v>11042.5</v>
      </c>
      <c r="D136" s="34">
        <f t="shared" si="11"/>
        <v>744</v>
      </c>
      <c r="E136" s="34">
        <f t="shared" si="12"/>
        <v>1023.744</v>
      </c>
      <c r="F136" s="34">
        <f t="shared" si="12"/>
        <v>8215.6200000000008</v>
      </c>
      <c r="G136" s="35">
        <f t="shared" si="13"/>
        <v>9239.3640000000014</v>
      </c>
    </row>
    <row r="137" spans="1:7" x14ac:dyDescent="0.35">
      <c r="A137" s="32">
        <v>41730</v>
      </c>
      <c r="B137" s="36">
        <v>1782</v>
      </c>
      <c r="C137" s="36">
        <v>11042.4</v>
      </c>
      <c r="D137" s="34">
        <f t="shared" si="11"/>
        <v>720</v>
      </c>
      <c r="E137" s="34">
        <f t="shared" si="12"/>
        <v>1283.04</v>
      </c>
      <c r="F137" s="34">
        <f t="shared" si="12"/>
        <v>7950.5280000000002</v>
      </c>
      <c r="G137" s="35">
        <f t="shared" si="13"/>
        <v>9233.5679999999993</v>
      </c>
    </row>
    <row r="138" spans="1:7" x14ac:dyDescent="0.35">
      <c r="A138" s="32">
        <v>41760</v>
      </c>
      <c r="B138" s="36">
        <v>1455</v>
      </c>
      <c r="C138" s="36">
        <v>11406.2</v>
      </c>
      <c r="D138" s="34">
        <f t="shared" si="11"/>
        <v>744</v>
      </c>
      <c r="E138" s="34">
        <f t="shared" si="12"/>
        <v>1082.52</v>
      </c>
      <c r="F138" s="34">
        <f t="shared" si="12"/>
        <v>8486.2128000000012</v>
      </c>
      <c r="G138" s="35">
        <f t="shared" si="13"/>
        <v>9568.7328000000016</v>
      </c>
    </row>
    <row r="139" spans="1:7" x14ac:dyDescent="0.35">
      <c r="A139" s="32">
        <v>41791</v>
      </c>
      <c r="B139" s="36">
        <v>1472</v>
      </c>
      <c r="C139" s="36">
        <v>11284.2</v>
      </c>
      <c r="D139" s="34">
        <f t="shared" si="11"/>
        <v>720</v>
      </c>
      <c r="E139" s="34">
        <f t="shared" si="12"/>
        <v>1059.8399999999999</v>
      </c>
      <c r="F139" s="34">
        <f t="shared" si="12"/>
        <v>8124.6240000000007</v>
      </c>
      <c r="G139" s="35">
        <f t="shared" si="13"/>
        <v>9184.4639999999999</v>
      </c>
    </row>
    <row r="140" spans="1:7" x14ac:dyDescent="0.35">
      <c r="A140" s="32">
        <v>41821</v>
      </c>
      <c r="B140" s="36">
        <v>1670</v>
      </c>
      <c r="C140" s="36">
        <v>11086.2</v>
      </c>
      <c r="D140" s="34">
        <f t="shared" si="11"/>
        <v>744</v>
      </c>
      <c r="E140" s="34">
        <f t="shared" si="12"/>
        <v>1242.48</v>
      </c>
      <c r="F140" s="34">
        <f t="shared" si="12"/>
        <v>8248.1328000000012</v>
      </c>
      <c r="G140" s="35">
        <f t="shared" si="13"/>
        <v>9490.6128000000008</v>
      </c>
    </row>
    <row r="141" spans="1:7" x14ac:dyDescent="0.35">
      <c r="A141" s="32">
        <v>41852</v>
      </c>
      <c r="B141" s="36">
        <v>1782</v>
      </c>
      <c r="C141" s="36">
        <v>10974.2</v>
      </c>
      <c r="D141" s="34">
        <f t="shared" si="11"/>
        <v>744</v>
      </c>
      <c r="E141" s="34">
        <f t="shared" si="12"/>
        <v>1325.808</v>
      </c>
      <c r="F141" s="34">
        <f t="shared" si="12"/>
        <v>8164.8048000000008</v>
      </c>
      <c r="G141" s="35">
        <f t="shared" si="13"/>
        <v>9490.6128000000008</v>
      </c>
    </row>
    <row r="142" spans="1:7" x14ac:dyDescent="0.35">
      <c r="A142" s="38">
        <v>41883</v>
      </c>
      <c r="B142" s="39">
        <v>1781</v>
      </c>
      <c r="C142" s="39">
        <v>10975.2</v>
      </c>
      <c r="D142" s="34">
        <f t="shared" si="11"/>
        <v>720</v>
      </c>
      <c r="E142" s="34">
        <f t="shared" si="12"/>
        <v>1282.32</v>
      </c>
      <c r="F142" s="34">
        <f t="shared" si="12"/>
        <v>7902.1440000000011</v>
      </c>
      <c r="G142" s="35">
        <f t="shared" si="13"/>
        <v>9184.4640000000018</v>
      </c>
    </row>
    <row r="143" spans="1:7" x14ac:dyDescent="0.35">
      <c r="A143" s="38">
        <v>41913</v>
      </c>
      <c r="B143" s="39">
        <v>1747</v>
      </c>
      <c r="C143" s="39">
        <v>11413.000000000002</v>
      </c>
      <c r="D143" s="34">
        <f t="shared" si="11"/>
        <v>744</v>
      </c>
      <c r="E143" s="34">
        <f t="shared" si="12"/>
        <v>1299.768</v>
      </c>
      <c r="F143" s="34">
        <f t="shared" si="12"/>
        <v>8491.2720000000027</v>
      </c>
      <c r="G143" s="35">
        <f t="shared" si="13"/>
        <v>9791.0400000000027</v>
      </c>
    </row>
    <row r="144" spans="1:7" x14ac:dyDescent="0.35">
      <c r="A144" s="38">
        <v>41944</v>
      </c>
      <c r="B144" s="36">
        <v>1730</v>
      </c>
      <c r="C144" s="36">
        <v>11430</v>
      </c>
      <c r="D144" s="34">
        <f t="shared" si="11"/>
        <v>720</v>
      </c>
      <c r="E144" s="34">
        <f t="shared" si="12"/>
        <v>1245.5999999999999</v>
      </c>
      <c r="F144" s="34">
        <f t="shared" si="12"/>
        <v>8229.6</v>
      </c>
      <c r="G144" s="35">
        <f t="shared" si="13"/>
        <v>9475.2000000000007</v>
      </c>
    </row>
    <row r="145" spans="1:7" x14ac:dyDescent="0.35">
      <c r="A145" s="38">
        <v>41974</v>
      </c>
      <c r="B145" s="39">
        <v>1169</v>
      </c>
      <c r="C145" s="39">
        <v>11991.000000000002</v>
      </c>
      <c r="D145" s="34">
        <f t="shared" si="11"/>
        <v>744</v>
      </c>
      <c r="E145" s="34">
        <f t="shared" si="12"/>
        <v>869.73599999999999</v>
      </c>
      <c r="F145" s="34">
        <f t="shared" si="12"/>
        <v>8921.3040000000019</v>
      </c>
      <c r="G145" s="35">
        <f t="shared" si="13"/>
        <v>9791.0400000000027</v>
      </c>
    </row>
    <row r="146" spans="1:7" x14ac:dyDescent="0.35">
      <c r="A146" s="38">
        <v>42005</v>
      </c>
      <c r="B146" s="39">
        <v>1624</v>
      </c>
      <c r="C146" s="39">
        <v>11536.000000000002</v>
      </c>
      <c r="D146" s="34">
        <f t="shared" si="11"/>
        <v>744</v>
      </c>
      <c r="E146" s="34">
        <f t="shared" si="12"/>
        <v>1208.2560000000001</v>
      </c>
      <c r="F146" s="34">
        <f t="shared" si="12"/>
        <v>8582.7840000000015</v>
      </c>
      <c r="G146" s="35">
        <f t="shared" si="13"/>
        <v>9791.0400000000009</v>
      </c>
    </row>
    <row r="147" spans="1:7" x14ac:dyDescent="0.35">
      <c r="A147" s="38">
        <v>42036</v>
      </c>
      <c r="B147" s="39">
        <v>1633</v>
      </c>
      <c r="C147" s="39">
        <v>11527.000000000002</v>
      </c>
      <c r="D147" s="34">
        <f t="shared" si="11"/>
        <v>672</v>
      </c>
      <c r="E147" s="34">
        <f t="shared" si="12"/>
        <v>1097.376</v>
      </c>
      <c r="F147" s="34">
        <f t="shared" si="12"/>
        <v>7746.1440000000011</v>
      </c>
      <c r="G147" s="35">
        <f t="shared" si="13"/>
        <v>8843.52</v>
      </c>
    </row>
    <row r="148" spans="1:7" x14ac:dyDescent="0.35">
      <c r="A148" s="38">
        <v>42064</v>
      </c>
      <c r="B148" s="39">
        <v>1597</v>
      </c>
      <c r="C148" s="39">
        <v>11563.000000000002</v>
      </c>
      <c r="D148" s="34">
        <f t="shared" si="11"/>
        <v>744</v>
      </c>
      <c r="E148" s="34">
        <f t="shared" si="12"/>
        <v>1188.1679999999999</v>
      </c>
      <c r="F148" s="34">
        <f t="shared" si="12"/>
        <v>8602.8720000000012</v>
      </c>
      <c r="G148" s="35">
        <f t="shared" si="13"/>
        <v>9791.0400000000009</v>
      </c>
    </row>
    <row r="149" spans="1:7" x14ac:dyDescent="0.35">
      <c r="A149" s="38">
        <v>42095</v>
      </c>
      <c r="B149" s="39">
        <v>1316</v>
      </c>
      <c r="C149" s="39">
        <v>11844.000000000002</v>
      </c>
      <c r="D149" s="34">
        <f t="shared" si="11"/>
        <v>720</v>
      </c>
      <c r="E149" s="34">
        <f t="shared" si="12"/>
        <v>947.52</v>
      </c>
      <c r="F149" s="34">
        <f t="shared" si="12"/>
        <v>8527.6800000000021</v>
      </c>
      <c r="G149" s="35">
        <f t="shared" si="13"/>
        <v>9475.2000000000025</v>
      </c>
    </row>
    <row r="150" spans="1:7" x14ac:dyDescent="0.35">
      <c r="A150" s="38">
        <v>42125</v>
      </c>
      <c r="B150" s="39">
        <v>1769</v>
      </c>
      <c r="C150" s="39">
        <v>11391</v>
      </c>
      <c r="D150" s="34">
        <f t="shared" si="11"/>
        <v>744</v>
      </c>
      <c r="E150" s="34">
        <f t="shared" si="12"/>
        <v>1316.136</v>
      </c>
      <c r="F150" s="34">
        <f t="shared" si="12"/>
        <v>8474.9040000000005</v>
      </c>
      <c r="G150" s="35">
        <f t="shared" si="13"/>
        <v>9791.0400000000009</v>
      </c>
    </row>
    <row r="151" spans="1:7" x14ac:dyDescent="0.35">
      <c r="A151" s="38">
        <v>42156</v>
      </c>
      <c r="B151" s="39">
        <v>1385</v>
      </c>
      <c r="C151" s="39">
        <v>11775</v>
      </c>
      <c r="D151" s="34">
        <f t="shared" si="11"/>
        <v>720</v>
      </c>
      <c r="E151" s="34">
        <f t="shared" si="12"/>
        <v>997.2</v>
      </c>
      <c r="F151" s="34">
        <f t="shared" si="12"/>
        <v>8478</v>
      </c>
      <c r="G151" s="35">
        <f t="shared" si="13"/>
        <v>9475.2000000000007</v>
      </c>
    </row>
    <row r="152" spans="1:7" x14ac:dyDescent="0.35">
      <c r="A152" s="38">
        <v>42186</v>
      </c>
      <c r="B152" s="39">
        <v>1796</v>
      </c>
      <c r="C152" s="39">
        <v>11431.8</v>
      </c>
      <c r="D152" s="34">
        <f t="shared" si="11"/>
        <v>744</v>
      </c>
      <c r="E152" s="34">
        <f t="shared" si="12"/>
        <v>1336.2239999999999</v>
      </c>
      <c r="F152" s="34">
        <f t="shared" si="12"/>
        <v>8505.2591999999986</v>
      </c>
      <c r="G152" s="35">
        <f t="shared" si="13"/>
        <v>9841.4831999999988</v>
      </c>
    </row>
    <row r="153" spans="1:7" x14ac:dyDescent="0.35">
      <c r="A153" s="38">
        <v>42217</v>
      </c>
      <c r="B153" s="39">
        <v>1669</v>
      </c>
      <c r="C153" s="39">
        <v>11558.8</v>
      </c>
      <c r="D153" s="34">
        <f t="shared" si="11"/>
        <v>744</v>
      </c>
      <c r="E153" s="34">
        <f t="shared" si="12"/>
        <v>1241.7360000000001</v>
      </c>
      <c r="F153" s="34">
        <f t="shared" si="12"/>
        <v>8599.7471999999998</v>
      </c>
      <c r="G153" s="35">
        <f t="shared" si="13"/>
        <v>9841.4832000000006</v>
      </c>
    </row>
    <row r="154" spans="1:7" x14ac:dyDescent="0.35">
      <c r="A154" s="38">
        <v>42248</v>
      </c>
      <c r="B154" s="39">
        <v>1488</v>
      </c>
      <c r="C154" s="39">
        <v>11739.8</v>
      </c>
      <c r="D154" s="34">
        <f t="shared" si="11"/>
        <v>720</v>
      </c>
      <c r="E154" s="34">
        <f t="shared" si="12"/>
        <v>1071.3599999999999</v>
      </c>
      <c r="F154" s="34">
        <f t="shared" si="12"/>
        <v>8452.6560000000009</v>
      </c>
      <c r="G154" s="35">
        <f t="shared" si="13"/>
        <v>9524.0160000000014</v>
      </c>
    </row>
    <row r="155" spans="1:7" x14ac:dyDescent="0.35">
      <c r="A155" s="38">
        <v>42278</v>
      </c>
      <c r="B155" s="39">
        <v>1422</v>
      </c>
      <c r="C155" s="39">
        <v>11805.8</v>
      </c>
      <c r="D155" s="34">
        <f t="shared" si="11"/>
        <v>744</v>
      </c>
      <c r="E155" s="34">
        <f t="shared" si="12"/>
        <v>1057.9680000000001</v>
      </c>
      <c r="F155" s="34">
        <f t="shared" si="12"/>
        <v>8783.5151999999998</v>
      </c>
      <c r="G155" s="35">
        <f t="shared" si="13"/>
        <v>9841.4832000000006</v>
      </c>
    </row>
    <row r="156" spans="1:7" x14ac:dyDescent="0.35">
      <c r="A156" s="38">
        <v>42309</v>
      </c>
      <c r="B156" s="39">
        <v>1709</v>
      </c>
      <c r="C156" s="39">
        <v>11518.8</v>
      </c>
      <c r="D156" s="34">
        <f t="shared" si="11"/>
        <v>720</v>
      </c>
      <c r="E156" s="34">
        <f t="shared" si="12"/>
        <v>1230.48</v>
      </c>
      <c r="F156" s="34">
        <f t="shared" si="12"/>
        <v>8293.5359999999982</v>
      </c>
      <c r="G156" s="35">
        <f t="shared" si="13"/>
        <v>9524.0159999999978</v>
      </c>
    </row>
    <row r="157" spans="1:7" x14ac:dyDescent="0.35">
      <c r="A157" s="38">
        <v>42339</v>
      </c>
      <c r="B157" s="39">
        <v>1644</v>
      </c>
      <c r="C157" s="39">
        <v>11595.2</v>
      </c>
      <c r="D157" s="34">
        <f t="shared" si="11"/>
        <v>744</v>
      </c>
      <c r="E157" s="34">
        <f t="shared" si="12"/>
        <v>1223.136</v>
      </c>
      <c r="F157" s="34">
        <f t="shared" si="12"/>
        <v>8626.8288000000011</v>
      </c>
      <c r="G157" s="35">
        <f t="shared" si="13"/>
        <v>9849.9648000000016</v>
      </c>
    </row>
    <row r="158" spans="1:7" x14ac:dyDescent="0.35">
      <c r="A158" s="38">
        <v>42370</v>
      </c>
      <c r="B158" s="40">
        <v>2271</v>
      </c>
      <c r="C158" s="41">
        <v>10968.4</v>
      </c>
      <c r="D158" s="34">
        <f t="shared" si="11"/>
        <v>744</v>
      </c>
      <c r="E158" s="34">
        <f t="shared" si="12"/>
        <v>1689.624</v>
      </c>
      <c r="F158" s="34">
        <f t="shared" si="12"/>
        <v>8160.4895999999999</v>
      </c>
      <c r="G158" s="35">
        <f t="shared" si="13"/>
        <v>9850.1136000000006</v>
      </c>
    </row>
    <row r="159" spans="1:7" x14ac:dyDescent="0.35">
      <c r="A159" s="38">
        <v>42401</v>
      </c>
      <c r="B159" s="39">
        <v>1437</v>
      </c>
      <c r="C159" s="41">
        <v>11802.2</v>
      </c>
      <c r="D159" s="34">
        <f t="shared" si="11"/>
        <v>696</v>
      </c>
      <c r="E159" s="34">
        <f t="shared" si="12"/>
        <v>1000.152</v>
      </c>
      <c r="F159" s="34">
        <f t="shared" si="12"/>
        <v>8214.3312000000005</v>
      </c>
      <c r="G159" s="35">
        <f t="shared" si="13"/>
        <v>9214.4832000000006</v>
      </c>
    </row>
    <row r="160" spans="1:7" x14ac:dyDescent="0.35">
      <c r="A160" s="38">
        <v>42430</v>
      </c>
      <c r="B160" s="39">
        <v>1200</v>
      </c>
      <c r="C160" s="39">
        <v>12434.9</v>
      </c>
      <c r="D160" s="34">
        <f t="shared" si="11"/>
        <v>744</v>
      </c>
      <c r="E160" s="34">
        <f t="shared" si="12"/>
        <v>892.8</v>
      </c>
      <c r="F160" s="34">
        <f t="shared" si="12"/>
        <v>9251.5655999999999</v>
      </c>
      <c r="G160" s="35">
        <f t="shared" si="13"/>
        <v>10144.365599999999</v>
      </c>
    </row>
    <row r="161" spans="1:21" x14ac:dyDescent="0.35">
      <c r="A161" s="38">
        <v>42461</v>
      </c>
      <c r="B161" s="39">
        <v>1781</v>
      </c>
      <c r="C161" s="39">
        <v>11853.9</v>
      </c>
      <c r="D161" s="34">
        <f t="shared" si="11"/>
        <v>720</v>
      </c>
      <c r="E161" s="34">
        <f t="shared" si="12"/>
        <v>1282.32</v>
      </c>
      <c r="F161" s="34">
        <f t="shared" si="12"/>
        <v>8534.8080000000009</v>
      </c>
      <c r="G161" s="35">
        <f t="shared" si="13"/>
        <v>9817.1280000000006</v>
      </c>
    </row>
    <row r="162" spans="1:21" x14ac:dyDescent="0.35">
      <c r="A162" s="38">
        <v>42491</v>
      </c>
      <c r="B162" s="39">
        <v>1876</v>
      </c>
      <c r="C162" s="39">
        <v>11758.9</v>
      </c>
      <c r="D162" s="34">
        <f t="shared" si="11"/>
        <v>744</v>
      </c>
      <c r="E162" s="34">
        <f t="shared" si="12"/>
        <v>1395.7439999999999</v>
      </c>
      <c r="F162" s="34">
        <f t="shared" si="12"/>
        <v>8748.6216000000004</v>
      </c>
      <c r="G162" s="35">
        <f t="shared" si="13"/>
        <v>10144.365600000001</v>
      </c>
      <c r="H162" s="24"/>
    </row>
    <row r="163" spans="1:21" x14ac:dyDescent="0.35">
      <c r="A163" s="38">
        <v>42522</v>
      </c>
      <c r="B163" s="42">
        <v>1328</v>
      </c>
      <c r="C163" s="39">
        <v>12306.9</v>
      </c>
      <c r="D163" s="34">
        <f t="shared" si="11"/>
        <v>720</v>
      </c>
      <c r="E163" s="34">
        <f t="shared" si="12"/>
        <v>956.16</v>
      </c>
      <c r="F163" s="34">
        <f t="shared" si="12"/>
        <v>8860.9680000000008</v>
      </c>
      <c r="G163" s="35">
        <f t="shared" si="13"/>
        <v>9817.1280000000006</v>
      </c>
    </row>
    <row r="164" spans="1:21" x14ac:dyDescent="0.35">
      <c r="A164" s="38">
        <v>42552</v>
      </c>
      <c r="B164" s="43">
        <v>1603</v>
      </c>
      <c r="C164" s="39">
        <v>12031.9</v>
      </c>
      <c r="D164" s="34">
        <f t="shared" si="11"/>
        <v>744</v>
      </c>
      <c r="E164" s="34">
        <f t="shared" si="12"/>
        <v>1192.6320000000001</v>
      </c>
      <c r="F164" s="34">
        <f t="shared" si="12"/>
        <v>8951.7335999999996</v>
      </c>
      <c r="G164" s="35">
        <f t="shared" si="13"/>
        <v>10144.365599999999</v>
      </c>
    </row>
    <row r="165" spans="1:21" x14ac:dyDescent="0.35">
      <c r="A165" s="38">
        <v>42583</v>
      </c>
      <c r="B165" s="39">
        <v>2170</v>
      </c>
      <c r="C165" s="39">
        <v>11464.9</v>
      </c>
      <c r="D165" s="34">
        <f t="shared" si="11"/>
        <v>744</v>
      </c>
      <c r="E165" s="34">
        <f t="shared" si="12"/>
        <v>1614.48</v>
      </c>
      <c r="F165" s="34">
        <f t="shared" si="12"/>
        <v>8529.8855999999996</v>
      </c>
      <c r="G165" s="35">
        <f t="shared" si="13"/>
        <v>10144.365599999999</v>
      </c>
    </row>
    <row r="166" spans="1:21" x14ac:dyDescent="0.35">
      <c r="A166" s="38">
        <v>42614</v>
      </c>
      <c r="B166" s="39">
        <v>2328</v>
      </c>
      <c r="C166" s="39">
        <v>11306.9</v>
      </c>
      <c r="D166" s="34">
        <f t="shared" si="11"/>
        <v>720</v>
      </c>
      <c r="E166" s="34">
        <f t="shared" si="12"/>
        <v>1676.16</v>
      </c>
      <c r="F166" s="34">
        <f t="shared" si="12"/>
        <v>8140.9679999999998</v>
      </c>
      <c r="G166" s="35">
        <f t="shared" si="13"/>
        <v>9817.1280000000006</v>
      </c>
      <c r="R166" s="45"/>
      <c r="S166" s="45"/>
      <c r="T166" s="45"/>
    </row>
    <row r="167" spans="1:21" x14ac:dyDescent="0.35">
      <c r="A167" s="38">
        <v>42644</v>
      </c>
      <c r="B167" s="39">
        <v>2024</v>
      </c>
      <c r="C167" s="39">
        <v>11610.9</v>
      </c>
      <c r="D167" s="34">
        <f t="shared" si="11"/>
        <v>744</v>
      </c>
      <c r="E167" s="34">
        <f t="shared" si="12"/>
        <v>1505.856</v>
      </c>
      <c r="F167" s="34">
        <f t="shared" si="12"/>
        <v>8638.5095999999994</v>
      </c>
      <c r="G167" s="35">
        <f t="shared" si="13"/>
        <v>10144.365599999999</v>
      </c>
      <c r="R167" s="45"/>
      <c r="S167" s="45"/>
      <c r="T167" s="45"/>
    </row>
    <row r="168" spans="1:21" x14ac:dyDescent="0.35">
      <c r="A168" s="38">
        <v>42675</v>
      </c>
      <c r="B168" s="39">
        <v>1631</v>
      </c>
      <c r="C168" s="39">
        <v>12003.9</v>
      </c>
      <c r="D168" s="34">
        <f t="shared" si="11"/>
        <v>720</v>
      </c>
      <c r="E168" s="34">
        <f t="shared" si="12"/>
        <v>1174.32</v>
      </c>
      <c r="F168" s="34">
        <f t="shared" si="12"/>
        <v>8642.8080000000009</v>
      </c>
      <c r="G168" s="35">
        <f t="shared" si="13"/>
        <v>9817.1280000000006</v>
      </c>
      <c r="H168" s="44"/>
      <c r="R168" s="45"/>
      <c r="S168" s="45"/>
      <c r="T168" s="45"/>
      <c r="U168" s="44"/>
    </row>
    <row r="169" spans="1:21" x14ac:dyDescent="0.35">
      <c r="A169" s="38">
        <v>42705</v>
      </c>
      <c r="B169" s="43">
        <v>2145</v>
      </c>
      <c r="C169" s="43">
        <v>11489.9</v>
      </c>
      <c r="D169" s="34">
        <f t="shared" si="11"/>
        <v>744</v>
      </c>
      <c r="E169" s="34">
        <f t="shared" si="12"/>
        <v>1595.88</v>
      </c>
      <c r="F169" s="34">
        <f t="shared" si="12"/>
        <v>8548.4856</v>
      </c>
      <c r="G169" s="35">
        <f t="shared" si="13"/>
        <v>10144.365600000001</v>
      </c>
      <c r="H169" s="44"/>
      <c r="R169" s="45"/>
      <c r="S169" s="45"/>
      <c r="T169" s="45"/>
      <c r="U169" s="44"/>
    </row>
    <row r="170" spans="1:21" x14ac:dyDescent="0.35">
      <c r="A170" s="38">
        <v>42736</v>
      </c>
      <c r="B170" s="43">
        <v>1743</v>
      </c>
      <c r="C170" s="43">
        <v>11891.9</v>
      </c>
      <c r="D170" s="34">
        <f t="shared" si="11"/>
        <v>744</v>
      </c>
      <c r="E170" s="34">
        <f t="shared" si="12"/>
        <v>1296.7919999999999</v>
      </c>
      <c r="F170" s="34">
        <f t="shared" si="12"/>
        <v>8847.5735999999997</v>
      </c>
      <c r="G170" s="35">
        <f t="shared" si="13"/>
        <v>10144.365599999999</v>
      </c>
      <c r="H170" s="44"/>
      <c r="R170" s="45"/>
      <c r="S170" s="45"/>
      <c r="T170" s="45"/>
      <c r="U170" s="44"/>
    </row>
    <row r="171" spans="1:21" x14ac:dyDescent="0.35">
      <c r="A171" s="38">
        <v>42767</v>
      </c>
      <c r="B171" s="43">
        <v>2142</v>
      </c>
      <c r="C171" s="43">
        <v>11492.9</v>
      </c>
      <c r="D171" s="34">
        <f t="shared" si="11"/>
        <v>672</v>
      </c>
      <c r="E171" s="34">
        <f t="shared" si="12"/>
        <v>1439.424</v>
      </c>
      <c r="F171" s="34">
        <f t="shared" si="12"/>
        <v>7723.2287999999999</v>
      </c>
      <c r="G171" s="35">
        <f t="shared" si="13"/>
        <v>9162.6527999999998</v>
      </c>
      <c r="H171" s="44"/>
      <c r="R171" s="45"/>
      <c r="S171" s="45"/>
      <c r="T171" s="45"/>
      <c r="U171" s="44"/>
    </row>
    <row r="172" spans="1:21" x14ac:dyDescent="0.35">
      <c r="A172" s="38">
        <v>42795</v>
      </c>
      <c r="B172" s="43">
        <v>1919</v>
      </c>
      <c r="C172" s="43">
        <v>11715.9</v>
      </c>
      <c r="D172" s="34">
        <f t="shared" si="11"/>
        <v>744</v>
      </c>
      <c r="E172" s="34">
        <f t="shared" si="12"/>
        <v>1427.7360000000001</v>
      </c>
      <c r="F172" s="34">
        <f t="shared" si="12"/>
        <v>8716.6296000000002</v>
      </c>
      <c r="G172" s="35">
        <f t="shared" si="13"/>
        <v>10144.365600000001</v>
      </c>
      <c r="H172" s="44"/>
      <c r="R172" s="45"/>
      <c r="S172" s="45"/>
      <c r="T172" s="45"/>
      <c r="U172" s="44"/>
    </row>
    <row r="173" spans="1:21" x14ac:dyDescent="0.35">
      <c r="A173" s="38">
        <v>42826</v>
      </c>
      <c r="B173" s="43">
        <v>1723</v>
      </c>
      <c r="C173" s="43">
        <v>11911.9</v>
      </c>
      <c r="D173" s="34">
        <f t="shared" si="11"/>
        <v>720</v>
      </c>
      <c r="E173" s="34">
        <f t="shared" si="12"/>
        <v>1240.56</v>
      </c>
      <c r="F173" s="34">
        <f t="shared" si="12"/>
        <v>8576.5679999999993</v>
      </c>
      <c r="G173" s="35">
        <f t="shared" si="13"/>
        <v>9817.1279999999988</v>
      </c>
      <c r="H173" s="44"/>
      <c r="R173" s="45"/>
      <c r="S173" s="45"/>
      <c r="T173" s="45"/>
      <c r="U173" s="44"/>
    </row>
    <row r="174" spans="1:21" x14ac:dyDescent="0.35">
      <c r="A174" s="38">
        <v>42856</v>
      </c>
      <c r="B174" s="43">
        <v>1480</v>
      </c>
      <c r="C174" s="43">
        <v>12154.9</v>
      </c>
      <c r="D174" s="34">
        <f t="shared" si="11"/>
        <v>744</v>
      </c>
      <c r="E174" s="34">
        <f t="shared" si="12"/>
        <v>1101.1199999999999</v>
      </c>
      <c r="F174" s="34">
        <f t="shared" si="12"/>
        <v>9043.2456000000002</v>
      </c>
      <c r="G174" s="35">
        <f t="shared" si="13"/>
        <v>10144.365600000001</v>
      </c>
      <c r="H174" s="44"/>
      <c r="R174" s="45"/>
      <c r="S174" s="45"/>
      <c r="T174" s="45"/>
      <c r="U174" s="44"/>
    </row>
    <row r="175" spans="1:21" x14ac:dyDescent="0.35">
      <c r="A175" s="38">
        <v>42887</v>
      </c>
      <c r="B175" s="43">
        <v>2639</v>
      </c>
      <c r="C175" s="43">
        <v>10995.9</v>
      </c>
      <c r="D175" s="34">
        <f t="shared" si="11"/>
        <v>720</v>
      </c>
      <c r="E175" s="34">
        <f t="shared" si="12"/>
        <v>1900.08</v>
      </c>
      <c r="F175" s="34">
        <f t="shared" si="12"/>
        <v>7917.0479999999998</v>
      </c>
      <c r="G175" s="35">
        <f t="shared" si="13"/>
        <v>9817.1280000000006</v>
      </c>
      <c r="H175" s="44"/>
      <c r="R175" s="45"/>
      <c r="S175" s="45"/>
      <c r="T175" s="45"/>
      <c r="U175" s="44"/>
    </row>
    <row r="176" spans="1:21" x14ac:dyDescent="0.35">
      <c r="A176" s="38">
        <v>42917</v>
      </c>
      <c r="B176" s="43">
        <v>3395</v>
      </c>
      <c r="C176" s="43">
        <v>10316.799999999999</v>
      </c>
      <c r="D176" s="34">
        <f t="shared" si="11"/>
        <v>744</v>
      </c>
      <c r="E176" s="34">
        <f t="shared" si="12"/>
        <v>2525.88</v>
      </c>
      <c r="F176" s="34">
        <f t="shared" si="12"/>
        <v>7675.6991999999991</v>
      </c>
      <c r="G176" s="35">
        <f t="shared" si="13"/>
        <v>10201.5792</v>
      </c>
      <c r="H176" s="44"/>
      <c r="R176" s="45"/>
      <c r="S176" s="45"/>
      <c r="T176" s="45"/>
      <c r="U176" s="44"/>
    </row>
    <row r="177" spans="1:21" x14ac:dyDescent="0.35">
      <c r="A177" s="38">
        <v>42948</v>
      </c>
      <c r="B177" s="46">
        <v>2003</v>
      </c>
      <c r="C177" s="43">
        <v>11749.2</v>
      </c>
      <c r="D177" s="34">
        <f t="shared" si="11"/>
        <v>744</v>
      </c>
      <c r="E177" s="34">
        <f t="shared" si="12"/>
        <v>1490.232</v>
      </c>
      <c r="F177" s="34">
        <f t="shared" si="12"/>
        <v>8741.4048000000003</v>
      </c>
      <c r="G177" s="35">
        <f t="shared" si="13"/>
        <v>10231.6368</v>
      </c>
      <c r="H177" s="44"/>
      <c r="U177" s="44"/>
    </row>
    <row r="178" spans="1:21" x14ac:dyDescent="0.35">
      <c r="A178" s="47">
        <v>42979</v>
      </c>
      <c r="B178" s="43">
        <v>2028</v>
      </c>
      <c r="C178" s="43">
        <v>11724.2</v>
      </c>
      <c r="D178" s="34">
        <f t="shared" si="11"/>
        <v>720</v>
      </c>
      <c r="E178" s="34">
        <f t="shared" si="12"/>
        <v>1460.16</v>
      </c>
      <c r="F178" s="34">
        <f t="shared" si="12"/>
        <v>8441.4240000000009</v>
      </c>
      <c r="G178" s="35">
        <f t="shared" si="13"/>
        <v>9901.5840000000007</v>
      </c>
      <c r="H178" s="44"/>
      <c r="U178" s="44"/>
    </row>
    <row r="179" spans="1:21" x14ac:dyDescent="0.35">
      <c r="A179" s="47">
        <v>43009</v>
      </c>
      <c r="B179" s="43">
        <v>1973</v>
      </c>
      <c r="C179" s="43">
        <v>11819.6</v>
      </c>
      <c r="D179" s="34">
        <f t="shared" si="11"/>
        <v>744</v>
      </c>
      <c r="E179" s="34">
        <f t="shared" si="12"/>
        <v>1467.912</v>
      </c>
      <c r="F179" s="34">
        <f t="shared" si="12"/>
        <v>8793.7824000000001</v>
      </c>
      <c r="G179" s="35">
        <f t="shared" si="13"/>
        <v>10261.6944</v>
      </c>
    </row>
    <row r="180" spans="1:21" x14ac:dyDescent="0.35">
      <c r="A180" s="38">
        <v>43040</v>
      </c>
      <c r="B180" s="43">
        <v>2068</v>
      </c>
      <c r="C180" s="43">
        <v>11724.6</v>
      </c>
      <c r="D180" s="34">
        <f t="shared" si="11"/>
        <v>720</v>
      </c>
      <c r="E180" s="34">
        <f t="shared" si="12"/>
        <v>1488.96</v>
      </c>
      <c r="F180" s="34">
        <f t="shared" si="12"/>
        <v>8441.7119999999995</v>
      </c>
      <c r="G180" s="35">
        <f t="shared" si="13"/>
        <v>9930.6719999999987</v>
      </c>
    </row>
    <row r="181" spans="1:21" x14ac:dyDescent="0.35">
      <c r="A181" s="47">
        <v>43070</v>
      </c>
      <c r="B181" s="43">
        <v>1520</v>
      </c>
      <c r="C181" s="43">
        <v>12272.6</v>
      </c>
      <c r="D181" s="34">
        <f t="shared" si="11"/>
        <v>744</v>
      </c>
      <c r="E181" s="34">
        <f t="shared" si="12"/>
        <v>1130.8800000000001</v>
      </c>
      <c r="F181" s="34">
        <f t="shared" si="12"/>
        <v>9130.8144000000011</v>
      </c>
      <c r="G181" s="35">
        <f t="shared" si="13"/>
        <v>10261.6944</v>
      </c>
    </row>
    <row r="182" spans="1:21" x14ac:dyDescent="0.35">
      <c r="A182" s="47">
        <v>43101</v>
      </c>
      <c r="B182" s="43">
        <v>1543</v>
      </c>
      <c r="C182" s="43">
        <v>12249.6</v>
      </c>
      <c r="D182" s="34">
        <f t="shared" si="11"/>
        <v>744</v>
      </c>
      <c r="E182" s="34">
        <f t="shared" si="12"/>
        <v>1147.992</v>
      </c>
      <c r="F182" s="34">
        <f t="shared" si="12"/>
        <v>9113.7024000000001</v>
      </c>
      <c r="G182" s="35">
        <f t="shared" si="13"/>
        <v>10261.6944</v>
      </c>
    </row>
    <row r="183" spans="1:21" x14ac:dyDescent="0.35">
      <c r="A183" s="47">
        <v>43132</v>
      </c>
      <c r="B183" s="43">
        <v>2307</v>
      </c>
      <c r="C183" s="43">
        <v>11485.6</v>
      </c>
      <c r="D183" s="34">
        <f t="shared" si="11"/>
        <v>672</v>
      </c>
      <c r="E183" s="34">
        <f t="shared" si="12"/>
        <v>1550.3040000000001</v>
      </c>
      <c r="F183" s="34">
        <f t="shared" si="12"/>
        <v>7718.3231999999998</v>
      </c>
      <c r="G183" s="35">
        <f t="shared" si="13"/>
        <v>9268.627199999999</v>
      </c>
    </row>
    <row r="184" spans="1:21" x14ac:dyDescent="0.35">
      <c r="A184" s="47">
        <v>43160</v>
      </c>
      <c r="B184" s="43">
        <v>2650</v>
      </c>
      <c r="C184" s="43">
        <v>11142.6</v>
      </c>
      <c r="D184" s="34">
        <f t="shared" si="11"/>
        <v>744</v>
      </c>
      <c r="E184" s="34">
        <f t="shared" si="12"/>
        <v>1971.6</v>
      </c>
      <c r="F184" s="34">
        <f t="shared" si="12"/>
        <v>8290.0944</v>
      </c>
      <c r="G184" s="35">
        <f t="shared" si="13"/>
        <v>10261.6944</v>
      </c>
    </row>
    <row r="185" spans="1:21" x14ac:dyDescent="0.35">
      <c r="A185" s="47">
        <v>43191</v>
      </c>
      <c r="B185" s="43">
        <v>1529</v>
      </c>
      <c r="C185" s="43">
        <v>12263.6</v>
      </c>
      <c r="D185" s="34">
        <f t="shared" si="11"/>
        <v>720</v>
      </c>
      <c r="E185" s="34">
        <f t="shared" si="12"/>
        <v>1100.8800000000001</v>
      </c>
      <c r="F185" s="34">
        <f t="shared" si="12"/>
        <v>8829.7919999999995</v>
      </c>
      <c r="G185" s="35">
        <f t="shared" si="13"/>
        <v>9930.6719999999987</v>
      </c>
    </row>
    <row r="186" spans="1:21" x14ac:dyDescent="0.35">
      <c r="A186" s="47">
        <v>43221</v>
      </c>
      <c r="B186" s="48">
        <v>2096</v>
      </c>
      <c r="C186" s="48">
        <v>11696.6</v>
      </c>
      <c r="D186" s="34">
        <f t="shared" si="11"/>
        <v>744</v>
      </c>
      <c r="E186" s="34">
        <f t="shared" si="12"/>
        <v>1559.424</v>
      </c>
      <c r="F186" s="34">
        <f t="shared" si="12"/>
        <v>8702.2704000000012</v>
      </c>
      <c r="G186" s="35">
        <f t="shared" si="13"/>
        <v>10261.6944</v>
      </c>
    </row>
    <row r="187" spans="1:21" x14ac:dyDescent="0.35">
      <c r="A187" s="47">
        <v>43252</v>
      </c>
      <c r="B187" s="48">
        <v>1796</v>
      </c>
      <c r="C187" s="48">
        <v>11996.6</v>
      </c>
      <c r="D187" s="34">
        <f t="shared" si="11"/>
        <v>720</v>
      </c>
      <c r="E187" s="34">
        <f t="shared" si="12"/>
        <v>1293.1199999999999</v>
      </c>
      <c r="F187" s="34">
        <f t="shared" si="12"/>
        <v>8637.5519999999997</v>
      </c>
      <c r="G187" s="35">
        <f t="shared" si="13"/>
        <v>9930.6719999999987</v>
      </c>
    </row>
    <row r="188" spans="1:21" x14ac:dyDescent="0.35">
      <c r="A188" s="47">
        <v>43282</v>
      </c>
      <c r="B188" s="48">
        <v>1338</v>
      </c>
      <c r="C188" s="48">
        <v>12454.6</v>
      </c>
      <c r="D188" s="34">
        <f t="shared" si="11"/>
        <v>744</v>
      </c>
      <c r="E188" s="34">
        <f t="shared" si="12"/>
        <v>995.47199999999998</v>
      </c>
      <c r="F188" s="34">
        <f t="shared" si="12"/>
        <v>9266.2224000000006</v>
      </c>
      <c r="G188" s="35">
        <f t="shared" si="13"/>
        <v>10261.6944</v>
      </c>
    </row>
    <row r="189" spans="1:21" x14ac:dyDescent="0.35">
      <c r="A189" s="47">
        <v>43313</v>
      </c>
      <c r="B189" s="48">
        <v>1503</v>
      </c>
      <c r="C189" s="48">
        <v>12289.6</v>
      </c>
      <c r="D189" s="34">
        <f t="shared" si="11"/>
        <v>744</v>
      </c>
      <c r="E189" s="34">
        <f t="shared" si="12"/>
        <v>1118.232</v>
      </c>
      <c r="F189" s="34">
        <f t="shared" si="12"/>
        <v>9143.4624000000003</v>
      </c>
      <c r="G189" s="35">
        <f t="shared" si="13"/>
        <v>10261.6944</v>
      </c>
    </row>
    <row r="190" spans="1:21" x14ac:dyDescent="0.35">
      <c r="A190" s="47">
        <v>43344</v>
      </c>
      <c r="B190" s="48">
        <v>2129</v>
      </c>
      <c r="C190" s="48">
        <v>11663.6</v>
      </c>
      <c r="D190" s="34">
        <f t="shared" si="11"/>
        <v>720</v>
      </c>
      <c r="E190" s="34">
        <f t="shared" si="12"/>
        <v>1532.88</v>
      </c>
      <c r="F190" s="34">
        <f t="shared" si="12"/>
        <v>8397.7919999999995</v>
      </c>
      <c r="G190" s="35">
        <f t="shared" si="13"/>
        <v>9930.6719999999987</v>
      </c>
    </row>
    <row r="191" spans="1:21" x14ac:dyDescent="0.35">
      <c r="A191" s="47">
        <v>43374</v>
      </c>
      <c r="B191" s="48">
        <v>2209</v>
      </c>
      <c r="C191" s="48">
        <v>11583.6</v>
      </c>
      <c r="D191" s="34">
        <f t="shared" si="11"/>
        <v>744</v>
      </c>
      <c r="E191" s="34">
        <f t="shared" si="12"/>
        <v>1643.4960000000001</v>
      </c>
      <c r="F191" s="34">
        <f t="shared" si="12"/>
        <v>8618.1984000000011</v>
      </c>
      <c r="G191" s="35">
        <f t="shared" si="13"/>
        <v>10261.6944</v>
      </c>
    </row>
    <row r="192" spans="1:21" x14ac:dyDescent="0.35">
      <c r="A192" s="47">
        <v>43405</v>
      </c>
      <c r="B192" s="49">
        <v>1339</v>
      </c>
      <c r="C192" s="48">
        <v>12453.6</v>
      </c>
      <c r="D192" s="34">
        <f t="shared" si="11"/>
        <v>720</v>
      </c>
      <c r="E192" s="34">
        <f t="shared" si="12"/>
        <v>964.08</v>
      </c>
      <c r="F192" s="34">
        <f t="shared" si="12"/>
        <v>8966.5920000000006</v>
      </c>
      <c r="G192" s="35">
        <f t="shared" si="13"/>
        <v>9930.6720000000005</v>
      </c>
    </row>
    <row r="193" spans="1:7" x14ac:dyDescent="0.35">
      <c r="A193" s="47">
        <v>43435</v>
      </c>
      <c r="B193" s="50">
        <v>1855</v>
      </c>
      <c r="C193" s="51">
        <v>11937.61</v>
      </c>
      <c r="D193" s="34">
        <f t="shared" si="11"/>
        <v>744</v>
      </c>
      <c r="E193" s="34">
        <f t="shared" si="12"/>
        <v>1380.12</v>
      </c>
      <c r="F193" s="34">
        <f t="shared" si="12"/>
        <v>8881.5818400000007</v>
      </c>
      <c r="G193" s="35">
        <f t="shared" si="13"/>
        <v>10261.701840000002</v>
      </c>
    </row>
    <row r="194" spans="1:7" x14ac:dyDescent="0.35">
      <c r="A194" s="47">
        <v>43466</v>
      </c>
      <c r="B194" s="48">
        <v>2328</v>
      </c>
      <c r="C194" s="48">
        <v>11464.6</v>
      </c>
      <c r="D194" s="34">
        <f t="shared" si="11"/>
        <v>744</v>
      </c>
      <c r="E194" s="34">
        <f t="shared" si="12"/>
        <v>1732.0319999999999</v>
      </c>
      <c r="F194" s="34">
        <f t="shared" si="12"/>
        <v>8529.6624000000011</v>
      </c>
      <c r="G194" s="35">
        <f t="shared" si="13"/>
        <v>10261.6944</v>
      </c>
    </row>
    <row r="195" spans="1:7" x14ac:dyDescent="0.35">
      <c r="A195" s="47">
        <v>43497</v>
      </c>
      <c r="B195" s="48">
        <v>1522</v>
      </c>
      <c r="C195" s="48">
        <v>12270.6</v>
      </c>
      <c r="D195" s="34">
        <f t="shared" ref="D195:D226" si="14">24*DAY(EOMONTH(A195,0))</f>
        <v>672</v>
      </c>
      <c r="E195" s="34">
        <f t="shared" ref="E195:F226" si="15">B195*$D195/1000</f>
        <v>1022.784</v>
      </c>
      <c r="F195" s="34">
        <f t="shared" si="15"/>
        <v>8245.8431999999993</v>
      </c>
      <c r="G195" s="35">
        <f t="shared" ref="G195:G226" si="16">SUM(E195:F195)</f>
        <v>9268.627199999999</v>
      </c>
    </row>
    <row r="196" spans="1:7" x14ac:dyDescent="0.35">
      <c r="A196" s="47">
        <v>43525</v>
      </c>
      <c r="B196" s="48">
        <v>2763</v>
      </c>
      <c r="C196" s="48">
        <v>11029.6</v>
      </c>
      <c r="D196" s="34">
        <f t="shared" si="14"/>
        <v>744</v>
      </c>
      <c r="E196" s="34">
        <f t="shared" si="15"/>
        <v>2055.672</v>
      </c>
      <c r="F196" s="34">
        <f t="shared" si="15"/>
        <v>8206.0223999999998</v>
      </c>
      <c r="G196" s="35">
        <f t="shared" si="16"/>
        <v>10261.6944</v>
      </c>
    </row>
    <row r="197" spans="1:7" x14ac:dyDescent="0.35">
      <c r="A197" s="47">
        <v>43556</v>
      </c>
      <c r="B197" s="49">
        <v>1980</v>
      </c>
      <c r="C197" s="49">
        <v>11812.6</v>
      </c>
      <c r="D197" s="34">
        <f t="shared" si="14"/>
        <v>720</v>
      </c>
      <c r="E197" s="34">
        <f t="shared" si="15"/>
        <v>1425.6</v>
      </c>
      <c r="F197" s="34">
        <f t="shared" si="15"/>
        <v>8505.0720000000001</v>
      </c>
      <c r="G197" s="35">
        <f t="shared" si="16"/>
        <v>9930.6720000000005</v>
      </c>
    </row>
    <row r="198" spans="1:7" x14ac:dyDescent="0.35">
      <c r="A198" s="47">
        <v>43586</v>
      </c>
      <c r="B198" s="49">
        <v>1980</v>
      </c>
      <c r="C198" s="48">
        <v>11812.6</v>
      </c>
      <c r="D198" s="34">
        <f t="shared" si="14"/>
        <v>744</v>
      </c>
      <c r="E198" s="34">
        <f t="shared" si="15"/>
        <v>1473.12</v>
      </c>
      <c r="F198" s="34">
        <f t="shared" si="15"/>
        <v>8788.5743999999995</v>
      </c>
      <c r="G198" s="35">
        <f t="shared" si="16"/>
        <v>10261.6944</v>
      </c>
    </row>
    <row r="199" spans="1:7" x14ac:dyDescent="0.35">
      <c r="A199" s="47">
        <v>43617</v>
      </c>
      <c r="B199" s="48">
        <v>2349</v>
      </c>
      <c r="C199" s="48">
        <v>11443.6</v>
      </c>
      <c r="D199" s="34">
        <f t="shared" si="14"/>
        <v>720</v>
      </c>
      <c r="E199" s="34">
        <f t="shared" si="15"/>
        <v>1691.28</v>
      </c>
      <c r="F199" s="34">
        <f t="shared" si="15"/>
        <v>8239.3919999999998</v>
      </c>
      <c r="G199" s="35">
        <f t="shared" si="16"/>
        <v>9930.6720000000005</v>
      </c>
    </row>
    <row r="200" spans="1:7" x14ac:dyDescent="0.35">
      <c r="A200" s="47">
        <v>43647</v>
      </c>
      <c r="B200" s="48">
        <v>2584</v>
      </c>
      <c r="C200" s="48">
        <v>11208.6</v>
      </c>
      <c r="D200" s="34">
        <f t="shared" si="14"/>
        <v>744</v>
      </c>
      <c r="E200" s="34">
        <f t="shared" si="15"/>
        <v>1922.4960000000001</v>
      </c>
      <c r="F200" s="34">
        <f t="shared" si="15"/>
        <v>8339.1984000000011</v>
      </c>
      <c r="G200" s="35">
        <f t="shared" si="16"/>
        <v>10261.6944</v>
      </c>
    </row>
    <row r="201" spans="1:7" x14ac:dyDescent="0.35">
      <c r="A201" s="47">
        <v>43678</v>
      </c>
      <c r="B201" s="48">
        <v>3139</v>
      </c>
      <c r="C201" s="48">
        <v>10153.6</v>
      </c>
      <c r="D201" s="34">
        <f t="shared" si="14"/>
        <v>744</v>
      </c>
      <c r="E201" s="34">
        <f t="shared" si="15"/>
        <v>2335.4160000000002</v>
      </c>
      <c r="F201" s="34">
        <f t="shared" si="15"/>
        <v>7554.2784000000001</v>
      </c>
      <c r="G201" s="35">
        <f t="shared" si="16"/>
        <v>9889.6944000000003</v>
      </c>
    </row>
    <row r="202" spans="1:7" x14ac:dyDescent="0.35">
      <c r="A202" s="47">
        <v>43709</v>
      </c>
      <c r="B202" s="48">
        <v>1911</v>
      </c>
      <c r="C202" s="48">
        <v>10631.6</v>
      </c>
      <c r="D202" s="34">
        <f t="shared" si="14"/>
        <v>720</v>
      </c>
      <c r="E202" s="34">
        <f t="shared" si="15"/>
        <v>1375.92</v>
      </c>
      <c r="F202" s="34">
        <f t="shared" si="15"/>
        <v>7654.7520000000004</v>
      </c>
      <c r="G202" s="35">
        <f t="shared" si="16"/>
        <v>9030.6720000000005</v>
      </c>
    </row>
    <row r="203" spans="1:7" x14ac:dyDescent="0.35">
      <c r="A203" s="47">
        <v>43739</v>
      </c>
      <c r="B203" s="48">
        <v>1737</v>
      </c>
      <c r="C203" s="48">
        <v>10805.6</v>
      </c>
      <c r="D203" s="34">
        <f t="shared" si="14"/>
        <v>744</v>
      </c>
      <c r="E203" s="34">
        <f t="shared" si="15"/>
        <v>1292.328</v>
      </c>
      <c r="F203" s="34">
        <f t="shared" si="15"/>
        <v>8039.3664000000008</v>
      </c>
      <c r="G203" s="35">
        <f t="shared" si="16"/>
        <v>9331.6944000000003</v>
      </c>
    </row>
    <row r="204" spans="1:7" x14ac:dyDescent="0.35">
      <c r="A204" s="38">
        <v>43770</v>
      </c>
      <c r="B204" s="48">
        <v>1650</v>
      </c>
      <c r="C204" s="48">
        <v>10892.6</v>
      </c>
      <c r="D204" s="34">
        <f t="shared" si="14"/>
        <v>720</v>
      </c>
      <c r="E204" s="34">
        <f t="shared" si="15"/>
        <v>1188</v>
      </c>
      <c r="F204" s="34">
        <f t="shared" si="15"/>
        <v>7842.6719999999996</v>
      </c>
      <c r="G204" s="35">
        <f t="shared" si="16"/>
        <v>9030.6719999999987</v>
      </c>
    </row>
    <row r="205" spans="1:7" x14ac:dyDescent="0.35">
      <c r="A205" s="38">
        <v>43800</v>
      </c>
      <c r="B205" s="48">
        <v>2006</v>
      </c>
      <c r="C205" s="48">
        <v>10536.6</v>
      </c>
      <c r="D205" s="34">
        <f t="shared" si="14"/>
        <v>744</v>
      </c>
      <c r="E205" s="34">
        <f t="shared" si="15"/>
        <v>1492.4639999999999</v>
      </c>
      <c r="F205" s="34">
        <f t="shared" si="15"/>
        <v>7839.2304000000004</v>
      </c>
      <c r="G205" s="35">
        <f t="shared" si="16"/>
        <v>9331.6944000000003</v>
      </c>
    </row>
    <row r="206" spans="1:7" x14ac:dyDescent="0.35">
      <c r="A206" s="38">
        <v>43831</v>
      </c>
      <c r="B206" s="48">
        <v>2371</v>
      </c>
      <c r="C206" s="48">
        <v>10171.6</v>
      </c>
      <c r="D206" s="34">
        <f t="shared" si="14"/>
        <v>744</v>
      </c>
      <c r="E206" s="34">
        <f t="shared" si="15"/>
        <v>1764.0239999999999</v>
      </c>
      <c r="F206" s="34">
        <f t="shared" si="15"/>
        <v>7567.6704</v>
      </c>
      <c r="G206" s="35">
        <f t="shared" si="16"/>
        <v>9331.6944000000003</v>
      </c>
    </row>
    <row r="207" spans="1:7" x14ac:dyDescent="0.35">
      <c r="A207" s="47">
        <v>43862</v>
      </c>
      <c r="B207" s="48">
        <v>2336</v>
      </c>
      <c r="C207" s="48">
        <v>10206.6</v>
      </c>
      <c r="D207" s="34">
        <f t="shared" si="14"/>
        <v>696</v>
      </c>
      <c r="E207" s="34">
        <f t="shared" si="15"/>
        <v>1625.856</v>
      </c>
      <c r="F207" s="34">
        <f t="shared" si="15"/>
        <v>7103.7936000000009</v>
      </c>
      <c r="G207" s="35">
        <f t="shared" si="16"/>
        <v>8729.6496000000006</v>
      </c>
    </row>
    <row r="208" spans="1:7" x14ac:dyDescent="0.35">
      <c r="A208" s="38">
        <v>43891</v>
      </c>
      <c r="B208" s="49">
        <v>2194</v>
      </c>
      <c r="C208" s="48">
        <v>10348.6</v>
      </c>
      <c r="D208" s="34">
        <f t="shared" si="14"/>
        <v>744</v>
      </c>
      <c r="E208" s="34">
        <f t="shared" si="15"/>
        <v>1632.336</v>
      </c>
      <c r="F208" s="34">
        <f t="shared" si="15"/>
        <v>7699.3584000000001</v>
      </c>
      <c r="G208" s="35">
        <f t="shared" si="16"/>
        <v>9331.6944000000003</v>
      </c>
    </row>
    <row r="209" spans="1:7" x14ac:dyDescent="0.35">
      <c r="A209" s="38">
        <v>43922</v>
      </c>
      <c r="B209" s="49">
        <v>1797</v>
      </c>
      <c r="C209" s="48">
        <v>10745.6</v>
      </c>
      <c r="D209" s="34">
        <f t="shared" si="14"/>
        <v>720</v>
      </c>
      <c r="E209" s="34">
        <f t="shared" si="15"/>
        <v>1293.8399999999999</v>
      </c>
      <c r="F209" s="34">
        <f t="shared" si="15"/>
        <v>7736.8320000000003</v>
      </c>
      <c r="G209" s="35">
        <f t="shared" si="16"/>
        <v>9030.6720000000005</v>
      </c>
    </row>
    <row r="210" spans="1:7" x14ac:dyDescent="0.35">
      <c r="A210" s="38">
        <v>43952</v>
      </c>
      <c r="B210" s="49">
        <v>1358</v>
      </c>
      <c r="C210" s="48">
        <v>11184.6</v>
      </c>
      <c r="D210" s="34">
        <f t="shared" si="14"/>
        <v>744</v>
      </c>
      <c r="E210" s="34">
        <f t="shared" si="15"/>
        <v>1010.352</v>
      </c>
      <c r="F210" s="34">
        <f t="shared" si="15"/>
        <v>8321.3423999999995</v>
      </c>
      <c r="G210" s="35">
        <f t="shared" si="16"/>
        <v>9331.6944000000003</v>
      </c>
    </row>
    <row r="211" spans="1:7" x14ac:dyDescent="0.35">
      <c r="A211" s="38">
        <v>43983</v>
      </c>
      <c r="B211" s="48">
        <v>1635</v>
      </c>
      <c r="C211" s="48">
        <v>10592.8</v>
      </c>
      <c r="D211" s="34">
        <f t="shared" si="14"/>
        <v>720</v>
      </c>
      <c r="E211" s="34">
        <f t="shared" si="15"/>
        <v>1177.2</v>
      </c>
      <c r="F211" s="34">
        <f t="shared" si="15"/>
        <v>7626.8159999999989</v>
      </c>
      <c r="G211" s="35">
        <f t="shared" si="16"/>
        <v>8804.0159999999996</v>
      </c>
    </row>
    <row r="212" spans="1:7" x14ac:dyDescent="0.35">
      <c r="A212" s="38">
        <v>44013</v>
      </c>
      <c r="B212" s="48">
        <v>1243</v>
      </c>
      <c r="C212" s="48">
        <v>10984.8</v>
      </c>
      <c r="D212" s="34">
        <f t="shared" si="14"/>
        <v>744</v>
      </c>
      <c r="E212" s="34">
        <f t="shared" si="15"/>
        <v>924.79200000000003</v>
      </c>
      <c r="F212" s="34">
        <f t="shared" si="15"/>
        <v>8172.6911999999993</v>
      </c>
      <c r="G212" s="35">
        <f t="shared" si="16"/>
        <v>9097.4831999999988</v>
      </c>
    </row>
    <row r="213" spans="1:7" x14ac:dyDescent="0.35">
      <c r="A213" s="38">
        <v>44044</v>
      </c>
      <c r="B213" s="48">
        <v>1347</v>
      </c>
      <c r="C213" s="48">
        <v>10880.8</v>
      </c>
      <c r="D213" s="34">
        <f t="shared" si="14"/>
        <v>744</v>
      </c>
      <c r="E213" s="34">
        <f t="shared" si="15"/>
        <v>1002.168</v>
      </c>
      <c r="F213" s="34">
        <f t="shared" si="15"/>
        <v>8095.3151999999991</v>
      </c>
      <c r="G213" s="35">
        <f t="shared" si="16"/>
        <v>9097.4831999999988</v>
      </c>
    </row>
    <row r="214" spans="1:7" x14ac:dyDescent="0.35">
      <c r="A214" s="38">
        <v>44075</v>
      </c>
      <c r="B214" s="48">
        <v>1337</v>
      </c>
      <c r="C214" s="48">
        <v>10890.8</v>
      </c>
      <c r="D214" s="34">
        <f t="shared" si="14"/>
        <v>720</v>
      </c>
      <c r="E214" s="34">
        <f t="shared" si="15"/>
        <v>962.64</v>
      </c>
      <c r="F214" s="34">
        <f t="shared" si="15"/>
        <v>7841.3759999999993</v>
      </c>
      <c r="G214" s="35">
        <f t="shared" si="16"/>
        <v>8804.0159999999996</v>
      </c>
    </row>
    <row r="215" spans="1:7" x14ac:dyDescent="0.35">
      <c r="A215" s="38">
        <v>44105</v>
      </c>
      <c r="B215" s="48">
        <v>1574</v>
      </c>
      <c r="C215" s="48">
        <v>10653.8</v>
      </c>
      <c r="D215" s="34">
        <f t="shared" si="14"/>
        <v>744</v>
      </c>
      <c r="E215" s="34">
        <f t="shared" si="15"/>
        <v>1171.056</v>
      </c>
      <c r="F215" s="34">
        <f t="shared" si="15"/>
        <v>7926.4271999999992</v>
      </c>
      <c r="G215" s="35">
        <f t="shared" si="16"/>
        <v>9097.4831999999988</v>
      </c>
    </row>
    <row r="216" spans="1:7" x14ac:dyDescent="0.35">
      <c r="A216" s="38">
        <v>44136</v>
      </c>
      <c r="B216" s="48">
        <v>2020</v>
      </c>
      <c r="C216" s="48">
        <v>10207.799999999999</v>
      </c>
      <c r="D216" s="34">
        <f t="shared" si="14"/>
        <v>720</v>
      </c>
      <c r="E216" s="34">
        <f t="shared" si="15"/>
        <v>1454.4</v>
      </c>
      <c r="F216" s="34">
        <f t="shared" si="15"/>
        <v>7349.6159999999991</v>
      </c>
      <c r="G216" s="35">
        <f t="shared" si="16"/>
        <v>8804.0159999999996</v>
      </c>
    </row>
    <row r="217" spans="1:7" x14ac:dyDescent="0.35">
      <c r="A217" s="38">
        <v>44166</v>
      </c>
      <c r="B217" s="48">
        <v>1807</v>
      </c>
      <c r="C217" s="52">
        <v>10420.762000000001</v>
      </c>
      <c r="D217" s="34">
        <f t="shared" si="14"/>
        <v>744</v>
      </c>
      <c r="E217" s="34">
        <f t="shared" si="15"/>
        <v>1344.4079999999999</v>
      </c>
      <c r="F217" s="34">
        <f t="shared" si="15"/>
        <v>7753.0469280000007</v>
      </c>
      <c r="G217" s="35">
        <f t="shared" si="16"/>
        <v>9097.454928000001</v>
      </c>
    </row>
    <row r="218" spans="1:7" x14ac:dyDescent="0.35">
      <c r="A218" s="38">
        <v>44197</v>
      </c>
      <c r="B218" s="48">
        <v>2089</v>
      </c>
      <c r="C218" s="52">
        <v>10138.762000000001</v>
      </c>
      <c r="D218" s="34">
        <f t="shared" si="14"/>
        <v>744</v>
      </c>
      <c r="E218" s="34">
        <f t="shared" si="15"/>
        <v>1554.2159999999999</v>
      </c>
      <c r="F218" s="34">
        <f t="shared" si="15"/>
        <v>7543.2389280000007</v>
      </c>
      <c r="G218" s="35">
        <f t="shared" si="16"/>
        <v>9097.454928000001</v>
      </c>
    </row>
    <row r="219" spans="1:7" x14ac:dyDescent="0.35">
      <c r="A219" s="38">
        <v>44228</v>
      </c>
      <c r="B219" s="48">
        <v>1751</v>
      </c>
      <c r="C219" s="52">
        <v>10533.842000000001</v>
      </c>
      <c r="D219" s="34">
        <f t="shared" si="14"/>
        <v>672</v>
      </c>
      <c r="E219" s="34">
        <f t="shared" si="15"/>
        <v>1176.672</v>
      </c>
      <c r="F219" s="34">
        <f t="shared" si="15"/>
        <v>7078.7418239999997</v>
      </c>
      <c r="G219" s="35">
        <f t="shared" si="16"/>
        <v>8255.4138239999993</v>
      </c>
    </row>
    <row r="220" spans="1:7" x14ac:dyDescent="0.35">
      <c r="A220" s="38">
        <v>44256</v>
      </c>
      <c r="B220" s="48">
        <v>2045</v>
      </c>
      <c r="C220" s="52">
        <v>10239.842000000001</v>
      </c>
      <c r="D220" s="34">
        <f t="shared" si="14"/>
        <v>744</v>
      </c>
      <c r="E220" s="34">
        <f t="shared" si="15"/>
        <v>1521.48</v>
      </c>
      <c r="F220" s="34">
        <f t="shared" si="15"/>
        <v>7618.4424480000007</v>
      </c>
      <c r="G220" s="35">
        <f t="shared" si="16"/>
        <v>9139.9224480000012</v>
      </c>
    </row>
    <row r="221" spans="1:7" x14ac:dyDescent="0.35">
      <c r="A221" s="38">
        <v>44287</v>
      </c>
      <c r="B221" s="48">
        <v>1969</v>
      </c>
      <c r="C221" s="52">
        <v>10315.842000000001</v>
      </c>
      <c r="D221" s="34">
        <f t="shared" si="14"/>
        <v>720</v>
      </c>
      <c r="E221" s="34">
        <f t="shared" si="15"/>
        <v>1417.68</v>
      </c>
      <c r="F221" s="34">
        <f t="shared" si="15"/>
        <v>7427.4062400000003</v>
      </c>
      <c r="G221" s="35">
        <f t="shared" si="16"/>
        <v>8845.0862400000005</v>
      </c>
    </row>
    <row r="222" spans="1:7" x14ac:dyDescent="0.35">
      <c r="A222" s="38">
        <v>44317</v>
      </c>
      <c r="B222" s="49">
        <v>1781</v>
      </c>
      <c r="C222" s="51">
        <v>10503.842000000001</v>
      </c>
      <c r="D222" s="34">
        <f t="shared" si="14"/>
        <v>744</v>
      </c>
      <c r="E222" s="34">
        <f t="shared" si="15"/>
        <v>1325.0640000000001</v>
      </c>
      <c r="F222" s="34">
        <f t="shared" si="15"/>
        <v>7814.8584480000009</v>
      </c>
      <c r="G222" s="35">
        <f t="shared" si="16"/>
        <v>9139.9224480000012</v>
      </c>
    </row>
    <row r="223" spans="1:7" x14ac:dyDescent="0.35">
      <c r="A223" s="38">
        <v>44348</v>
      </c>
      <c r="B223" s="49">
        <v>1732</v>
      </c>
      <c r="C223" s="51">
        <v>10552.842000000001</v>
      </c>
      <c r="D223" s="34">
        <f t="shared" si="14"/>
        <v>720</v>
      </c>
      <c r="E223" s="34">
        <f t="shared" si="15"/>
        <v>1247.04</v>
      </c>
      <c r="F223" s="34">
        <f t="shared" si="15"/>
        <v>7598.0462400000006</v>
      </c>
      <c r="G223" s="35">
        <f t="shared" si="16"/>
        <v>8845.0862400000005</v>
      </c>
    </row>
    <row r="224" spans="1:7" x14ac:dyDescent="0.35">
      <c r="A224" s="38">
        <v>44378</v>
      </c>
      <c r="B224" s="49">
        <v>1668</v>
      </c>
      <c r="C224" s="51">
        <v>10616.842000000001</v>
      </c>
      <c r="D224" s="34">
        <f t="shared" si="14"/>
        <v>744</v>
      </c>
      <c r="E224" s="34">
        <f t="shared" si="15"/>
        <v>1240.992</v>
      </c>
      <c r="F224" s="34">
        <f t="shared" si="15"/>
        <v>7898.930448000001</v>
      </c>
      <c r="G224" s="35">
        <f t="shared" si="16"/>
        <v>9139.9224480000012</v>
      </c>
    </row>
    <row r="225" spans="1:7" x14ac:dyDescent="0.35">
      <c r="A225" s="38">
        <v>44409</v>
      </c>
      <c r="B225" s="49">
        <v>1537</v>
      </c>
      <c r="C225" s="51">
        <v>10747.842000000001</v>
      </c>
      <c r="D225" s="34">
        <f t="shared" si="14"/>
        <v>744</v>
      </c>
      <c r="E225" s="34">
        <f t="shared" si="15"/>
        <v>1143.528</v>
      </c>
      <c r="F225" s="34">
        <f t="shared" si="15"/>
        <v>7996.3944480000009</v>
      </c>
      <c r="G225" s="35">
        <f t="shared" si="16"/>
        <v>9139.9224480000012</v>
      </c>
    </row>
    <row r="226" spans="1:7" x14ac:dyDescent="0.35">
      <c r="A226" s="38">
        <v>44440</v>
      </c>
      <c r="B226" s="49">
        <v>1365</v>
      </c>
      <c r="C226" s="51">
        <v>10919.842000000001</v>
      </c>
      <c r="D226" s="34">
        <f t="shared" si="14"/>
        <v>720</v>
      </c>
      <c r="E226" s="34">
        <f t="shared" si="15"/>
        <v>982.8</v>
      </c>
      <c r="F226" s="34">
        <f t="shared" si="15"/>
        <v>7862.2862400000004</v>
      </c>
      <c r="G226" s="35">
        <f t="shared" si="16"/>
        <v>8845.0862400000005</v>
      </c>
    </row>
  </sheetData>
  <mergeCells count="2">
    <mergeCell ref="O1:T1"/>
    <mergeCell ref="V1:X1"/>
  </mergeCells>
  <phoneticPr fontId="22" type="noConversion"/>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20793FF4081640921D3EF3AB7A4FAD" ma:contentTypeVersion="6" ma:contentTypeDescription="Create a new document." ma:contentTypeScope="" ma:versionID="b1cd2947539ffaeb9fd06dc0a1715a9a">
  <xsd:schema xmlns:xsd="http://www.w3.org/2001/XMLSchema" xmlns:xs="http://www.w3.org/2001/XMLSchema" xmlns:p="http://schemas.microsoft.com/office/2006/metadata/properties" xmlns:ns2="f6e7ce08-ad0b-4206-88e3-b6cf423407b5" targetNamespace="http://schemas.microsoft.com/office/2006/metadata/properties" ma:root="true" ma:fieldsID="b536f60ff8a89f0dac02de686676e10a" ns2:_="">
    <xsd:import namespace="f6e7ce08-ad0b-4206-88e3-b6cf423407b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e7ce08-ad0b-4206-88e3-b6cf423407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5F6F15-3C12-443F-A40F-2BD89751AC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e7ce08-ad0b-4206-88e3-b6cf423407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7F059E-2AC3-4827-B71E-405EEAE30685}">
  <ds:schemaRefs>
    <ds:schemaRef ds:uri="http://schemas.microsoft.com/sharepoint/v3/contenttype/forms"/>
  </ds:schemaRefs>
</ds:datastoreItem>
</file>

<file path=customXml/itemProps3.xml><?xml version="1.0" encoding="utf-8"?>
<ds:datastoreItem xmlns:ds="http://schemas.openxmlformats.org/officeDocument/2006/customXml" ds:itemID="{E8707322-0870-4AC0-BFD8-3C98642ECB6F}">
  <ds:schemaRefs>
    <ds:schemaRef ds:uri="http://schemas.microsoft.com/office/2006/documentManagement/types"/>
    <ds:schemaRef ds:uri="http://schemas.microsoft.com/office/infopath/2007/PartnerControls"/>
    <ds:schemaRef ds:uri="http://www.w3.org/XML/1998/namespace"/>
    <ds:schemaRef ds:uri="http://purl.org/dc/terms/"/>
    <ds:schemaRef ds:uri="http://purl.org/dc/elements/1.1/"/>
    <ds:schemaRef ds:uri="http://purl.org/dc/dcmitype/"/>
    <ds:schemaRef ds:uri="http://schemas.openxmlformats.org/package/2006/metadata/core-properties"/>
    <ds:schemaRef ds:uri="f6e7ce08-ad0b-4206-88e3-b6cf423407b5"/>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Raw Data</vt:lpstr>
      <vt:lpstr>Home</vt:lpstr>
      <vt:lpstr>Base Model</vt:lpstr>
      <vt:lpstr>Goods Model</vt:lpstr>
      <vt:lpstr>Services Model</vt:lpstr>
      <vt:lpstr>Household Model</vt:lpstr>
      <vt:lpstr>Sensitivity - Population</vt:lpstr>
      <vt:lpstr>Sensitivity - GDP</vt:lpstr>
      <vt:lpstr>Sensitivity - COVID</vt:lpstr>
      <vt:lpstr>Sensitivity - COVID B</vt:lpstr>
      <vt:lpstr>Solar</vt:lpstr>
      <vt:lpstr>Sensitivity - Aging Power P</vt:lpstr>
      <vt:lpstr>Trade-Off Analysis</vt:lpstr>
      <vt:lpstr>Results (Trade-Off)</vt:lpstr>
      <vt:lpstr>Capacity (Outage and Avail)</vt:lpstr>
      <vt:lpstr>Home!Print_Area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Ranice Tan</dc:creator>
  <cp:keywords/>
  <dc:description/>
  <cp:lastModifiedBy>Ranice Tan</cp:lastModifiedBy>
  <cp:revision/>
  <dcterms:created xsi:type="dcterms:W3CDTF">2021-10-26T16:15:16Z</dcterms:created>
  <dcterms:modified xsi:type="dcterms:W3CDTF">2022-02-14T07:50:00Z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0x0101009120793FF4081640921D3EF3AB7A4FAD</vt:lpwstr>
  </property>
</Properties>
</file>