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salazardelatorre/Desktop/"/>
    </mc:Choice>
  </mc:AlternateContent>
  <xr:revisionPtr revIDLastSave="0" documentId="13_ncr:1_{E87C0041-0290-FD41-87B7-A1DC0EFAC07F}" xr6:coauthVersionLast="47" xr6:coauthVersionMax="47" xr10:uidLastSave="{00000000-0000-0000-0000-000000000000}"/>
  <bookViews>
    <workbookView xWindow="6080" yWindow="0" windowWidth="16360" windowHeight="21000" xr2:uid="{715F1F7F-C9D5-4121-96DF-7D055D4D979E}"/>
  </bookViews>
  <sheets>
    <sheet name="LCL" sheetId="1" r:id="rId1"/>
    <sheet name="FCL" sheetId="3" r:id="rId2"/>
    <sheet name="TRANSPORTE" sheetId="4" r:id="rId3"/>
  </sheets>
  <definedNames>
    <definedName name="_xlnm._FilterDatabase" localSheetId="1" hidden="1">FCL!$A$5:$M$5</definedName>
    <definedName name="_xlnm._FilterDatabase" localSheetId="0" hidden="1">LCL!$A$5:$Q$112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3" l="1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K112" i="1"/>
  <c r="K111" i="1"/>
  <c r="K110" i="1"/>
  <c r="K109" i="1"/>
  <c r="K108" i="1"/>
  <c r="K106" i="1"/>
  <c r="K105" i="1"/>
  <c r="K95" i="1"/>
  <c r="K94" i="1"/>
  <c r="K93" i="1"/>
  <c r="K92" i="1"/>
  <c r="K91" i="1"/>
  <c r="K90" i="1"/>
  <c r="K89" i="1"/>
  <c r="K88" i="1"/>
  <c r="K87" i="1"/>
  <c r="K86" i="1"/>
  <c r="K83" i="1"/>
  <c r="K82" i="1"/>
  <c r="K81" i="1"/>
  <c r="K80" i="1"/>
  <c r="K75" i="1"/>
  <c r="K74" i="1"/>
  <c r="K73" i="1"/>
  <c r="K72" i="1"/>
  <c r="K71" i="1"/>
  <c r="K70" i="1"/>
  <c r="K69" i="1"/>
  <c r="K59" i="1"/>
  <c r="K58" i="1"/>
  <c r="K57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2" i="1"/>
  <c r="K21" i="1"/>
  <c r="K20" i="1"/>
  <c r="K19" i="1"/>
  <c r="K18" i="1"/>
  <c r="K17" i="1"/>
  <c r="K16" i="1"/>
  <c r="K14" i="1"/>
  <c r="K13" i="1"/>
  <c r="K12" i="1"/>
  <c r="K11" i="1"/>
  <c r="K10" i="1"/>
  <c r="K9" i="1"/>
  <c r="K8" i="1"/>
  <c r="K7" i="1"/>
  <c r="I112" i="1"/>
  <c r="I111" i="1"/>
  <c r="I110" i="1"/>
  <c r="I109" i="1"/>
  <c r="I108" i="1"/>
  <c r="I106" i="1"/>
  <c r="I105" i="1"/>
  <c r="I95" i="1"/>
  <c r="I94" i="1"/>
  <c r="I93" i="1"/>
  <c r="I92" i="1"/>
  <c r="I91" i="1"/>
  <c r="I90" i="1"/>
  <c r="I89" i="1"/>
  <c r="I88" i="1"/>
  <c r="I87" i="1"/>
  <c r="I86" i="1"/>
  <c r="I83" i="1"/>
  <c r="I82" i="1"/>
  <c r="I81" i="1"/>
  <c r="I80" i="1"/>
  <c r="I75" i="1"/>
  <c r="I74" i="1"/>
  <c r="I73" i="1"/>
  <c r="I72" i="1"/>
  <c r="I71" i="1"/>
  <c r="I70" i="1"/>
  <c r="I69" i="1"/>
  <c r="I59" i="1"/>
  <c r="I58" i="1"/>
  <c r="I57" i="1"/>
  <c r="I56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4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J107" i="1"/>
  <c r="K107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85" i="1"/>
  <c r="K85" i="1" s="1"/>
  <c r="J84" i="1"/>
  <c r="K84" i="1" s="1"/>
  <c r="J79" i="1"/>
  <c r="K79" i="1" s="1"/>
  <c r="J78" i="1"/>
  <c r="K78" i="1" s="1"/>
  <c r="J77" i="1"/>
  <c r="K77" i="1" s="1"/>
  <c r="J76" i="1"/>
  <c r="K76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6" i="1"/>
  <c r="K56" i="1" s="1"/>
  <c r="K55" i="1"/>
  <c r="K25" i="1"/>
  <c r="K24" i="1"/>
  <c r="K23" i="1"/>
  <c r="K15" i="1"/>
  <c r="K6" i="1"/>
  <c r="H107" i="1"/>
  <c r="I107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85" i="1"/>
  <c r="I85" i="1" s="1"/>
  <c r="H84" i="1"/>
  <c r="I84" i="1" s="1"/>
  <c r="H79" i="1"/>
  <c r="I79" i="1" s="1"/>
  <c r="H78" i="1"/>
  <c r="I78" i="1" s="1"/>
  <c r="H77" i="1"/>
  <c r="I77" i="1" s="1"/>
  <c r="H76" i="1"/>
  <c r="I76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I55" i="1"/>
  <c r="I25" i="1"/>
  <c r="I23" i="1"/>
  <c r="I15" i="1"/>
  <c r="I6" i="1"/>
  <c r="AT19" i="4"/>
  <c r="AT18" i="4"/>
  <c r="AT14" i="4"/>
  <c r="AT9" i="4"/>
  <c r="AT5" i="4"/>
  <c r="AR7" i="4"/>
  <c r="AR27" i="4"/>
  <c r="AR31" i="4"/>
  <c r="AR35" i="4"/>
  <c r="AP29" i="4"/>
  <c r="AP33" i="4"/>
  <c r="AP12" i="4"/>
  <c r="AP16" i="4"/>
  <c r="AP20" i="4"/>
  <c r="AP24" i="4"/>
  <c r="AP7" i="4"/>
  <c r="AN5" i="4"/>
  <c r="AN9" i="4"/>
  <c r="AN15" i="4"/>
  <c r="AN19" i="4"/>
  <c r="AN23" i="4"/>
  <c r="AN29" i="4"/>
  <c r="AN33" i="4"/>
  <c r="AL27" i="4"/>
  <c r="AL31" i="4"/>
  <c r="AL35" i="4"/>
  <c r="AL14" i="4"/>
  <c r="AL18" i="4"/>
  <c r="AL22" i="4"/>
  <c r="AL5" i="4"/>
  <c r="AL9" i="4"/>
  <c r="AJ7" i="4"/>
  <c r="AJ13" i="4"/>
  <c r="AJ17" i="4"/>
  <c r="AJ21" i="4"/>
  <c r="AJ27" i="4"/>
  <c r="AJ31" i="4"/>
  <c r="AJ35" i="4"/>
  <c r="AH29" i="4"/>
  <c r="AH33" i="4"/>
  <c r="AP26" i="4"/>
  <c r="AN11" i="4"/>
  <c r="AH11" i="4"/>
  <c r="AH7" i="4"/>
  <c r="AS28" i="4"/>
  <c r="AT28" i="4" s="1"/>
  <c r="AS29" i="4"/>
  <c r="AT29" i="4" s="1"/>
  <c r="AS30" i="4"/>
  <c r="AT30" i="4" s="1"/>
  <c r="AS31" i="4"/>
  <c r="AT31" i="4" s="1"/>
  <c r="AS32" i="4"/>
  <c r="AT32" i="4" s="1"/>
  <c r="AS33" i="4"/>
  <c r="AT33" i="4" s="1"/>
  <c r="AS34" i="4"/>
  <c r="AT34" i="4" s="1"/>
  <c r="AS35" i="4"/>
  <c r="AT35" i="4" s="1"/>
  <c r="AS36" i="4"/>
  <c r="AT36" i="4" s="1"/>
  <c r="AS27" i="4"/>
  <c r="AT27" i="4" s="1"/>
  <c r="AS26" i="4"/>
  <c r="AT26" i="4" s="1"/>
  <c r="AS24" i="4"/>
  <c r="AT24" i="4" s="1"/>
  <c r="AS23" i="4"/>
  <c r="AT23" i="4" s="1"/>
  <c r="AS19" i="4"/>
  <c r="AS20" i="4"/>
  <c r="AT20" i="4" s="1"/>
  <c r="AS21" i="4"/>
  <c r="AT21" i="4" s="1"/>
  <c r="AS22" i="4"/>
  <c r="AT22" i="4" s="1"/>
  <c r="AS18" i="4"/>
  <c r="AS17" i="4"/>
  <c r="AT17" i="4" s="1"/>
  <c r="AS16" i="4"/>
  <c r="AT16" i="4" s="1"/>
  <c r="AS13" i="4"/>
  <c r="AT13" i="4" s="1"/>
  <c r="AS14" i="4"/>
  <c r="AS15" i="4"/>
  <c r="AT15" i="4" s="1"/>
  <c r="AS12" i="4"/>
  <c r="AT12" i="4" s="1"/>
  <c r="AS11" i="4"/>
  <c r="AT11" i="4" s="1"/>
  <c r="AS9" i="4"/>
  <c r="AS6" i="4"/>
  <c r="AT6" i="4" s="1"/>
  <c r="AS7" i="4"/>
  <c r="AT7" i="4" s="1"/>
  <c r="AS8" i="4"/>
  <c r="AT8" i="4" s="1"/>
  <c r="AS5" i="4"/>
  <c r="AS4" i="4"/>
  <c r="AT4" i="4" s="1"/>
  <c r="AS3" i="4"/>
  <c r="AT3" i="4" s="1"/>
  <c r="AQ27" i="4"/>
  <c r="AQ28" i="4"/>
  <c r="AR28" i="4" s="1"/>
  <c r="AQ29" i="4"/>
  <c r="AR29" i="4" s="1"/>
  <c r="AQ30" i="4"/>
  <c r="AR30" i="4" s="1"/>
  <c r="AQ31" i="4"/>
  <c r="AQ32" i="4"/>
  <c r="AR32" i="4" s="1"/>
  <c r="AQ33" i="4"/>
  <c r="AR33" i="4" s="1"/>
  <c r="AQ34" i="4"/>
  <c r="AR34" i="4" s="1"/>
  <c r="AQ35" i="4"/>
  <c r="AQ36" i="4"/>
  <c r="AR36" i="4" s="1"/>
  <c r="AQ12" i="4"/>
  <c r="AR12" i="4" s="1"/>
  <c r="AQ13" i="4"/>
  <c r="AR13" i="4" s="1"/>
  <c r="AQ14" i="4"/>
  <c r="AR14" i="4" s="1"/>
  <c r="AQ15" i="4"/>
  <c r="AR15" i="4" s="1"/>
  <c r="AQ16" i="4"/>
  <c r="AR16" i="4" s="1"/>
  <c r="AQ17" i="4"/>
  <c r="AR17" i="4" s="1"/>
  <c r="AQ18" i="4"/>
  <c r="AR18" i="4" s="1"/>
  <c r="AQ19" i="4"/>
  <c r="AR19" i="4" s="1"/>
  <c r="AQ20" i="4"/>
  <c r="AR20" i="4" s="1"/>
  <c r="AQ21" i="4"/>
  <c r="AR21" i="4" s="1"/>
  <c r="AQ22" i="4"/>
  <c r="AR22" i="4" s="1"/>
  <c r="AQ23" i="4"/>
  <c r="AR23" i="4" s="1"/>
  <c r="AQ24" i="4"/>
  <c r="AR24" i="4" s="1"/>
  <c r="AQ4" i="4"/>
  <c r="AR4" i="4" s="1"/>
  <c r="AQ5" i="4"/>
  <c r="AR5" i="4" s="1"/>
  <c r="AQ6" i="4"/>
  <c r="AR6" i="4" s="1"/>
  <c r="AQ7" i="4"/>
  <c r="AQ8" i="4"/>
  <c r="AR8" i="4" s="1"/>
  <c r="AQ9" i="4"/>
  <c r="AR9" i="4" s="1"/>
  <c r="AQ26" i="4"/>
  <c r="AR26" i="4" s="1"/>
  <c r="AQ11" i="4"/>
  <c r="AR11" i="4" s="1"/>
  <c r="AQ3" i="4"/>
  <c r="AR3" i="4" s="1"/>
  <c r="AO27" i="4"/>
  <c r="AP27" i="4" s="1"/>
  <c r="AO28" i="4"/>
  <c r="AP28" i="4" s="1"/>
  <c r="AO29" i="4"/>
  <c r="AO30" i="4"/>
  <c r="AP30" i="4" s="1"/>
  <c r="AO31" i="4"/>
  <c r="AP31" i="4" s="1"/>
  <c r="AO32" i="4"/>
  <c r="AP32" i="4" s="1"/>
  <c r="AO33" i="4"/>
  <c r="AO34" i="4"/>
  <c r="AP34" i="4" s="1"/>
  <c r="AO35" i="4"/>
  <c r="AP35" i="4" s="1"/>
  <c r="AO36" i="4"/>
  <c r="AP36" i="4" s="1"/>
  <c r="AO12" i="4"/>
  <c r="AO13" i="4"/>
  <c r="AP13" i="4" s="1"/>
  <c r="AO14" i="4"/>
  <c r="AP14" i="4" s="1"/>
  <c r="AO15" i="4"/>
  <c r="AP15" i="4" s="1"/>
  <c r="AO16" i="4"/>
  <c r="AO17" i="4"/>
  <c r="AP17" i="4" s="1"/>
  <c r="AO18" i="4"/>
  <c r="AP18" i="4" s="1"/>
  <c r="AO19" i="4"/>
  <c r="AP19" i="4" s="1"/>
  <c r="AO20" i="4"/>
  <c r="AO21" i="4"/>
  <c r="AP21" i="4" s="1"/>
  <c r="AO22" i="4"/>
  <c r="AP22" i="4" s="1"/>
  <c r="AO23" i="4"/>
  <c r="AP23" i="4" s="1"/>
  <c r="AO24" i="4"/>
  <c r="AO4" i="4"/>
  <c r="AP4" i="4" s="1"/>
  <c r="AO5" i="4"/>
  <c r="AP5" i="4" s="1"/>
  <c r="AO6" i="4"/>
  <c r="AP6" i="4" s="1"/>
  <c r="AO7" i="4"/>
  <c r="AO8" i="4"/>
  <c r="AP8" i="4" s="1"/>
  <c r="AO9" i="4"/>
  <c r="AP9" i="4" s="1"/>
  <c r="AO26" i="4"/>
  <c r="AO11" i="4"/>
  <c r="AP11" i="4" s="1"/>
  <c r="AO3" i="4"/>
  <c r="AP3" i="4" s="1"/>
  <c r="AM27" i="4"/>
  <c r="AN27" i="4" s="1"/>
  <c r="AM28" i="4"/>
  <c r="AN28" i="4" s="1"/>
  <c r="AM29" i="4"/>
  <c r="AM30" i="4"/>
  <c r="AN30" i="4" s="1"/>
  <c r="AM31" i="4"/>
  <c r="AN31" i="4" s="1"/>
  <c r="AM32" i="4"/>
  <c r="AN32" i="4" s="1"/>
  <c r="AM33" i="4"/>
  <c r="AM34" i="4"/>
  <c r="AN34" i="4" s="1"/>
  <c r="AM35" i="4"/>
  <c r="AN35" i="4" s="1"/>
  <c r="AM36" i="4"/>
  <c r="AN36" i="4" s="1"/>
  <c r="AM26" i="4"/>
  <c r="AN26" i="4" s="1"/>
  <c r="AM12" i="4"/>
  <c r="AN12" i="4" s="1"/>
  <c r="AM13" i="4"/>
  <c r="AN13" i="4" s="1"/>
  <c r="AM14" i="4"/>
  <c r="AN14" i="4" s="1"/>
  <c r="AM15" i="4"/>
  <c r="AM16" i="4"/>
  <c r="AN16" i="4" s="1"/>
  <c r="AM17" i="4"/>
  <c r="AN17" i="4" s="1"/>
  <c r="AM18" i="4"/>
  <c r="AN18" i="4" s="1"/>
  <c r="AM19" i="4"/>
  <c r="AM20" i="4"/>
  <c r="AN20" i="4" s="1"/>
  <c r="AM21" i="4"/>
  <c r="AN21" i="4" s="1"/>
  <c r="AM22" i="4"/>
  <c r="AN22" i="4" s="1"/>
  <c r="AM23" i="4"/>
  <c r="AM24" i="4"/>
  <c r="AN24" i="4" s="1"/>
  <c r="AM11" i="4"/>
  <c r="AM4" i="4"/>
  <c r="AN4" i="4" s="1"/>
  <c r="AM5" i="4"/>
  <c r="AM6" i="4"/>
  <c r="AN6" i="4" s="1"/>
  <c r="AM7" i="4"/>
  <c r="AN7" i="4" s="1"/>
  <c r="AM8" i="4"/>
  <c r="AN8" i="4" s="1"/>
  <c r="AM9" i="4"/>
  <c r="AM3" i="4"/>
  <c r="AN3" i="4" s="1"/>
  <c r="AK27" i="4"/>
  <c r="AK28" i="4"/>
  <c r="AL28" i="4" s="1"/>
  <c r="AK29" i="4"/>
  <c r="AL29" i="4" s="1"/>
  <c r="AK30" i="4"/>
  <c r="AL30" i="4" s="1"/>
  <c r="AK31" i="4"/>
  <c r="AK32" i="4"/>
  <c r="AL32" i="4" s="1"/>
  <c r="AK33" i="4"/>
  <c r="AL33" i="4" s="1"/>
  <c r="AK34" i="4"/>
  <c r="AL34" i="4" s="1"/>
  <c r="AK35" i="4"/>
  <c r="AK36" i="4"/>
  <c r="AL36" i="4" s="1"/>
  <c r="AK26" i="4"/>
  <c r="AL26" i="4" s="1"/>
  <c r="AK12" i="4"/>
  <c r="AL12" i="4" s="1"/>
  <c r="AK13" i="4"/>
  <c r="AL13" i="4" s="1"/>
  <c r="AK14" i="4"/>
  <c r="AK15" i="4"/>
  <c r="AL15" i="4" s="1"/>
  <c r="AK16" i="4"/>
  <c r="AL16" i="4" s="1"/>
  <c r="AK17" i="4"/>
  <c r="AL17" i="4" s="1"/>
  <c r="AK18" i="4"/>
  <c r="AK19" i="4"/>
  <c r="AL19" i="4" s="1"/>
  <c r="AK20" i="4"/>
  <c r="AL20" i="4" s="1"/>
  <c r="AK21" i="4"/>
  <c r="AL21" i="4" s="1"/>
  <c r="AK22" i="4"/>
  <c r="AK23" i="4"/>
  <c r="AL23" i="4" s="1"/>
  <c r="AK24" i="4"/>
  <c r="AL24" i="4" s="1"/>
  <c r="AK11" i="4"/>
  <c r="AL11" i="4" s="1"/>
  <c r="AK4" i="4"/>
  <c r="AL4" i="4" s="1"/>
  <c r="AK5" i="4"/>
  <c r="AK6" i="4"/>
  <c r="AL6" i="4" s="1"/>
  <c r="AK7" i="4"/>
  <c r="AL7" i="4" s="1"/>
  <c r="AK8" i="4"/>
  <c r="AL8" i="4" s="1"/>
  <c r="AK9" i="4"/>
  <c r="AK3" i="4"/>
  <c r="AL3" i="4" s="1"/>
  <c r="AI27" i="4"/>
  <c r="AI28" i="4"/>
  <c r="AJ28" i="4" s="1"/>
  <c r="AI29" i="4"/>
  <c r="AJ29" i="4" s="1"/>
  <c r="AI30" i="4"/>
  <c r="AJ30" i="4" s="1"/>
  <c r="AI31" i="4"/>
  <c r="AI32" i="4"/>
  <c r="AJ32" i="4" s="1"/>
  <c r="AI33" i="4"/>
  <c r="AJ33" i="4" s="1"/>
  <c r="AI34" i="4"/>
  <c r="AJ34" i="4" s="1"/>
  <c r="AI35" i="4"/>
  <c r="AI36" i="4"/>
  <c r="AJ36" i="4" s="1"/>
  <c r="AI26" i="4"/>
  <c r="AJ26" i="4" s="1"/>
  <c r="AI12" i="4"/>
  <c r="AJ12" i="4" s="1"/>
  <c r="AI13" i="4"/>
  <c r="AI14" i="4"/>
  <c r="AJ14" i="4" s="1"/>
  <c r="AI15" i="4"/>
  <c r="AJ15" i="4" s="1"/>
  <c r="AI16" i="4"/>
  <c r="AJ16" i="4" s="1"/>
  <c r="AI17" i="4"/>
  <c r="AI18" i="4"/>
  <c r="AJ18" i="4" s="1"/>
  <c r="AI19" i="4"/>
  <c r="AJ19" i="4" s="1"/>
  <c r="AI20" i="4"/>
  <c r="AJ20" i="4" s="1"/>
  <c r="AI21" i="4"/>
  <c r="AI22" i="4"/>
  <c r="AJ22" i="4" s="1"/>
  <c r="AI23" i="4"/>
  <c r="AJ23" i="4" s="1"/>
  <c r="AI24" i="4"/>
  <c r="AJ24" i="4" s="1"/>
  <c r="AI11" i="4"/>
  <c r="AJ11" i="4" s="1"/>
  <c r="AI4" i="4"/>
  <c r="AJ4" i="4" s="1"/>
  <c r="AI5" i="4"/>
  <c r="AJ5" i="4" s="1"/>
  <c r="AI6" i="4"/>
  <c r="AJ6" i="4" s="1"/>
  <c r="AI7" i="4"/>
  <c r="AI8" i="4"/>
  <c r="AJ8" i="4" s="1"/>
  <c r="AI9" i="4"/>
  <c r="AJ9" i="4" s="1"/>
  <c r="AI3" i="4"/>
  <c r="AJ3" i="4" s="1"/>
  <c r="AG27" i="4"/>
  <c r="AH27" i="4" s="1"/>
  <c r="AG28" i="4"/>
  <c r="AH28" i="4" s="1"/>
  <c r="AG29" i="4"/>
  <c r="AG30" i="4"/>
  <c r="AH30" i="4" s="1"/>
  <c r="AG31" i="4"/>
  <c r="AH31" i="4" s="1"/>
  <c r="AG32" i="4"/>
  <c r="AH32" i="4" s="1"/>
  <c r="AG33" i="4"/>
  <c r="AG34" i="4"/>
  <c r="AH34" i="4" s="1"/>
  <c r="AG35" i="4"/>
  <c r="AH35" i="4" s="1"/>
  <c r="AG36" i="4"/>
  <c r="AH36" i="4" s="1"/>
  <c r="AG26" i="4"/>
  <c r="AH26" i="4" s="1"/>
  <c r="AG12" i="4"/>
  <c r="AH12" i="4" s="1"/>
  <c r="AG13" i="4"/>
  <c r="AH13" i="4" s="1"/>
  <c r="AG14" i="4"/>
  <c r="AH14" i="4" s="1"/>
  <c r="AG15" i="4"/>
  <c r="AH15" i="4" s="1"/>
  <c r="AG16" i="4"/>
  <c r="AH16" i="4" s="1"/>
  <c r="AG17" i="4"/>
  <c r="AH17" i="4" s="1"/>
  <c r="AG18" i="4"/>
  <c r="AH18" i="4" s="1"/>
  <c r="AG19" i="4"/>
  <c r="AH19" i="4" s="1"/>
  <c r="AG20" i="4"/>
  <c r="AH20" i="4" s="1"/>
  <c r="AG21" i="4"/>
  <c r="AH21" i="4" s="1"/>
  <c r="AG22" i="4"/>
  <c r="AH22" i="4" s="1"/>
  <c r="AG23" i="4"/>
  <c r="AH23" i="4" s="1"/>
  <c r="AG24" i="4"/>
  <c r="AH24" i="4" s="1"/>
  <c r="AG11" i="4"/>
  <c r="AG4" i="4"/>
  <c r="AH4" i="4" s="1"/>
  <c r="AG5" i="4"/>
  <c r="AH5" i="4" s="1"/>
  <c r="AG6" i="4"/>
  <c r="AH6" i="4" s="1"/>
  <c r="AG7" i="4"/>
  <c r="AG8" i="4"/>
  <c r="AH8" i="4" s="1"/>
  <c r="AG9" i="4"/>
  <c r="AH9" i="4" s="1"/>
  <c r="AG3" i="4"/>
  <c r="AH3" i="4" s="1"/>
  <c r="AE34" i="4"/>
  <c r="AE6" i="4"/>
  <c r="AD28" i="4"/>
  <c r="AE28" i="4" s="1"/>
  <c r="AD29" i="4"/>
  <c r="AE29" i="4" s="1"/>
  <c r="AD30" i="4"/>
  <c r="AE30" i="4" s="1"/>
  <c r="AD31" i="4"/>
  <c r="AE31" i="4" s="1"/>
  <c r="AD32" i="4"/>
  <c r="AE32" i="4" s="1"/>
  <c r="AD33" i="4"/>
  <c r="AE33" i="4" s="1"/>
  <c r="AD34" i="4"/>
  <c r="AD35" i="4"/>
  <c r="AE35" i="4" s="1"/>
  <c r="AD36" i="4"/>
  <c r="AE36" i="4" s="1"/>
  <c r="AD27" i="4"/>
  <c r="AE27" i="4" s="1"/>
  <c r="AD26" i="4"/>
  <c r="AE26" i="4" s="1"/>
  <c r="AD24" i="4"/>
  <c r="AE24" i="4" s="1"/>
  <c r="AD23" i="4"/>
  <c r="AE23" i="4" s="1"/>
  <c r="AD22" i="4"/>
  <c r="AE22" i="4" s="1"/>
  <c r="AD21" i="4"/>
  <c r="AE21" i="4" s="1"/>
  <c r="AD20" i="4"/>
  <c r="AE20" i="4" s="1"/>
  <c r="AD19" i="4"/>
  <c r="AE19" i="4" s="1"/>
  <c r="AD18" i="4"/>
  <c r="AE18" i="4" s="1"/>
  <c r="AD17" i="4"/>
  <c r="AE17" i="4" s="1"/>
  <c r="AD16" i="4"/>
  <c r="AE16" i="4" s="1"/>
  <c r="AD15" i="4"/>
  <c r="AE15" i="4" s="1"/>
  <c r="AD12" i="4"/>
  <c r="AE12" i="4" s="1"/>
  <c r="AD13" i="4"/>
  <c r="AE13" i="4" s="1"/>
  <c r="AD14" i="4"/>
  <c r="AE14" i="4" s="1"/>
  <c r="AD11" i="4"/>
  <c r="AE11" i="4" s="1"/>
  <c r="AD9" i="4"/>
  <c r="AE9" i="4" s="1"/>
  <c r="AD8" i="4"/>
  <c r="AE8" i="4" s="1"/>
  <c r="AD7" i="4"/>
  <c r="AE7" i="4" s="1"/>
  <c r="AD6" i="4"/>
  <c r="AD5" i="4"/>
  <c r="AE5" i="4" s="1"/>
  <c r="AD4" i="4"/>
  <c r="AE4" i="4" s="1"/>
  <c r="AD3" i="4"/>
  <c r="AE3" i="4" s="1"/>
  <c r="AB27" i="4"/>
  <c r="AC27" i="4" s="1"/>
  <c r="AB28" i="4"/>
  <c r="AC28" i="4" s="1"/>
  <c r="AB29" i="4"/>
  <c r="AC29" i="4" s="1"/>
  <c r="AB30" i="4"/>
  <c r="AC30" i="4" s="1"/>
  <c r="AB31" i="4"/>
  <c r="AC31" i="4" s="1"/>
  <c r="AB32" i="4"/>
  <c r="AC32" i="4" s="1"/>
  <c r="AB33" i="4"/>
  <c r="AC33" i="4" s="1"/>
  <c r="AB34" i="4"/>
  <c r="AC34" i="4" s="1"/>
  <c r="AB35" i="4"/>
  <c r="AC35" i="4" s="1"/>
  <c r="AB36" i="4"/>
  <c r="AC36" i="4" s="1"/>
  <c r="AB26" i="4"/>
  <c r="AC26" i="4" s="1"/>
  <c r="AB12" i="4"/>
  <c r="AC12" i="4" s="1"/>
  <c r="AB13" i="4"/>
  <c r="AC13" i="4" s="1"/>
  <c r="AB14" i="4"/>
  <c r="AC14" i="4" s="1"/>
  <c r="AB15" i="4"/>
  <c r="AC15" i="4" s="1"/>
  <c r="AB16" i="4"/>
  <c r="AC16" i="4" s="1"/>
  <c r="AB17" i="4"/>
  <c r="AC17" i="4" s="1"/>
  <c r="AB18" i="4"/>
  <c r="AC18" i="4" s="1"/>
  <c r="AB19" i="4"/>
  <c r="AC19" i="4" s="1"/>
  <c r="AB20" i="4"/>
  <c r="AC20" i="4" s="1"/>
  <c r="AB21" i="4"/>
  <c r="AC21" i="4" s="1"/>
  <c r="AB22" i="4"/>
  <c r="AC22" i="4" s="1"/>
  <c r="AB23" i="4"/>
  <c r="AC23" i="4" s="1"/>
  <c r="AB24" i="4"/>
  <c r="AC24" i="4" s="1"/>
  <c r="AB11" i="4"/>
  <c r="AC11" i="4" s="1"/>
  <c r="AB4" i="4"/>
  <c r="AC4" i="4" s="1"/>
  <c r="AB5" i="4"/>
  <c r="AC5" i="4" s="1"/>
  <c r="AB6" i="4"/>
  <c r="AC6" i="4" s="1"/>
  <c r="AB7" i="4"/>
  <c r="AC7" i="4" s="1"/>
  <c r="AB8" i="4"/>
  <c r="AC8" i="4" s="1"/>
  <c r="AB9" i="4"/>
  <c r="AC9" i="4" s="1"/>
  <c r="AB3" i="4"/>
  <c r="AC3" i="4" s="1"/>
  <c r="Z27" i="4"/>
  <c r="AA27" i="4" s="1"/>
  <c r="Z28" i="4"/>
  <c r="AA28" i="4" s="1"/>
  <c r="Z29" i="4"/>
  <c r="AA29" i="4" s="1"/>
  <c r="Z30" i="4"/>
  <c r="AA30" i="4" s="1"/>
  <c r="Z31" i="4"/>
  <c r="AA31" i="4" s="1"/>
  <c r="Z32" i="4"/>
  <c r="AA32" i="4" s="1"/>
  <c r="Z33" i="4"/>
  <c r="AA33" i="4" s="1"/>
  <c r="Z34" i="4"/>
  <c r="AA34" i="4" s="1"/>
  <c r="Z35" i="4"/>
  <c r="AA35" i="4" s="1"/>
  <c r="Z36" i="4"/>
  <c r="AA36" i="4" s="1"/>
  <c r="Z26" i="4"/>
  <c r="AA26" i="4" s="1"/>
  <c r="Z12" i="4"/>
  <c r="AA12" i="4" s="1"/>
  <c r="Z13" i="4"/>
  <c r="AA13" i="4" s="1"/>
  <c r="Z14" i="4"/>
  <c r="AA14" i="4" s="1"/>
  <c r="Z15" i="4"/>
  <c r="AA15" i="4" s="1"/>
  <c r="Z16" i="4"/>
  <c r="AA16" i="4" s="1"/>
  <c r="Z17" i="4"/>
  <c r="AA17" i="4" s="1"/>
  <c r="Z18" i="4"/>
  <c r="AA18" i="4" s="1"/>
  <c r="Z19" i="4"/>
  <c r="AA19" i="4" s="1"/>
  <c r="Z20" i="4"/>
  <c r="AA20" i="4" s="1"/>
  <c r="Z21" i="4"/>
  <c r="AA21" i="4" s="1"/>
  <c r="Z22" i="4"/>
  <c r="AA22" i="4" s="1"/>
  <c r="Z23" i="4"/>
  <c r="AA23" i="4" s="1"/>
  <c r="Z24" i="4"/>
  <c r="AA24" i="4" s="1"/>
  <c r="Z11" i="4"/>
  <c r="AA11" i="4" s="1"/>
  <c r="Z4" i="4"/>
  <c r="AA4" i="4" s="1"/>
  <c r="Z5" i="4"/>
  <c r="AA5" i="4" s="1"/>
  <c r="Z6" i="4"/>
  <c r="AA6" i="4" s="1"/>
  <c r="Z7" i="4"/>
  <c r="AA7" i="4" s="1"/>
  <c r="Z8" i="4"/>
  <c r="AA8" i="4" s="1"/>
  <c r="Z9" i="4"/>
  <c r="AA9" i="4" s="1"/>
  <c r="Z3" i="4"/>
  <c r="AA3" i="4" s="1"/>
  <c r="X27" i="4"/>
  <c r="Y27" i="4" s="1"/>
  <c r="X28" i="4"/>
  <c r="Y28" i="4" s="1"/>
  <c r="X29" i="4"/>
  <c r="Y29" i="4" s="1"/>
  <c r="X30" i="4"/>
  <c r="Y30" i="4" s="1"/>
  <c r="X31" i="4"/>
  <c r="Y31" i="4" s="1"/>
  <c r="X32" i="4"/>
  <c r="Y32" i="4" s="1"/>
  <c r="X33" i="4"/>
  <c r="Y33" i="4" s="1"/>
  <c r="X34" i="4"/>
  <c r="Y34" i="4" s="1"/>
  <c r="X35" i="4"/>
  <c r="Y35" i="4" s="1"/>
  <c r="X36" i="4"/>
  <c r="Y36" i="4" s="1"/>
  <c r="X26" i="4"/>
  <c r="Y26" i="4" s="1"/>
  <c r="X12" i="4"/>
  <c r="Y12" i="4" s="1"/>
  <c r="X13" i="4"/>
  <c r="Y13" i="4" s="1"/>
  <c r="X14" i="4"/>
  <c r="Y14" i="4" s="1"/>
  <c r="X15" i="4"/>
  <c r="Y15" i="4" s="1"/>
  <c r="X16" i="4"/>
  <c r="Y16" i="4" s="1"/>
  <c r="X17" i="4"/>
  <c r="Y17" i="4" s="1"/>
  <c r="X18" i="4"/>
  <c r="Y18" i="4" s="1"/>
  <c r="X19" i="4"/>
  <c r="Y19" i="4" s="1"/>
  <c r="X20" i="4"/>
  <c r="Y20" i="4" s="1"/>
  <c r="X21" i="4"/>
  <c r="Y21" i="4" s="1"/>
  <c r="X22" i="4"/>
  <c r="Y22" i="4" s="1"/>
  <c r="X23" i="4"/>
  <c r="Y23" i="4" s="1"/>
  <c r="X24" i="4"/>
  <c r="Y24" i="4" s="1"/>
  <c r="X11" i="4"/>
  <c r="Y11" i="4" s="1"/>
  <c r="X4" i="4"/>
  <c r="Y4" i="4" s="1"/>
  <c r="X5" i="4"/>
  <c r="Y5" i="4" s="1"/>
  <c r="X6" i="4"/>
  <c r="Y6" i="4" s="1"/>
  <c r="X7" i="4"/>
  <c r="Y7" i="4" s="1"/>
  <c r="X8" i="4"/>
  <c r="Y8" i="4" s="1"/>
  <c r="X9" i="4"/>
  <c r="Y9" i="4" s="1"/>
  <c r="X3" i="4"/>
  <c r="Y3" i="4" s="1"/>
  <c r="V27" i="4"/>
  <c r="W27" i="4" s="1"/>
  <c r="V28" i="4"/>
  <c r="W28" i="4" s="1"/>
  <c r="V29" i="4"/>
  <c r="W29" i="4" s="1"/>
  <c r="V30" i="4"/>
  <c r="W30" i="4" s="1"/>
  <c r="V31" i="4"/>
  <c r="W31" i="4" s="1"/>
  <c r="V32" i="4"/>
  <c r="W32" i="4" s="1"/>
  <c r="V33" i="4"/>
  <c r="W33" i="4" s="1"/>
  <c r="V34" i="4"/>
  <c r="W34" i="4" s="1"/>
  <c r="V35" i="4"/>
  <c r="W35" i="4" s="1"/>
  <c r="V36" i="4"/>
  <c r="W36" i="4" s="1"/>
  <c r="V26" i="4"/>
  <c r="W26" i="4" s="1"/>
  <c r="V12" i="4"/>
  <c r="W12" i="4" s="1"/>
  <c r="V13" i="4"/>
  <c r="W13" i="4" s="1"/>
  <c r="V14" i="4"/>
  <c r="W14" i="4" s="1"/>
  <c r="V15" i="4"/>
  <c r="W15" i="4" s="1"/>
  <c r="V16" i="4"/>
  <c r="W16" i="4" s="1"/>
  <c r="V17" i="4"/>
  <c r="W17" i="4" s="1"/>
  <c r="V18" i="4"/>
  <c r="W18" i="4" s="1"/>
  <c r="V19" i="4"/>
  <c r="W19" i="4" s="1"/>
  <c r="V20" i="4"/>
  <c r="W20" i="4" s="1"/>
  <c r="V21" i="4"/>
  <c r="W21" i="4" s="1"/>
  <c r="V22" i="4"/>
  <c r="W22" i="4" s="1"/>
  <c r="V23" i="4"/>
  <c r="W23" i="4" s="1"/>
  <c r="V24" i="4"/>
  <c r="W24" i="4" s="1"/>
  <c r="V11" i="4"/>
  <c r="W11" i="4" s="1"/>
  <c r="V9" i="4"/>
  <c r="W9" i="4" s="1"/>
  <c r="V4" i="4"/>
  <c r="W4" i="4" s="1"/>
  <c r="V5" i="4"/>
  <c r="W5" i="4" s="1"/>
  <c r="V6" i="4"/>
  <c r="W6" i="4" s="1"/>
  <c r="V7" i="4"/>
  <c r="W7" i="4" s="1"/>
  <c r="V8" i="4"/>
  <c r="W8" i="4" s="1"/>
  <c r="V3" i="4"/>
  <c r="W3" i="4" s="1"/>
  <c r="T27" i="4"/>
  <c r="U27" i="4" s="1"/>
  <c r="T28" i="4"/>
  <c r="U28" i="4" s="1"/>
  <c r="T29" i="4"/>
  <c r="U29" i="4" s="1"/>
  <c r="T30" i="4"/>
  <c r="U30" i="4" s="1"/>
  <c r="T31" i="4"/>
  <c r="U31" i="4" s="1"/>
  <c r="T32" i="4"/>
  <c r="U32" i="4" s="1"/>
  <c r="T33" i="4"/>
  <c r="U33" i="4" s="1"/>
  <c r="T34" i="4"/>
  <c r="U34" i="4" s="1"/>
  <c r="T35" i="4"/>
  <c r="U35" i="4" s="1"/>
  <c r="T36" i="4"/>
  <c r="U36" i="4" s="1"/>
  <c r="T26" i="4"/>
  <c r="U26" i="4" s="1"/>
  <c r="T12" i="4"/>
  <c r="U12" i="4" s="1"/>
  <c r="T13" i="4"/>
  <c r="U13" i="4" s="1"/>
  <c r="T14" i="4"/>
  <c r="U14" i="4" s="1"/>
  <c r="T15" i="4"/>
  <c r="U15" i="4" s="1"/>
  <c r="T16" i="4"/>
  <c r="U16" i="4" s="1"/>
  <c r="T17" i="4"/>
  <c r="U17" i="4" s="1"/>
  <c r="T18" i="4"/>
  <c r="U18" i="4" s="1"/>
  <c r="T19" i="4"/>
  <c r="U19" i="4" s="1"/>
  <c r="T20" i="4"/>
  <c r="U20" i="4" s="1"/>
  <c r="T21" i="4"/>
  <c r="U21" i="4" s="1"/>
  <c r="T22" i="4"/>
  <c r="U22" i="4" s="1"/>
  <c r="T23" i="4"/>
  <c r="U23" i="4" s="1"/>
  <c r="T24" i="4"/>
  <c r="U24" i="4" s="1"/>
  <c r="T11" i="4"/>
  <c r="U11" i="4" s="1"/>
  <c r="T9" i="4"/>
  <c r="U9" i="4" s="1"/>
  <c r="T4" i="4"/>
  <c r="U4" i="4" s="1"/>
  <c r="T5" i="4"/>
  <c r="T6" i="4"/>
  <c r="U6" i="4" s="1"/>
  <c r="T7" i="4"/>
  <c r="T8" i="4"/>
  <c r="U8" i="4" s="1"/>
  <c r="T3" i="4"/>
  <c r="U3" i="4" s="1"/>
  <c r="U5" i="4"/>
  <c r="U7" i="4"/>
  <c r="R27" i="4"/>
  <c r="S27" i="4" s="1"/>
  <c r="R28" i="4"/>
  <c r="S28" i="4" s="1"/>
  <c r="R29" i="4"/>
  <c r="S29" i="4" s="1"/>
  <c r="R30" i="4"/>
  <c r="S30" i="4" s="1"/>
  <c r="R31" i="4"/>
  <c r="S31" i="4" s="1"/>
  <c r="R32" i="4"/>
  <c r="S32" i="4" s="1"/>
  <c r="R33" i="4"/>
  <c r="S33" i="4" s="1"/>
  <c r="R34" i="4"/>
  <c r="S34" i="4" s="1"/>
  <c r="R35" i="4"/>
  <c r="S35" i="4" s="1"/>
  <c r="R36" i="4"/>
  <c r="S36" i="4" s="1"/>
  <c r="R26" i="4"/>
  <c r="S26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R20" i="4"/>
  <c r="S20" i="4" s="1"/>
  <c r="R21" i="4"/>
  <c r="S21" i="4" s="1"/>
  <c r="R22" i="4"/>
  <c r="S22" i="4" s="1"/>
  <c r="R23" i="4"/>
  <c r="S23" i="4" s="1"/>
  <c r="R24" i="4"/>
  <c r="S24" i="4" s="1"/>
  <c r="R11" i="4"/>
  <c r="S11" i="4" s="1"/>
  <c r="R4" i="4"/>
  <c r="S4" i="4" s="1"/>
  <c r="R5" i="4"/>
  <c r="S5" i="4" s="1"/>
  <c r="R6" i="4"/>
  <c r="S6" i="4" s="1"/>
  <c r="R7" i="4"/>
  <c r="S7" i="4" s="1"/>
  <c r="R8" i="4"/>
  <c r="S8" i="4" s="1"/>
  <c r="R9" i="4"/>
  <c r="S9" i="4" s="1"/>
  <c r="R3" i="4"/>
  <c r="S3" i="4" s="1"/>
  <c r="O36" i="4"/>
  <c r="P36" i="4" s="1"/>
  <c r="O35" i="4"/>
  <c r="P35" i="4" s="1"/>
  <c r="O34" i="4"/>
  <c r="P34" i="4" s="1"/>
  <c r="O33" i="4"/>
  <c r="P33" i="4" s="1"/>
  <c r="O32" i="4"/>
  <c r="P32" i="4" s="1"/>
  <c r="O31" i="4"/>
  <c r="P31" i="4" s="1"/>
  <c r="O30" i="4"/>
  <c r="P30" i="4" s="1"/>
  <c r="O29" i="4"/>
  <c r="P29" i="4" s="1"/>
  <c r="O28" i="4"/>
  <c r="O27" i="4"/>
  <c r="P27" i="4" s="1"/>
  <c r="O26" i="4"/>
  <c r="P26" i="4" s="1"/>
  <c r="O24" i="4"/>
  <c r="P24" i="4" s="1"/>
  <c r="O23" i="4"/>
  <c r="P23" i="4" s="1"/>
  <c r="O22" i="4"/>
  <c r="P22" i="4" s="1"/>
  <c r="O21" i="4"/>
  <c r="P21" i="4" s="1"/>
  <c r="O20" i="4"/>
  <c r="P20" i="4" s="1"/>
  <c r="O19" i="4"/>
  <c r="P19" i="4" s="1"/>
  <c r="O18" i="4"/>
  <c r="P18" i="4" s="1"/>
  <c r="O17" i="4"/>
  <c r="P17" i="4" s="1"/>
  <c r="O16" i="4"/>
  <c r="P16" i="4" s="1"/>
  <c r="O15" i="4"/>
  <c r="P15" i="4" s="1"/>
  <c r="O14" i="4"/>
  <c r="P14" i="4" s="1"/>
  <c r="O13" i="4"/>
  <c r="P13" i="4" s="1"/>
  <c r="O12" i="4"/>
  <c r="P12" i="4" s="1"/>
  <c r="O11" i="4"/>
  <c r="P11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" i="4"/>
  <c r="P3" i="4" s="1"/>
  <c r="P28" i="4"/>
  <c r="C27" i="4" l="1"/>
  <c r="C28" i="4"/>
  <c r="C29" i="4"/>
  <c r="C30" i="4"/>
  <c r="C31" i="4"/>
  <c r="C32" i="4"/>
  <c r="C33" i="4"/>
  <c r="C34" i="4"/>
  <c r="C35" i="4"/>
  <c r="C36" i="4"/>
  <c r="C16" i="4"/>
  <c r="C17" i="4"/>
  <c r="C18" i="4"/>
  <c r="C19" i="4"/>
  <c r="C20" i="4"/>
  <c r="C21" i="4"/>
  <c r="C22" i="4"/>
  <c r="C23" i="4"/>
  <c r="C24" i="4"/>
  <c r="M27" i="4" l="1"/>
  <c r="N27" i="4" s="1"/>
  <c r="M28" i="4"/>
  <c r="N28" i="4" s="1"/>
  <c r="M29" i="4"/>
  <c r="N29" i="4" s="1"/>
  <c r="M30" i="4"/>
  <c r="N30" i="4" s="1"/>
  <c r="M31" i="4"/>
  <c r="N31" i="4" s="1"/>
  <c r="M32" i="4"/>
  <c r="M33" i="4"/>
  <c r="N33" i="4" s="1"/>
  <c r="M34" i="4"/>
  <c r="N34" i="4" s="1"/>
  <c r="M35" i="4"/>
  <c r="N35" i="4" s="1"/>
  <c r="M36" i="4"/>
  <c r="K27" i="4"/>
  <c r="K28" i="4"/>
  <c r="L28" i="4" s="1"/>
  <c r="K29" i="4"/>
  <c r="K30" i="4"/>
  <c r="L30" i="4" s="1"/>
  <c r="K31" i="4"/>
  <c r="L31" i="4" s="1"/>
  <c r="K32" i="4"/>
  <c r="L32" i="4" s="1"/>
  <c r="K33" i="4"/>
  <c r="K34" i="4"/>
  <c r="L34" i="4" s="1"/>
  <c r="K35" i="4"/>
  <c r="K36" i="4"/>
  <c r="L36" i="4" s="1"/>
  <c r="I27" i="4"/>
  <c r="I28" i="4"/>
  <c r="I29" i="4"/>
  <c r="I30" i="4"/>
  <c r="J30" i="4" s="1"/>
  <c r="I31" i="4"/>
  <c r="I32" i="4"/>
  <c r="J32" i="4" s="1"/>
  <c r="I33" i="4"/>
  <c r="J33" i="4" s="1"/>
  <c r="I34" i="4"/>
  <c r="J34" i="4" s="1"/>
  <c r="I35" i="4"/>
  <c r="I36" i="4"/>
  <c r="G27" i="4"/>
  <c r="H27" i="4" s="1"/>
  <c r="G28" i="4"/>
  <c r="H28" i="4" s="1"/>
  <c r="G29" i="4"/>
  <c r="G30" i="4"/>
  <c r="H30" i="4" s="1"/>
  <c r="G31" i="4"/>
  <c r="G32" i="4"/>
  <c r="H32" i="4" s="1"/>
  <c r="G33" i="4"/>
  <c r="G34" i="4"/>
  <c r="H34" i="4" s="1"/>
  <c r="G35" i="4"/>
  <c r="H35" i="4" s="1"/>
  <c r="G36" i="4"/>
  <c r="H36" i="4" s="1"/>
  <c r="E27" i="4"/>
  <c r="E28" i="4"/>
  <c r="E29" i="4"/>
  <c r="F29" i="4" s="1"/>
  <c r="E30" i="4"/>
  <c r="F30" i="4" s="1"/>
  <c r="E31" i="4"/>
  <c r="E32" i="4"/>
  <c r="E33" i="4"/>
  <c r="E34" i="4"/>
  <c r="F34" i="4" s="1"/>
  <c r="E35" i="4"/>
  <c r="E36" i="4"/>
  <c r="M26" i="4"/>
  <c r="N26" i="4" s="1"/>
  <c r="K26" i="4"/>
  <c r="L26" i="4" s="1"/>
  <c r="I26" i="4"/>
  <c r="G26" i="4"/>
  <c r="H26" i="4" s="1"/>
  <c r="E26" i="4"/>
  <c r="F26" i="4" s="1"/>
  <c r="C26" i="4"/>
  <c r="D26" i="4" s="1"/>
  <c r="M12" i="4"/>
  <c r="M13" i="4"/>
  <c r="M14" i="4"/>
  <c r="M15" i="4"/>
  <c r="N15" i="4" s="1"/>
  <c r="M16" i="4"/>
  <c r="M17" i="4"/>
  <c r="N17" i="4" s="1"/>
  <c r="M18" i="4"/>
  <c r="N18" i="4" s="1"/>
  <c r="M19" i="4"/>
  <c r="N19" i="4" s="1"/>
  <c r="M20" i="4"/>
  <c r="M21" i="4"/>
  <c r="M22" i="4"/>
  <c r="N22" i="4" s="1"/>
  <c r="M23" i="4"/>
  <c r="N23" i="4" s="1"/>
  <c r="M24" i="4"/>
  <c r="M11" i="4"/>
  <c r="N11" i="4" s="1"/>
  <c r="K12" i="4"/>
  <c r="L12" i="4" s="1"/>
  <c r="K13" i="4"/>
  <c r="L13" i="4" s="1"/>
  <c r="K14" i="4"/>
  <c r="K15" i="4"/>
  <c r="K16" i="4"/>
  <c r="L16" i="4" s="1"/>
  <c r="K17" i="4"/>
  <c r="L17" i="4" s="1"/>
  <c r="K18" i="4"/>
  <c r="K19" i="4"/>
  <c r="K20" i="4"/>
  <c r="K21" i="4"/>
  <c r="L21" i="4" s="1"/>
  <c r="K22" i="4"/>
  <c r="K23" i="4"/>
  <c r="K24" i="4"/>
  <c r="K11" i="4"/>
  <c r="L11" i="4" s="1"/>
  <c r="I12" i="4"/>
  <c r="I13" i="4"/>
  <c r="J13" i="4" s="1"/>
  <c r="I14" i="4"/>
  <c r="J14" i="4" s="1"/>
  <c r="I15" i="4"/>
  <c r="J15" i="4" s="1"/>
  <c r="I16" i="4"/>
  <c r="I17" i="4"/>
  <c r="J17" i="4" s="1"/>
  <c r="I18" i="4"/>
  <c r="J18" i="4" s="1"/>
  <c r="I19" i="4"/>
  <c r="J19" i="4" s="1"/>
  <c r="I20" i="4"/>
  <c r="I21" i="4"/>
  <c r="J21" i="4" s="1"/>
  <c r="I22" i="4"/>
  <c r="J22" i="4" s="1"/>
  <c r="I23" i="4"/>
  <c r="J23" i="4" s="1"/>
  <c r="I24" i="4"/>
  <c r="I11" i="4"/>
  <c r="J11" i="4" s="1"/>
  <c r="G12" i="4"/>
  <c r="H12" i="4" s="1"/>
  <c r="G13" i="4"/>
  <c r="H13" i="4" s="1"/>
  <c r="G14" i="4"/>
  <c r="G15" i="4"/>
  <c r="H15" i="4" s="1"/>
  <c r="G16" i="4"/>
  <c r="H16" i="4" s="1"/>
  <c r="G17" i="4"/>
  <c r="H17" i="4" s="1"/>
  <c r="G18" i="4"/>
  <c r="G19" i="4"/>
  <c r="H19" i="4" s="1"/>
  <c r="G20" i="4"/>
  <c r="H20" i="4" s="1"/>
  <c r="G21" i="4"/>
  <c r="H21" i="4" s="1"/>
  <c r="G22" i="4"/>
  <c r="G23" i="4"/>
  <c r="H23" i="4" s="1"/>
  <c r="G24" i="4"/>
  <c r="H24" i="4" s="1"/>
  <c r="G11" i="4"/>
  <c r="H11" i="4" s="1"/>
  <c r="E12" i="4"/>
  <c r="E13" i="4"/>
  <c r="E14" i="4"/>
  <c r="F14" i="4" s="1"/>
  <c r="E15" i="4"/>
  <c r="F15" i="4" s="1"/>
  <c r="E16" i="4"/>
  <c r="E17" i="4"/>
  <c r="E18" i="4"/>
  <c r="E19" i="4"/>
  <c r="F19" i="4" s="1"/>
  <c r="E20" i="4"/>
  <c r="E21" i="4"/>
  <c r="E22" i="4"/>
  <c r="E23" i="4"/>
  <c r="F23" i="4" s="1"/>
  <c r="E24" i="4"/>
  <c r="E11" i="4"/>
  <c r="F11" i="4" s="1"/>
  <c r="C12" i="4"/>
  <c r="D12" i="4" s="1"/>
  <c r="C13" i="4"/>
  <c r="D13" i="4" s="1"/>
  <c r="C14" i="4"/>
  <c r="C15" i="4"/>
  <c r="C11" i="4"/>
  <c r="D11" i="4" s="1"/>
  <c r="M4" i="4"/>
  <c r="N4" i="4" s="1"/>
  <c r="M5" i="4"/>
  <c r="M6" i="4"/>
  <c r="M7" i="4"/>
  <c r="N7" i="4" s="1"/>
  <c r="M8" i="4"/>
  <c r="N8" i="4" s="1"/>
  <c r="M9" i="4"/>
  <c r="M3" i="4"/>
  <c r="N3" i="4" s="1"/>
  <c r="K4" i="4"/>
  <c r="L4" i="4" s="1"/>
  <c r="K5" i="4"/>
  <c r="L5" i="4" s="1"/>
  <c r="K6" i="4"/>
  <c r="K7" i="4"/>
  <c r="L7" i="4" s="1"/>
  <c r="K8" i="4"/>
  <c r="K9" i="4"/>
  <c r="L9" i="4" s="1"/>
  <c r="K3" i="4"/>
  <c r="L3" i="4" s="1"/>
  <c r="I4" i="4"/>
  <c r="I5" i="4"/>
  <c r="J5" i="4" s="1"/>
  <c r="I6" i="4"/>
  <c r="J6" i="4" s="1"/>
  <c r="I7" i="4"/>
  <c r="J7" i="4" s="1"/>
  <c r="I8" i="4"/>
  <c r="I9" i="4"/>
  <c r="I3" i="4"/>
  <c r="J3" i="4" s="1"/>
  <c r="G4" i="4"/>
  <c r="G5" i="4"/>
  <c r="H5" i="4" s="1"/>
  <c r="G6" i="4"/>
  <c r="H6" i="4" s="1"/>
  <c r="G7" i="4"/>
  <c r="H7" i="4" s="1"/>
  <c r="G8" i="4"/>
  <c r="G9" i="4"/>
  <c r="G3" i="4"/>
  <c r="H3" i="4" s="1"/>
  <c r="E4" i="4"/>
  <c r="F4" i="4" s="1"/>
  <c r="E5" i="4"/>
  <c r="E6" i="4"/>
  <c r="E7" i="4"/>
  <c r="E8" i="4"/>
  <c r="F8" i="4" s="1"/>
  <c r="E9" i="4"/>
  <c r="E3" i="4"/>
  <c r="F3" i="4" s="1"/>
  <c r="F7" i="4"/>
  <c r="C4" i="4"/>
  <c r="D4" i="4" s="1"/>
  <c r="C5" i="4"/>
  <c r="C6" i="4"/>
  <c r="D6" i="4" s="1"/>
  <c r="C7" i="4"/>
  <c r="D7" i="4" s="1"/>
  <c r="C8" i="4"/>
  <c r="D8" i="4" s="1"/>
  <c r="C9" i="4"/>
  <c r="C3" i="4"/>
  <c r="D3" i="4" s="1"/>
  <c r="D9" i="4"/>
  <c r="N32" i="4"/>
  <c r="N36" i="4"/>
  <c r="L27" i="4"/>
  <c r="L29" i="4"/>
  <c r="L33" i="4"/>
  <c r="L35" i="4"/>
  <c r="J27" i="4"/>
  <c r="J28" i="4"/>
  <c r="J29" i="4"/>
  <c r="J31" i="4"/>
  <c r="J35" i="4"/>
  <c r="J36" i="4"/>
  <c r="H29" i="4"/>
  <c r="H31" i="4"/>
  <c r="H33" i="4"/>
  <c r="J26" i="4"/>
  <c r="F27" i="4"/>
  <c r="F28" i="4"/>
  <c r="F31" i="4"/>
  <c r="F32" i="4"/>
  <c r="F33" i="4"/>
  <c r="F35" i="4"/>
  <c r="F36" i="4"/>
  <c r="D27" i="4"/>
  <c r="D28" i="4"/>
  <c r="D29" i="4"/>
  <c r="D30" i="4"/>
  <c r="D31" i="4"/>
  <c r="D32" i="4"/>
  <c r="D33" i="4"/>
  <c r="D34" i="4"/>
  <c r="D35" i="4"/>
  <c r="D36" i="4"/>
  <c r="N12" i="4"/>
  <c r="N13" i="4"/>
  <c r="N14" i="4"/>
  <c r="N16" i="4"/>
  <c r="N20" i="4"/>
  <c r="N21" i="4"/>
  <c r="N24" i="4"/>
  <c r="N5" i="4"/>
  <c r="N6" i="4"/>
  <c r="N9" i="4"/>
  <c r="L14" i="4"/>
  <c r="L15" i="4"/>
  <c r="L18" i="4"/>
  <c r="L19" i="4"/>
  <c r="L20" i="4"/>
  <c r="L22" i="4"/>
  <c r="L23" i="4"/>
  <c r="L24" i="4"/>
  <c r="J12" i="4"/>
  <c r="J16" i="4"/>
  <c r="J20" i="4"/>
  <c r="J24" i="4"/>
  <c r="H14" i="4"/>
  <c r="H18" i="4"/>
  <c r="H22" i="4"/>
  <c r="F12" i="4"/>
  <c r="F13" i="4"/>
  <c r="F16" i="4"/>
  <c r="F17" i="4"/>
  <c r="F18" i="4"/>
  <c r="F20" i="4"/>
  <c r="F21" i="4"/>
  <c r="F22" i="4"/>
  <c r="F24" i="4"/>
  <c r="D14" i="4"/>
  <c r="D15" i="4"/>
  <c r="D16" i="4"/>
  <c r="D17" i="4"/>
  <c r="D18" i="4"/>
  <c r="D19" i="4"/>
  <c r="D20" i="4"/>
  <c r="D21" i="4"/>
  <c r="D22" i="4"/>
  <c r="D23" i="4"/>
  <c r="D24" i="4"/>
  <c r="L6" i="4"/>
  <c r="L8" i="4"/>
  <c r="J4" i="4"/>
  <c r="J8" i="4"/>
  <c r="J9" i="4"/>
  <c r="H4" i="4"/>
  <c r="H8" i="4"/>
  <c r="H9" i="4"/>
  <c r="F5" i="4"/>
  <c r="F6" i="4"/>
  <c r="F9" i="4"/>
  <c r="D5" i="4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6" i="3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8" i="1"/>
  <c r="G59" i="1"/>
  <c r="G62" i="1"/>
  <c r="G69" i="1"/>
  <c r="G70" i="1"/>
  <c r="G71" i="1"/>
  <c r="G72" i="1"/>
  <c r="G73" i="1"/>
  <c r="G74" i="1"/>
  <c r="G75" i="1"/>
  <c r="G80" i="1"/>
  <c r="G81" i="1"/>
  <c r="G82" i="1"/>
  <c r="G83" i="1"/>
  <c r="G86" i="1"/>
  <c r="G87" i="1"/>
  <c r="G88" i="1"/>
  <c r="G89" i="1"/>
  <c r="G90" i="1"/>
  <c r="G91" i="1"/>
  <c r="G92" i="1"/>
  <c r="G93" i="1"/>
  <c r="G94" i="1"/>
  <c r="G95" i="1"/>
  <c r="G105" i="1"/>
  <c r="G106" i="1"/>
  <c r="G108" i="1"/>
  <c r="G109" i="1"/>
  <c r="G110" i="1"/>
  <c r="G111" i="1"/>
  <c r="G112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6" i="1"/>
  <c r="G27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7" i="1"/>
  <c r="E58" i="1"/>
  <c r="E59" i="1"/>
  <c r="E69" i="1"/>
  <c r="E70" i="1"/>
  <c r="E71" i="1"/>
  <c r="E72" i="1"/>
  <c r="E73" i="1"/>
  <c r="E74" i="1"/>
  <c r="E75" i="1"/>
  <c r="E80" i="1"/>
  <c r="E81" i="1"/>
  <c r="E82" i="1"/>
  <c r="E83" i="1"/>
  <c r="E86" i="1"/>
  <c r="E87" i="1"/>
  <c r="E88" i="1"/>
  <c r="E89" i="1"/>
  <c r="E90" i="1"/>
  <c r="E91" i="1"/>
  <c r="E92" i="1"/>
  <c r="E93" i="1"/>
  <c r="E94" i="1"/>
  <c r="E95" i="1"/>
  <c r="E105" i="1"/>
  <c r="E106" i="1"/>
  <c r="E108" i="1"/>
  <c r="E109" i="1"/>
  <c r="E110" i="1"/>
  <c r="E111" i="1"/>
  <c r="E112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6" i="1"/>
  <c r="E27" i="1"/>
  <c r="E28" i="1"/>
  <c r="E29" i="1"/>
  <c r="E30" i="1"/>
  <c r="E6" i="1"/>
  <c r="G107" i="1" l="1"/>
  <c r="E107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85" i="1"/>
  <c r="E85" i="1"/>
  <c r="G84" i="1"/>
  <c r="E84" i="1"/>
  <c r="E78" i="1" l="1"/>
  <c r="G79" i="1"/>
  <c r="G78" i="1"/>
  <c r="E79" i="1"/>
  <c r="G77" i="1"/>
  <c r="E77" i="1"/>
  <c r="G76" i="1"/>
  <c r="E76" i="1"/>
  <c r="G68" i="1"/>
  <c r="G67" i="1"/>
  <c r="G66" i="1"/>
  <c r="G65" i="1"/>
  <c r="G64" i="1"/>
  <c r="G63" i="1"/>
  <c r="E68" i="1"/>
  <c r="E67" i="1"/>
  <c r="E66" i="1"/>
  <c r="E65" i="1"/>
  <c r="E64" i="1"/>
  <c r="E63" i="1"/>
  <c r="E62" i="1"/>
  <c r="G61" i="1"/>
  <c r="E61" i="1"/>
  <c r="G60" i="1"/>
  <c r="E60" i="1"/>
  <c r="E56" i="1"/>
  <c r="G56" i="1"/>
  <c r="G55" i="1"/>
  <c r="E55" i="1"/>
  <c r="G23" i="1"/>
  <c r="G24" i="1"/>
  <c r="G25" i="1"/>
  <c r="E24" i="1"/>
  <c r="E25" i="1"/>
  <c r="E23" i="1"/>
  <c r="G15" i="1"/>
  <c r="E15" i="1"/>
  <c r="G6" i="1"/>
</calcChain>
</file>

<file path=xl/sharedStrings.xml><?xml version="1.0" encoding="utf-8"?>
<sst xmlns="http://schemas.openxmlformats.org/spreadsheetml/2006/main" count="954" uniqueCount="294">
  <si>
    <t>PAIS DE ORIGEN</t>
  </si>
  <si>
    <t>PUERTO DE ORIGEN</t>
  </si>
  <si>
    <t xml:space="preserve">PUERTO DESTINO </t>
  </si>
  <si>
    <t xml:space="preserve"> HASTA 15CBM</t>
  </si>
  <si>
    <t xml:space="preserve">FRECUENCIA </t>
  </si>
  <si>
    <t>TT APROX</t>
  </si>
  <si>
    <t>CHINA</t>
  </si>
  <si>
    <t>AUSTRALIA</t>
  </si>
  <si>
    <t>Brisbane</t>
  </si>
  <si>
    <t>Fremantle</t>
  </si>
  <si>
    <t xml:space="preserve">Melbourne </t>
  </si>
  <si>
    <t xml:space="preserve">Sydney </t>
  </si>
  <si>
    <t>SEMANAL</t>
  </si>
  <si>
    <t>Callao</t>
  </si>
  <si>
    <t>HASTA 5CBM</t>
  </si>
  <si>
    <t>COOLODER</t>
  </si>
  <si>
    <t>Craft</t>
  </si>
  <si>
    <t>ALEMANIA</t>
  </si>
  <si>
    <t>Hamburgo</t>
  </si>
  <si>
    <t>ARGENTINA</t>
  </si>
  <si>
    <t>Ambos</t>
  </si>
  <si>
    <t>Craft min / Ambos</t>
  </si>
  <si>
    <t>MSL</t>
  </si>
  <si>
    <t>BANGLADESH</t>
  </si>
  <si>
    <t xml:space="preserve">Chittagong </t>
  </si>
  <si>
    <t>craft</t>
  </si>
  <si>
    <t>BRASIL</t>
  </si>
  <si>
    <t>Canoas</t>
  </si>
  <si>
    <t>35 Días</t>
  </si>
  <si>
    <t>Rio de Janeiro</t>
  </si>
  <si>
    <t>CAMBODIA</t>
  </si>
  <si>
    <t>CHILE</t>
  </si>
  <si>
    <t>Chongqing</t>
  </si>
  <si>
    <t>Dalian</t>
  </si>
  <si>
    <t>Fuzhou</t>
  </si>
  <si>
    <t xml:space="preserve">Ningbo </t>
  </si>
  <si>
    <t>Qingdao</t>
  </si>
  <si>
    <t>Shanghai</t>
  </si>
  <si>
    <t>Shantou</t>
  </si>
  <si>
    <t>Shekou</t>
  </si>
  <si>
    <t>Shenzhen</t>
  </si>
  <si>
    <t>Xiamen</t>
  </si>
  <si>
    <t>Yantian</t>
  </si>
  <si>
    <t>Zhuhai</t>
  </si>
  <si>
    <t>Xiaolan</t>
  </si>
  <si>
    <t>Ambos Min / MSL</t>
  </si>
  <si>
    <t>Hong Kong</t>
  </si>
  <si>
    <t>Cartagena</t>
  </si>
  <si>
    <t>ECUADOR</t>
  </si>
  <si>
    <t>Guayaquil</t>
  </si>
  <si>
    <t>EGIPTO</t>
  </si>
  <si>
    <t>EMIRATOS ARABES</t>
  </si>
  <si>
    <t>Dubai</t>
  </si>
  <si>
    <t>ESPAÑA</t>
  </si>
  <si>
    <t>Barcelona</t>
  </si>
  <si>
    <t>Valencia</t>
  </si>
  <si>
    <t>Alicante</t>
  </si>
  <si>
    <t>Malaga</t>
  </si>
  <si>
    <t>Zaragoza</t>
  </si>
  <si>
    <t>FRANCIA</t>
  </si>
  <si>
    <t>Le Havre</t>
  </si>
  <si>
    <t>FILIPINAS</t>
  </si>
  <si>
    <t>Atlanta</t>
  </si>
  <si>
    <t>Los Angeles</t>
  </si>
  <si>
    <t>QUINCENAL</t>
  </si>
  <si>
    <t>Cebu</t>
  </si>
  <si>
    <t>Manila</t>
  </si>
  <si>
    <t>GRECIA</t>
  </si>
  <si>
    <t>Piraeus</t>
  </si>
  <si>
    <t>MSL / Craft x consulta</t>
  </si>
  <si>
    <t>Consultar</t>
  </si>
  <si>
    <t>Rotterdam</t>
  </si>
  <si>
    <t>INDIA</t>
  </si>
  <si>
    <t>Bangalore</t>
  </si>
  <si>
    <t>Calcutta</t>
  </si>
  <si>
    <t>Chennai (Madras)</t>
  </si>
  <si>
    <t>Cochin</t>
  </si>
  <si>
    <t>New Delhi</t>
  </si>
  <si>
    <t>Nhava Sheva</t>
  </si>
  <si>
    <t>Tuticorin</t>
  </si>
  <si>
    <t>INDONESIA</t>
  </si>
  <si>
    <t>Jakarta</t>
  </si>
  <si>
    <t>INGLATERRA</t>
  </si>
  <si>
    <t>ISRAEL</t>
  </si>
  <si>
    <t>Haifa</t>
  </si>
  <si>
    <t>40 días</t>
  </si>
  <si>
    <t>ITALIA</t>
  </si>
  <si>
    <t>Genova</t>
  </si>
  <si>
    <t>Kobe</t>
  </si>
  <si>
    <t>Osaka</t>
  </si>
  <si>
    <t>KOREA</t>
  </si>
  <si>
    <t>MALASIA</t>
  </si>
  <si>
    <t>Port Kelang</t>
  </si>
  <si>
    <t>MARRUECOS</t>
  </si>
  <si>
    <t>Casa Blanca</t>
  </si>
  <si>
    <t>PAKISTAN</t>
  </si>
  <si>
    <t>Karachi</t>
  </si>
  <si>
    <t>PARAGUAY</t>
  </si>
  <si>
    <t>Asunción</t>
  </si>
  <si>
    <t>PORTUGAL</t>
  </si>
  <si>
    <t>SINGAPORE</t>
  </si>
  <si>
    <t>Singapore</t>
  </si>
  <si>
    <t>SOUTH AFRICA</t>
  </si>
  <si>
    <t>Durban</t>
  </si>
  <si>
    <t>SRI LANKA</t>
  </si>
  <si>
    <t>TAIWAN</t>
  </si>
  <si>
    <t>Keelung</t>
  </si>
  <si>
    <t>Bangkok</t>
  </si>
  <si>
    <t>VIETNAM</t>
  </si>
  <si>
    <t>Haiphong</t>
  </si>
  <si>
    <t>Busan</t>
  </si>
  <si>
    <t>TARIFARIO DE TRANSPORTE  
 CARGA LCL</t>
  </si>
  <si>
    <t>Ningbo</t>
  </si>
  <si>
    <t>CONTENEDOR</t>
  </si>
  <si>
    <t>20ST</t>
  </si>
  <si>
    <t>MONTO</t>
  </si>
  <si>
    <t>VALIDEZ</t>
  </si>
  <si>
    <t>40ST</t>
  </si>
  <si>
    <t>40HQ</t>
  </si>
  <si>
    <t>NOR</t>
  </si>
  <si>
    <t>NAVIERA</t>
  </si>
  <si>
    <t>COSCO</t>
  </si>
  <si>
    <t>CMA</t>
  </si>
  <si>
    <t>CARGOTRANS</t>
  </si>
  <si>
    <r>
      <rPr>
        <b/>
        <u/>
        <sz val="20"/>
        <color theme="5"/>
        <rFont val="Calibri"/>
        <family val="2"/>
        <scheme val="minor"/>
      </rPr>
      <t xml:space="preserve">TARIFARIO IMPORTACION A CALLAO 
 CARGA FCL
</t>
    </r>
    <r>
      <rPr>
        <b/>
        <sz val="14"/>
        <color theme="0" tint="-0.499984740745262"/>
        <rFont val="Calibri"/>
        <family val="2"/>
        <scheme val="minor"/>
      </rPr>
      <t>VIGENTE DEL 1 AL 16 DE MAYO (FECHA DE ZARPE) 2021</t>
    </r>
  </si>
  <si>
    <t xml:space="preserve">ASIA - EUROPA - AMERICA </t>
  </si>
  <si>
    <t xml:space="preserve">ASIA - CALLAO  </t>
  </si>
  <si>
    <t>UTILIDAD</t>
  </si>
  <si>
    <t>TOTAL</t>
  </si>
  <si>
    <t xml:space="preserve">UTILIDAD </t>
  </si>
  <si>
    <t>ZONA 1 DISTRITO</t>
  </si>
  <si>
    <t>ZONA 2 DISTRITO</t>
  </si>
  <si>
    <t>ZONA 3 DISTRITO</t>
  </si>
  <si>
    <t>DE 01 A 1000 KG</t>
  </si>
  <si>
    <t>DE 1001 KG A 2000 KG</t>
  </si>
  <si>
    <t>DE 2001 A 3000</t>
  </si>
  <si>
    <t>DE 3001 A 4000</t>
  </si>
  <si>
    <t>DE 4001 A 5000</t>
  </si>
  <si>
    <t>DE 5001 A 7000</t>
  </si>
  <si>
    <t>San Miguel</t>
  </si>
  <si>
    <t>San Martin de Porres</t>
  </si>
  <si>
    <t>Los Olivos</t>
  </si>
  <si>
    <t>Magdalena del Mar</t>
  </si>
  <si>
    <t>Pueblo Libre</t>
  </si>
  <si>
    <t>Breña</t>
  </si>
  <si>
    <t>Centro de Lima</t>
  </si>
  <si>
    <t>La victoria</t>
  </si>
  <si>
    <t>Jesus Maria</t>
  </si>
  <si>
    <t>Lince</t>
  </si>
  <si>
    <t>San Isidro</t>
  </si>
  <si>
    <t>Miraflores</t>
  </si>
  <si>
    <t>San Borja</t>
  </si>
  <si>
    <t>Independencia</t>
  </si>
  <si>
    <t>Comas</t>
  </si>
  <si>
    <t>El Agustino</t>
  </si>
  <si>
    <t>Rimac</t>
  </si>
  <si>
    <t>San Luis</t>
  </si>
  <si>
    <t>Barranca</t>
  </si>
  <si>
    <t>Surquillo</t>
  </si>
  <si>
    <t>Puente Piedra</t>
  </si>
  <si>
    <t>San Juan de Lurigancho</t>
  </si>
  <si>
    <t>Ate Vitarte</t>
  </si>
  <si>
    <t>Santa Anita</t>
  </si>
  <si>
    <t>Chorrillos</t>
  </si>
  <si>
    <t>Surco</t>
  </si>
  <si>
    <t>La Molina</t>
  </si>
  <si>
    <t>Carabayllo</t>
  </si>
  <si>
    <t>Villa el Salvador</t>
  </si>
  <si>
    <t>San Juan de Miraflores</t>
  </si>
  <si>
    <t>Villa Maria del Triunfo</t>
  </si>
  <si>
    <t>VALIDEZ DESDE</t>
  </si>
  <si>
    <t>VALIDEZ HASTA</t>
  </si>
  <si>
    <t>20ST / 40HC</t>
  </si>
  <si>
    <t xml:space="preserve">TRANSPORTE PARA CARGAS IMO </t>
  </si>
  <si>
    <t>TRANSPORTE PARA CARGA GENERAL - FAK</t>
  </si>
  <si>
    <t>TRANSPORTE PARA CARGA REFRIGERADA</t>
  </si>
  <si>
    <t>IMO</t>
  </si>
  <si>
    <t>REFRIGERADO</t>
  </si>
  <si>
    <t>Buenos Aires</t>
  </si>
  <si>
    <t>URUGUAY</t>
  </si>
  <si>
    <t>Montevideo</t>
  </si>
  <si>
    <t xml:space="preserve">Santos </t>
  </si>
  <si>
    <t>Itajaí</t>
  </si>
  <si>
    <t>Curitiba</t>
  </si>
  <si>
    <t>San Antonio</t>
  </si>
  <si>
    <t>COLOMBIA</t>
  </si>
  <si>
    <t xml:space="preserve">Buenaventura </t>
  </si>
  <si>
    <t>PANAMÁ</t>
  </si>
  <si>
    <t>Manzanillo, PA</t>
  </si>
  <si>
    <t>ESTADOS UNIDOS</t>
  </si>
  <si>
    <t>Miami</t>
  </si>
  <si>
    <t xml:space="preserve">Houston </t>
  </si>
  <si>
    <t xml:space="preserve">New York </t>
  </si>
  <si>
    <t>Charlestone</t>
  </si>
  <si>
    <t xml:space="preserve">Chicago </t>
  </si>
  <si>
    <t>CANADÁ</t>
  </si>
  <si>
    <t>MONTREAL</t>
  </si>
  <si>
    <t>TORONTO</t>
  </si>
  <si>
    <t>VANCOUVER</t>
  </si>
  <si>
    <t>MÉXICO</t>
  </si>
  <si>
    <t>Manzanillo, MX</t>
  </si>
  <si>
    <t>14 días</t>
  </si>
  <si>
    <t>45 días</t>
  </si>
  <si>
    <t>25 días</t>
  </si>
  <si>
    <t>50 días</t>
  </si>
  <si>
    <t>18 Días</t>
  </si>
  <si>
    <t>06 días</t>
  </si>
  <si>
    <t>03 días</t>
  </si>
  <si>
    <t>05 días</t>
  </si>
  <si>
    <t>23 días</t>
  </si>
  <si>
    <t>08 días</t>
  </si>
  <si>
    <t>10 días</t>
  </si>
  <si>
    <t>20 días</t>
  </si>
  <si>
    <t>18 días</t>
  </si>
  <si>
    <t>60 días</t>
  </si>
  <si>
    <t>30 días</t>
  </si>
  <si>
    <t>11 días</t>
  </si>
  <si>
    <t>Alexandría</t>
  </si>
  <si>
    <t>BÉLGICA</t>
  </si>
  <si>
    <t xml:space="preserve">Amberes </t>
  </si>
  <si>
    <t>Bilbao</t>
  </si>
  <si>
    <t>TURQUÍA</t>
  </si>
  <si>
    <t>Estambul</t>
  </si>
  <si>
    <t>La Coruña / Vigo</t>
  </si>
  <si>
    <t>Lisboa / Oporto</t>
  </si>
  <si>
    <t>London Gate</t>
  </si>
  <si>
    <t xml:space="preserve">Lyon  </t>
  </si>
  <si>
    <t xml:space="preserve">Madrid </t>
  </si>
  <si>
    <t xml:space="preserve">Marseille </t>
  </si>
  <si>
    <t xml:space="preserve">Paris </t>
  </si>
  <si>
    <t>PAISES BAJOS</t>
  </si>
  <si>
    <t xml:space="preserve">Sevilla </t>
  </si>
  <si>
    <t>Tenerife (Las Palmas)</t>
  </si>
  <si>
    <t>Toulouse</t>
  </si>
  <si>
    <t>MENSUAL</t>
  </si>
  <si>
    <t>44 días</t>
  </si>
  <si>
    <t>32 días</t>
  </si>
  <si>
    <t xml:space="preserve"> 23 días </t>
  </si>
  <si>
    <t>29 días</t>
  </si>
  <si>
    <t xml:space="preserve"> 35 días </t>
  </si>
  <si>
    <t>48 días</t>
  </si>
  <si>
    <t xml:space="preserve"> 26 días </t>
  </si>
  <si>
    <t>36 días</t>
  </si>
  <si>
    <t xml:space="preserve"> 37 días </t>
  </si>
  <si>
    <t xml:space="preserve">35 días </t>
  </si>
  <si>
    <t xml:space="preserve"> 40 días </t>
  </si>
  <si>
    <t>28 días</t>
  </si>
  <si>
    <t>35 días</t>
  </si>
  <si>
    <t>NUEVA ZELANDIA</t>
  </si>
  <si>
    <t>Auckland</t>
  </si>
  <si>
    <t>Adelaide</t>
  </si>
  <si>
    <t>THAILANDIA</t>
  </si>
  <si>
    <t xml:space="preserve">Colombo </t>
  </si>
  <si>
    <t>Guangzhou (Huangpu)</t>
  </si>
  <si>
    <t>Ho-Chi-Minh</t>
  </si>
  <si>
    <t>Jiangmen</t>
  </si>
  <si>
    <t>Kaohsiung</t>
  </si>
  <si>
    <t>JAPÓN</t>
  </si>
  <si>
    <t xml:space="preserve">Nagoya </t>
  </si>
  <si>
    <t>Pasir Gudang</t>
  </si>
  <si>
    <t xml:space="preserve">Penang </t>
  </si>
  <si>
    <t xml:space="preserve">Semarang </t>
  </si>
  <si>
    <t xml:space="preserve">Shanghai </t>
  </si>
  <si>
    <t xml:space="preserve">Shunde, Foshan </t>
  </si>
  <si>
    <t>Sihanoukville
 (Phnom Penh)</t>
  </si>
  <si>
    <t xml:space="preserve">Surabaya </t>
  </si>
  <si>
    <t>Tokyo</t>
  </si>
  <si>
    <t>Xingang (Tianjin)</t>
  </si>
  <si>
    <t xml:space="preserve">Yokohama </t>
  </si>
  <si>
    <t>Zhongshan</t>
  </si>
  <si>
    <t>USD 225/CBM - USD295/TN
+ DOC USD50/Bill</t>
  </si>
  <si>
    <t>USD 235/CBM - USD305/TN
+ DOC USD50/Bill</t>
  </si>
  <si>
    <t>80 días</t>
  </si>
  <si>
    <t>75 días</t>
  </si>
  <si>
    <t>63 días</t>
  </si>
  <si>
    <t>59 días</t>
  </si>
  <si>
    <t>54 días</t>
  </si>
  <si>
    <t>61 días</t>
  </si>
  <si>
    <t>65 días</t>
  </si>
  <si>
    <t>53  días</t>
  </si>
  <si>
    <t>62 días</t>
  </si>
  <si>
    <t>66 días</t>
  </si>
  <si>
    <t>70 días</t>
  </si>
  <si>
    <t>38 días</t>
  </si>
  <si>
    <t>49 días</t>
  </si>
  <si>
    <t>32 a 37 días</t>
  </si>
  <si>
    <t>42 días</t>
  </si>
  <si>
    <t>37 días</t>
  </si>
  <si>
    <t>41 días</t>
  </si>
  <si>
    <t>57 días</t>
  </si>
  <si>
    <t>34 días</t>
  </si>
  <si>
    <t xml:space="preserve">42 días </t>
  </si>
  <si>
    <t>68 días</t>
  </si>
  <si>
    <t>47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</si>
</sst>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USD]\ #,##0.00"/>
    <numFmt numFmtId="165" formatCode="[$USD]\ #,##0.00_);\([$USD]\ #,##0.00\)"/>
    <numFmt numFmtId="166" formatCode="d\i\as"/>
    <numFmt numFmtId="167" formatCode="[$EUR]\ 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rgb="FF245794"/>
      <name val="Verdan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5"/>
      <name val="Verdana"/>
      <family val="2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color theme="5"/>
      <name val="Calibri"/>
      <family val="2"/>
      <scheme val="minor"/>
    </font>
    <font>
      <b/>
      <u/>
      <sz val="20"/>
      <color theme="5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26"/>
      <color theme="5" tint="-0.249977111117893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6"/>
      <color theme="2"/>
      <name val="Calibri"/>
      <family val="2"/>
      <scheme val="minor"/>
    </font>
    <font>
      <sz val="16"/>
      <color theme="5" tint="-0.499984740745262"/>
      <name val="Calibri"/>
      <family val="2"/>
      <scheme val="minor"/>
    </font>
    <font>
      <sz val="10"/>
      <color theme="2"/>
      <name val="Calibri"/>
      <family val="2"/>
      <scheme val="minor"/>
    </font>
    <font>
      <sz val="22"/>
      <color theme="2"/>
      <name val="AmpleSoftPro-Regular"/>
    </font>
    <font>
      <sz val="20"/>
      <color theme="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7" tint="-0.249977111117893"/>
      </right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/>
      <right style="thin">
        <color theme="7" tint="-0.249977111117893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/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164" fontId="4" fillId="0" borderId="0" xfId="0" applyNumberFormat="1" applyFont="1" applyAlignment="1">
      <alignment horizontal="center" vertical="center"/>
    </xf>
    <xf numFmtId="0" fontId="4" fillId="0" borderId="1" xfId="0" applyFont="1" applyBorder="1"/>
    <xf numFmtId="164" fontId="4" fillId="5" borderId="1" xfId="0" applyNumberFormat="1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8" fillId="6" borderId="4" xfId="2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9" fontId="14" fillId="7" borderId="0" xfId="0" applyNumberFormat="1" applyFont="1" applyFill="1"/>
    <xf numFmtId="164" fontId="15" fillId="3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9" fontId="18" fillId="9" borderId="0" xfId="0" applyNumberFormat="1" applyFont="1" applyFill="1" applyAlignment="1">
      <alignment horizontal="center" vertical="center"/>
    </xf>
    <xf numFmtId="164" fontId="19" fillId="8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2" fillId="6" borderId="4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center" vertical="center"/>
    </xf>
    <xf numFmtId="0" fontId="10" fillId="6" borderId="4" xfId="0" applyFont="1" applyFill="1" applyBorder="1"/>
    <xf numFmtId="0" fontId="21" fillId="8" borderId="4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10" fillId="8" borderId="4" xfId="0" applyNumberFormat="1" applyFont="1" applyFill="1" applyBorder="1" applyAlignment="1">
      <alignment horizontal="center" vertical="center"/>
    </xf>
    <xf numFmtId="164" fontId="0" fillId="0" borderId="0" xfId="0" applyNumberFormat="1"/>
    <xf numFmtId="9" fontId="10" fillId="6" borderId="0" xfId="0" applyNumberFormat="1" applyFont="1" applyFill="1" applyAlignment="1">
      <alignment horizontal="center" vertical="center"/>
    </xf>
    <xf numFmtId="164" fontId="0" fillId="6" borderId="0" xfId="0" applyNumberFormat="1" applyFill="1"/>
    <xf numFmtId="164" fontId="10" fillId="6" borderId="0" xfId="0" applyNumberFormat="1" applyFont="1" applyFill="1"/>
    <xf numFmtId="0" fontId="8" fillId="8" borderId="0" xfId="0" applyFont="1" applyFill="1" applyAlignment="1">
      <alignment horizontal="center" vertical="center"/>
    </xf>
    <xf numFmtId="164" fontId="10" fillId="8" borderId="0" xfId="0" applyNumberFormat="1" applyFont="1" applyFill="1"/>
    <xf numFmtId="164" fontId="0" fillId="0" borderId="0" xfId="0" applyNumberFormat="1" applyAlignment="1">
      <alignment horizontal="center"/>
    </xf>
    <xf numFmtId="164" fontId="10" fillId="8" borderId="0" xfId="0" applyNumberFormat="1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164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 vertical="center"/>
    </xf>
    <xf numFmtId="164" fontId="10" fillId="6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Fill="1"/>
    <xf numFmtId="0" fontId="5" fillId="3" borderId="5" xfId="0" applyFont="1" applyFill="1" applyBorder="1" applyAlignment="1">
      <alignment horizontal="center" vertical="center"/>
    </xf>
    <xf numFmtId="0" fontId="20" fillId="8" borderId="0" xfId="0" applyFont="1" applyFill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10" borderId="8" xfId="0" applyFont="1" applyFill="1" applyBorder="1" applyAlignment="1">
      <alignment horizontal="center" vertical="center" textRotation="255" wrapText="1"/>
    </xf>
    <xf numFmtId="0" fontId="9" fillId="10" borderId="0" xfId="0" applyFont="1" applyFill="1" applyAlignment="1">
      <alignment horizontal="center" vertical="center" textRotation="255"/>
    </xf>
    <xf numFmtId="0" fontId="22" fillId="6" borderId="4" xfId="0" applyFont="1" applyFill="1" applyBorder="1" applyAlignment="1">
      <alignment horizontal="left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 textRotation="255" wrapText="1"/>
    </xf>
    <xf numFmtId="165" fontId="15" fillId="3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167" fontId="4" fillId="0" borderId="1" xfId="0" applyNumberFormat="1" applyFont="1" applyFill="1" applyBorder="1" applyAlignment="1">
      <alignment horizontal="left" vertical="top"/>
    </xf>
    <xf numFmtId="167" fontId="4" fillId="5" borderId="1" xfId="0" applyNumberFormat="1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left" vertical="top"/>
    </xf>
    <xf numFmtId="167" fontId="16" fillId="0" borderId="1" xfId="0" applyNumberFormat="1" applyFont="1" applyBorder="1" applyAlignment="1">
      <alignment horizontal="left" vertical="top"/>
    </xf>
    <xf numFmtId="167" fontId="15" fillId="0" borderId="1" xfId="0" applyNumberFormat="1" applyFont="1" applyBorder="1" applyAlignment="1">
      <alignment horizontal="center" vertical="center"/>
    </xf>
    <xf numFmtId="167" fontId="15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/>
    </xf>
  </cellXfs>
  <cellStyles count="3">
    <cellStyle name="20% - Énfasis4" xfId="1" builtinId="42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573657</xdr:colOff>
      <xdr:row>0</xdr:row>
      <xdr:rowOff>141797</xdr:rowOff>
    </xdr:from>
    <xdr:to>
      <xdr:col>12</xdr:col>
      <xdr:colOff>112324</xdr:colOff>
      <xdr:row>3</xdr:row>
      <xdr:rowOff>84647</xdr:rowOff>
    </xdr:to>
    <xdr:sp macro="" textlink="">
      <xdr:nvSpPr>
        <xdr:cNvPr id="2" name="5 CuadroTexto">
          <a:extLst>
            <a:ext uri="{FF2B5EF4-FFF2-40B4-BE49-F238E27FC236}">
              <a16:creationId xmlns:a16="http://schemas.microsoft.com/office/drawing/2014/main" id="{1C8A5EA5-CD48-4B38-BC02-69205B44DF33}"/>
            </a:ext>
          </a:extLst>
        </xdr:cNvPr>
        <xdr:cNvSpPr txBox="1"/>
      </xdr:nvSpPr>
      <xdr:spPr>
        <a:xfrm>
          <a:off x="1768775" y="141797"/>
          <a:ext cx="6358926" cy="10481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s-PE" sz="2000" b="1" u="sng">
              <a:solidFill>
                <a:schemeClr val="accent2"/>
              </a:solidFill>
            </a:rPr>
            <a:t>TARIFARIO IMPORTACION A</a:t>
          </a:r>
          <a:r>
            <a:rPr lang="es-PE" sz="2000" b="1" u="sng" baseline="0">
              <a:solidFill>
                <a:schemeClr val="accent2"/>
              </a:solidFill>
            </a:rPr>
            <a:t> CALLAO </a:t>
          </a:r>
        </a:p>
        <a:p>
          <a:pPr algn="ctr"/>
          <a:r>
            <a:rPr lang="es-PE" sz="2000" b="1" u="sng">
              <a:solidFill>
                <a:schemeClr val="accent2"/>
              </a:solidFill>
            </a:rPr>
            <a:t> CARGA LCL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E" sz="14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VIGENTE DEL 1 AL 14 DE JULIO (FECHA DE ZARPE) 2022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3704-7EA2-4CFD-B7A4-2F69FA685661}">
  <dimension ref="A1:Q330"/>
  <sheetViews>
    <sheetView tabSelected="1" topLeftCell="F61" zoomScale="106" zoomScaleNormal="106" workbookViewId="0">
      <selection activeCell="H80" sqref="H80"/>
    </sheetView>
  </sheetViews>
  <sheetFormatPr baseColWidth="10" defaultRowHeight="15"/>
  <cols>
    <col min="1" max="1" width="18" style="11" bestFit="1" customWidth="1"/>
    <col min="2" max="2" width="22.5" bestFit="1" customWidth="1"/>
    <col min="3" max="3" width="19.5" bestFit="1" customWidth="1"/>
    <col min="4" max="4" width="22.5" bestFit="1" customWidth="1"/>
    <col min="5" max="5" width="22.5" customWidth="1"/>
    <col min="6" max="6" width="22.5" bestFit="1" customWidth="1"/>
    <col min="7" max="7" width="22.5" customWidth="1"/>
    <col min="8" max="11" width="22.5" style="68" customWidth="1"/>
    <col min="12" max="12" width="15.5" bestFit="1" customWidth="1"/>
    <col min="13" max="13" width="13.1640625" bestFit="1" customWidth="1"/>
    <col min="14" max="14" width="18.33203125" bestFit="1" customWidth="1"/>
    <col min="15" max="16" width="17.5" bestFit="1" customWidth="1"/>
  </cols>
  <sheetData>
    <row r="1" spans="1:17" ht="29.25" customHeight="1">
      <c r="A1" s="33"/>
      <c r="B1" s="33"/>
      <c r="C1" s="33"/>
      <c r="D1" s="33"/>
      <c r="E1" s="33"/>
      <c r="F1" s="33"/>
      <c r="G1" s="33"/>
      <c r="H1" s="66"/>
      <c r="I1" s="66"/>
      <c r="J1" s="66"/>
      <c r="K1" s="66"/>
      <c r="L1" s="33"/>
      <c r="M1" s="33"/>
      <c r="N1" s="33"/>
    </row>
    <row r="2" spans="1:17" ht="29.25" customHeight="1">
      <c r="A2" s="33"/>
      <c r="B2" s="33"/>
      <c r="C2" s="33"/>
      <c r="D2" s="33"/>
      <c r="E2" s="33"/>
      <c r="F2" s="33"/>
      <c r="G2" s="33"/>
      <c r="H2" s="66"/>
      <c r="I2" s="66"/>
      <c r="J2" s="66"/>
      <c r="K2" s="66"/>
      <c r="L2" s="33"/>
      <c r="M2" s="33"/>
      <c r="N2" s="33"/>
    </row>
    <row r="3" spans="1:17" ht="29.25" customHeight="1">
      <c r="A3" s="33"/>
      <c r="B3" s="33"/>
      <c r="C3" s="33"/>
      <c r="D3" s="33"/>
      <c r="E3" s="33"/>
      <c r="F3" s="33"/>
      <c r="G3" s="33"/>
      <c r="H3" s="66"/>
      <c r="I3" s="66"/>
      <c r="J3" s="66"/>
      <c r="K3" s="66"/>
      <c r="L3" s="33"/>
      <c r="M3" s="33"/>
      <c r="N3" s="33"/>
      <c r="O3" s="70" t="s">
        <v>129</v>
      </c>
      <c r="P3" s="70"/>
      <c r="Q3" s="34">
        <v>0.1</v>
      </c>
    </row>
    <row r="4" spans="1:17" ht="30">
      <c r="A4" s="69" t="s">
        <v>125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1:17" s="1" customFormat="1" ht="14">
      <c r="A5" s="15" t="s">
        <v>0</v>
      </c>
      <c r="B5" s="15" t="s">
        <v>1</v>
      </c>
      <c r="C5" s="15" t="s">
        <v>2</v>
      </c>
      <c r="D5" s="15" t="s">
        <v>14</v>
      </c>
      <c r="E5" s="15" t="s">
        <v>128</v>
      </c>
      <c r="F5" s="15" t="s">
        <v>3</v>
      </c>
      <c r="G5" s="15" t="s">
        <v>128</v>
      </c>
      <c r="H5" s="15" t="s">
        <v>176</v>
      </c>
      <c r="I5" s="15" t="s">
        <v>128</v>
      </c>
      <c r="J5" s="15" t="s">
        <v>177</v>
      </c>
      <c r="K5" s="15" t="s">
        <v>128</v>
      </c>
      <c r="L5" s="15" t="s">
        <v>4</v>
      </c>
      <c r="M5" s="15" t="s">
        <v>5</v>
      </c>
      <c r="N5" s="15" t="s">
        <v>15</v>
      </c>
      <c r="O5" s="15" t="s">
        <v>170</v>
      </c>
      <c r="P5" s="15" t="s">
        <v>171</v>
      </c>
    </row>
    <row r="6" spans="1:17" s="1" customFormat="1" ht="14">
      <c r="A6" s="14" t="s">
        <v>19</v>
      </c>
      <c r="B6" s="9" t="s">
        <v>178</v>
      </c>
      <c r="C6" s="1" t="s">
        <v>13</v>
      </c>
      <c r="D6" s="79">
        <v>270</v>
      </c>
      <c r="E6" s="44">
        <f>D6+(D6*$Q$3)</f>
        <v>297</v>
      </c>
      <c r="F6" s="79">
        <v>270</v>
      </c>
      <c r="G6" s="44">
        <f>F6+(F6*$Q$3)</f>
        <v>297</v>
      </c>
      <c r="H6" s="35">
        <v>0</v>
      </c>
      <c r="I6" s="44">
        <f>H6+(H6*$Q$3)</f>
        <v>0</v>
      </c>
      <c r="J6" s="35">
        <v>0</v>
      </c>
      <c r="K6" s="44">
        <f>J6+(J6*$Q$3)</f>
        <v>0</v>
      </c>
      <c r="L6" s="2" t="s">
        <v>12</v>
      </c>
      <c r="M6" s="2" t="s">
        <v>201</v>
      </c>
      <c r="N6" s="2" t="s">
        <v>21</v>
      </c>
      <c r="O6" s="50">
        <v>44743</v>
      </c>
      <c r="P6" s="50">
        <v>44757</v>
      </c>
    </row>
    <row r="7" spans="1:17" s="1" customFormat="1" ht="14">
      <c r="A7" s="14" t="s">
        <v>19</v>
      </c>
      <c r="B7" s="9" t="s">
        <v>178</v>
      </c>
      <c r="C7" s="1" t="s">
        <v>13</v>
      </c>
      <c r="D7" s="79">
        <v>250</v>
      </c>
      <c r="E7" s="44">
        <f t="shared" ref="E7:E70" si="0">D7+(D7*$Q$3)</f>
        <v>275</v>
      </c>
      <c r="F7" s="79">
        <v>250</v>
      </c>
      <c r="G7" s="44">
        <f t="shared" ref="G7:K70" si="1">F7+(F7*$Q$3)</f>
        <v>275</v>
      </c>
      <c r="H7" s="35">
        <v>0</v>
      </c>
      <c r="I7" s="44">
        <f t="shared" si="1"/>
        <v>0</v>
      </c>
      <c r="J7" s="35">
        <v>0</v>
      </c>
      <c r="K7" s="44">
        <f t="shared" si="1"/>
        <v>0</v>
      </c>
      <c r="L7" s="2" t="s">
        <v>12</v>
      </c>
      <c r="M7" s="2" t="s">
        <v>202</v>
      </c>
      <c r="N7" s="2" t="s">
        <v>20</v>
      </c>
      <c r="O7" s="50">
        <v>44743</v>
      </c>
      <c r="P7" s="50">
        <v>44757</v>
      </c>
    </row>
    <row r="8" spans="1:17" s="1" customFormat="1" ht="14">
      <c r="A8" s="14" t="s">
        <v>179</v>
      </c>
      <c r="B8" s="9" t="s">
        <v>180</v>
      </c>
      <c r="C8" s="1" t="s">
        <v>13</v>
      </c>
      <c r="D8" s="79">
        <v>360</v>
      </c>
      <c r="E8" s="44">
        <f t="shared" si="0"/>
        <v>396</v>
      </c>
      <c r="F8" s="79">
        <v>360</v>
      </c>
      <c r="G8" s="44">
        <f t="shared" si="1"/>
        <v>396</v>
      </c>
      <c r="H8" s="35">
        <v>0</v>
      </c>
      <c r="I8" s="44">
        <f t="shared" si="1"/>
        <v>0</v>
      </c>
      <c r="J8" s="35">
        <v>0</v>
      </c>
      <c r="K8" s="44">
        <f t="shared" si="1"/>
        <v>0</v>
      </c>
      <c r="L8" s="2" t="s">
        <v>64</v>
      </c>
      <c r="M8" s="2" t="s">
        <v>203</v>
      </c>
      <c r="N8" s="2" t="s">
        <v>22</v>
      </c>
      <c r="O8" s="50">
        <v>44743</v>
      </c>
      <c r="P8" s="50">
        <v>44757</v>
      </c>
    </row>
    <row r="9" spans="1:17" s="1" customFormat="1" ht="14">
      <c r="A9" s="14" t="s">
        <v>97</v>
      </c>
      <c r="B9" s="9" t="s">
        <v>98</v>
      </c>
      <c r="C9" s="1" t="s">
        <v>13</v>
      </c>
      <c r="D9" s="79">
        <v>390</v>
      </c>
      <c r="E9" s="44">
        <f t="shared" si="0"/>
        <v>429</v>
      </c>
      <c r="F9" s="79">
        <v>390</v>
      </c>
      <c r="G9" s="44">
        <f t="shared" si="1"/>
        <v>429</v>
      </c>
      <c r="H9" s="35">
        <v>0</v>
      </c>
      <c r="I9" s="44">
        <f t="shared" ref="I9:I70" si="2">H9+(H9*$Q$3)</f>
        <v>0</v>
      </c>
      <c r="J9" s="35">
        <v>0</v>
      </c>
      <c r="K9" s="44">
        <f t="shared" si="1"/>
        <v>0</v>
      </c>
      <c r="L9" s="2" t="s">
        <v>64</v>
      </c>
      <c r="M9" s="2" t="s">
        <v>204</v>
      </c>
      <c r="N9" s="2" t="s">
        <v>22</v>
      </c>
      <c r="O9" s="50">
        <v>44743</v>
      </c>
      <c r="P9" s="50">
        <v>44757</v>
      </c>
    </row>
    <row r="10" spans="1:17" s="1" customFormat="1" ht="14">
      <c r="A10" s="16" t="s">
        <v>26</v>
      </c>
      <c r="B10" s="8" t="s">
        <v>181</v>
      </c>
      <c r="C10" s="10" t="s">
        <v>13</v>
      </c>
      <c r="D10" s="79">
        <v>250</v>
      </c>
      <c r="E10" s="44">
        <f t="shared" si="0"/>
        <v>275</v>
      </c>
      <c r="F10" s="79">
        <v>250</v>
      </c>
      <c r="G10" s="44">
        <f t="shared" si="1"/>
        <v>275</v>
      </c>
      <c r="H10" s="35">
        <v>0</v>
      </c>
      <c r="I10" s="44">
        <f t="shared" si="2"/>
        <v>0</v>
      </c>
      <c r="J10" s="35">
        <v>0</v>
      </c>
      <c r="K10" s="44">
        <f t="shared" si="1"/>
        <v>0</v>
      </c>
      <c r="L10" s="4" t="s">
        <v>12</v>
      </c>
      <c r="M10" s="4" t="s">
        <v>205</v>
      </c>
      <c r="N10" s="2" t="s">
        <v>16</v>
      </c>
      <c r="O10" s="50">
        <v>44743</v>
      </c>
      <c r="P10" s="50">
        <v>44757</v>
      </c>
    </row>
    <row r="11" spans="1:17" s="1" customFormat="1" ht="14">
      <c r="A11" s="16" t="s">
        <v>26</v>
      </c>
      <c r="B11" s="8" t="s">
        <v>29</v>
      </c>
      <c r="C11" s="10" t="s">
        <v>13</v>
      </c>
      <c r="D11" s="79">
        <v>265</v>
      </c>
      <c r="E11" s="44">
        <f t="shared" si="0"/>
        <v>291.5</v>
      </c>
      <c r="F11" s="79">
        <v>265</v>
      </c>
      <c r="G11" s="44">
        <f t="shared" si="1"/>
        <v>291.5</v>
      </c>
      <c r="H11" s="35">
        <v>0</v>
      </c>
      <c r="I11" s="44">
        <f t="shared" si="2"/>
        <v>0</v>
      </c>
      <c r="J11" s="35">
        <v>0</v>
      </c>
      <c r="K11" s="44">
        <f t="shared" si="1"/>
        <v>0</v>
      </c>
      <c r="L11" s="4" t="s">
        <v>12</v>
      </c>
      <c r="M11" s="4" t="s">
        <v>28</v>
      </c>
      <c r="N11" s="3" t="s">
        <v>16</v>
      </c>
      <c r="O11" s="50">
        <v>44743</v>
      </c>
      <c r="P11" s="50">
        <v>44757</v>
      </c>
    </row>
    <row r="12" spans="1:17" s="1" customFormat="1" ht="14">
      <c r="A12" s="16" t="s">
        <v>26</v>
      </c>
      <c r="B12" s="8" t="s">
        <v>27</v>
      </c>
      <c r="C12" s="10" t="s">
        <v>13</v>
      </c>
      <c r="D12" s="79">
        <v>265</v>
      </c>
      <c r="E12" s="44">
        <f t="shared" si="0"/>
        <v>291.5</v>
      </c>
      <c r="F12" s="79">
        <v>265</v>
      </c>
      <c r="G12" s="44">
        <f t="shared" si="1"/>
        <v>291.5</v>
      </c>
      <c r="H12" s="35">
        <v>0</v>
      </c>
      <c r="I12" s="44">
        <f t="shared" si="2"/>
        <v>0</v>
      </c>
      <c r="J12" s="35">
        <v>0</v>
      </c>
      <c r="K12" s="44">
        <f t="shared" si="1"/>
        <v>0</v>
      </c>
      <c r="L12" s="4" t="s">
        <v>12</v>
      </c>
      <c r="M12" s="4" t="s">
        <v>28</v>
      </c>
      <c r="N12" s="2" t="s">
        <v>16</v>
      </c>
      <c r="O12" s="50">
        <v>44743</v>
      </c>
      <c r="P12" s="50">
        <v>44757</v>
      </c>
    </row>
    <row r="13" spans="1:17" s="1" customFormat="1" ht="14">
      <c r="A13" s="16" t="s">
        <v>26</v>
      </c>
      <c r="B13" s="8" t="s">
        <v>182</v>
      </c>
      <c r="C13" s="10" t="s">
        <v>13</v>
      </c>
      <c r="D13" s="79">
        <v>265</v>
      </c>
      <c r="E13" s="44">
        <f t="shared" si="0"/>
        <v>291.5</v>
      </c>
      <c r="F13" s="79">
        <v>265</v>
      </c>
      <c r="G13" s="44">
        <f t="shared" si="1"/>
        <v>291.5</v>
      </c>
      <c r="H13" s="35">
        <v>0</v>
      </c>
      <c r="I13" s="44">
        <f t="shared" si="2"/>
        <v>0</v>
      </c>
      <c r="J13" s="35">
        <v>0</v>
      </c>
      <c r="K13" s="44">
        <f t="shared" si="1"/>
        <v>0</v>
      </c>
      <c r="L13" s="4" t="s">
        <v>12</v>
      </c>
      <c r="M13" s="4" t="s">
        <v>28</v>
      </c>
      <c r="N13" s="4" t="s">
        <v>16</v>
      </c>
      <c r="O13" s="50">
        <v>44743</v>
      </c>
      <c r="P13" s="50">
        <v>44757</v>
      </c>
    </row>
    <row r="14" spans="1:17" s="1" customFormat="1" ht="14">
      <c r="A14" s="17" t="s">
        <v>26</v>
      </c>
      <c r="B14" s="8" t="s">
        <v>183</v>
      </c>
      <c r="C14" s="6" t="s">
        <v>13</v>
      </c>
      <c r="D14" s="79">
        <v>265</v>
      </c>
      <c r="E14" s="44">
        <f t="shared" si="0"/>
        <v>291.5</v>
      </c>
      <c r="F14" s="79">
        <v>265</v>
      </c>
      <c r="G14" s="44">
        <f t="shared" si="1"/>
        <v>291.5</v>
      </c>
      <c r="H14" s="35">
        <v>0</v>
      </c>
      <c r="I14" s="44">
        <f t="shared" si="2"/>
        <v>0</v>
      </c>
      <c r="J14" s="35">
        <v>0</v>
      </c>
      <c r="K14" s="44">
        <f t="shared" si="1"/>
        <v>0</v>
      </c>
      <c r="L14" s="4" t="s">
        <v>12</v>
      </c>
      <c r="M14" s="4" t="s">
        <v>28</v>
      </c>
      <c r="N14" s="3" t="s">
        <v>16</v>
      </c>
      <c r="O14" s="50">
        <v>44743</v>
      </c>
      <c r="P14" s="50">
        <v>44757</v>
      </c>
    </row>
    <row r="15" spans="1:17" s="1" customFormat="1" ht="14">
      <c r="A15" s="16" t="s">
        <v>31</v>
      </c>
      <c r="B15" s="9" t="s">
        <v>184</v>
      </c>
      <c r="C15" s="10" t="s">
        <v>13</v>
      </c>
      <c r="D15" s="80">
        <v>110</v>
      </c>
      <c r="E15" s="44">
        <f t="shared" si="0"/>
        <v>121</v>
      </c>
      <c r="F15" s="80">
        <v>110</v>
      </c>
      <c r="G15" s="44">
        <f t="shared" si="1"/>
        <v>121</v>
      </c>
      <c r="H15" s="35">
        <v>0</v>
      </c>
      <c r="I15" s="44">
        <f t="shared" si="2"/>
        <v>0</v>
      </c>
      <c r="J15" s="35">
        <v>0</v>
      </c>
      <c r="K15" s="44">
        <f t="shared" si="1"/>
        <v>0</v>
      </c>
      <c r="L15" s="2" t="s">
        <v>12</v>
      </c>
      <c r="M15" s="2" t="s">
        <v>206</v>
      </c>
      <c r="N15" s="2" t="s">
        <v>21</v>
      </c>
      <c r="O15" s="50">
        <v>44743</v>
      </c>
      <c r="P15" s="50">
        <v>44757</v>
      </c>
    </row>
    <row r="16" spans="1:17" s="1" customFormat="1" ht="14">
      <c r="A16" s="16" t="s">
        <v>48</v>
      </c>
      <c r="B16" s="9" t="s">
        <v>49</v>
      </c>
      <c r="C16" s="10" t="s">
        <v>13</v>
      </c>
      <c r="D16" s="80">
        <v>50</v>
      </c>
      <c r="E16" s="44">
        <f t="shared" si="0"/>
        <v>55</v>
      </c>
      <c r="F16" s="80">
        <v>50</v>
      </c>
      <c r="G16" s="44">
        <f t="shared" si="1"/>
        <v>55</v>
      </c>
      <c r="H16" s="35">
        <v>0</v>
      </c>
      <c r="I16" s="44">
        <f t="shared" si="2"/>
        <v>0</v>
      </c>
      <c r="J16" s="35">
        <v>0</v>
      </c>
      <c r="K16" s="44">
        <f t="shared" si="1"/>
        <v>0</v>
      </c>
      <c r="L16" s="2" t="s">
        <v>12</v>
      </c>
      <c r="M16" s="81" t="s">
        <v>207</v>
      </c>
      <c r="N16" s="2" t="s">
        <v>22</v>
      </c>
      <c r="O16" s="50">
        <v>44743</v>
      </c>
      <c r="P16" s="50">
        <v>44757</v>
      </c>
    </row>
    <row r="17" spans="1:16" s="1" customFormat="1" ht="14">
      <c r="A17" s="16" t="s">
        <v>185</v>
      </c>
      <c r="B17" s="9" t="s">
        <v>186</v>
      </c>
      <c r="C17" s="10" t="s">
        <v>13</v>
      </c>
      <c r="D17" s="80">
        <v>50</v>
      </c>
      <c r="E17" s="44">
        <f t="shared" si="0"/>
        <v>55</v>
      </c>
      <c r="F17" s="80">
        <v>50</v>
      </c>
      <c r="G17" s="44">
        <f t="shared" si="1"/>
        <v>55</v>
      </c>
      <c r="H17" s="35">
        <v>0</v>
      </c>
      <c r="I17" s="44">
        <f t="shared" si="2"/>
        <v>0</v>
      </c>
      <c r="J17" s="35">
        <v>0</v>
      </c>
      <c r="K17" s="44">
        <f t="shared" si="1"/>
        <v>0</v>
      </c>
      <c r="L17" s="2" t="s">
        <v>12</v>
      </c>
      <c r="M17" s="81" t="s">
        <v>208</v>
      </c>
      <c r="N17" s="2" t="s">
        <v>22</v>
      </c>
      <c r="O17" s="50">
        <v>44743</v>
      </c>
      <c r="P17" s="50">
        <v>44757</v>
      </c>
    </row>
    <row r="18" spans="1:16" s="1" customFormat="1" ht="14">
      <c r="A18" s="16" t="s">
        <v>185</v>
      </c>
      <c r="B18" s="9" t="s">
        <v>47</v>
      </c>
      <c r="C18" s="10" t="s">
        <v>13</v>
      </c>
      <c r="D18" s="80">
        <v>115</v>
      </c>
      <c r="E18" s="44">
        <f t="shared" si="0"/>
        <v>126.5</v>
      </c>
      <c r="F18" s="80">
        <v>115</v>
      </c>
      <c r="G18" s="44">
        <f t="shared" si="1"/>
        <v>126.5</v>
      </c>
      <c r="H18" s="35">
        <v>0</v>
      </c>
      <c r="I18" s="44">
        <f t="shared" si="2"/>
        <v>0</v>
      </c>
      <c r="J18" s="35">
        <v>0</v>
      </c>
      <c r="K18" s="44">
        <f t="shared" si="1"/>
        <v>0</v>
      </c>
      <c r="L18" s="2" t="s">
        <v>12</v>
      </c>
      <c r="M18" s="81" t="s">
        <v>209</v>
      </c>
      <c r="N18" s="2" t="s">
        <v>16</v>
      </c>
      <c r="O18" s="50">
        <v>44743</v>
      </c>
      <c r="P18" s="50">
        <v>44757</v>
      </c>
    </row>
    <row r="19" spans="1:16" s="1" customFormat="1" ht="14">
      <c r="A19" s="16" t="s">
        <v>187</v>
      </c>
      <c r="B19" s="9" t="s">
        <v>188</v>
      </c>
      <c r="C19" s="10" t="s">
        <v>13</v>
      </c>
      <c r="D19" s="80">
        <v>75</v>
      </c>
      <c r="E19" s="44">
        <f t="shared" si="0"/>
        <v>82.5</v>
      </c>
      <c r="F19" s="80">
        <v>80</v>
      </c>
      <c r="G19" s="44">
        <f t="shared" si="1"/>
        <v>88</v>
      </c>
      <c r="H19" s="35">
        <v>0</v>
      </c>
      <c r="I19" s="44">
        <f t="shared" si="2"/>
        <v>0</v>
      </c>
      <c r="J19" s="35">
        <v>0</v>
      </c>
      <c r="K19" s="44">
        <f t="shared" si="1"/>
        <v>0</v>
      </c>
      <c r="L19" s="2" t="s">
        <v>12</v>
      </c>
      <c r="M19" s="2" t="s">
        <v>210</v>
      </c>
      <c r="N19" s="2" t="s">
        <v>16</v>
      </c>
      <c r="O19" s="50">
        <v>44743</v>
      </c>
      <c r="P19" s="50">
        <v>44757</v>
      </c>
    </row>
    <row r="20" spans="1:16" s="1" customFormat="1" ht="14">
      <c r="A20" s="16" t="s">
        <v>189</v>
      </c>
      <c r="B20" s="9" t="s">
        <v>190</v>
      </c>
      <c r="C20" s="10" t="s">
        <v>13</v>
      </c>
      <c r="D20" s="80">
        <v>90</v>
      </c>
      <c r="E20" s="44">
        <f t="shared" si="0"/>
        <v>99</v>
      </c>
      <c r="F20" s="80">
        <v>95</v>
      </c>
      <c r="G20" s="44">
        <f t="shared" si="1"/>
        <v>104.5</v>
      </c>
      <c r="H20" s="35">
        <v>0</v>
      </c>
      <c r="I20" s="44">
        <f t="shared" si="2"/>
        <v>0</v>
      </c>
      <c r="J20" s="35">
        <v>0</v>
      </c>
      <c r="K20" s="44">
        <f t="shared" si="1"/>
        <v>0</v>
      </c>
      <c r="L20" s="2" t="s">
        <v>12</v>
      </c>
      <c r="M20" s="2" t="s">
        <v>211</v>
      </c>
      <c r="N20" s="2" t="s">
        <v>22</v>
      </c>
      <c r="O20" s="50">
        <v>44743</v>
      </c>
      <c r="P20" s="50">
        <v>44757</v>
      </c>
    </row>
    <row r="21" spans="1:16" s="1" customFormat="1" ht="14">
      <c r="A21" s="16" t="s">
        <v>189</v>
      </c>
      <c r="B21" s="9" t="s">
        <v>62</v>
      </c>
      <c r="C21" s="10" t="s">
        <v>13</v>
      </c>
      <c r="D21" s="80">
        <v>160</v>
      </c>
      <c r="E21" s="44">
        <f t="shared" si="0"/>
        <v>176</v>
      </c>
      <c r="F21" s="80">
        <v>165</v>
      </c>
      <c r="G21" s="44">
        <f t="shared" si="1"/>
        <v>181.5</v>
      </c>
      <c r="H21" s="35">
        <v>0</v>
      </c>
      <c r="I21" s="44">
        <f t="shared" si="2"/>
        <v>0</v>
      </c>
      <c r="J21" s="35">
        <v>0</v>
      </c>
      <c r="K21" s="44">
        <f t="shared" si="1"/>
        <v>0</v>
      </c>
      <c r="L21" s="2" t="s">
        <v>12</v>
      </c>
      <c r="M21" s="2" t="s">
        <v>212</v>
      </c>
      <c r="N21" s="2" t="s">
        <v>16</v>
      </c>
      <c r="O21" s="50">
        <v>44743</v>
      </c>
      <c r="P21" s="50">
        <v>44757</v>
      </c>
    </row>
    <row r="22" spans="1:16" s="1" customFormat="1" ht="14">
      <c r="A22" s="16" t="s">
        <v>189</v>
      </c>
      <c r="B22" s="9" t="s">
        <v>191</v>
      </c>
      <c r="C22" s="10" t="s">
        <v>13</v>
      </c>
      <c r="D22" s="80">
        <v>173</v>
      </c>
      <c r="E22" s="44">
        <f t="shared" si="0"/>
        <v>190.3</v>
      </c>
      <c r="F22" s="80">
        <v>178</v>
      </c>
      <c r="G22" s="44">
        <f t="shared" si="1"/>
        <v>195.8</v>
      </c>
      <c r="H22" s="35">
        <v>0</v>
      </c>
      <c r="I22" s="44">
        <f t="shared" si="2"/>
        <v>0</v>
      </c>
      <c r="J22" s="35">
        <v>0</v>
      </c>
      <c r="K22" s="44">
        <f t="shared" si="1"/>
        <v>0</v>
      </c>
      <c r="L22" s="2" t="s">
        <v>12</v>
      </c>
      <c r="M22" s="2" t="s">
        <v>212</v>
      </c>
      <c r="N22" s="2" t="s">
        <v>22</v>
      </c>
      <c r="O22" s="50">
        <v>44743</v>
      </c>
      <c r="P22" s="50">
        <v>44757</v>
      </c>
    </row>
    <row r="23" spans="1:16" s="1" customFormat="1" ht="14">
      <c r="A23" s="13" t="s">
        <v>189</v>
      </c>
      <c r="B23" s="9" t="s">
        <v>192</v>
      </c>
      <c r="C23" s="7" t="s">
        <v>13</v>
      </c>
      <c r="D23" s="80">
        <v>110</v>
      </c>
      <c r="E23" s="44">
        <f t="shared" si="0"/>
        <v>121</v>
      </c>
      <c r="F23" s="80">
        <v>115</v>
      </c>
      <c r="G23" s="44">
        <f t="shared" si="1"/>
        <v>126.5</v>
      </c>
      <c r="H23" s="35">
        <v>0</v>
      </c>
      <c r="I23" s="44">
        <f t="shared" si="2"/>
        <v>0</v>
      </c>
      <c r="J23" s="35">
        <v>0</v>
      </c>
      <c r="K23" s="44">
        <f t="shared" si="1"/>
        <v>0</v>
      </c>
      <c r="L23" s="7" t="s">
        <v>12</v>
      </c>
      <c r="M23" s="7" t="s">
        <v>212</v>
      </c>
      <c r="N23" s="7" t="s">
        <v>16</v>
      </c>
      <c r="O23" s="50">
        <v>44743</v>
      </c>
      <c r="P23" s="50">
        <v>44757</v>
      </c>
    </row>
    <row r="24" spans="1:16" s="1" customFormat="1" ht="14">
      <c r="A24" s="13" t="s">
        <v>189</v>
      </c>
      <c r="B24" s="9" t="s">
        <v>193</v>
      </c>
      <c r="C24" s="7" t="s">
        <v>13</v>
      </c>
      <c r="D24" s="80">
        <v>180</v>
      </c>
      <c r="E24" s="44">
        <f t="shared" si="0"/>
        <v>198</v>
      </c>
      <c r="F24" s="80">
        <v>185</v>
      </c>
      <c r="G24" s="44">
        <f t="shared" si="1"/>
        <v>203.5</v>
      </c>
      <c r="H24" s="35">
        <v>0</v>
      </c>
      <c r="I24" s="44">
        <f t="shared" si="2"/>
        <v>0</v>
      </c>
      <c r="J24" s="35">
        <v>0</v>
      </c>
      <c r="K24" s="44">
        <f t="shared" si="1"/>
        <v>0</v>
      </c>
      <c r="L24" s="7" t="s">
        <v>12</v>
      </c>
      <c r="M24" s="7" t="s">
        <v>212</v>
      </c>
      <c r="N24" s="7" t="s">
        <v>16</v>
      </c>
      <c r="O24" s="50">
        <v>44743</v>
      </c>
      <c r="P24" s="50">
        <v>44757</v>
      </c>
    </row>
    <row r="25" spans="1:16" s="1" customFormat="1" ht="14">
      <c r="A25" s="13" t="s">
        <v>189</v>
      </c>
      <c r="B25" s="9" t="s">
        <v>194</v>
      </c>
      <c r="C25" s="7" t="s">
        <v>13</v>
      </c>
      <c r="D25" s="80">
        <v>145</v>
      </c>
      <c r="E25" s="44">
        <f t="shared" si="0"/>
        <v>159.5</v>
      </c>
      <c r="F25" s="80">
        <v>150</v>
      </c>
      <c r="G25" s="44">
        <f t="shared" si="1"/>
        <v>165</v>
      </c>
      <c r="H25" s="35">
        <v>0</v>
      </c>
      <c r="I25" s="44">
        <f t="shared" si="2"/>
        <v>0</v>
      </c>
      <c r="J25" s="35">
        <v>0</v>
      </c>
      <c r="K25" s="44">
        <f t="shared" si="1"/>
        <v>0</v>
      </c>
      <c r="L25" s="7" t="s">
        <v>12</v>
      </c>
      <c r="M25" s="82" t="s">
        <v>213</v>
      </c>
      <c r="N25" s="7" t="s">
        <v>16</v>
      </c>
      <c r="O25" s="50">
        <v>44743</v>
      </c>
      <c r="P25" s="50">
        <v>44757</v>
      </c>
    </row>
    <row r="26" spans="1:16" s="1" customFormat="1" ht="14">
      <c r="A26" s="13" t="s">
        <v>189</v>
      </c>
      <c r="B26" s="9" t="s">
        <v>63</v>
      </c>
      <c r="C26" s="7" t="s">
        <v>13</v>
      </c>
      <c r="D26" s="80">
        <v>140</v>
      </c>
      <c r="E26" s="44">
        <f t="shared" si="0"/>
        <v>154</v>
      </c>
      <c r="F26" s="80">
        <v>145</v>
      </c>
      <c r="G26" s="44">
        <f t="shared" si="1"/>
        <v>159.5</v>
      </c>
      <c r="H26" s="35">
        <v>0</v>
      </c>
      <c r="I26" s="44">
        <f t="shared" si="2"/>
        <v>0</v>
      </c>
      <c r="J26" s="35">
        <v>0</v>
      </c>
      <c r="K26" s="44">
        <f t="shared" si="1"/>
        <v>0</v>
      </c>
      <c r="L26" s="7" t="s">
        <v>12</v>
      </c>
      <c r="M26" s="7" t="s">
        <v>214</v>
      </c>
      <c r="N26" s="7" t="s">
        <v>16</v>
      </c>
      <c r="O26" s="50">
        <v>44743</v>
      </c>
      <c r="P26" s="50">
        <v>44757</v>
      </c>
    </row>
    <row r="27" spans="1:16" s="1" customFormat="1" ht="14">
      <c r="A27" s="13" t="s">
        <v>195</v>
      </c>
      <c r="B27" s="9" t="s">
        <v>196</v>
      </c>
      <c r="C27" s="7" t="s">
        <v>13</v>
      </c>
      <c r="D27" s="80">
        <v>205</v>
      </c>
      <c r="E27" s="44">
        <f t="shared" si="0"/>
        <v>225.5</v>
      </c>
      <c r="F27" s="80">
        <v>210</v>
      </c>
      <c r="G27" s="44">
        <f t="shared" si="1"/>
        <v>231</v>
      </c>
      <c r="H27" s="35">
        <v>0</v>
      </c>
      <c r="I27" s="44">
        <f t="shared" si="2"/>
        <v>0</v>
      </c>
      <c r="J27" s="35">
        <v>0</v>
      </c>
      <c r="K27" s="44">
        <f t="shared" si="1"/>
        <v>0</v>
      </c>
      <c r="L27" s="7" t="s">
        <v>12</v>
      </c>
      <c r="M27" s="7" t="s">
        <v>215</v>
      </c>
      <c r="N27" s="7" t="s">
        <v>22</v>
      </c>
      <c r="O27" s="50">
        <v>44743</v>
      </c>
      <c r="P27" s="50">
        <v>44757</v>
      </c>
    </row>
    <row r="28" spans="1:16" s="1" customFormat="1" ht="14">
      <c r="A28" s="13" t="s">
        <v>195</v>
      </c>
      <c r="B28" s="9" t="s">
        <v>197</v>
      </c>
      <c r="C28" s="7" t="s">
        <v>13</v>
      </c>
      <c r="D28" s="80">
        <v>205</v>
      </c>
      <c r="E28" s="44">
        <f t="shared" si="0"/>
        <v>225.5</v>
      </c>
      <c r="F28" s="80">
        <v>210</v>
      </c>
      <c r="G28" s="44">
        <f t="shared" si="1"/>
        <v>231</v>
      </c>
      <c r="H28" s="35">
        <v>0</v>
      </c>
      <c r="I28" s="44">
        <f t="shared" si="2"/>
        <v>0</v>
      </c>
      <c r="J28" s="35">
        <v>0</v>
      </c>
      <c r="K28" s="44">
        <f t="shared" si="1"/>
        <v>0</v>
      </c>
      <c r="L28" s="7" t="s">
        <v>12</v>
      </c>
      <c r="M28" s="7" t="s">
        <v>215</v>
      </c>
      <c r="N28" s="7" t="s">
        <v>22</v>
      </c>
      <c r="O28" s="50">
        <v>44743</v>
      </c>
      <c r="P28" s="50">
        <v>44757</v>
      </c>
    </row>
    <row r="29" spans="1:16" s="1" customFormat="1" ht="14">
      <c r="A29" s="13" t="s">
        <v>195</v>
      </c>
      <c r="B29" s="9" t="s">
        <v>198</v>
      </c>
      <c r="C29" s="7" t="s">
        <v>13</v>
      </c>
      <c r="D29" s="80">
        <v>260</v>
      </c>
      <c r="E29" s="44">
        <f t="shared" si="0"/>
        <v>286</v>
      </c>
      <c r="F29" s="80">
        <v>265</v>
      </c>
      <c r="G29" s="44">
        <f t="shared" si="1"/>
        <v>291.5</v>
      </c>
      <c r="H29" s="35">
        <v>0</v>
      </c>
      <c r="I29" s="44">
        <f t="shared" si="2"/>
        <v>0</v>
      </c>
      <c r="J29" s="35">
        <v>0</v>
      </c>
      <c r="K29" s="44">
        <f t="shared" si="1"/>
        <v>0</v>
      </c>
      <c r="L29" s="7" t="s">
        <v>12</v>
      </c>
      <c r="M29" s="7" t="s">
        <v>215</v>
      </c>
      <c r="N29" s="7" t="s">
        <v>22</v>
      </c>
      <c r="O29" s="50">
        <v>44743</v>
      </c>
      <c r="P29" s="50">
        <v>44757</v>
      </c>
    </row>
    <row r="30" spans="1:16" s="1" customFormat="1" ht="14">
      <c r="A30" s="13" t="s">
        <v>199</v>
      </c>
      <c r="B30" s="9" t="s">
        <v>200</v>
      </c>
      <c r="C30" s="7" t="s">
        <v>13</v>
      </c>
      <c r="D30" s="80">
        <v>30</v>
      </c>
      <c r="E30" s="44">
        <f t="shared" si="0"/>
        <v>33</v>
      </c>
      <c r="F30" s="80">
        <v>35</v>
      </c>
      <c r="G30" s="44">
        <f t="shared" si="1"/>
        <v>38.5</v>
      </c>
      <c r="H30" s="35">
        <v>0</v>
      </c>
      <c r="I30" s="44">
        <f t="shared" si="2"/>
        <v>0</v>
      </c>
      <c r="J30" s="35">
        <v>0</v>
      </c>
      <c r="K30" s="44">
        <f t="shared" si="1"/>
        <v>0</v>
      </c>
      <c r="L30" s="7" t="s">
        <v>12</v>
      </c>
      <c r="M30" s="7" t="s">
        <v>216</v>
      </c>
      <c r="N30" s="7" t="s">
        <v>20</v>
      </c>
      <c r="O30" s="50">
        <v>44743</v>
      </c>
      <c r="P30" s="50">
        <v>44757</v>
      </c>
    </row>
    <row r="31" spans="1:16" s="1" customFormat="1" ht="14">
      <c r="A31" s="83" t="s">
        <v>50</v>
      </c>
      <c r="B31" s="84" t="s">
        <v>217</v>
      </c>
      <c r="C31" s="7" t="s">
        <v>13</v>
      </c>
      <c r="D31" s="36">
        <v>205</v>
      </c>
      <c r="E31" s="44">
        <f t="shared" si="0"/>
        <v>225.5</v>
      </c>
      <c r="F31" s="36">
        <v>205</v>
      </c>
      <c r="G31" s="44">
        <f t="shared" si="1"/>
        <v>225.5</v>
      </c>
      <c r="H31" s="35">
        <v>0</v>
      </c>
      <c r="I31" s="44">
        <f t="shared" si="2"/>
        <v>0</v>
      </c>
      <c r="J31" s="35">
        <v>0</v>
      </c>
      <c r="K31" s="44">
        <f t="shared" si="1"/>
        <v>0</v>
      </c>
      <c r="L31" s="7" t="s">
        <v>12</v>
      </c>
      <c r="M31" s="7" t="s">
        <v>235</v>
      </c>
      <c r="N31" s="7" t="s">
        <v>25</v>
      </c>
      <c r="O31" s="50">
        <v>44317</v>
      </c>
      <c r="P31" s="50">
        <v>44339</v>
      </c>
    </row>
    <row r="32" spans="1:16" s="1" customFormat="1" ht="14">
      <c r="A32" s="83" t="s">
        <v>53</v>
      </c>
      <c r="B32" s="84" t="s">
        <v>56</v>
      </c>
      <c r="C32" s="7" t="s">
        <v>13</v>
      </c>
      <c r="D32" s="87">
        <v>205</v>
      </c>
      <c r="E32" s="44">
        <f t="shared" si="0"/>
        <v>225.5</v>
      </c>
      <c r="F32" s="87">
        <v>205</v>
      </c>
      <c r="G32" s="44">
        <f t="shared" si="1"/>
        <v>225.5</v>
      </c>
      <c r="H32" s="35">
        <v>0</v>
      </c>
      <c r="I32" s="44">
        <f t="shared" si="2"/>
        <v>0</v>
      </c>
      <c r="J32" s="35">
        <v>0</v>
      </c>
      <c r="K32" s="44">
        <f t="shared" si="1"/>
        <v>0</v>
      </c>
      <c r="L32" s="7" t="s">
        <v>12</v>
      </c>
      <c r="M32" s="7" t="s">
        <v>236</v>
      </c>
      <c r="N32" s="7" t="s">
        <v>22</v>
      </c>
      <c r="O32" s="50">
        <v>44317</v>
      </c>
      <c r="P32" s="50">
        <v>44339</v>
      </c>
    </row>
    <row r="33" spans="1:16" s="1" customFormat="1" ht="14">
      <c r="A33" s="83" t="s">
        <v>218</v>
      </c>
      <c r="B33" s="84" t="s">
        <v>219</v>
      </c>
      <c r="C33" s="7" t="s">
        <v>13</v>
      </c>
      <c r="D33" s="88">
        <v>120</v>
      </c>
      <c r="E33" s="44">
        <f t="shared" si="0"/>
        <v>132</v>
      </c>
      <c r="F33" s="88">
        <v>125</v>
      </c>
      <c r="G33" s="44">
        <f t="shared" si="1"/>
        <v>137.5</v>
      </c>
      <c r="H33" s="35">
        <v>0</v>
      </c>
      <c r="I33" s="44">
        <f t="shared" si="2"/>
        <v>0</v>
      </c>
      <c r="J33" s="35">
        <v>0</v>
      </c>
      <c r="K33" s="44">
        <f t="shared" si="1"/>
        <v>0</v>
      </c>
      <c r="L33" s="7" t="s">
        <v>12</v>
      </c>
      <c r="M33" s="7" t="s">
        <v>237</v>
      </c>
      <c r="N33" s="7" t="s">
        <v>16</v>
      </c>
      <c r="O33" s="50">
        <v>44317</v>
      </c>
      <c r="P33" s="50">
        <v>44339</v>
      </c>
    </row>
    <row r="34" spans="1:16" s="1" customFormat="1" ht="14">
      <c r="A34" s="83" t="s">
        <v>53</v>
      </c>
      <c r="B34" s="84" t="s">
        <v>54</v>
      </c>
      <c r="C34" s="7" t="s">
        <v>13</v>
      </c>
      <c r="D34" s="88">
        <v>160</v>
      </c>
      <c r="E34" s="44">
        <f t="shared" si="0"/>
        <v>176</v>
      </c>
      <c r="F34" s="88">
        <v>160</v>
      </c>
      <c r="G34" s="44">
        <f t="shared" si="1"/>
        <v>176</v>
      </c>
      <c r="H34" s="35">
        <v>0</v>
      </c>
      <c r="I34" s="44">
        <f t="shared" si="2"/>
        <v>0</v>
      </c>
      <c r="J34" s="35">
        <v>0</v>
      </c>
      <c r="K34" s="44">
        <f t="shared" si="1"/>
        <v>0</v>
      </c>
      <c r="L34" s="7" t="s">
        <v>12</v>
      </c>
      <c r="M34" s="7" t="s">
        <v>238</v>
      </c>
      <c r="N34" s="7" t="s">
        <v>45</v>
      </c>
      <c r="O34" s="50">
        <v>44317</v>
      </c>
      <c r="P34" s="50">
        <v>44339</v>
      </c>
    </row>
    <row r="35" spans="1:16" s="1" customFormat="1" ht="14">
      <c r="A35" s="83" t="s">
        <v>53</v>
      </c>
      <c r="B35" s="84" t="s">
        <v>220</v>
      </c>
      <c r="C35" s="7" t="s">
        <v>13</v>
      </c>
      <c r="D35" s="88">
        <v>200</v>
      </c>
      <c r="E35" s="44">
        <f t="shared" si="0"/>
        <v>220</v>
      </c>
      <c r="F35" s="88">
        <v>200</v>
      </c>
      <c r="G35" s="44">
        <f t="shared" si="1"/>
        <v>220</v>
      </c>
      <c r="H35" s="35">
        <v>0</v>
      </c>
      <c r="I35" s="44">
        <f t="shared" si="2"/>
        <v>0</v>
      </c>
      <c r="J35" s="35">
        <v>0</v>
      </c>
      <c r="K35" s="44">
        <f t="shared" si="1"/>
        <v>0</v>
      </c>
      <c r="L35" s="7" t="s">
        <v>234</v>
      </c>
      <c r="M35" s="7" t="s">
        <v>239</v>
      </c>
      <c r="N35" s="7" t="s">
        <v>16</v>
      </c>
      <c r="O35" s="50">
        <v>44317</v>
      </c>
      <c r="P35" s="50">
        <v>44339</v>
      </c>
    </row>
    <row r="36" spans="1:16" s="1" customFormat="1" ht="14">
      <c r="A36" s="83" t="s">
        <v>93</v>
      </c>
      <c r="B36" s="84" t="s">
        <v>94</v>
      </c>
      <c r="C36" s="7" t="s">
        <v>13</v>
      </c>
      <c r="D36" s="37">
        <v>230</v>
      </c>
      <c r="E36" s="44">
        <f t="shared" si="0"/>
        <v>253</v>
      </c>
      <c r="F36" s="37">
        <v>230</v>
      </c>
      <c r="G36" s="44">
        <f t="shared" si="1"/>
        <v>253</v>
      </c>
      <c r="H36" s="35">
        <v>0</v>
      </c>
      <c r="I36" s="44">
        <f t="shared" si="2"/>
        <v>0</v>
      </c>
      <c r="J36" s="35">
        <v>0</v>
      </c>
      <c r="K36" s="44">
        <f t="shared" si="1"/>
        <v>0</v>
      </c>
      <c r="L36" s="7" t="s">
        <v>12</v>
      </c>
      <c r="M36" s="7" t="s">
        <v>235</v>
      </c>
      <c r="N36" s="7" t="s">
        <v>16</v>
      </c>
      <c r="O36" s="50">
        <v>44317</v>
      </c>
      <c r="P36" s="50">
        <v>44339</v>
      </c>
    </row>
    <row r="37" spans="1:16" s="1" customFormat="1" ht="14">
      <c r="A37" s="83" t="s">
        <v>221</v>
      </c>
      <c r="B37" s="84" t="s">
        <v>222</v>
      </c>
      <c r="C37" s="7" t="s">
        <v>13</v>
      </c>
      <c r="D37" s="37">
        <v>220</v>
      </c>
      <c r="E37" s="44">
        <f t="shared" si="0"/>
        <v>242</v>
      </c>
      <c r="F37" s="37">
        <v>220</v>
      </c>
      <c r="G37" s="44">
        <f t="shared" si="1"/>
        <v>242</v>
      </c>
      <c r="H37" s="35">
        <v>0</v>
      </c>
      <c r="I37" s="44">
        <f t="shared" si="2"/>
        <v>0</v>
      </c>
      <c r="J37" s="35">
        <v>0</v>
      </c>
      <c r="K37" s="44">
        <f t="shared" si="1"/>
        <v>0</v>
      </c>
      <c r="L37" s="7" t="s">
        <v>12</v>
      </c>
      <c r="M37" s="7" t="s">
        <v>240</v>
      </c>
      <c r="N37" s="7" t="s">
        <v>25</v>
      </c>
      <c r="O37" s="50">
        <v>44317</v>
      </c>
      <c r="P37" s="50">
        <v>44339</v>
      </c>
    </row>
    <row r="38" spans="1:16" s="1" customFormat="1" ht="14">
      <c r="A38" s="83" t="s">
        <v>86</v>
      </c>
      <c r="B38" s="84" t="s">
        <v>87</v>
      </c>
      <c r="C38" s="7" t="s">
        <v>13</v>
      </c>
      <c r="D38" s="88">
        <v>160</v>
      </c>
      <c r="E38" s="44">
        <f t="shared" si="0"/>
        <v>176</v>
      </c>
      <c r="F38" s="88">
        <v>160</v>
      </c>
      <c r="G38" s="44">
        <f t="shared" si="1"/>
        <v>176</v>
      </c>
      <c r="H38" s="35">
        <v>0</v>
      </c>
      <c r="I38" s="44">
        <f t="shared" si="2"/>
        <v>0</v>
      </c>
      <c r="J38" s="35">
        <v>0</v>
      </c>
      <c r="K38" s="44">
        <f t="shared" si="1"/>
        <v>0</v>
      </c>
      <c r="L38" s="7" t="s">
        <v>12</v>
      </c>
      <c r="M38" s="7" t="s">
        <v>215</v>
      </c>
      <c r="N38" s="7" t="s">
        <v>25</v>
      </c>
      <c r="O38" s="50">
        <v>44317</v>
      </c>
      <c r="P38" s="50">
        <v>44339</v>
      </c>
    </row>
    <row r="39" spans="1:16" s="1" customFormat="1" ht="14">
      <c r="A39" s="83" t="s">
        <v>83</v>
      </c>
      <c r="B39" s="84" t="s">
        <v>84</v>
      </c>
      <c r="C39" s="7" t="s">
        <v>13</v>
      </c>
      <c r="D39" s="37">
        <v>250</v>
      </c>
      <c r="E39" s="44">
        <f t="shared" si="0"/>
        <v>275</v>
      </c>
      <c r="F39" s="37">
        <v>250</v>
      </c>
      <c r="G39" s="44">
        <f t="shared" si="1"/>
        <v>275</v>
      </c>
      <c r="H39" s="35">
        <v>0</v>
      </c>
      <c r="I39" s="44">
        <f t="shared" si="2"/>
        <v>0</v>
      </c>
      <c r="J39" s="35">
        <v>0</v>
      </c>
      <c r="K39" s="44">
        <f t="shared" si="1"/>
        <v>0</v>
      </c>
      <c r="L39" s="7" t="s">
        <v>12</v>
      </c>
      <c r="M39" s="7" t="s">
        <v>204</v>
      </c>
      <c r="N39" s="7" t="s">
        <v>21</v>
      </c>
      <c r="O39" s="50">
        <v>44317</v>
      </c>
      <c r="P39" s="50">
        <v>44339</v>
      </c>
    </row>
    <row r="40" spans="1:16" s="1" customFormat="1" ht="14">
      <c r="A40" s="83" t="s">
        <v>17</v>
      </c>
      <c r="B40" s="84" t="s">
        <v>18</v>
      </c>
      <c r="C40" s="7" t="s">
        <v>13</v>
      </c>
      <c r="D40" s="88">
        <v>120</v>
      </c>
      <c r="E40" s="44">
        <f t="shared" si="0"/>
        <v>132</v>
      </c>
      <c r="F40" s="88">
        <v>125</v>
      </c>
      <c r="G40" s="44">
        <f t="shared" si="1"/>
        <v>137.5</v>
      </c>
      <c r="H40" s="35">
        <v>0</v>
      </c>
      <c r="I40" s="44">
        <f t="shared" si="2"/>
        <v>0</v>
      </c>
      <c r="J40" s="35">
        <v>0</v>
      </c>
      <c r="K40" s="44">
        <f t="shared" si="1"/>
        <v>0</v>
      </c>
      <c r="L40" s="7" t="s">
        <v>12</v>
      </c>
      <c r="M40" s="7" t="s">
        <v>241</v>
      </c>
      <c r="N40" s="7" t="s">
        <v>16</v>
      </c>
      <c r="O40" s="50">
        <v>44317</v>
      </c>
      <c r="P40" s="50">
        <v>44339</v>
      </c>
    </row>
    <row r="41" spans="1:16" s="1" customFormat="1" ht="14">
      <c r="A41" s="83" t="s">
        <v>53</v>
      </c>
      <c r="B41" s="84" t="s">
        <v>223</v>
      </c>
      <c r="C41" s="7" t="s">
        <v>13</v>
      </c>
      <c r="D41" s="88">
        <v>205</v>
      </c>
      <c r="E41" s="44">
        <f t="shared" si="0"/>
        <v>225.5</v>
      </c>
      <c r="F41" s="88">
        <v>205</v>
      </c>
      <c r="G41" s="44">
        <f t="shared" si="1"/>
        <v>225.5</v>
      </c>
      <c r="H41" s="35">
        <v>0</v>
      </c>
      <c r="I41" s="44">
        <f t="shared" si="2"/>
        <v>0</v>
      </c>
      <c r="J41" s="35">
        <v>0</v>
      </c>
      <c r="K41" s="44">
        <f t="shared" si="1"/>
        <v>0</v>
      </c>
      <c r="L41" s="7" t="s">
        <v>12</v>
      </c>
      <c r="M41" s="7" t="s">
        <v>242</v>
      </c>
      <c r="N41" s="7" t="s">
        <v>16</v>
      </c>
      <c r="O41" s="50">
        <v>44317</v>
      </c>
      <c r="P41" s="50">
        <v>44339</v>
      </c>
    </row>
    <row r="42" spans="1:16" s="1" customFormat="1" ht="14">
      <c r="A42" s="83" t="s">
        <v>59</v>
      </c>
      <c r="B42" s="84" t="s">
        <v>60</v>
      </c>
      <c r="C42" s="7" t="s">
        <v>13</v>
      </c>
      <c r="D42" s="88">
        <v>150</v>
      </c>
      <c r="E42" s="44">
        <f t="shared" si="0"/>
        <v>165</v>
      </c>
      <c r="F42" s="88">
        <v>155</v>
      </c>
      <c r="G42" s="44">
        <f t="shared" si="1"/>
        <v>170.5</v>
      </c>
      <c r="H42" s="35">
        <v>0</v>
      </c>
      <c r="I42" s="44">
        <f t="shared" si="2"/>
        <v>0</v>
      </c>
      <c r="J42" s="35">
        <v>0</v>
      </c>
      <c r="K42" s="44">
        <f t="shared" si="1"/>
        <v>0</v>
      </c>
      <c r="L42" s="7" t="s">
        <v>12</v>
      </c>
      <c r="M42" s="7" t="s">
        <v>243</v>
      </c>
      <c r="N42" s="7" t="s">
        <v>16</v>
      </c>
      <c r="O42" s="50">
        <v>44317</v>
      </c>
      <c r="P42" s="50">
        <v>44339</v>
      </c>
    </row>
    <row r="43" spans="1:16" s="1" customFormat="1" ht="14">
      <c r="A43" s="83" t="s">
        <v>99</v>
      </c>
      <c r="B43" s="84" t="s">
        <v>224</v>
      </c>
      <c r="C43" s="7" t="s">
        <v>13</v>
      </c>
      <c r="D43" s="88">
        <v>200</v>
      </c>
      <c r="E43" s="44">
        <f t="shared" si="0"/>
        <v>220</v>
      </c>
      <c r="F43" s="88">
        <v>200</v>
      </c>
      <c r="G43" s="44">
        <f t="shared" si="1"/>
        <v>220</v>
      </c>
      <c r="H43" s="35">
        <v>0</v>
      </c>
      <c r="I43" s="44">
        <f t="shared" si="2"/>
        <v>0</v>
      </c>
      <c r="J43" s="35">
        <v>0</v>
      </c>
      <c r="K43" s="44">
        <f t="shared" si="1"/>
        <v>0</v>
      </c>
      <c r="L43" s="7" t="s">
        <v>12</v>
      </c>
      <c r="M43" s="7" t="s">
        <v>235</v>
      </c>
      <c r="N43" s="7" t="s">
        <v>16</v>
      </c>
      <c r="O43" s="50">
        <v>44317</v>
      </c>
      <c r="P43" s="50">
        <v>44339</v>
      </c>
    </row>
    <row r="44" spans="1:16" s="1" customFormat="1" ht="14">
      <c r="A44" s="83" t="s">
        <v>82</v>
      </c>
      <c r="B44" s="84" t="s">
        <v>225</v>
      </c>
      <c r="C44" s="7" t="s">
        <v>13</v>
      </c>
      <c r="D44" s="88">
        <v>120</v>
      </c>
      <c r="E44" s="44">
        <f t="shared" si="0"/>
        <v>132</v>
      </c>
      <c r="F44" s="88">
        <v>125</v>
      </c>
      <c r="G44" s="44">
        <f t="shared" si="1"/>
        <v>137.5</v>
      </c>
      <c r="H44" s="35">
        <v>0</v>
      </c>
      <c r="I44" s="44">
        <f t="shared" si="2"/>
        <v>0</v>
      </c>
      <c r="J44" s="35">
        <v>0</v>
      </c>
      <c r="K44" s="44">
        <f t="shared" si="1"/>
        <v>0</v>
      </c>
      <c r="L44" s="7" t="s">
        <v>12</v>
      </c>
      <c r="M44" s="7" t="s">
        <v>244</v>
      </c>
      <c r="N44" s="7" t="s">
        <v>16</v>
      </c>
      <c r="O44" s="50">
        <v>44317</v>
      </c>
      <c r="P44" s="50">
        <v>44339</v>
      </c>
    </row>
    <row r="45" spans="1:16" s="1" customFormat="1" ht="14">
      <c r="A45" s="83" t="s">
        <v>59</v>
      </c>
      <c r="B45" s="84" t="s">
        <v>226</v>
      </c>
      <c r="C45" s="7" t="s">
        <v>13</v>
      </c>
      <c r="D45" s="88">
        <v>155</v>
      </c>
      <c r="E45" s="44">
        <f t="shared" si="0"/>
        <v>170.5</v>
      </c>
      <c r="F45" s="88">
        <v>160</v>
      </c>
      <c r="G45" s="44">
        <f t="shared" si="1"/>
        <v>176</v>
      </c>
      <c r="H45" s="35">
        <v>0</v>
      </c>
      <c r="I45" s="44">
        <f t="shared" si="2"/>
        <v>0</v>
      </c>
      <c r="J45" s="35">
        <v>0</v>
      </c>
      <c r="K45" s="44">
        <f t="shared" si="1"/>
        <v>0</v>
      </c>
      <c r="L45" s="7" t="s">
        <v>12</v>
      </c>
      <c r="M45" s="7" t="s">
        <v>245</v>
      </c>
      <c r="N45" s="7" t="s">
        <v>16</v>
      </c>
      <c r="O45" s="50">
        <v>44317</v>
      </c>
      <c r="P45" s="50">
        <v>44339</v>
      </c>
    </row>
    <row r="46" spans="1:16" s="1" customFormat="1" ht="14">
      <c r="A46" s="83" t="s">
        <v>53</v>
      </c>
      <c r="B46" s="84" t="s">
        <v>227</v>
      </c>
      <c r="C46" s="7" t="s">
        <v>13</v>
      </c>
      <c r="D46" s="88">
        <v>155</v>
      </c>
      <c r="E46" s="44">
        <f t="shared" si="0"/>
        <v>170.5</v>
      </c>
      <c r="F46" s="88">
        <v>155</v>
      </c>
      <c r="G46" s="44">
        <f t="shared" si="1"/>
        <v>170.5</v>
      </c>
      <c r="H46" s="35">
        <v>0</v>
      </c>
      <c r="I46" s="44">
        <f t="shared" si="2"/>
        <v>0</v>
      </c>
      <c r="J46" s="35">
        <v>0</v>
      </c>
      <c r="K46" s="44">
        <f t="shared" si="1"/>
        <v>0</v>
      </c>
      <c r="L46" s="7" t="s">
        <v>12</v>
      </c>
      <c r="M46" s="7" t="s">
        <v>246</v>
      </c>
      <c r="N46" s="7" t="s">
        <v>16</v>
      </c>
      <c r="O46" s="50">
        <v>44317</v>
      </c>
      <c r="P46" s="50">
        <v>44339</v>
      </c>
    </row>
    <row r="47" spans="1:16" s="1" customFormat="1" ht="14">
      <c r="A47" s="83" t="s">
        <v>53</v>
      </c>
      <c r="B47" s="84" t="s">
        <v>57</v>
      </c>
      <c r="C47" s="7" t="s">
        <v>13</v>
      </c>
      <c r="D47" s="88">
        <v>210</v>
      </c>
      <c r="E47" s="44">
        <f t="shared" si="0"/>
        <v>231</v>
      </c>
      <c r="F47" s="88">
        <v>210</v>
      </c>
      <c r="G47" s="44">
        <f t="shared" si="1"/>
        <v>231</v>
      </c>
      <c r="H47" s="35">
        <v>0</v>
      </c>
      <c r="I47" s="44">
        <f t="shared" si="2"/>
        <v>0</v>
      </c>
      <c r="J47" s="35">
        <v>0</v>
      </c>
      <c r="K47" s="44">
        <f t="shared" si="1"/>
        <v>0</v>
      </c>
      <c r="L47" s="7" t="s">
        <v>12</v>
      </c>
      <c r="M47" s="7" t="s">
        <v>247</v>
      </c>
      <c r="N47" s="7" t="s">
        <v>25</v>
      </c>
      <c r="O47" s="50">
        <v>44317</v>
      </c>
      <c r="P47" s="50">
        <v>44339</v>
      </c>
    </row>
    <row r="48" spans="1:16" s="1" customFormat="1" ht="14">
      <c r="A48" s="83" t="s">
        <v>59</v>
      </c>
      <c r="B48" s="84" t="s">
        <v>228</v>
      </c>
      <c r="C48" s="7" t="s">
        <v>13</v>
      </c>
      <c r="D48" s="88">
        <v>175</v>
      </c>
      <c r="E48" s="44">
        <f t="shared" si="0"/>
        <v>192.5</v>
      </c>
      <c r="F48" s="88">
        <v>180</v>
      </c>
      <c r="G48" s="44">
        <f t="shared" si="1"/>
        <v>198</v>
      </c>
      <c r="H48" s="35">
        <v>0</v>
      </c>
      <c r="I48" s="44">
        <f t="shared" si="2"/>
        <v>0</v>
      </c>
      <c r="J48" s="35">
        <v>0</v>
      </c>
      <c r="K48" s="44">
        <f t="shared" si="1"/>
        <v>0</v>
      </c>
      <c r="L48" s="7" t="s">
        <v>12</v>
      </c>
      <c r="M48" s="7" t="s">
        <v>245</v>
      </c>
      <c r="N48" s="7" t="s">
        <v>25</v>
      </c>
      <c r="O48" s="50">
        <v>44317</v>
      </c>
      <c r="P48" s="50">
        <v>44339</v>
      </c>
    </row>
    <row r="49" spans="1:16" s="1" customFormat="1" ht="14">
      <c r="A49" s="83" t="s">
        <v>59</v>
      </c>
      <c r="B49" s="84" t="s">
        <v>229</v>
      </c>
      <c r="C49" s="7" t="s">
        <v>13</v>
      </c>
      <c r="D49" s="88">
        <v>150</v>
      </c>
      <c r="E49" s="44">
        <f t="shared" si="0"/>
        <v>165</v>
      </c>
      <c r="F49" s="88">
        <v>155</v>
      </c>
      <c r="G49" s="44">
        <f t="shared" si="1"/>
        <v>170.5</v>
      </c>
      <c r="H49" s="35">
        <v>0</v>
      </c>
      <c r="I49" s="44">
        <f t="shared" si="2"/>
        <v>0</v>
      </c>
      <c r="J49" s="35">
        <v>0</v>
      </c>
      <c r="K49" s="44">
        <f t="shared" si="1"/>
        <v>0</v>
      </c>
      <c r="L49" s="7" t="s">
        <v>64</v>
      </c>
      <c r="M49" s="7" t="s">
        <v>243</v>
      </c>
      <c r="N49" s="7" t="s">
        <v>16</v>
      </c>
      <c r="O49" s="50">
        <v>44317</v>
      </c>
      <c r="P49" s="50">
        <v>44339</v>
      </c>
    </row>
    <row r="50" spans="1:16" s="1" customFormat="1" ht="14">
      <c r="A50" s="83" t="s">
        <v>67</v>
      </c>
      <c r="B50" s="84" t="s">
        <v>68</v>
      </c>
      <c r="C50" s="7" t="s">
        <v>13</v>
      </c>
      <c r="D50" s="37">
        <v>240</v>
      </c>
      <c r="E50" s="44">
        <f t="shared" si="0"/>
        <v>264</v>
      </c>
      <c r="F50" s="37">
        <v>240</v>
      </c>
      <c r="G50" s="44">
        <f t="shared" si="1"/>
        <v>264</v>
      </c>
      <c r="H50" s="35">
        <v>0</v>
      </c>
      <c r="I50" s="44">
        <f t="shared" si="2"/>
        <v>0</v>
      </c>
      <c r="J50" s="35">
        <v>0</v>
      </c>
      <c r="K50" s="44">
        <f t="shared" si="1"/>
        <v>0</v>
      </c>
      <c r="L50" s="7" t="s">
        <v>12</v>
      </c>
      <c r="M50" s="7" t="s">
        <v>240</v>
      </c>
      <c r="N50" s="7" t="s">
        <v>16</v>
      </c>
      <c r="O50" s="50">
        <v>44317</v>
      </c>
      <c r="P50" s="50">
        <v>44339</v>
      </c>
    </row>
    <row r="51" spans="1:16" s="1" customFormat="1" ht="14">
      <c r="A51" s="83" t="s">
        <v>230</v>
      </c>
      <c r="B51" s="84" t="s">
        <v>71</v>
      </c>
      <c r="C51" s="7" t="s">
        <v>13</v>
      </c>
      <c r="D51" s="88">
        <v>120</v>
      </c>
      <c r="E51" s="44">
        <f t="shared" si="0"/>
        <v>132</v>
      </c>
      <c r="F51" s="88">
        <v>125</v>
      </c>
      <c r="G51" s="44">
        <f t="shared" si="1"/>
        <v>137.5</v>
      </c>
      <c r="H51" s="35">
        <v>0</v>
      </c>
      <c r="I51" s="44">
        <f t="shared" si="2"/>
        <v>0</v>
      </c>
      <c r="J51" s="35">
        <v>0</v>
      </c>
      <c r="K51" s="44">
        <f t="shared" si="1"/>
        <v>0</v>
      </c>
      <c r="L51" s="7" t="s">
        <v>12</v>
      </c>
      <c r="M51" s="7" t="s">
        <v>237</v>
      </c>
      <c r="N51" s="7" t="s">
        <v>25</v>
      </c>
      <c r="O51" s="50">
        <v>44317</v>
      </c>
      <c r="P51" s="50">
        <v>44339</v>
      </c>
    </row>
    <row r="52" spans="1:16" s="1" customFormat="1" ht="14">
      <c r="A52" s="83" t="s">
        <v>53</v>
      </c>
      <c r="B52" s="84" t="s">
        <v>231</v>
      </c>
      <c r="C52" s="7" t="s">
        <v>13</v>
      </c>
      <c r="D52" s="88">
        <v>210</v>
      </c>
      <c r="E52" s="44">
        <f t="shared" si="0"/>
        <v>231</v>
      </c>
      <c r="F52" s="88">
        <v>210</v>
      </c>
      <c r="G52" s="44">
        <f t="shared" si="1"/>
        <v>231</v>
      </c>
      <c r="H52" s="35">
        <v>0</v>
      </c>
      <c r="I52" s="44">
        <f t="shared" si="2"/>
        <v>0</v>
      </c>
      <c r="J52" s="35">
        <v>0</v>
      </c>
      <c r="K52" s="44">
        <f t="shared" si="1"/>
        <v>0</v>
      </c>
      <c r="L52" s="7" t="s">
        <v>12</v>
      </c>
      <c r="M52" s="7" t="s">
        <v>236</v>
      </c>
      <c r="N52" s="7" t="s">
        <v>16</v>
      </c>
      <c r="O52" s="50">
        <v>44317</v>
      </c>
      <c r="P52" s="50">
        <v>44339</v>
      </c>
    </row>
    <row r="53" spans="1:16" s="1" customFormat="1" ht="14">
      <c r="A53" s="85" t="s">
        <v>53</v>
      </c>
      <c r="B53" s="84" t="s">
        <v>232</v>
      </c>
      <c r="C53" s="2" t="s">
        <v>13</v>
      </c>
      <c r="D53" s="88">
        <v>225</v>
      </c>
      <c r="E53" s="44">
        <f t="shared" si="0"/>
        <v>247.5</v>
      </c>
      <c r="F53" s="88">
        <v>225</v>
      </c>
      <c r="G53" s="44">
        <f t="shared" si="1"/>
        <v>247.5</v>
      </c>
      <c r="H53" s="35">
        <v>0</v>
      </c>
      <c r="I53" s="44">
        <f t="shared" si="2"/>
        <v>0</v>
      </c>
      <c r="J53" s="35">
        <v>0</v>
      </c>
      <c r="K53" s="44">
        <f t="shared" si="1"/>
        <v>0</v>
      </c>
      <c r="L53" s="2" t="s">
        <v>12</v>
      </c>
      <c r="M53" s="2" t="s">
        <v>85</v>
      </c>
      <c r="N53" s="2" t="s">
        <v>22</v>
      </c>
      <c r="O53" s="50">
        <v>44317</v>
      </c>
      <c r="P53" s="50">
        <v>44339</v>
      </c>
    </row>
    <row r="54" spans="1:16" s="1" customFormat="1" ht="14">
      <c r="A54" s="83" t="s">
        <v>59</v>
      </c>
      <c r="B54" s="84" t="s">
        <v>233</v>
      </c>
      <c r="C54" s="7" t="s">
        <v>13</v>
      </c>
      <c r="D54" s="88">
        <v>175</v>
      </c>
      <c r="E54" s="44">
        <f t="shared" si="0"/>
        <v>192.5</v>
      </c>
      <c r="F54" s="88">
        <v>180</v>
      </c>
      <c r="G54" s="44">
        <f t="shared" si="1"/>
        <v>198</v>
      </c>
      <c r="H54" s="35">
        <v>0</v>
      </c>
      <c r="I54" s="44">
        <f t="shared" si="2"/>
        <v>0</v>
      </c>
      <c r="J54" s="35">
        <v>0</v>
      </c>
      <c r="K54" s="44">
        <f t="shared" si="1"/>
        <v>0</v>
      </c>
      <c r="L54" s="7" t="s">
        <v>12</v>
      </c>
      <c r="M54" s="7" t="s">
        <v>245</v>
      </c>
      <c r="N54" s="7" t="s">
        <v>22</v>
      </c>
      <c r="O54" s="50">
        <v>44317</v>
      </c>
      <c r="P54" s="50">
        <v>44339</v>
      </c>
    </row>
    <row r="55" spans="1:16" s="1" customFormat="1" ht="14">
      <c r="A55" s="85" t="s">
        <v>53</v>
      </c>
      <c r="B55" s="84" t="s">
        <v>55</v>
      </c>
      <c r="C55" s="2" t="s">
        <v>13</v>
      </c>
      <c r="D55" s="88">
        <v>160</v>
      </c>
      <c r="E55" s="44">
        <f t="shared" si="0"/>
        <v>176</v>
      </c>
      <c r="F55" s="88">
        <v>160</v>
      </c>
      <c r="G55" s="44">
        <f t="shared" si="1"/>
        <v>176</v>
      </c>
      <c r="H55" s="35">
        <v>0</v>
      </c>
      <c r="I55" s="44">
        <f t="shared" si="2"/>
        <v>0</v>
      </c>
      <c r="J55" s="35">
        <v>0</v>
      </c>
      <c r="K55" s="44">
        <f t="shared" si="1"/>
        <v>0</v>
      </c>
      <c r="L55" s="2" t="s">
        <v>12</v>
      </c>
      <c r="M55" s="2" t="s">
        <v>246</v>
      </c>
      <c r="N55" s="2" t="s">
        <v>16</v>
      </c>
      <c r="O55" s="50">
        <v>44317</v>
      </c>
      <c r="P55" s="50">
        <v>44339</v>
      </c>
    </row>
    <row r="56" spans="1:16" s="1" customFormat="1" ht="14">
      <c r="A56" s="86" t="s">
        <v>53</v>
      </c>
      <c r="B56" s="84" t="s">
        <v>58</v>
      </c>
      <c r="C56" s="2" t="s">
        <v>13</v>
      </c>
      <c r="D56" s="88">
        <v>205</v>
      </c>
      <c r="E56" s="44">
        <f t="shared" si="0"/>
        <v>225.5</v>
      </c>
      <c r="F56" s="88">
        <v>205</v>
      </c>
      <c r="G56" s="44">
        <f t="shared" si="1"/>
        <v>225.5</v>
      </c>
      <c r="H56" s="35">
        <v>0</v>
      </c>
      <c r="I56" s="44">
        <f t="shared" si="2"/>
        <v>0</v>
      </c>
      <c r="J56" s="37">
        <f>90*1.22</f>
        <v>109.8</v>
      </c>
      <c r="K56" s="44">
        <f t="shared" si="1"/>
        <v>120.78</v>
      </c>
      <c r="L56" s="2" t="s">
        <v>12</v>
      </c>
      <c r="M56" s="2" t="s">
        <v>247</v>
      </c>
      <c r="N56" s="2" t="s">
        <v>16</v>
      </c>
      <c r="O56" s="50">
        <v>44317</v>
      </c>
      <c r="P56" s="50">
        <v>44339</v>
      </c>
    </row>
    <row r="57" spans="1:16" s="1" customFormat="1" ht="14">
      <c r="A57" s="12" t="s">
        <v>248</v>
      </c>
      <c r="B57" s="9" t="s">
        <v>249</v>
      </c>
      <c r="C57" s="2" t="s">
        <v>13</v>
      </c>
      <c r="D57" s="37">
        <v>235</v>
      </c>
      <c r="E57" s="44">
        <f t="shared" si="0"/>
        <v>258.5</v>
      </c>
      <c r="F57" s="37">
        <v>240</v>
      </c>
      <c r="G57" s="44">
        <f t="shared" si="1"/>
        <v>264</v>
      </c>
      <c r="H57" s="37">
        <v>25</v>
      </c>
      <c r="I57" s="44">
        <f t="shared" si="2"/>
        <v>27.5</v>
      </c>
      <c r="J57" s="37">
        <v>25</v>
      </c>
      <c r="K57" s="44">
        <f t="shared" si="1"/>
        <v>27.5</v>
      </c>
      <c r="L57" s="2" t="s">
        <v>64</v>
      </c>
      <c r="M57" s="2" t="s">
        <v>272</v>
      </c>
      <c r="N57" s="2" t="s">
        <v>22</v>
      </c>
      <c r="O57" s="50">
        <v>44317</v>
      </c>
      <c r="P57" s="50">
        <v>44339</v>
      </c>
    </row>
    <row r="58" spans="1:16" s="1" customFormat="1" ht="14">
      <c r="A58" s="12" t="s">
        <v>7</v>
      </c>
      <c r="B58" s="9" t="s">
        <v>250</v>
      </c>
      <c r="C58" s="2" t="s">
        <v>13</v>
      </c>
      <c r="D58" s="37">
        <v>275</v>
      </c>
      <c r="E58" s="44">
        <f t="shared" si="0"/>
        <v>302.5</v>
      </c>
      <c r="F58" s="37">
        <v>280</v>
      </c>
      <c r="G58" s="44">
        <f t="shared" si="1"/>
        <v>308</v>
      </c>
      <c r="H58" s="37">
        <v>120</v>
      </c>
      <c r="I58" s="44">
        <f t="shared" si="2"/>
        <v>132</v>
      </c>
      <c r="J58" s="37">
        <v>120</v>
      </c>
      <c r="K58" s="44">
        <f t="shared" si="1"/>
        <v>132</v>
      </c>
      <c r="L58" s="2" t="s">
        <v>12</v>
      </c>
      <c r="M58" s="2" t="s">
        <v>273</v>
      </c>
      <c r="N58" s="2" t="s">
        <v>16</v>
      </c>
      <c r="O58" s="50">
        <v>44317</v>
      </c>
      <c r="P58" s="50">
        <v>44339</v>
      </c>
    </row>
    <row r="59" spans="1:16" s="1" customFormat="1" ht="14">
      <c r="A59" s="12" t="s">
        <v>72</v>
      </c>
      <c r="B59" s="9" t="s">
        <v>73</v>
      </c>
      <c r="C59" s="2" t="s">
        <v>13</v>
      </c>
      <c r="D59" s="37">
        <v>295</v>
      </c>
      <c r="E59" s="44">
        <f t="shared" si="0"/>
        <v>324.5</v>
      </c>
      <c r="F59" s="37">
        <v>300</v>
      </c>
      <c r="G59" s="44">
        <f t="shared" si="1"/>
        <v>330</v>
      </c>
      <c r="H59" s="37">
        <v>215</v>
      </c>
      <c r="I59" s="44">
        <f t="shared" si="2"/>
        <v>236.5</v>
      </c>
      <c r="J59" s="37">
        <v>215</v>
      </c>
      <c r="K59" s="44">
        <f t="shared" si="1"/>
        <v>236.5</v>
      </c>
      <c r="L59" s="2" t="s">
        <v>12</v>
      </c>
      <c r="M59" s="90" t="s">
        <v>274</v>
      </c>
      <c r="N59" s="2" t="s">
        <v>16</v>
      </c>
      <c r="O59" s="50">
        <v>44317</v>
      </c>
      <c r="P59" s="50">
        <v>44339</v>
      </c>
    </row>
    <row r="60" spans="1:16" s="1" customFormat="1" ht="14">
      <c r="A60" s="12" t="s">
        <v>251</v>
      </c>
      <c r="B60" s="9" t="s">
        <v>107</v>
      </c>
      <c r="C60" s="2" t="s">
        <v>13</v>
      </c>
      <c r="D60" s="37">
        <v>185</v>
      </c>
      <c r="E60" s="44">
        <f t="shared" si="0"/>
        <v>203.5</v>
      </c>
      <c r="F60" s="37">
        <v>190</v>
      </c>
      <c r="G60" s="44">
        <f t="shared" si="1"/>
        <v>209</v>
      </c>
      <c r="H60" s="37">
        <f>(55*1.22)</f>
        <v>67.099999999999994</v>
      </c>
      <c r="I60" s="44">
        <f t="shared" si="2"/>
        <v>73.809999999999988</v>
      </c>
      <c r="J60" s="37">
        <f>(55*1.22)</f>
        <v>67.099999999999994</v>
      </c>
      <c r="K60" s="44">
        <f t="shared" si="1"/>
        <v>73.809999999999988</v>
      </c>
      <c r="L60" s="2" t="s">
        <v>12</v>
      </c>
      <c r="M60" s="90" t="s">
        <v>275</v>
      </c>
      <c r="N60" s="2" t="s">
        <v>21</v>
      </c>
      <c r="O60" s="50">
        <v>44317</v>
      </c>
      <c r="P60" s="50">
        <v>44339</v>
      </c>
    </row>
    <row r="61" spans="1:16" s="1" customFormat="1" ht="14">
      <c r="A61" s="12" t="s">
        <v>7</v>
      </c>
      <c r="B61" s="9" t="s">
        <v>8</v>
      </c>
      <c r="C61" s="2" t="s">
        <v>13</v>
      </c>
      <c r="D61" s="37">
        <v>220</v>
      </c>
      <c r="E61" s="44">
        <f t="shared" si="0"/>
        <v>242</v>
      </c>
      <c r="F61" s="37">
        <v>225</v>
      </c>
      <c r="G61" s="44">
        <f t="shared" si="1"/>
        <v>247.5</v>
      </c>
      <c r="H61" s="37">
        <f>(95*1.22)</f>
        <v>115.89999999999999</v>
      </c>
      <c r="I61" s="44">
        <f t="shared" si="2"/>
        <v>127.49</v>
      </c>
      <c r="J61" s="37">
        <f>(95*1.22)</f>
        <v>115.89999999999999</v>
      </c>
      <c r="K61" s="44">
        <f t="shared" si="1"/>
        <v>127.49</v>
      </c>
      <c r="L61" s="2" t="s">
        <v>12</v>
      </c>
      <c r="M61" s="90" t="s">
        <v>276</v>
      </c>
      <c r="N61" s="2" t="s">
        <v>16</v>
      </c>
      <c r="O61" s="50">
        <v>44317</v>
      </c>
      <c r="P61" s="50">
        <v>44339</v>
      </c>
    </row>
    <row r="62" spans="1:16" s="1" customFormat="1" ht="14">
      <c r="A62" s="12" t="s">
        <v>90</v>
      </c>
      <c r="B62" s="9" t="s">
        <v>110</v>
      </c>
      <c r="C62" s="2" t="s">
        <v>13</v>
      </c>
      <c r="D62" s="37">
        <v>150</v>
      </c>
      <c r="E62" s="44">
        <f t="shared" si="0"/>
        <v>165</v>
      </c>
      <c r="F62" s="37">
        <v>155</v>
      </c>
      <c r="G62" s="44">
        <f t="shared" si="1"/>
        <v>170.5</v>
      </c>
      <c r="H62" s="37">
        <f>(55*1.22)</f>
        <v>67.099999999999994</v>
      </c>
      <c r="I62" s="44">
        <f t="shared" si="2"/>
        <v>73.809999999999988</v>
      </c>
      <c r="J62" s="37">
        <f>(55*1.22)</f>
        <v>67.099999999999994</v>
      </c>
      <c r="K62" s="44">
        <f t="shared" si="1"/>
        <v>73.809999999999988</v>
      </c>
      <c r="L62" s="2" t="s">
        <v>12</v>
      </c>
      <c r="M62" s="2" t="s">
        <v>203</v>
      </c>
      <c r="N62" s="2" t="s">
        <v>21</v>
      </c>
      <c r="O62" s="50">
        <v>44317</v>
      </c>
      <c r="P62" s="50">
        <v>44339</v>
      </c>
    </row>
    <row r="63" spans="1:16" s="1" customFormat="1" ht="14">
      <c r="A63" s="89" t="s">
        <v>72</v>
      </c>
      <c r="B63" s="9" t="s">
        <v>74</v>
      </c>
      <c r="C63" s="2" t="s">
        <v>13</v>
      </c>
      <c r="D63" s="37">
        <v>310</v>
      </c>
      <c r="E63" s="44">
        <f t="shared" si="0"/>
        <v>341</v>
      </c>
      <c r="F63" s="37">
        <v>315</v>
      </c>
      <c r="G63" s="44">
        <f t="shared" si="1"/>
        <v>346.5</v>
      </c>
      <c r="H63" s="37">
        <f>(100*1.22)</f>
        <v>122</v>
      </c>
      <c r="I63" s="44">
        <f t="shared" si="2"/>
        <v>134.19999999999999</v>
      </c>
      <c r="J63" s="37">
        <f>(100*1.22)</f>
        <v>122</v>
      </c>
      <c r="K63" s="44">
        <f t="shared" si="1"/>
        <v>134.19999999999999</v>
      </c>
      <c r="L63" s="2" t="s">
        <v>12</v>
      </c>
      <c r="M63" s="2" t="s">
        <v>277</v>
      </c>
      <c r="N63" s="2" t="s">
        <v>22</v>
      </c>
      <c r="O63" s="50">
        <v>44317</v>
      </c>
      <c r="P63" s="50">
        <v>44339</v>
      </c>
    </row>
    <row r="64" spans="1:16" s="1" customFormat="1" ht="14">
      <c r="A64" s="89" t="s">
        <v>61</v>
      </c>
      <c r="B64" s="9" t="s">
        <v>65</v>
      </c>
      <c r="C64" s="2" t="s">
        <v>13</v>
      </c>
      <c r="D64" s="37">
        <v>235</v>
      </c>
      <c r="E64" s="44">
        <f t="shared" si="0"/>
        <v>258.5</v>
      </c>
      <c r="F64" s="37">
        <v>240</v>
      </c>
      <c r="G64" s="44">
        <f t="shared" si="1"/>
        <v>264</v>
      </c>
      <c r="H64" s="37">
        <f>(125*1.22)</f>
        <v>152.5</v>
      </c>
      <c r="I64" s="44">
        <f t="shared" si="2"/>
        <v>167.75</v>
      </c>
      <c r="J64" s="37">
        <f>(125*1.22)</f>
        <v>152.5</v>
      </c>
      <c r="K64" s="44">
        <f t="shared" si="1"/>
        <v>167.75</v>
      </c>
      <c r="L64" s="2" t="s">
        <v>12</v>
      </c>
      <c r="M64" s="2" t="s">
        <v>278</v>
      </c>
      <c r="N64" s="2" t="s">
        <v>22</v>
      </c>
      <c r="O64" s="50">
        <v>44317</v>
      </c>
      <c r="P64" s="50">
        <v>44339</v>
      </c>
    </row>
    <row r="65" spans="1:16" s="1" customFormat="1" ht="14">
      <c r="A65" s="12" t="s">
        <v>72</v>
      </c>
      <c r="B65" s="9" t="s">
        <v>75</v>
      </c>
      <c r="C65" s="2" t="s">
        <v>13</v>
      </c>
      <c r="D65" s="37">
        <v>265</v>
      </c>
      <c r="E65" s="44">
        <f t="shared" si="0"/>
        <v>291.5</v>
      </c>
      <c r="F65" s="37">
        <v>270</v>
      </c>
      <c r="G65" s="44">
        <f t="shared" si="1"/>
        <v>297</v>
      </c>
      <c r="H65" s="37">
        <f>(60*1.22)</f>
        <v>73.2</v>
      </c>
      <c r="I65" s="44">
        <f t="shared" si="2"/>
        <v>80.52000000000001</v>
      </c>
      <c r="J65" s="37">
        <f>(60*1.22)</f>
        <v>73.2</v>
      </c>
      <c r="K65" s="44">
        <f t="shared" si="1"/>
        <v>80.52000000000001</v>
      </c>
      <c r="L65" s="2" t="s">
        <v>12</v>
      </c>
      <c r="M65" s="90" t="s">
        <v>279</v>
      </c>
      <c r="N65" s="2" t="s">
        <v>22</v>
      </c>
      <c r="O65" s="50">
        <v>44317</v>
      </c>
      <c r="P65" s="50">
        <v>44339</v>
      </c>
    </row>
    <row r="66" spans="1:16" s="1" customFormat="1" ht="14">
      <c r="A66" s="12" t="s">
        <v>23</v>
      </c>
      <c r="B66" s="9" t="s">
        <v>24</v>
      </c>
      <c r="C66" s="2" t="s">
        <v>13</v>
      </c>
      <c r="D66" s="37">
        <v>205</v>
      </c>
      <c r="E66" s="44">
        <f t="shared" si="0"/>
        <v>225.5</v>
      </c>
      <c r="F66" s="37">
        <v>210</v>
      </c>
      <c r="G66" s="44">
        <f t="shared" si="1"/>
        <v>231</v>
      </c>
      <c r="H66" s="37">
        <f>(110*1.22)</f>
        <v>134.19999999999999</v>
      </c>
      <c r="I66" s="44">
        <f t="shared" si="2"/>
        <v>147.61999999999998</v>
      </c>
      <c r="J66" s="37">
        <f>(110*1.22)</f>
        <v>134.19999999999999</v>
      </c>
      <c r="K66" s="44">
        <f t="shared" si="1"/>
        <v>147.61999999999998</v>
      </c>
      <c r="L66" s="2" t="s">
        <v>12</v>
      </c>
      <c r="M66" s="2" t="s">
        <v>280</v>
      </c>
      <c r="N66" s="2" t="s">
        <v>22</v>
      </c>
      <c r="O66" s="50">
        <v>44317</v>
      </c>
      <c r="P66" s="50">
        <v>44339</v>
      </c>
    </row>
    <row r="67" spans="1:16" s="1" customFormat="1" ht="14">
      <c r="A67" s="12" t="s">
        <v>6</v>
      </c>
      <c r="B67" s="9" t="s">
        <v>32</v>
      </c>
      <c r="C67" s="2" t="s">
        <v>13</v>
      </c>
      <c r="D67" s="37" t="s">
        <v>270</v>
      </c>
      <c r="E67" s="44" t="e">
        <f t="shared" si="0"/>
        <v>#VALUE!</v>
      </c>
      <c r="F67" s="37" t="s">
        <v>271</v>
      </c>
      <c r="G67" s="44" t="e">
        <f t="shared" si="1"/>
        <v>#VALUE!</v>
      </c>
      <c r="H67" s="37">
        <f>(105*1.22)</f>
        <v>128.1</v>
      </c>
      <c r="I67" s="44">
        <f t="shared" si="2"/>
        <v>140.91</v>
      </c>
      <c r="J67" s="37">
        <f>(105*1.22)</f>
        <v>128.1</v>
      </c>
      <c r="K67" s="44">
        <f t="shared" si="1"/>
        <v>140.91</v>
      </c>
      <c r="L67" s="2" t="s">
        <v>12</v>
      </c>
      <c r="M67" s="2" t="s">
        <v>202</v>
      </c>
      <c r="N67" s="2" t="s">
        <v>22</v>
      </c>
      <c r="O67" s="50">
        <v>44317</v>
      </c>
      <c r="P67" s="50">
        <v>44339</v>
      </c>
    </row>
    <row r="68" spans="1:16" s="1" customFormat="1" ht="14">
      <c r="A68" s="12" t="s">
        <v>72</v>
      </c>
      <c r="B68" s="9" t="s">
        <v>76</v>
      </c>
      <c r="C68" s="2" t="s">
        <v>13</v>
      </c>
      <c r="D68" s="37">
        <v>315</v>
      </c>
      <c r="E68" s="44">
        <f t="shared" si="0"/>
        <v>346.5</v>
      </c>
      <c r="F68" s="37">
        <v>320</v>
      </c>
      <c r="G68" s="44">
        <f t="shared" si="1"/>
        <v>352</v>
      </c>
      <c r="H68" s="37">
        <f>(115*1.22)</f>
        <v>140.29999999999998</v>
      </c>
      <c r="I68" s="44">
        <f t="shared" si="2"/>
        <v>154.32999999999998</v>
      </c>
      <c r="J68" s="37">
        <f>(115*1.22)</f>
        <v>140.29999999999998</v>
      </c>
      <c r="K68" s="44">
        <f t="shared" si="1"/>
        <v>154.32999999999998</v>
      </c>
      <c r="L68" s="2" t="s">
        <v>12</v>
      </c>
      <c r="M68" s="2" t="s">
        <v>281</v>
      </c>
      <c r="N68" s="2" t="s">
        <v>22</v>
      </c>
      <c r="O68" s="50">
        <v>44317</v>
      </c>
      <c r="P68" s="50">
        <v>44339</v>
      </c>
    </row>
    <row r="69" spans="1:16" s="1" customFormat="1" ht="14">
      <c r="A69" s="12" t="s">
        <v>104</v>
      </c>
      <c r="B69" s="9" t="s">
        <v>252</v>
      </c>
      <c r="C69" s="2" t="s">
        <v>13</v>
      </c>
      <c r="D69" s="37">
        <v>220</v>
      </c>
      <c r="E69" s="44">
        <f t="shared" si="0"/>
        <v>242</v>
      </c>
      <c r="F69" s="37">
        <v>225</v>
      </c>
      <c r="G69" s="44">
        <f t="shared" si="1"/>
        <v>247.5</v>
      </c>
      <c r="H69" s="37">
        <v>30</v>
      </c>
      <c r="I69" s="44">
        <f t="shared" si="2"/>
        <v>33</v>
      </c>
      <c r="J69" s="37">
        <v>30</v>
      </c>
      <c r="K69" s="44">
        <f t="shared" si="1"/>
        <v>33</v>
      </c>
      <c r="L69" s="2" t="s">
        <v>12</v>
      </c>
      <c r="M69" s="2" t="s">
        <v>277</v>
      </c>
      <c r="N69" s="2" t="s">
        <v>20</v>
      </c>
      <c r="O69" s="50">
        <v>44317</v>
      </c>
      <c r="P69" s="50">
        <v>44339</v>
      </c>
    </row>
    <row r="70" spans="1:16" s="1" customFormat="1" ht="14">
      <c r="A70" s="12" t="s">
        <v>6</v>
      </c>
      <c r="B70" s="9" t="s">
        <v>33</v>
      </c>
      <c r="C70" s="2" t="s">
        <v>13</v>
      </c>
      <c r="D70" s="37">
        <v>170</v>
      </c>
      <c r="E70" s="44">
        <f t="shared" si="0"/>
        <v>187</v>
      </c>
      <c r="F70" s="37">
        <v>175</v>
      </c>
      <c r="G70" s="44">
        <f t="shared" si="1"/>
        <v>192.5</v>
      </c>
      <c r="H70" s="37">
        <v>55</v>
      </c>
      <c r="I70" s="44">
        <f t="shared" si="2"/>
        <v>60.5</v>
      </c>
      <c r="J70" s="37">
        <v>55</v>
      </c>
      <c r="K70" s="44">
        <f t="shared" si="1"/>
        <v>60.5</v>
      </c>
      <c r="L70" s="2" t="s">
        <v>12</v>
      </c>
      <c r="M70" s="2" t="s">
        <v>247</v>
      </c>
      <c r="N70" s="2" t="s">
        <v>22</v>
      </c>
      <c r="O70" s="50">
        <v>44317</v>
      </c>
      <c r="P70" s="50">
        <v>44339</v>
      </c>
    </row>
    <row r="71" spans="1:16" s="1" customFormat="1" ht="14">
      <c r="A71" s="12" t="s">
        <v>51</v>
      </c>
      <c r="B71" s="9" t="s">
        <v>52</v>
      </c>
      <c r="C71" s="2" t="s">
        <v>13</v>
      </c>
      <c r="D71" s="37">
        <v>230</v>
      </c>
      <c r="E71" s="44">
        <f t="shared" ref="E71:E112" si="3">D71+(D71*$Q$3)</f>
        <v>253</v>
      </c>
      <c r="F71" s="37">
        <v>235</v>
      </c>
      <c r="G71" s="44">
        <f t="shared" ref="G71:K112" si="4">F71+(F71*$Q$3)</f>
        <v>258.5</v>
      </c>
      <c r="H71" s="37">
        <v>120</v>
      </c>
      <c r="I71" s="44">
        <f t="shared" si="4"/>
        <v>132</v>
      </c>
      <c r="J71" s="37">
        <v>120</v>
      </c>
      <c r="K71" s="44">
        <f t="shared" si="4"/>
        <v>132</v>
      </c>
      <c r="L71" s="2" t="s">
        <v>12</v>
      </c>
      <c r="M71" s="2" t="s">
        <v>282</v>
      </c>
      <c r="N71" s="2" t="s">
        <v>16</v>
      </c>
      <c r="O71" s="50">
        <v>44317</v>
      </c>
      <c r="P71" s="50">
        <v>44339</v>
      </c>
    </row>
    <row r="72" spans="1:16" s="1" customFormat="1" ht="14">
      <c r="A72" s="12" t="s">
        <v>102</v>
      </c>
      <c r="B72" s="9" t="s">
        <v>103</v>
      </c>
      <c r="C72" s="2" t="s">
        <v>13</v>
      </c>
      <c r="D72" s="37">
        <v>230</v>
      </c>
      <c r="E72" s="44">
        <f t="shared" si="3"/>
        <v>253</v>
      </c>
      <c r="F72" s="37">
        <v>235</v>
      </c>
      <c r="G72" s="44">
        <f t="shared" si="4"/>
        <v>258.5</v>
      </c>
      <c r="H72" s="37">
        <v>95</v>
      </c>
      <c r="I72" s="44">
        <f t="shared" si="4"/>
        <v>104.5</v>
      </c>
      <c r="J72" s="37">
        <v>95</v>
      </c>
      <c r="K72" s="44">
        <f t="shared" si="4"/>
        <v>104.5</v>
      </c>
      <c r="L72" s="2" t="s">
        <v>12</v>
      </c>
      <c r="M72" s="2" t="s">
        <v>273</v>
      </c>
      <c r="N72" s="2" t="s">
        <v>22</v>
      </c>
      <c r="O72" s="50">
        <v>44317</v>
      </c>
      <c r="P72" s="50">
        <v>44339</v>
      </c>
    </row>
    <row r="73" spans="1:16" s="1" customFormat="1" ht="14">
      <c r="A73" s="12" t="s">
        <v>7</v>
      </c>
      <c r="B73" s="9" t="s">
        <v>9</v>
      </c>
      <c r="C73" s="2" t="s">
        <v>13</v>
      </c>
      <c r="D73" s="37">
        <v>220</v>
      </c>
      <c r="E73" s="44">
        <f t="shared" si="3"/>
        <v>242</v>
      </c>
      <c r="F73" s="37">
        <v>225</v>
      </c>
      <c r="G73" s="44">
        <f t="shared" si="4"/>
        <v>247.5</v>
      </c>
      <c r="H73" s="37">
        <v>125</v>
      </c>
      <c r="I73" s="44">
        <f t="shared" ref="I73:I112" si="5">H73+(H73*$Q$3)</f>
        <v>137.5</v>
      </c>
      <c r="J73" s="37">
        <v>125</v>
      </c>
      <c r="K73" s="44">
        <f t="shared" si="4"/>
        <v>137.5</v>
      </c>
      <c r="L73" s="2" t="s">
        <v>12</v>
      </c>
      <c r="M73" s="2" t="s">
        <v>274</v>
      </c>
      <c r="N73" s="2" t="s">
        <v>22</v>
      </c>
      <c r="O73" s="50">
        <v>44317</v>
      </c>
      <c r="P73" s="50">
        <v>44339</v>
      </c>
    </row>
    <row r="74" spans="1:16" s="1" customFormat="1" ht="14">
      <c r="A74" s="12" t="s">
        <v>6</v>
      </c>
      <c r="B74" s="9" t="s">
        <v>34</v>
      </c>
      <c r="C74" s="2" t="s">
        <v>13</v>
      </c>
      <c r="D74" s="37">
        <v>160</v>
      </c>
      <c r="E74" s="44">
        <f t="shared" si="3"/>
        <v>176</v>
      </c>
      <c r="F74" s="37">
        <v>165</v>
      </c>
      <c r="G74" s="44">
        <f t="shared" si="4"/>
        <v>181.5</v>
      </c>
      <c r="H74" s="37">
        <v>60</v>
      </c>
      <c r="I74" s="44">
        <f t="shared" si="5"/>
        <v>66</v>
      </c>
      <c r="J74" s="37">
        <v>60</v>
      </c>
      <c r="K74" s="44">
        <f t="shared" si="4"/>
        <v>66</v>
      </c>
      <c r="L74" s="2" t="s">
        <v>12</v>
      </c>
      <c r="M74" s="2" t="s">
        <v>202</v>
      </c>
      <c r="N74" s="2" t="s">
        <v>22</v>
      </c>
      <c r="O74" s="50">
        <v>44317</v>
      </c>
      <c r="P74" s="50">
        <v>44339</v>
      </c>
    </row>
    <row r="75" spans="1:16" s="1" customFormat="1" ht="14">
      <c r="A75" s="12" t="s">
        <v>6</v>
      </c>
      <c r="B75" s="9" t="s">
        <v>253</v>
      </c>
      <c r="C75" s="2" t="s">
        <v>13</v>
      </c>
      <c r="D75" s="37">
        <v>150</v>
      </c>
      <c r="E75" s="44">
        <f t="shared" si="3"/>
        <v>165</v>
      </c>
      <c r="F75" s="37">
        <v>155</v>
      </c>
      <c r="G75" s="44">
        <f t="shared" si="4"/>
        <v>170.5</v>
      </c>
      <c r="H75" s="37">
        <v>130</v>
      </c>
      <c r="I75" s="44">
        <f t="shared" si="5"/>
        <v>143</v>
      </c>
      <c r="J75" s="37">
        <v>130</v>
      </c>
      <c r="K75" s="44">
        <f t="shared" si="4"/>
        <v>143</v>
      </c>
      <c r="L75" s="2" t="s">
        <v>12</v>
      </c>
      <c r="M75" s="2" t="s">
        <v>283</v>
      </c>
      <c r="N75" s="2" t="s">
        <v>22</v>
      </c>
      <c r="O75" s="50">
        <v>44317</v>
      </c>
      <c r="P75" s="50">
        <v>44339</v>
      </c>
    </row>
    <row r="76" spans="1:16" s="1" customFormat="1" ht="14">
      <c r="A76" s="12" t="s">
        <v>108</v>
      </c>
      <c r="B76" s="9" t="s">
        <v>109</v>
      </c>
      <c r="C76" s="2" t="s">
        <v>13</v>
      </c>
      <c r="D76" s="37">
        <v>190</v>
      </c>
      <c r="E76" s="44">
        <f t="shared" si="3"/>
        <v>209</v>
      </c>
      <c r="F76" s="37">
        <v>195</v>
      </c>
      <c r="G76" s="44">
        <f t="shared" si="4"/>
        <v>214.5</v>
      </c>
      <c r="H76" s="37">
        <f>(105*1.22)</f>
        <v>128.1</v>
      </c>
      <c r="I76" s="44">
        <f t="shared" si="5"/>
        <v>140.91</v>
      </c>
      <c r="J76" s="37">
        <f>(105*1.22)</f>
        <v>128.1</v>
      </c>
      <c r="K76" s="44">
        <f t="shared" si="4"/>
        <v>140.91</v>
      </c>
      <c r="L76" s="2" t="s">
        <v>12</v>
      </c>
      <c r="M76" s="2" t="s">
        <v>284</v>
      </c>
      <c r="N76" s="2" t="s">
        <v>16</v>
      </c>
      <c r="O76" s="50">
        <v>44317</v>
      </c>
      <c r="P76" s="50">
        <v>44339</v>
      </c>
    </row>
    <row r="77" spans="1:16" s="1" customFormat="1" ht="14">
      <c r="A77" s="12" t="s">
        <v>108</v>
      </c>
      <c r="B77" s="9" t="s">
        <v>254</v>
      </c>
      <c r="C77" s="2" t="s">
        <v>13</v>
      </c>
      <c r="D77" s="37">
        <v>190</v>
      </c>
      <c r="E77" s="44">
        <f t="shared" si="3"/>
        <v>209</v>
      </c>
      <c r="F77" s="37">
        <v>195</v>
      </c>
      <c r="G77" s="44">
        <f t="shared" si="4"/>
        <v>214.5</v>
      </c>
      <c r="H77" s="37">
        <f>(80*1.22)</f>
        <v>97.6</v>
      </c>
      <c r="I77" s="44">
        <f t="shared" si="5"/>
        <v>107.36</v>
      </c>
      <c r="J77" s="37">
        <f>(80*1.22)</f>
        <v>97.6</v>
      </c>
      <c r="K77" s="44">
        <f t="shared" si="4"/>
        <v>107.36</v>
      </c>
      <c r="L77" s="2" t="s">
        <v>12</v>
      </c>
      <c r="M77" s="2" t="s">
        <v>284</v>
      </c>
      <c r="N77" s="2" t="s">
        <v>16</v>
      </c>
      <c r="O77" s="50">
        <v>44317</v>
      </c>
      <c r="P77" s="50">
        <v>44339</v>
      </c>
    </row>
    <row r="78" spans="1:16" s="1" customFormat="1" ht="14">
      <c r="A78" s="12" t="s">
        <v>6</v>
      </c>
      <c r="B78" s="9" t="s">
        <v>46</v>
      </c>
      <c r="C78" s="2" t="s">
        <v>13</v>
      </c>
      <c r="D78" s="37">
        <v>150</v>
      </c>
      <c r="E78" s="44">
        <f t="shared" si="3"/>
        <v>165</v>
      </c>
      <c r="F78" s="37">
        <v>155</v>
      </c>
      <c r="G78" s="44">
        <f t="shared" si="4"/>
        <v>170.5</v>
      </c>
      <c r="H78" s="37">
        <f>(105*1.22)</f>
        <v>128.1</v>
      </c>
      <c r="I78" s="44">
        <f t="shared" si="5"/>
        <v>140.91</v>
      </c>
      <c r="J78" s="37">
        <f>(105*1.22)</f>
        <v>128.1</v>
      </c>
      <c r="K78" s="44">
        <f t="shared" si="4"/>
        <v>140.91</v>
      </c>
      <c r="L78" s="2" t="s">
        <v>12</v>
      </c>
      <c r="M78" s="2" t="s">
        <v>285</v>
      </c>
      <c r="N78" s="2" t="s">
        <v>16</v>
      </c>
      <c r="O78" s="50">
        <v>44317</v>
      </c>
      <c r="P78" s="50">
        <v>44339</v>
      </c>
    </row>
    <row r="79" spans="1:16" s="1" customFormat="1" ht="14">
      <c r="A79" s="12" t="s">
        <v>80</v>
      </c>
      <c r="B79" s="9" t="s">
        <v>81</v>
      </c>
      <c r="C79" s="2" t="s">
        <v>13</v>
      </c>
      <c r="D79" s="37">
        <v>185</v>
      </c>
      <c r="E79" s="44">
        <f t="shared" si="3"/>
        <v>203.5</v>
      </c>
      <c r="F79" s="37">
        <v>190</v>
      </c>
      <c r="G79" s="44">
        <f t="shared" si="4"/>
        <v>209</v>
      </c>
      <c r="H79" s="37">
        <f>(80*1.22)</f>
        <v>97.6</v>
      </c>
      <c r="I79" s="44">
        <f t="shared" si="5"/>
        <v>107.36</v>
      </c>
      <c r="J79" s="37">
        <f>(80*1.22)</f>
        <v>97.6</v>
      </c>
      <c r="K79" s="44">
        <f t="shared" si="4"/>
        <v>107.36</v>
      </c>
      <c r="L79" s="2" t="s">
        <v>12</v>
      </c>
      <c r="M79" s="90" t="s">
        <v>275</v>
      </c>
      <c r="N79" s="2" t="s">
        <v>16</v>
      </c>
      <c r="O79" s="50">
        <v>44317</v>
      </c>
      <c r="P79" s="50">
        <v>44339</v>
      </c>
    </row>
    <row r="80" spans="1:16" s="1" customFormat="1" ht="14">
      <c r="A80" s="12" t="s">
        <v>6</v>
      </c>
      <c r="B80" s="9" t="s">
        <v>255</v>
      </c>
      <c r="C80" s="2" t="s">
        <v>13</v>
      </c>
      <c r="D80" s="37">
        <v>180</v>
      </c>
      <c r="E80" s="44">
        <f t="shared" si="3"/>
        <v>198</v>
      </c>
      <c r="F80" s="37">
        <v>185</v>
      </c>
      <c r="G80" s="44">
        <f t="shared" si="4"/>
        <v>203.5</v>
      </c>
      <c r="H80" s="37">
        <v>220</v>
      </c>
      <c r="I80" s="44">
        <f t="shared" si="5"/>
        <v>242</v>
      </c>
      <c r="J80" s="37">
        <v>220</v>
      </c>
      <c r="K80" s="44">
        <f t="shared" si="4"/>
        <v>242</v>
      </c>
      <c r="L80" s="2" t="s">
        <v>12</v>
      </c>
      <c r="M80" s="2" t="s">
        <v>286</v>
      </c>
      <c r="N80" s="2" t="s">
        <v>22</v>
      </c>
      <c r="O80" s="50">
        <v>44317</v>
      </c>
      <c r="P80" s="50">
        <v>44339</v>
      </c>
    </row>
    <row r="81" spans="1:16" s="1" customFormat="1" ht="14">
      <c r="A81" s="12" t="s">
        <v>105</v>
      </c>
      <c r="B81" s="9" t="s">
        <v>256</v>
      </c>
      <c r="C81" s="2" t="s">
        <v>13</v>
      </c>
      <c r="D81" s="37">
        <v>150</v>
      </c>
      <c r="E81" s="44">
        <f t="shared" si="3"/>
        <v>165</v>
      </c>
      <c r="F81" s="37">
        <v>155</v>
      </c>
      <c r="G81" s="44">
        <f t="shared" si="4"/>
        <v>170.5</v>
      </c>
      <c r="H81" s="37">
        <v>220</v>
      </c>
      <c r="I81" s="44">
        <f t="shared" si="5"/>
        <v>242</v>
      </c>
      <c r="J81" s="37">
        <v>220</v>
      </c>
      <c r="K81" s="44">
        <f t="shared" si="4"/>
        <v>242</v>
      </c>
      <c r="L81" s="2" t="s">
        <v>12</v>
      </c>
      <c r="M81" s="2" t="s">
        <v>287</v>
      </c>
      <c r="N81" s="2" t="s">
        <v>22</v>
      </c>
      <c r="O81" s="50">
        <v>44317</v>
      </c>
      <c r="P81" s="50">
        <v>44339</v>
      </c>
    </row>
    <row r="82" spans="1:16" s="1" customFormat="1" ht="14">
      <c r="A82" s="12" t="s">
        <v>95</v>
      </c>
      <c r="B82" s="9" t="s">
        <v>96</v>
      </c>
      <c r="C82" s="2" t="s">
        <v>13</v>
      </c>
      <c r="D82" s="37">
        <v>195</v>
      </c>
      <c r="E82" s="44">
        <f t="shared" si="3"/>
        <v>214.5</v>
      </c>
      <c r="F82" s="37">
        <v>200</v>
      </c>
      <c r="G82" s="44">
        <f t="shared" si="4"/>
        <v>220</v>
      </c>
      <c r="H82" s="37">
        <v>140</v>
      </c>
      <c r="I82" s="44">
        <f t="shared" si="5"/>
        <v>154</v>
      </c>
      <c r="J82" s="37">
        <v>140</v>
      </c>
      <c r="K82" s="44">
        <f t="shared" si="4"/>
        <v>154</v>
      </c>
      <c r="L82" s="2" t="s">
        <v>12</v>
      </c>
      <c r="M82" s="2" t="s">
        <v>280</v>
      </c>
      <c r="N82" s="2" t="s">
        <v>69</v>
      </c>
      <c r="O82" s="50">
        <v>44317</v>
      </c>
      <c r="P82" s="50">
        <v>44339</v>
      </c>
    </row>
    <row r="83" spans="1:16" s="1" customFormat="1" ht="14">
      <c r="A83" s="12" t="s">
        <v>105</v>
      </c>
      <c r="B83" s="9" t="s">
        <v>106</v>
      </c>
      <c r="C83" s="2" t="s">
        <v>13</v>
      </c>
      <c r="D83" s="37">
        <v>150</v>
      </c>
      <c r="E83" s="44">
        <f t="shared" si="3"/>
        <v>165</v>
      </c>
      <c r="F83" s="37">
        <v>155</v>
      </c>
      <c r="G83" s="44">
        <f t="shared" si="4"/>
        <v>170.5</v>
      </c>
      <c r="H83" s="37" t="s">
        <v>70</v>
      </c>
      <c r="I83" s="44" t="e">
        <f t="shared" si="5"/>
        <v>#VALUE!</v>
      </c>
      <c r="J83" s="37" t="s">
        <v>70</v>
      </c>
      <c r="K83" s="44" t="e">
        <f t="shared" si="4"/>
        <v>#VALUE!</v>
      </c>
      <c r="L83" s="2" t="s">
        <v>12</v>
      </c>
      <c r="M83" s="2" t="s">
        <v>287</v>
      </c>
      <c r="N83" s="2" t="s">
        <v>16</v>
      </c>
      <c r="O83" s="50">
        <v>44317</v>
      </c>
      <c r="P83" s="50">
        <v>44339</v>
      </c>
    </row>
    <row r="84" spans="1:16" s="1" customFormat="1" ht="14">
      <c r="A84" s="12" t="s">
        <v>257</v>
      </c>
      <c r="B84" s="9" t="s">
        <v>88</v>
      </c>
      <c r="C84" s="2" t="s">
        <v>13</v>
      </c>
      <c r="D84" s="37">
        <v>160</v>
      </c>
      <c r="E84" s="44">
        <f t="shared" si="3"/>
        <v>176</v>
      </c>
      <c r="F84" s="37">
        <v>165</v>
      </c>
      <c r="G84" s="44">
        <f t="shared" si="4"/>
        <v>181.5</v>
      </c>
      <c r="H84" s="37">
        <f>50*1.22</f>
        <v>61</v>
      </c>
      <c r="I84" s="44">
        <f t="shared" si="5"/>
        <v>67.099999999999994</v>
      </c>
      <c r="J84" s="37">
        <f>50*1.22</f>
        <v>61</v>
      </c>
      <c r="K84" s="44">
        <f t="shared" si="4"/>
        <v>67.099999999999994</v>
      </c>
      <c r="L84" s="2" t="s">
        <v>12</v>
      </c>
      <c r="M84" s="2" t="s">
        <v>288</v>
      </c>
      <c r="N84" s="2" t="s">
        <v>21</v>
      </c>
      <c r="O84" s="50">
        <v>44317</v>
      </c>
      <c r="P84" s="50">
        <v>44339</v>
      </c>
    </row>
    <row r="85" spans="1:16" s="1" customFormat="1" ht="14">
      <c r="A85" s="12" t="s">
        <v>61</v>
      </c>
      <c r="B85" s="9" t="s">
        <v>66</v>
      </c>
      <c r="C85" s="2" t="s">
        <v>13</v>
      </c>
      <c r="D85" s="37">
        <v>205</v>
      </c>
      <c r="E85" s="44">
        <f t="shared" si="3"/>
        <v>225.5</v>
      </c>
      <c r="F85" s="37">
        <v>210</v>
      </c>
      <c r="G85" s="44">
        <f t="shared" si="4"/>
        <v>231</v>
      </c>
      <c r="H85" s="37">
        <f>105*1.22</f>
        <v>128.1</v>
      </c>
      <c r="I85" s="44">
        <f t="shared" si="5"/>
        <v>140.91</v>
      </c>
      <c r="J85" s="37">
        <f>105*1.22</f>
        <v>128.1</v>
      </c>
      <c r="K85" s="44">
        <f t="shared" si="4"/>
        <v>140.91</v>
      </c>
      <c r="L85" s="2" t="s">
        <v>12</v>
      </c>
      <c r="M85" s="2" t="s">
        <v>280</v>
      </c>
      <c r="N85" s="2" t="s">
        <v>16</v>
      </c>
      <c r="O85" s="50">
        <v>44317</v>
      </c>
      <c r="P85" s="50">
        <v>44339</v>
      </c>
    </row>
    <row r="86" spans="1:16" s="1" customFormat="1" ht="14">
      <c r="A86" s="12" t="s">
        <v>7</v>
      </c>
      <c r="B86" s="9" t="s">
        <v>10</v>
      </c>
      <c r="C86" s="2" t="s">
        <v>13</v>
      </c>
      <c r="D86" s="37">
        <v>220</v>
      </c>
      <c r="E86" s="44">
        <f t="shared" si="3"/>
        <v>242</v>
      </c>
      <c r="F86" s="37">
        <v>225</v>
      </c>
      <c r="G86" s="44">
        <f t="shared" si="4"/>
        <v>247.5</v>
      </c>
      <c r="H86" s="37">
        <v>240</v>
      </c>
      <c r="I86" s="44">
        <f t="shared" si="5"/>
        <v>264</v>
      </c>
      <c r="J86" s="37">
        <v>240</v>
      </c>
      <c r="K86" s="44">
        <f t="shared" si="4"/>
        <v>264</v>
      </c>
      <c r="L86" s="2" t="s">
        <v>12</v>
      </c>
      <c r="M86" s="2" t="s">
        <v>277</v>
      </c>
      <c r="N86" s="2" t="s">
        <v>22</v>
      </c>
      <c r="O86" s="50">
        <v>44317</v>
      </c>
      <c r="P86" s="50">
        <v>44339</v>
      </c>
    </row>
    <row r="87" spans="1:16" s="1" customFormat="1" ht="14">
      <c r="A87" s="12" t="s">
        <v>257</v>
      </c>
      <c r="B87" s="9" t="s">
        <v>258</v>
      </c>
      <c r="C87" s="2" t="s">
        <v>13</v>
      </c>
      <c r="D87" s="37">
        <v>160</v>
      </c>
      <c r="E87" s="44">
        <f t="shared" si="3"/>
        <v>176</v>
      </c>
      <c r="F87" s="37">
        <v>165</v>
      </c>
      <c r="G87" s="44">
        <f t="shared" si="4"/>
        <v>181.5</v>
      </c>
      <c r="H87" s="37">
        <v>210</v>
      </c>
      <c r="I87" s="44">
        <f t="shared" si="5"/>
        <v>231</v>
      </c>
      <c r="J87" s="37">
        <v>210</v>
      </c>
      <c r="K87" s="44">
        <f t="shared" si="4"/>
        <v>231</v>
      </c>
      <c r="L87" s="2" t="s">
        <v>12</v>
      </c>
      <c r="M87" s="2" t="s">
        <v>288</v>
      </c>
      <c r="N87" s="2" t="s">
        <v>16</v>
      </c>
      <c r="O87" s="50">
        <v>44317</v>
      </c>
      <c r="P87" s="50">
        <v>44339</v>
      </c>
    </row>
    <row r="88" spans="1:16" s="1" customFormat="1" ht="14">
      <c r="A88" s="12" t="s">
        <v>72</v>
      </c>
      <c r="B88" s="9" t="s">
        <v>77</v>
      </c>
      <c r="C88" s="2" t="s">
        <v>13</v>
      </c>
      <c r="D88" s="37">
        <v>245</v>
      </c>
      <c r="E88" s="44">
        <f t="shared" si="3"/>
        <v>269.5</v>
      </c>
      <c r="F88" s="37">
        <v>250</v>
      </c>
      <c r="G88" s="44">
        <f t="shared" si="4"/>
        <v>275</v>
      </c>
      <c r="H88" s="37">
        <v>165</v>
      </c>
      <c r="I88" s="44">
        <f t="shared" si="5"/>
        <v>181.5</v>
      </c>
      <c r="J88" s="37">
        <v>165</v>
      </c>
      <c r="K88" s="44">
        <f t="shared" si="4"/>
        <v>181.5</v>
      </c>
      <c r="L88" s="2" t="s">
        <v>12</v>
      </c>
      <c r="M88" s="2" t="s">
        <v>282</v>
      </c>
      <c r="N88" s="2" t="s">
        <v>16</v>
      </c>
      <c r="O88" s="50">
        <v>44317</v>
      </c>
      <c r="P88" s="50">
        <v>44339</v>
      </c>
    </row>
    <row r="89" spans="1:16" s="1" customFormat="1" ht="14">
      <c r="A89" s="12" t="s">
        <v>72</v>
      </c>
      <c r="B89" s="9" t="s">
        <v>78</v>
      </c>
      <c r="C89" s="2" t="s">
        <v>13</v>
      </c>
      <c r="D89" s="37">
        <v>245</v>
      </c>
      <c r="E89" s="44">
        <f t="shared" si="3"/>
        <v>269.5</v>
      </c>
      <c r="F89" s="37">
        <v>250</v>
      </c>
      <c r="G89" s="44">
        <f t="shared" si="4"/>
        <v>275</v>
      </c>
      <c r="H89" s="37">
        <v>230</v>
      </c>
      <c r="I89" s="44">
        <f t="shared" si="5"/>
        <v>253</v>
      </c>
      <c r="J89" s="37">
        <v>230</v>
      </c>
      <c r="K89" s="44">
        <f t="shared" si="4"/>
        <v>253</v>
      </c>
      <c r="L89" s="2" t="s">
        <v>12</v>
      </c>
      <c r="M89" s="2" t="s">
        <v>214</v>
      </c>
      <c r="N89" s="2" t="s">
        <v>22</v>
      </c>
      <c r="O89" s="50">
        <v>44317</v>
      </c>
      <c r="P89" s="50">
        <v>44339</v>
      </c>
    </row>
    <row r="90" spans="1:16" s="1" customFormat="1" ht="14">
      <c r="A90" s="12" t="s">
        <v>6</v>
      </c>
      <c r="B90" s="9" t="s">
        <v>35</v>
      </c>
      <c r="C90" s="2" t="s">
        <v>13</v>
      </c>
      <c r="D90" s="37">
        <v>150</v>
      </c>
      <c r="E90" s="44">
        <f t="shared" si="3"/>
        <v>165</v>
      </c>
      <c r="F90" s="37">
        <v>155</v>
      </c>
      <c r="G90" s="44">
        <f t="shared" si="4"/>
        <v>170.5</v>
      </c>
      <c r="H90" s="37">
        <v>145</v>
      </c>
      <c r="I90" s="44">
        <f t="shared" si="5"/>
        <v>159.5</v>
      </c>
      <c r="J90" s="37">
        <v>145</v>
      </c>
      <c r="K90" s="44">
        <f t="shared" si="4"/>
        <v>159.5</v>
      </c>
      <c r="L90" s="2" t="s">
        <v>12</v>
      </c>
      <c r="M90" s="2" t="s">
        <v>215</v>
      </c>
      <c r="N90" s="2" t="s">
        <v>16</v>
      </c>
      <c r="O90" s="50">
        <v>44317</v>
      </c>
      <c r="P90" s="50">
        <v>44339</v>
      </c>
    </row>
    <row r="91" spans="1:16" s="1" customFormat="1" ht="14">
      <c r="A91" s="12" t="s">
        <v>257</v>
      </c>
      <c r="B91" s="9" t="s">
        <v>89</v>
      </c>
      <c r="C91" s="2" t="s">
        <v>13</v>
      </c>
      <c r="D91" s="37">
        <v>160</v>
      </c>
      <c r="E91" s="44">
        <f t="shared" si="3"/>
        <v>176</v>
      </c>
      <c r="F91" s="37">
        <v>165</v>
      </c>
      <c r="G91" s="44">
        <f t="shared" si="4"/>
        <v>181.5</v>
      </c>
      <c r="H91" s="37">
        <v>130</v>
      </c>
      <c r="I91" s="44">
        <f t="shared" si="5"/>
        <v>143</v>
      </c>
      <c r="J91" s="37">
        <v>130</v>
      </c>
      <c r="K91" s="44">
        <f t="shared" si="4"/>
        <v>143</v>
      </c>
      <c r="L91" s="2" t="s">
        <v>12</v>
      </c>
      <c r="M91" s="2" t="s">
        <v>286</v>
      </c>
      <c r="N91" s="2" t="s">
        <v>16</v>
      </c>
      <c r="O91" s="50">
        <v>44317</v>
      </c>
      <c r="P91" s="50">
        <v>44339</v>
      </c>
    </row>
    <row r="92" spans="1:16" s="1" customFormat="1" ht="14">
      <c r="A92" s="12" t="s">
        <v>91</v>
      </c>
      <c r="B92" s="9" t="s">
        <v>259</v>
      </c>
      <c r="C92" s="2" t="s">
        <v>13</v>
      </c>
      <c r="D92" s="37">
        <v>215</v>
      </c>
      <c r="E92" s="44">
        <f t="shared" si="3"/>
        <v>236.5</v>
      </c>
      <c r="F92" s="37">
        <v>220</v>
      </c>
      <c r="G92" s="44">
        <f t="shared" si="4"/>
        <v>242</v>
      </c>
      <c r="H92" s="37">
        <v>210</v>
      </c>
      <c r="I92" s="44">
        <f t="shared" si="5"/>
        <v>231</v>
      </c>
      <c r="J92" s="37">
        <v>210</v>
      </c>
      <c r="K92" s="44">
        <f t="shared" si="4"/>
        <v>231</v>
      </c>
      <c r="L92" s="2" t="s">
        <v>12</v>
      </c>
      <c r="M92" s="2" t="s">
        <v>289</v>
      </c>
      <c r="N92" s="2" t="s">
        <v>16</v>
      </c>
      <c r="O92" s="50">
        <v>44317</v>
      </c>
      <c r="P92" s="50">
        <v>44339</v>
      </c>
    </row>
    <row r="93" spans="1:16" s="1" customFormat="1" ht="14">
      <c r="A93" s="12" t="s">
        <v>91</v>
      </c>
      <c r="B93" s="9" t="s">
        <v>260</v>
      </c>
      <c r="C93" s="2" t="s">
        <v>13</v>
      </c>
      <c r="D93" s="37">
        <v>220</v>
      </c>
      <c r="E93" s="44">
        <f t="shared" si="3"/>
        <v>242</v>
      </c>
      <c r="F93" s="37">
        <v>225</v>
      </c>
      <c r="G93" s="44">
        <f t="shared" si="4"/>
        <v>247.5</v>
      </c>
      <c r="H93" s="37">
        <v>170</v>
      </c>
      <c r="I93" s="44">
        <f t="shared" si="5"/>
        <v>187</v>
      </c>
      <c r="J93" s="37">
        <v>170</v>
      </c>
      <c r="K93" s="44">
        <f t="shared" si="4"/>
        <v>187</v>
      </c>
      <c r="L93" s="2" t="s">
        <v>12</v>
      </c>
      <c r="M93" s="2" t="s">
        <v>275</v>
      </c>
      <c r="N93" s="2" t="s">
        <v>16</v>
      </c>
      <c r="O93" s="50">
        <v>44317</v>
      </c>
      <c r="P93" s="50">
        <v>44339</v>
      </c>
    </row>
    <row r="94" spans="1:16" s="1" customFormat="1" ht="14">
      <c r="A94" s="12" t="s">
        <v>91</v>
      </c>
      <c r="B94" s="9" t="s">
        <v>92</v>
      </c>
      <c r="C94" s="2" t="s">
        <v>13</v>
      </c>
      <c r="D94" s="37">
        <v>185</v>
      </c>
      <c r="E94" s="44">
        <f t="shared" si="3"/>
        <v>203.5</v>
      </c>
      <c r="F94" s="37">
        <v>190</v>
      </c>
      <c r="G94" s="44">
        <f t="shared" si="4"/>
        <v>209</v>
      </c>
      <c r="H94" s="37">
        <v>200</v>
      </c>
      <c r="I94" s="44">
        <f t="shared" si="5"/>
        <v>220</v>
      </c>
      <c r="J94" s="37">
        <v>200</v>
      </c>
      <c r="K94" s="44">
        <f t="shared" si="4"/>
        <v>220</v>
      </c>
      <c r="L94" s="2" t="s">
        <v>12</v>
      </c>
      <c r="M94" s="2" t="s">
        <v>289</v>
      </c>
      <c r="N94" s="2" t="s">
        <v>16</v>
      </c>
      <c r="O94" s="50">
        <v>44317</v>
      </c>
      <c r="P94" s="50">
        <v>44339</v>
      </c>
    </row>
    <row r="95" spans="1:16" s="1" customFormat="1" ht="14">
      <c r="A95" s="12" t="s">
        <v>6</v>
      </c>
      <c r="B95" s="9" t="s">
        <v>36</v>
      </c>
      <c r="C95" s="2" t="s">
        <v>13</v>
      </c>
      <c r="D95" s="37">
        <v>150</v>
      </c>
      <c r="E95" s="44">
        <f t="shared" si="3"/>
        <v>165</v>
      </c>
      <c r="F95" s="37">
        <v>155</v>
      </c>
      <c r="G95" s="44">
        <f t="shared" si="4"/>
        <v>170.5</v>
      </c>
      <c r="H95" s="37">
        <v>200</v>
      </c>
      <c r="I95" s="44">
        <f t="shared" si="5"/>
        <v>220</v>
      </c>
      <c r="J95" s="37">
        <v>200</v>
      </c>
      <c r="K95" s="44">
        <f t="shared" si="4"/>
        <v>220</v>
      </c>
      <c r="L95" s="2" t="s">
        <v>12</v>
      </c>
      <c r="M95" s="90" t="s">
        <v>247</v>
      </c>
      <c r="N95" s="2" t="s">
        <v>16</v>
      </c>
      <c r="O95" s="50">
        <v>44317</v>
      </c>
      <c r="P95" s="50">
        <v>44339</v>
      </c>
    </row>
    <row r="96" spans="1:16" s="1" customFormat="1" ht="14">
      <c r="A96" s="12" t="s">
        <v>80</v>
      </c>
      <c r="B96" s="9" t="s">
        <v>261</v>
      </c>
      <c r="C96" s="2" t="s">
        <v>13</v>
      </c>
      <c r="D96" s="37">
        <v>215</v>
      </c>
      <c r="E96" s="44">
        <f t="shared" si="3"/>
        <v>236.5</v>
      </c>
      <c r="F96" s="37">
        <v>220</v>
      </c>
      <c r="G96" s="44">
        <f t="shared" si="4"/>
        <v>242</v>
      </c>
      <c r="H96" s="37">
        <f>50*1.22</f>
        <v>61</v>
      </c>
      <c r="I96" s="44">
        <f t="shared" si="5"/>
        <v>67.099999999999994</v>
      </c>
      <c r="J96" s="37">
        <f>50*1.22</f>
        <v>61</v>
      </c>
      <c r="K96" s="44">
        <f t="shared" si="4"/>
        <v>67.099999999999994</v>
      </c>
      <c r="L96" s="2" t="s">
        <v>12</v>
      </c>
      <c r="M96" s="2" t="s">
        <v>275</v>
      </c>
      <c r="N96" s="2" t="s">
        <v>21</v>
      </c>
      <c r="O96" s="50">
        <v>44317</v>
      </c>
      <c r="P96" s="50">
        <v>44339</v>
      </c>
    </row>
    <row r="97" spans="1:16" s="1" customFormat="1" ht="14">
      <c r="A97" s="12" t="s">
        <v>6</v>
      </c>
      <c r="B97" s="9" t="s">
        <v>262</v>
      </c>
      <c r="C97" s="2" t="s">
        <v>13</v>
      </c>
      <c r="D97" s="37">
        <v>150</v>
      </c>
      <c r="E97" s="44">
        <f t="shared" si="3"/>
        <v>165</v>
      </c>
      <c r="F97" s="37">
        <v>155</v>
      </c>
      <c r="G97" s="44">
        <f t="shared" si="4"/>
        <v>170.5</v>
      </c>
      <c r="H97" s="37">
        <f t="shared" ref="H97:J100" si="6">66*1.22</f>
        <v>80.52</v>
      </c>
      <c r="I97" s="44">
        <f t="shared" si="5"/>
        <v>88.572000000000003</v>
      </c>
      <c r="J97" s="37">
        <f t="shared" si="6"/>
        <v>80.52</v>
      </c>
      <c r="K97" s="44">
        <f t="shared" si="4"/>
        <v>88.572000000000003</v>
      </c>
      <c r="L97" s="2" t="s">
        <v>12</v>
      </c>
      <c r="M97" s="2" t="s">
        <v>236</v>
      </c>
      <c r="N97" s="2" t="s">
        <v>16</v>
      </c>
      <c r="O97" s="50">
        <v>44317</v>
      </c>
      <c r="P97" s="50">
        <v>44339</v>
      </c>
    </row>
    <row r="98" spans="1:16" s="1" customFormat="1" ht="14">
      <c r="A98" s="12" t="s">
        <v>6</v>
      </c>
      <c r="B98" s="9" t="s">
        <v>38</v>
      </c>
      <c r="C98" s="2" t="s">
        <v>13</v>
      </c>
      <c r="D98" s="37">
        <v>180</v>
      </c>
      <c r="E98" s="44">
        <f t="shared" si="3"/>
        <v>198</v>
      </c>
      <c r="F98" s="37">
        <v>185</v>
      </c>
      <c r="G98" s="44">
        <f t="shared" si="4"/>
        <v>203.5</v>
      </c>
      <c r="H98" s="37">
        <f t="shared" si="6"/>
        <v>80.52</v>
      </c>
      <c r="I98" s="44">
        <f t="shared" si="5"/>
        <v>88.572000000000003</v>
      </c>
      <c r="J98" s="37">
        <f t="shared" si="6"/>
        <v>80.52</v>
      </c>
      <c r="K98" s="44">
        <f t="shared" si="4"/>
        <v>88.572000000000003</v>
      </c>
      <c r="L98" s="2" t="s">
        <v>12</v>
      </c>
      <c r="M98" s="2" t="s">
        <v>286</v>
      </c>
      <c r="N98" s="2" t="s">
        <v>16</v>
      </c>
      <c r="O98" s="50">
        <v>44317</v>
      </c>
      <c r="P98" s="50">
        <v>44339</v>
      </c>
    </row>
    <row r="99" spans="1:16" s="1" customFormat="1" ht="14">
      <c r="A99" s="12" t="s">
        <v>6</v>
      </c>
      <c r="B99" s="9" t="s">
        <v>40</v>
      </c>
      <c r="C99" s="2" t="s">
        <v>13</v>
      </c>
      <c r="D99" s="37">
        <v>150</v>
      </c>
      <c r="E99" s="44">
        <f t="shared" si="3"/>
        <v>165</v>
      </c>
      <c r="F99" s="37">
        <v>155</v>
      </c>
      <c r="G99" s="44">
        <f t="shared" si="4"/>
        <v>170.5</v>
      </c>
      <c r="H99" s="37">
        <f t="shared" si="6"/>
        <v>80.52</v>
      </c>
      <c r="I99" s="44">
        <f t="shared" si="5"/>
        <v>88.572000000000003</v>
      </c>
      <c r="J99" s="37">
        <f t="shared" si="6"/>
        <v>80.52</v>
      </c>
      <c r="K99" s="44">
        <f t="shared" si="4"/>
        <v>88.572000000000003</v>
      </c>
      <c r="L99" s="2" t="s">
        <v>12</v>
      </c>
      <c r="M99" s="90" t="s">
        <v>290</v>
      </c>
      <c r="N99" s="2" t="s">
        <v>16</v>
      </c>
      <c r="O99" s="50">
        <v>44317</v>
      </c>
      <c r="P99" s="50">
        <v>44339</v>
      </c>
    </row>
    <row r="100" spans="1:16" s="1" customFormat="1" ht="14">
      <c r="A100" s="12" t="s">
        <v>6</v>
      </c>
      <c r="B100" s="9" t="s">
        <v>263</v>
      </c>
      <c r="C100" s="2" t="s">
        <v>13</v>
      </c>
      <c r="D100" s="37">
        <v>180</v>
      </c>
      <c r="E100" s="44">
        <f t="shared" si="3"/>
        <v>198</v>
      </c>
      <c r="F100" s="37">
        <v>185</v>
      </c>
      <c r="G100" s="44">
        <f t="shared" si="4"/>
        <v>203.5</v>
      </c>
      <c r="H100" s="37">
        <f t="shared" si="6"/>
        <v>80.52</v>
      </c>
      <c r="I100" s="44">
        <f t="shared" si="5"/>
        <v>88.572000000000003</v>
      </c>
      <c r="J100" s="37">
        <f t="shared" si="6"/>
        <v>80.52</v>
      </c>
      <c r="K100" s="44">
        <f t="shared" si="4"/>
        <v>88.572000000000003</v>
      </c>
      <c r="L100" s="2" t="s">
        <v>12</v>
      </c>
      <c r="M100" s="2" t="s">
        <v>286</v>
      </c>
      <c r="N100" s="2" t="s">
        <v>16</v>
      </c>
      <c r="O100" s="50">
        <v>44317</v>
      </c>
      <c r="P100" s="50">
        <v>44339</v>
      </c>
    </row>
    <row r="101" spans="1:16" s="1" customFormat="1" ht="14">
      <c r="A101" s="12" t="s">
        <v>30</v>
      </c>
      <c r="B101" s="9" t="s">
        <v>264</v>
      </c>
      <c r="C101" s="2" t="s">
        <v>13</v>
      </c>
      <c r="D101" s="37">
        <v>220</v>
      </c>
      <c r="E101" s="44">
        <f t="shared" si="3"/>
        <v>242</v>
      </c>
      <c r="F101" s="37">
        <v>225</v>
      </c>
      <c r="G101" s="44">
        <f t="shared" si="4"/>
        <v>247.5</v>
      </c>
      <c r="H101" s="37">
        <f>86*1.22</f>
        <v>104.92</v>
      </c>
      <c r="I101" s="44">
        <f t="shared" si="5"/>
        <v>115.41200000000001</v>
      </c>
      <c r="J101" s="37">
        <f>86*1.22</f>
        <v>104.92</v>
      </c>
      <c r="K101" s="44">
        <f t="shared" si="4"/>
        <v>115.41200000000001</v>
      </c>
      <c r="L101" s="2" t="s">
        <v>12</v>
      </c>
      <c r="M101" s="2" t="s">
        <v>275</v>
      </c>
      <c r="N101" s="2" t="s">
        <v>16</v>
      </c>
      <c r="O101" s="50">
        <v>44317</v>
      </c>
      <c r="P101" s="50">
        <v>44339</v>
      </c>
    </row>
    <row r="102" spans="1:16" s="1" customFormat="1" ht="14">
      <c r="A102" s="12" t="s">
        <v>100</v>
      </c>
      <c r="B102" s="9" t="s">
        <v>101</v>
      </c>
      <c r="C102" s="2" t="s">
        <v>13</v>
      </c>
      <c r="D102" s="37">
        <v>175</v>
      </c>
      <c r="E102" s="44">
        <f t="shared" si="3"/>
        <v>192.5</v>
      </c>
      <c r="F102" s="37">
        <v>180</v>
      </c>
      <c r="G102" s="44">
        <f t="shared" si="4"/>
        <v>198</v>
      </c>
      <c r="H102" s="37">
        <f>66*1.22</f>
        <v>80.52</v>
      </c>
      <c r="I102" s="44">
        <f t="shared" si="5"/>
        <v>88.572000000000003</v>
      </c>
      <c r="J102" s="37">
        <f>66*1.22</f>
        <v>80.52</v>
      </c>
      <c r="K102" s="44">
        <f t="shared" si="4"/>
        <v>88.572000000000003</v>
      </c>
      <c r="L102" s="2" t="s">
        <v>12</v>
      </c>
      <c r="M102" s="2" t="s">
        <v>291</v>
      </c>
      <c r="N102" s="2" t="s">
        <v>16</v>
      </c>
      <c r="O102" s="50">
        <v>44317</v>
      </c>
      <c r="P102" s="50">
        <v>44339</v>
      </c>
    </row>
    <row r="103" spans="1:16" s="1" customFormat="1" ht="14">
      <c r="A103" s="12" t="s">
        <v>80</v>
      </c>
      <c r="B103" s="9" t="s">
        <v>265</v>
      </c>
      <c r="C103" s="2" t="s">
        <v>13</v>
      </c>
      <c r="D103" s="37">
        <v>215</v>
      </c>
      <c r="E103" s="44">
        <f t="shared" si="3"/>
        <v>236.5</v>
      </c>
      <c r="F103" s="37">
        <v>220</v>
      </c>
      <c r="G103" s="44">
        <f t="shared" si="4"/>
        <v>242</v>
      </c>
      <c r="H103" s="37">
        <f>66*1.22</f>
        <v>80.52</v>
      </c>
      <c r="I103" s="44">
        <f t="shared" si="5"/>
        <v>88.572000000000003</v>
      </c>
      <c r="J103" s="37">
        <f>66*1.22</f>
        <v>80.52</v>
      </c>
      <c r="K103" s="44">
        <f t="shared" si="4"/>
        <v>88.572000000000003</v>
      </c>
      <c r="L103" s="2" t="s">
        <v>12</v>
      </c>
      <c r="M103" s="2" t="s">
        <v>275</v>
      </c>
      <c r="N103" s="2" t="s">
        <v>16</v>
      </c>
      <c r="O103" s="50">
        <v>44317</v>
      </c>
      <c r="P103" s="50">
        <v>44339</v>
      </c>
    </row>
    <row r="104" spans="1:16" s="1" customFormat="1" ht="14">
      <c r="A104" s="12" t="s">
        <v>7</v>
      </c>
      <c r="B104" s="9" t="s">
        <v>11</v>
      </c>
      <c r="C104" s="2" t="s">
        <v>13</v>
      </c>
      <c r="D104" s="37">
        <v>220</v>
      </c>
      <c r="E104" s="44">
        <f t="shared" si="3"/>
        <v>242</v>
      </c>
      <c r="F104" s="37">
        <v>225</v>
      </c>
      <c r="G104" s="44">
        <f t="shared" si="4"/>
        <v>247.5</v>
      </c>
      <c r="H104" s="37">
        <f>155*1.22</f>
        <v>189.1</v>
      </c>
      <c r="I104" s="44">
        <f t="shared" si="5"/>
        <v>208.01</v>
      </c>
      <c r="J104" s="37">
        <f>155*1.22</f>
        <v>189.1</v>
      </c>
      <c r="K104" s="44">
        <f t="shared" si="4"/>
        <v>208.01</v>
      </c>
      <c r="L104" s="2" t="s">
        <v>12</v>
      </c>
      <c r="M104" s="2" t="s">
        <v>276</v>
      </c>
      <c r="N104" s="2" t="s">
        <v>16</v>
      </c>
      <c r="O104" s="50">
        <v>44317</v>
      </c>
      <c r="P104" s="50">
        <v>44339</v>
      </c>
    </row>
    <row r="105" spans="1:16" s="1" customFormat="1" ht="14">
      <c r="A105" s="12" t="s">
        <v>257</v>
      </c>
      <c r="B105" s="9" t="s">
        <v>266</v>
      </c>
      <c r="C105" s="2" t="s">
        <v>13</v>
      </c>
      <c r="D105" s="37">
        <v>160</v>
      </c>
      <c r="E105" s="44">
        <f t="shared" si="3"/>
        <v>176</v>
      </c>
      <c r="F105" s="37">
        <v>165</v>
      </c>
      <c r="G105" s="44">
        <f t="shared" si="4"/>
        <v>181.5</v>
      </c>
      <c r="H105" s="37">
        <v>120</v>
      </c>
      <c r="I105" s="44">
        <f t="shared" si="5"/>
        <v>132</v>
      </c>
      <c r="J105" s="37">
        <v>120</v>
      </c>
      <c r="K105" s="44">
        <f t="shared" si="4"/>
        <v>132</v>
      </c>
      <c r="L105" s="2" t="s">
        <v>12</v>
      </c>
      <c r="M105" s="2" t="s">
        <v>286</v>
      </c>
      <c r="N105" s="2" t="s">
        <v>16</v>
      </c>
      <c r="O105" s="50">
        <v>44317</v>
      </c>
      <c r="P105" s="50">
        <v>44339</v>
      </c>
    </row>
    <row r="106" spans="1:16" s="1" customFormat="1" ht="14">
      <c r="A106" s="12" t="s">
        <v>72</v>
      </c>
      <c r="B106" s="9" t="s">
        <v>79</v>
      </c>
      <c r="C106" s="2" t="s">
        <v>13</v>
      </c>
      <c r="D106" s="37">
        <v>310</v>
      </c>
      <c r="E106" s="44">
        <f t="shared" si="3"/>
        <v>341</v>
      </c>
      <c r="F106" s="37">
        <v>315</v>
      </c>
      <c r="G106" s="44">
        <f t="shared" si="4"/>
        <v>346.5</v>
      </c>
      <c r="H106" s="37">
        <v>150</v>
      </c>
      <c r="I106" s="44">
        <f t="shared" si="5"/>
        <v>165</v>
      </c>
      <c r="J106" s="37">
        <v>150</v>
      </c>
      <c r="K106" s="44">
        <f t="shared" si="4"/>
        <v>165</v>
      </c>
      <c r="L106" s="2" t="s">
        <v>12</v>
      </c>
      <c r="M106" s="2" t="s">
        <v>292</v>
      </c>
      <c r="N106" s="2" t="s">
        <v>22</v>
      </c>
      <c r="O106" s="50">
        <v>44317</v>
      </c>
      <c r="P106" s="50">
        <v>44339</v>
      </c>
    </row>
    <row r="107" spans="1:16" s="1" customFormat="1" ht="14">
      <c r="A107" s="12" t="s">
        <v>6</v>
      </c>
      <c r="B107" s="9" t="s">
        <v>41</v>
      </c>
      <c r="C107" s="2" t="s">
        <v>13</v>
      </c>
      <c r="D107" s="37">
        <v>150</v>
      </c>
      <c r="E107" s="44">
        <f t="shared" si="3"/>
        <v>165</v>
      </c>
      <c r="F107" s="37">
        <v>155</v>
      </c>
      <c r="G107" s="44">
        <f t="shared" si="4"/>
        <v>170.5</v>
      </c>
      <c r="H107" s="37">
        <f>55*1.22</f>
        <v>67.099999999999994</v>
      </c>
      <c r="I107" s="44">
        <f t="shared" si="5"/>
        <v>73.809999999999988</v>
      </c>
      <c r="J107" s="37">
        <f>55*1.22</f>
        <v>67.099999999999994</v>
      </c>
      <c r="K107" s="44">
        <f t="shared" si="4"/>
        <v>73.809999999999988</v>
      </c>
      <c r="L107" s="2" t="s">
        <v>12</v>
      </c>
      <c r="M107" s="90" t="s">
        <v>287</v>
      </c>
      <c r="N107" s="2" t="s">
        <v>21</v>
      </c>
      <c r="O107" s="50">
        <v>44317</v>
      </c>
      <c r="P107" s="50">
        <v>44339</v>
      </c>
    </row>
    <row r="108" spans="1:16" s="1" customFormat="1" ht="14">
      <c r="A108" s="12" t="s">
        <v>6</v>
      </c>
      <c r="B108" s="9" t="s">
        <v>44</v>
      </c>
      <c r="C108" s="2" t="s">
        <v>13</v>
      </c>
      <c r="D108" s="37">
        <v>170</v>
      </c>
      <c r="E108" s="44">
        <f t="shared" si="3"/>
        <v>187</v>
      </c>
      <c r="F108" s="37">
        <v>175</v>
      </c>
      <c r="G108" s="44">
        <f t="shared" si="4"/>
        <v>192.5</v>
      </c>
      <c r="H108" s="37">
        <v>150</v>
      </c>
      <c r="I108" s="44">
        <f t="shared" si="5"/>
        <v>165</v>
      </c>
      <c r="J108" s="37">
        <v>150</v>
      </c>
      <c r="K108" s="44">
        <f t="shared" si="4"/>
        <v>165</v>
      </c>
      <c r="L108" s="2" t="s">
        <v>12</v>
      </c>
      <c r="M108" s="2" t="s">
        <v>293</v>
      </c>
      <c r="N108" s="2" t="s">
        <v>21</v>
      </c>
      <c r="O108" s="50">
        <v>44317</v>
      </c>
      <c r="P108" s="50">
        <v>44339</v>
      </c>
    </row>
    <row r="109" spans="1:16" s="1" customFormat="1" ht="14">
      <c r="A109" s="12" t="s">
        <v>6</v>
      </c>
      <c r="B109" s="9" t="s">
        <v>267</v>
      </c>
      <c r="C109" s="2" t="s">
        <v>13</v>
      </c>
      <c r="D109" s="37">
        <v>150</v>
      </c>
      <c r="E109" s="44">
        <f t="shared" si="3"/>
        <v>165</v>
      </c>
      <c r="F109" s="37">
        <v>155</v>
      </c>
      <c r="G109" s="44">
        <f t="shared" si="4"/>
        <v>170.5</v>
      </c>
      <c r="H109" s="37">
        <v>150</v>
      </c>
      <c r="I109" s="44">
        <f t="shared" si="5"/>
        <v>165</v>
      </c>
      <c r="J109" s="37">
        <v>150</v>
      </c>
      <c r="K109" s="44">
        <f t="shared" si="4"/>
        <v>165</v>
      </c>
      <c r="L109" s="2" t="s">
        <v>12</v>
      </c>
      <c r="M109" s="90" t="s">
        <v>288</v>
      </c>
      <c r="N109" s="2" t="s">
        <v>21</v>
      </c>
      <c r="O109" s="50">
        <v>44317</v>
      </c>
      <c r="P109" s="50">
        <v>44339</v>
      </c>
    </row>
    <row r="110" spans="1:16" s="1" customFormat="1" ht="14">
      <c r="A110" s="12" t="s">
        <v>257</v>
      </c>
      <c r="B110" s="9" t="s">
        <v>268</v>
      </c>
      <c r="C110" s="2" t="s">
        <v>13</v>
      </c>
      <c r="D110" s="37">
        <v>160</v>
      </c>
      <c r="E110" s="44">
        <f t="shared" si="3"/>
        <v>176</v>
      </c>
      <c r="F110" s="37">
        <v>165</v>
      </c>
      <c r="G110" s="44">
        <f t="shared" si="4"/>
        <v>181.5</v>
      </c>
      <c r="H110" s="37">
        <v>150</v>
      </c>
      <c r="I110" s="44">
        <f t="shared" si="5"/>
        <v>165</v>
      </c>
      <c r="J110" s="37">
        <v>150</v>
      </c>
      <c r="K110" s="44">
        <f t="shared" si="4"/>
        <v>165</v>
      </c>
      <c r="L110" s="2" t="s">
        <v>12</v>
      </c>
      <c r="M110" s="2" t="s">
        <v>286</v>
      </c>
      <c r="N110" s="2" t="s">
        <v>21</v>
      </c>
      <c r="O110" s="50">
        <v>44317</v>
      </c>
      <c r="P110" s="50">
        <v>44339</v>
      </c>
    </row>
    <row r="111" spans="1:16" s="1" customFormat="1" ht="14">
      <c r="A111" s="12" t="s">
        <v>6</v>
      </c>
      <c r="B111" s="9" t="s">
        <v>269</v>
      </c>
      <c r="C111" s="2" t="s">
        <v>13</v>
      </c>
      <c r="D111" s="37">
        <v>170</v>
      </c>
      <c r="E111" s="44">
        <f t="shared" si="3"/>
        <v>187</v>
      </c>
      <c r="F111" s="37">
        <v>175</v>
      </c>
      <c r="G111" s="44">
        <f t="shared" si="4"/>
        <v>192.5</v>
      </c>
      <c r="H111" s="37">
        <v>150</v>
      </c>
      <c r="I111" s="44">
        <f t="shared" si="5"/>
        <v>165</v>
      </c>
      <c r="J111" s="37">
        <v>150</v>
      </c>
      <c r="K111" s="44">
        <f t="shared" si="4"/>
        <v>165</v>
      </c>
      <c r="L111" s="2" t="s">
        <v>12</v>
      </c>
      <c r="M111" s="2" t="s">
        <v>286</v>
      </c>
      <c r="N111" s="2" t="s">
        <v>21</v>
      </c>
      <c r="O111" s="50">
        <v>44317</v>
      </c>
      <c r="P111" s="50">
        <v>44339</v>
      </c>
    </row>
    <row r="112" spans="1:16" s="1" customFormat="1" ht="14">
      <c r="A112" s="12" t="s">
        <v>6</v>
      </c>
      <c r="B112" s="9" t="s">
        <v>43</v>
      </c>
      <c r="C112" s="2" t="s">
        <v>13</v>
      </c>
      <c r="D112" s="37">
        <v>175</v>
      </c>
      <c r="E112" s="44">
        <f t="shared" si="3"/>
        <v>192.5</v>
      </c>
      <c r="F112" s="37">
        <v>180</v>
      </c>
      <c r="G112" s="44">
        <f t="shared" si="4"/>
        <v>198</v>
      </c>
      <c r="H112" s="37">
        <v>150</v>
      </c>
      <c r="I112" s="44">
        <f t="shared" si="5"/>
        <v>165</v>
      </c>
      <c r="J112" s="37">
        <v>150</v>
      </c>
      <c r="K112" s="44">
        <f t="shared" si="4"/>
        <v>165</v>
      </c>
      <c r="L112" s="2" t="s">
        <v>12</v>
      </c>
      <c r="M112" s="2" t="s">
        <v>286</v>
      </c>
      <c r="N112" s="2" t="s">
        <v>21</v>
      </c>
      <c r="O112" s="50">
        <v>44317</v>
      </c>
      <c r="P112" s="50">
        <v>44339</v>
      </c>
    </row>
    <row r="113" spans="1:14" s="1" customFormat="1" ht="14">
      <c r="A113" s="18"/>
      <c r="B113" s="21"/>
      <c r="C113" s="19"/>
      <c r="D113" s="20"/>
      <c r="E113" s="40"/>
      <c r="F113" s="38"/>
      <c r="G113" s="40"/>
      <c r="H113" s="40"/>
      <c r="I113" s="40"/>
      <c r="J113" s="40"/>
      <c r="K113" s="40"/>
      <c r="L113" s="19"/>
      <c r="M113" s="19"/>
      <c r="N113" s="19"/>
    </row>
    <row r="114" spans="1:14" s="1" customFormat="1" ht="14">
      <c r="A114" s="18"/>
      <c r="B114" s="21"/>
      <c r="C114" s="19"/>
      <c r="D114" s="20"/>
      <c r="E114" s="40"/>
      <c r="F114" s="38"/>
      <c r="G114" s="40"/>
      <c r="H114" s="40"/>
      <c r="I114" s="40"/>
      <c r="J114" s="40"/>
      <c r="K114" s="40"/>
      <c r="L114" s="19"/>
      <c r="M114" s="19"/>
      <c r="N114" s="19"/>
    </row>
    <row r="115" spans="1:14" s="1" customFormat="1" ht="14">
      <c r="A115" s="18"/>
      <c r="B115" s="21"/>
      <c r="C115" s="19"/>
      <c r="D115" s="20"/>
      <c r="E115" s="40"/>
      <c r="F115" s="38"/>
      <c r="G115" s="40"/>
      <c r="H115" s="40"/>
      <c r="I115" s="40"/>
      <c r="J115" s="40"/>
      <c r="K115" s="40"/>
      <c r="L115" s="19"/>
      <c r="M115" s="19"/>
      <c r="N115" s="19"/>
    </row>
    <row r="116" spans="1:14" s="1" customFormat="1" ht="14">
      <c r="A116" s="18"/>
      <c r="B116" s="21"/>
      <c r="C116" s="19"/>
      <c r="D116" s="20"/>
      <c r="E116" s="40"/>
      <c r="F116" s="38"/>
      <c r="G116" s="40"/>
      <c r="H116" s="40"/>
      <c r="I116" s="40"/>
      <c r="J116" s="40"/>
      <c r="K116" s="40"/>
      <c r="L116" s="19"/>
      <c r="M116" s="19"/>
      <c r="N116" s="19"/>
    </row>
    <row r="117" spans="1:14" s="1" customFormat="1" ht="14">
      <c r="A117" s="18"/>
      <c r="B117" s="21"/>
      <c r="C117" s="19"/>
      <c r="D117" s="20"/>
      <c r="E117" s="40"/>
      <c r="F117" s="38"/>
      <c r="G117" s="40"/>
      <c r="H117" s="40"/>
      <c r="I117" s="40"/>
      <c r="J117" s="40"/>
      <c r="K117" s="40"/>
      <c r="L117" s="19"/>
      <c r="M117" s="19"/>
      <c r="N117" s="19"/>
    </row>
    <row r="118" spans="1:14" s="1" customFormat="1" ht="14">
      <c r="A118" s="18"/>
      <c r="B118" s="21"/>
      <c r="C118" s="19"/>
      <c r="D118" s="20"/>
      <c r="E118" s="40"/>
      <c r="F118" s="38"/>
      <c r="G118" s="40"/>
      <c r="H118" s="40"/>
      <c r="I118" s="40"/>
      <c r="J118" s="40"/>
      <c r="K118" s="40"/>
      <c r="L118" s="19"/>
      <c r="M118" s="19"/>
      <c r="N118" s="19"/>
    </row>
    <row r="119" spans="1:14" s="1" customFormat="1" ht="14">
      <c r="A119" s="18"/>
      <c r="B119" s="21"/>
      <c r="C119" s="19"/>
      <c r="D119" s="20"/>
      <c r="E119" s="40"/>
      <c r="F119" s="38"/>
      <c r="G119" s="40"/>
      <c r="H119" s="40"/>
      <c r="I119" s="40"/>
      <c r="J119" s="40"/>
      <c r="K119" s="40"/>
      <c r="L119" s="19"/>
      <c r="M119" s="19"/>
      <c r="N119" s="19"/>
    </row>
    <row r="120" spans="1:14" s="1" customFormat="1" ht="14">
      <c r="A120" s="18"/>
      <c r="B120" s="21"/>
      <c r="C120" s="19"/>
      <c r="D120" s="20"/>
      <c r="E120" s="40"/>
      <c r="F120" s="38"/>
      <c r="G120" s="40"/>
      <c r="H120" s="40"/>
      <c r="I120" s="40"/>
      <c r="J120" s="40"/>
      <c r="K120" s="40"/>
      <c r="L120" s="19"/>
      <c r="M120" s="19"/>
      <c r="N120" s="19"/>
    </row>
    <row r="121" spans="1:14" s="1" customFormat="1" ht="14">
      <c r="A121" s="18"/>
      <c r="B121" s="21"/>
      <c r="C121" s="19"/>
      <c r="D121" s="20"/>
      <c r="E121" s="40"/>
      <c r="F121" s="38"/>
      <c r="G121" s="40"/>
      <c r="H121" s="40"/>
      <c r="I121" s="40"/>
      <c r="J121" s="40"/>
      <c r="K121" s="40"/>
      <c r="L121" s="19"/>
      <c r="M121" s="19"/>
      <c r="N121" s="19"/>
    </row>
    <row r="122" spans="1:14" s="1" customFormat="1" ht="14">
      <c r="A122" s="18"/>
      <c r="B122" s="21"/>
      <c r="C122" s="19"/>
      <c r="D122" s="20"/>
      <c r="E122" s="20"/>
      <c r="F122" s="38"/>
      <c r="G122" s="40"/>
      <c r="H122" s="40"/>
      <c r="I122" s="40"/>
      <c r="J122" s="40"/>
      <c r="K122" s="40"/>
      <c r="L122" s="19"/>
      <c r="M122" s="19"/>
      <c r="N122" s="19"/>
    </row>
    <row r="123" spans="1:14" s="1" customFormat="1" ht="14">
      <c r="A123" s="18"/>
      <c r="B123" s="21"/>
      <c r="C123" s="19"/>
      <c r="D123" s="20"/>
      <c r="E123" s="20"/>
      <c r="F123" s="38"/>
      <c r="G123" s="40"/>
      <c r="H123" s="40"/>
      <c r="I123" s="40"/>
      <c r="J123" s="40"/>
      <c r="K123" s="40"/>
      <c r="L123" s="19"/>
      <c r="M123" s="19"/>
      <c r="N123" s="19"/>
    </row>
    <row r="124" spans="1:14" s="1" customFormat="1" ht="14">
      <c r="A124" s="18"/>
      <c r="B124" s="21"/>
      <c r="C124" s="19"/>
      <c r="D124" s="20"/>
      <c r="E124" s="20"/>
      <c r="F124" s="38"/>
      <c r="G124" s="40"/>
      <c r="H124" s="40"/>
      <c r="I124" s="40"/>
      <c r="J124" s="40"/>
      <c r="K124" s="40"/>
      <c r="L124" s="19"/>
      <c r="M124" s="19"/>
      <c r="N124" s="19"/>
    </row>
    <row r="125" spans="1:14" s="1" customFormat="1" ht="14">
      <c r="A125" s="18"/>
      <c r="B125" s="21"/>
      <c r="C125" s="19"/>
      <c r="D125" s="20"/>
      <c r="E125" s="20"/>
      <c r="F125" s="38"/>
      <c r="G125" s="40"/>
      <c r="H125" s="40"/>
      <c r="I125" s="40"/>
      <c r="J125" s="40"/>
      <c r="K125" s="40"/>
      <c r="L125" s="19"/>
      <c r="M125" s="19"/>
      <c r="N125" s="19"/>
    </row>
    <row r="126" spans="1:14" s="1" customFormat="1" ht="14">
      <c r="A126" s="18"/>
      <c r="B126" s="21"/>
      <c r="C126" s="19"/>
      <c r="D126" s="20"/>
      <c r="E126" s="20"/>
      <c r="F126" s="38"/>
      <c r="G126" s="40"/>
      <c r="H126" s="40"/>
      <c r="I126" s="40"/>
      <c r="J126" s="40"/>
      <c r="K126" s="40"/>
      <c r="L126" s="19"/>
      <c r="M126" s="19"/>
      <c r="N126" s="19"/>
    </row>
    <row r="127" spans="1:14" s="1" customFormat="1" ht="14">
      <c r="A127" s="18"/>
      <c r="B127" s="21"/>
      <c r="C127" s="19"/>
      <c r="D127" s="20"/>
      <c r="E127" s="20"/>
      <c r="F127" s="38"/>
      <c r="G127" s="40"/>
      <c r="H127" s="40"/>
      <c r="I127" s="40"/>
      <c r="J127" s="40"/>
      <c r="K127" s="40"/>
      <c r="L127" s="19"/>
      <c r="M127" s="19"/>
      <c r="N127" s="19"/>
    </row>
    <row r="128" spans="1:14" s="1" customFormat="1" ht="14">
      <c r="A128" s="18"/>
      <c r="B128" s="21"/>
      <c r="C128" s="19"/>
      <c r="D128" s="20"/>
      <c r="E128" s="20"/>
      <c r="F128" s="38"/>
      <c r="G128" s="40"/>
      <c r="H128" s="40"/>
      <c r="I128" s="40"/>
      <c r="J128" s="40"/>
      <c r="K128" s="40"/>
      <c r="L128" s="19"/>
      <c r="M128" s="19"/>
      <c r="N128" s="19"/>
    </row>
    <row r="129" spans="1:14" s="1" customFormat="1" ht="14">
      <c r="A129" s="18"/>
      <c r="B129" s="21"/>
      <c r="C129" s="19"/>
      <c r="D129" s="20"/>
      <c r="E129" s="20"/>
      <c r="F129" s="38"/>
      <c r="G129" s="40"/>
      <c r="H129" s="40"/>
      <c r="I129" s="40"/>
      <c r="J129" s="40"/>
      <c r="K129" s="40"/>
      <c r="L129" s="19"/>
      <c r="M129" s="19"/>
      <c r="N129" s="19"/>
    </row>
    <row r="130" spans="1:14" s="1" customFormat="1" ht="14">
      <c r="A130" s="18"/>
      <c r="B130" s="21"/>
      <c r="C130" s="19"/>
      <c r="D130" s="20"/>
      <c r="E130" s="20"/>
      <c r="F130" s="38"/>
      <c r="G130" s="40"/>
      <c r="H130" s="40"/>
      <c r="I130" s="40"/>
      <c r="J130" s="40"/>
      <c r="K130" s="40"/>
      <c r="L130" s="19"/>
      <c r="M130" s="19"/>
      <c r="N130" s="19"/>
    </row>
    <row r="131" spans="1:14" s="1" customFormat="1" ht="14">
      <c r="A131" s="18"/>
      <c r="B131" s="21"/>
      <c r="C131" s="19"/>
      <c r="D131" s="20"/>
      <c r="E131" s="20"/>
      <c r="F131" s="38"/>
      <c r="G131" s="40"/>
      <c r="H131" s="40"/>
      <c r="I131" s="40"/>
      <c r="J131" s="40"/>
      <c r="K131" s="40"/>
      <c r="L131" s="19"/>
      <c r="M131" s="19"/>
      <c r="N131" s="19"/>
    </row>
    <row r="132" spans="1:14" s="1" customFormat="1" ht="14">
      <c r="A132" s="18"/>
      <c r="B132" s="21"/>
      <c r="C132" s="19"/>
      <c r="D132" s="20"/>
      <c r="E132" s="20"/>
      <c r="F132" s="38"/>
      <c r="G132" s="40"/>
      <c r="H132" s="40"/>
      <c r="I132" s="40"/>
      <c r="J132" s="40"/>
      <c r="K132" s="40"/>
      <c r="L132" s="19"/>
      <c r="M132" s="19"/>
      <c r="N132" s="19"/>
    </row>
    <row r="133" spans="1:14" s="1" customFormat="1" ht="14">
      <c r="A133" s="18"/>
      <c r="B133" s="21"/>
      <c r="C133" s="19"/>
      <c r="D133" s="20"/>
      <c r="E133" s="20"/>
      <c r="F133" s="38"/>
      <c r="G133" s="40"/>
      <c r="H133" s="40"/>
      <c r="I133" s="40"/>
      <c r="J133" s="40"/>
      <c r="K133" s="40"/>
      <c r="L133" s="19"/>
      <c r="M133" s="19"/>
      <c r="N133" s="19"/>
    </row>
    <row r="134" spans="1:14" s="1" customFormat="1" ht="14">
      <c r="A134" s="18"/>
      <c r="B134" s="21"/>
      <c r="C134" s="19"/>
      <c r="D134" s="20"/>
      <c r="E134" s="20"/>
      <c r="F134" s="38"/>
      <c r="G134" s="40"/>
      <c r="H134" s="40"/>
      <c r="I134" s="40"/>
      <c r="J134" s="40"/>
      <c r="K134" s="40"/>
      <c r="L134" s="19"/>
      <c r="M134" s="19"/>
      <c r="N134" s="19"/>
    </row>
    <row r="135" spans="1:14" s="1" customFormat="1" ht="14">
      <c r="A135" s="18"/>
      <c r="B135" s="21"/>
      <c r="C135" s="19"/>
      <c r="D135" s="19"/>
      <c r="E135" s="19"/>
      <c r="F135" s="39"/>
      <c r="G135" s="41"/>
      <c r="H135" s="67"/>
      <c r="I135" s="67"/>
      <c r="J135" s="67"/>
      <c r="K135" s="67"/>
      <c r="L135" s="19"/>
      <c r="M135" s="19"/>
      <c r="N135" s="19"/>
    </row>
    <row r="136" spans="1:14" s="1" customFormat="1" ht="14">
      <c r="A136" s="18"/>
      <c r="B136" s="21"/>
      <c r="C136" s="19"/>
      <c r="D136" s="19"/>
      <c r="E136" s="19"/>
      <c r="F136" s="39"/>
      <c r="G136" s="41"/>
      <c r="H136" s="67"/>
      <c r="I136" s="67"/>
      <c r="J136" s="67"/>
      <c r="K136" s="67"/>
      <c r="L136" s="19"/>
      <c r="M136" s="19"/>
      <c r="N136" s="19"/>
    </row>
    <row r="137" spans="1:14" s="1" customFormat="1" ht="14">
      <c r="A137" s="18"/>
      <c r="B137" s="21"/>
      <c r="C137" s="19"/>
      <c r="D137" s="19"/>
      <c r="E137" s="19"/>
      <c r="F137" s="39"/>
      <c r="G137" s="41"/>
      <c r="H137" s="67"/>
      <c r="I137" s="67"/>
      <c r="J137" s="67"/>
      <c r="K137" s="67"/>
      <c r="L137" s="19"/>
      <c r="M137" s="19"/>
      <c r="N137" s="19"/>
    </row>
    <row r="138" spans="1:14" s="1" customFormat="1" ht="14">
      <c r="A138" s="18"/>
      <c r="B138" s="21"/>
      <c r="C138" s="19"/>
      <c r="D138" s="19"/>
      <c r="E138" s="19"/>
      <c r="F138" s="39"/>
      <c r="G138" s="41"/>
      <c r="H138" s="67"/>
      <c r="I138" s="67"/>
      <c r="J138" s="67"/>
      <c r="K138" s="67"/>
      <c r="L138" s="19"/>
      <c r="M138" s="19"/>
      <c r="N138" s="19"/>
    </row>
    <row r="139" spans="1:14" s="1" customFormat="1" ht="14">
      <c r="A139" s="18"/>
      <c r="B139" s="21"/>
      <c r="C139" s="19"/>
      <c r="D139" s="19"/>
      <c r="E139" s="19"/>
      <c r="F139" s="39"/>
      <c r="G139" s="41"/>
      <c r="H139" s="67"/>
      <c r="I139" s="67"/>
      <c r="J139" s="67"/>
      <c r="K139" s="67"/>
      <c r="L139" s="19"/>
      <c r="M139" s="19"/>
      <c r="N139" s="19"/>
    </row>
    <row r="140" spans="1:14" s="1" customFormat="1" ht="14">
      <c r="A140" s="18"/>
      <c r="B140" s="21"/>
      <c r="C140" s="19"/>
      <c r="D140" s="19"/>
      <c r="E140" s="19"/>
      <c r="F140" s="39"/>
      <c r="G140" s="41"/>
      <c r="H140" s="67"/>
      <c r="I140" s="67"/>
      <c r="J140" s="67"/>
      <c r="K140" s="67"/>
      <c r="L140" s="19"/>
      <c r="M140" s="19"/>
      <c r="N140" s="19"/>
    </row>
    <row r="141" spans="1:14" s="1" customFormat="1" ht="14">
      <c r="A141" s="18"/>
      <c r="B141" s="21"/>
      <c r="C141" s="19"/>
      <c r="D141" s="19"/>
      <c r="E141" s="19"/>
      <c r="F141" s="39"/>
      <c r="G141" s="41"/>
      <c r="H141" s="67"/>
      <c r="I141" s="67"/>
      <c r="J141" s="67"/>
      <c r="K141" s="67"/>
      <c r="L141" s="19"/>
      <c r="M141" s="19"/>
      <c r="N141" s="19"/>
    </row>
    <row r="142" spans="1:14" s="1" customFormat="1" ht="14">
      <c r="A142" s="18"/>
      <c r="B142" s="21"/>
      <c r="C142" s="19"/>
      <c r="D142" s="19"/>
      <c r="E142" s="19"/>
      <c r="F142" s="39"/>
      <c r="G142" s="41"/>
      <c r="H142" s="67"/>
      <c r="I142" s="67"/>
      <c r="J142" s="67"/>
      <c r="K142" s="67"/>
      <c r="L142" s="19"/>
      <c r="M142" s="19"/>
      <c r="N142" s="19"/>
    </row>
    <row r="143" spans="1:14" s="1" customFormat="1" ht="14">
      <c r="A143" s="18"/>
      <c r="B143" s="21"/>
      <c r="C143" s="19"/>
      <c r="D143" s="19"/>
      <c r="E143" s="19"/>
      <c r="F143" s="39"/>
      <c r="G143" s="41"/>
      <c r="H143" s="67"/>
      <c r="I143" s="67"/>
      <c r="J143" s="67"/>
      <c r="K143" s="67"/>
      <c r="L143" s="19"/>
      <c r="M143" s="19"/>
      <c r="N143" s="19"/>
    </row>
    <row r="144" spans="1:14" s="1" customFormat="1" ht="14">
      <c r="A144" s="18"/>
      <c r="B144" s="21"/>
      <c r="C144" s="19"/>
      <c r="D144" s="19"/>
      <c r="E144" s="19"/>
      <c r="F144" s="39"/>
      <c r="G144" s="41"/>
      <c r="H144" s="67"/>
      <c r="I144" s="67"/>
      <c r="J144" s="67"/>
      <c r="K144" s="67"/>
      <c r="L144" s="19"/>
      <c r="M144" s="19"/>
      <c r="N144" s="19"/>
    </row>
    <row r="145" spans="1:14" s="1" customFormat="1" ht="14">
      <c r="A145" s="18"/>
      <c r="B145" s="21"/>
      <c r="C145" s="19"/>
      <c r="D145" s="19"/>
      <c r="E145" s="19"/>
      <c r="F145" s="39"/>
      <c r="G145" s="41"/>
      <c r="H145" s="67"/>
      <c r="I145" s="67"/>
      <c r="J145" s="67"/>
      <c r="K145" s="67"/>
      <c r="L145" s="19"/>
      <c r="M145" s="19"/>
      <c r="N145" s="19"/>
    </row>
    <row r="146" spans="1:14" s="1" customFormat="1" ht="14">
      <c r="A146" s="18"/>
      <c r="B146" s="21"/>
      <c r="C146" s="19"/>
      <c r="D146" s="19"/>
      <c r="E146" s="19"/>
      <c r="F146" s="39"/>
      <c r="G146" s="41"/>
      <c r="H146" s="67"/>
      <c r="I146" s="67"/>
      <c r="J146" s="67"/>
      <c r="K146" s="67"/>
      <c r="L146" s="19"/>
      <c r="M146" s="19"/>
      <c r="N146" s="19"/>
    </row>
    <row r="147" spans="1:14" s="1" customFormat="1" ht="14">
      <c r="A147" s="18"/>
      <c r="B147" s="21"/>
      <c r="C147" s="19"/>
      <c r="D147" s="19"/>
      <c r="E147" s="19"/>
      <c r="F147" s="39"/>
      <c r="G147" s="41"/>
      <c r="H147" s="67"/>
      <c r="I147" s="67"/>
      <c r="J147" s="67"/>
      <c r="K147" s="67"/>
      <c r="L147" s="19"/>
      <c r="M147" s="19"/>
      <c r="N147" s="19"/>
    </row>
    <row r="148" spans="1:14" s="1" customFormat="1" ht="14">
      <c r="A148" s="18"/>
      <c r="B148" s="21"/>
      <c r="C148" s="19"/>
      <c r="D148" s="19"/>
      <c r="E148" s="19"/>
      <c r="F148" s="39"/>
      <c r="G148" s="41"/>
      <c r="H148" s="67"/>
      <c r="I148" s="67"/>
      <c r="J148" s="67"/>
      <c r="K148" s="67"/>
      <c r="L148" s="19"/>
      <c r="M148" s="19"/>
      <c r="N148" s="19"/>
    </row>
    <row r="149" spans="1:14" s="1" customFormat="1" ht="14">
      <c r="A149" s="18"/>
      <c r="B149" s="21"/>
      <c r="C149" s="19"/>
      <c r="D149" s="19"/>
      <c r="E149" s="19"/>
      <c r="F149" s="39"/>
      <c r="G149" s="41"/>
      <c r="H149" s="67"/>
      <c r="I149" s="67"/>
      <c r="J149" s="67"/>
      <c r="K149" s="67"/>
      <c r="L149" s="19"/>
      <c r="M149" s="19"/>
      <c r="N149" s="19"/>
    </row>
    <row r="150" spans="1:14" s="1" customFormat="1" ht="14">
      <c r="A150" s="18"/>
      <c r="B150" s="21"/>
      <c r="C150" s="19"/>
      <c r="D150" s="19"/>
      <c r="E150" s="19"/>
      <c r="F150" s="39"/>
      <c r="G150" s="41"/>
      <c r="H150" s="67"/>
      <c r="I150" s="67"/>
      <c r="J150" s="67"/>
      <c r="K150" s="67"/>
      <c r="L150" s="19"/>
      <c r="M150" s="19"/>
      <c r="N150" s="19"/>
    </row>
    <row r="151" spans="1:14" s="1" customFormat="1" ht="14">
      <c r="A151" s="18"/>
      <c r="B151" s="21"/>
      <c r="C151" s="19"/>
      <c r="D151" s="19"/>
      <c r="E151" s="19"/>
      <c r="F151" s="39"/>
      <c r="G151" s="41"/>
      <c r="H151" s="67"/>
      <c r="I151" s="67"/>
      <c r="J151" s="67"/>
      <c r="K151" s="67"/>
      <c r="L151" s="19"/>
      <c r="M151" s="19"/>
      <c r="N151" s="19"/>
    </row>
    <row r="152" spans="1:14" s="1" customFormat="1" ht="14">
      <c r="A152" s="18"/>
      <c r="B152" s="21"/>
      <c r="C152" s="19"/>
      <c r="D152" s="19"/>
      <c r="E152" s="19"/>
      <c r="F152" s="39"/>
      <c r="G152" s="41"/>
      <c r="H152" s="67"/>
      <c r="I152" s="67"/>
      <c r="J152" s="67"/>
      <c r="K152" s="67"/>
      <c r="L152" s="19"/>
      <c r="M152" s="19"/>
      <c r="N152" s="19"/>
    </row>
    <row r="153" spans="1:14" s="1" customFormat="1" ht="14">
      <c r="A153" s="18"/>
      <c r="B153" s="21"/>
      <c r="C153" s="19"/>
      <c r="D153" s="19"/>
      <c r="E153" s="19"/>
      <c r="F153" s="39"/>
      <c r="G153" s="41"/>
      <c r="H153" s="67"/>
      <c r="I153" s="67"/>
      <c r="J153" s="67"/>
      <c r="K153" s="67"/>
      <c r="L153" s="19"/>
      <c r="M153" s="19"/>
      <c r="N153" s="19"/>
    </row>
    <row r="154" spans="1:14" s="1" customFormat="1" ht="14">
      <c r="A154" s="18"/>
      <c r="B154" s="21"/>
      <c r="C154" s="19"/>
      <c r="D154" s="19"/>
      <c r="E154" s="19"/>
      <c r="F154" s="39"/>
      <c r="G154" s="41"/>
      <c r="H154" s="67"/>
      <c r="I154" s="67"/>
      <c r="J154" s="67"/>
      <c r="K154" s="67"/>
      <c r="L154" s="19"/>
      <c r="M154" s="19"/>
      <c r="N154" s="19"/>
    </row>
    <row r="155" spans="1:14" s="1" customFormat="1" ht="14">
      <c r="A155" s="18"/>
      <c r="B155" s="21"/>
      <c r="C155" s="19"/>
      <c r="D155" s="19"/>
      <c r="E155" s="19"/>
      <c r="F155" s="39"/>
      <c r="G155" s="19"/>
      <c r="H155" s="21"/>
      <c r="I155" s="21"/>
      <c r="J155" s="21"/>
      <c r="K155" s="21"/>
      <c r="L155" s="19"/>
      <c r="M155" s="19"/>
      <c r="N155" s="19"/>
    </row>
    <row r="156" spans="1:14" s="1" customFormat="1" ht="14">
      <c r="A156" s="18"/>
      <c r="B156" s="21"/>
      <c r="C156" s="19"/>
      <c r="D156" s="19"/>
      <c r="E156" s="19"/>
      <c r="F156" s="39"/>
      <c r="G156" s="19"/>
      <c r="H156" s="21"/>
      <c r="I156" s="21"/>
      <c r="J156" s="21"/>
      <c r="K156" s="21"/>
      <c r="L156" s="19"/>
      <c r="M156" s="19"/>
      <c r="N156" s="19"/>
    </row>
    <row r="157" spans="1:14" s="1" customFormat="1" ht="14">
      <c r="A157" s="18"/>
      <c r="B157" s="21"/>
      <c r="C157" s="19"/>
      <c r="D157" s="19"/>
      <c r="E157" s="19"/>
      <c r="F157" s="39"/>
      <c r="G157" s="19"/>
      <c r="H157" s="21"/>
      <c r="I157" s="21"/>
      <c r="J157" s="21"/>
      <c r="K157" s="21"/>
      <c r="L157" s="19"/>
      <c r="M157" s="19"/>
      <c r="N157" s="19"/>
    </row>
    <row r="158" spans="1:14" s="1" customFormat="1" ht="14">
      <c r="A158" s="18"/>
      <c r="B158" s="21"/>
      <c r="C158" s="19"/>
      <c r="D158" s="19"/>
      <c r="E158" s="19"/>
      <c r="F158" s="39"/>
      <c r="G158" s="19"/>
      <c r="H158" s="21"/>
      <c r="I158" s="21"/>
      <c r="J158" s="21"/>
      <c r="K158" s="21"/>
      <c r="L158" s="19"/>
      <c r="M158" s="19"/>
      <c r="N158" s="19"/>
    </row>
    <row r="159" spans="1:14" s="1" customFormat="1" ht="14">
      <c r="A159" s="18"/>
      <c r="B159" s="21"/>
      <c r="C159" s="19"/>
      <c r="D159" s="19"/>
      <c r="E159" s="19"/>
      <c r="F159" s="39"/>
      <c r="G159" s="19"/>
      <c r="H159" s="21"/>
      <c r="I159" s="21"/>
      <c r="J159" s="21"/>
      <c r="K159" s="21"/>
      <c r="L159" s="19"/>
      <c r="M159" s="19"/>
      <c r="N159" s="19"/>
    </row>
    <row r="160" spans="1:14" s="1" customFormat="1" ht="14">
      <c r="A160" s="18"/>
      <c r="B160" s="21"/>
      <c r="C160" s="19"/>
      <c r="D160" s="19"/>
      <c r="E160" s="19"/>
      <c r="F160" s="39"/>
      <c r="G160" s="19"/>
      <c r="H160" s="21"/>
      <c r="I160" s="21"/>
      <c r="J160" s="21"/>
      <c r="K160" s="21"/>
      <c r="L160" s="19"/>
      <c r="M160" s="19"/>
      <c r="N160" s="19"/>
    </row>
    <row r="161" spans="1:14" s="1" customFormat="1" ht="14">
      <c r="A161" s="18"/>
      <c r="B161" s="21"/>
      <c r="C161" s="19"/>
      <c r="D161" s="19"/>
      <c r="E161" s="19"/>
      <c r="F161" s="39"/>
      <c r="G161" s="19"/>
      <c r="H161" s="21"/>
      <c r="I161" s="21"/>
      <c r="J161" s="21"/>
      <c r="K161" s="21"/>
      <c r="L161" s="19"/>
      <c r="M161" s="19"/>
      <c r="N161" s="19"/>
    </row>
    <row r="162" spans="1:14" s="1" customFormat="1" ht="14">
      <c r="A162" s="18"/>
      <c r="B162" s="21"/>
      <c r="C162" s="19"/>
      <c r="D162" s="19"/>
      <c r="E162" s="19"/>
      <c r="F162" s="19"/>
      <c r="G162" s="19"/>
      <c r="H162" s="21"/>
      <c r="I162" s="21"/>
      <c r="J162" s="21"/>
      <c r="K162" s="21"/>
      <c r="L162" s="19"/>
      <c r="M162" s="19"/>
      <c r="N162" s="19"/>
    </row>
    <row r="163" spans="1:14" s="1" customFormat="1" ht="14">
      <c r="A163" s="18"/>
      <c r="B163" s="21"/>
      <c r="C163" s="19"/>
      <c r="D163" s="19"/>
      <c r="E163" s="19"/>
      <c r="F163" s="19"/>
      <c r="G163" s="19"/>
      <c r="H163" s="21"/>
      <c r="I163" s="21"/>
      <c r="J163" s="21"/>
      <c r="K163" s="21"/>
      <c r="L163" s="19"/>
      <c r="M163" s="19"/>
      <c r="N163" s="19"/>
    </row>
    <row r="164" spans="1:14" s="1" customFormat="1" ht="14">
      <c r="A164" s="18"/>
      <c r="B164" s="21"/>
      <c r="C164" s="19"/>
      <c r="D164" s="19"/>
      <c r="E164" s="19"/>
      <c r="F164" s="19"/>
      <c r="G164" s="19"/>
      <c r="H164" s="21"/>
      <c r="I164" s="21"/>
      <c r="J164" s="21"/>
      <c r="K164" s="21"/>
      <c r="L164" s="19"/>
      <c r="M164" s="19"/>
      <c r="N164" s="19"/>
    </row>
    <row r="165" spans="1:14" s="1" customFormat="1" ht="14">
      <c r="A165" s="18"/>
      <c r="B165" s="21"/>
      <c r="C165" s="19"/>
      <c r="D165" s="19"/>
      <c r="E165" s="19"/>
      <c r="F165" s="19"/>
      <c r="G165" s="19"/>
      <c r="H165" s="21"/>
      <c r="I165" s="21"/>
      <c r="J165" s="21"/>
      <c r="K165" s="21"/>
      <c r="L165" s="19"/>
      <c r="M165" s="19"/>
      <c r="N165" s="19"/>
    </row>
    <row r="166" spans="1:14" s="1" customFormat="1" ht="14">
      <c r="A166" s="18"/>
      <c r="B166" s="21"/>
      <c r="C166" s="19"/>
      <c r="D166" s="19"/>
      <c r="E166" s="19"/>
      <c r="F166" s="19"/>
      <c r="G166" s="19"/>
      <c r="H166" s="21"/>
      <c r="I166" s="21"/>
      <c r="J166" s="21"/>
      <c r="K166" s="21"/>
      <c r="L166" s="19"/>
      <c r="M166" s="19"/>
      <c r="N166" s="19"/>
    </row>
    <row r="167" spans="1:14" s="1" customFormat="1" ht="14">
      <c r="A167" s="18"/>
      <c r="B167" s="21"/>
      <c r="C167" s="19"/>
      <c r="D167" s="19"/>
      <c r="E167" s="19"/>
      <c r="F167" s="19"/>
      <c r="G167" s="19"/>
      <c r="H167" s="21"/>
      <c r="I167" s="21"/>
      <c r="J167" s="21"/>
      <c r="K167" s="21"/>
      <c r="L167" s="19"/>
      <c r="M167" s="19"/>
      <c r="N167" s="19"/>
    </row>
    <row r="168" spans="1:14" s="1" customFormat="1" ht="14">
      <c r="A168" s="18"/>
      <c r="B168" s="21"/>
      <c r="C168" s="19"/>
      <c r="D168" s="19"/>
      <c r="E168" s="19"/>
      <c r="F168" s="19"/>
      <c r="G168" s="19"/>
      <c r="H168" s="21"/>
      <c r="I168" s="21"/>
      <c r="J168" s="21"/>
      <c r="K168" s="21"/>
      <c r="L168" s="19"/>
      <c r="M168" s="19"/>
      <c r="N168" s="19"/>
    </row>
    <row r="169" spans="1:14" s="1" customFormat="1" ht="14">
      <c r="A169" s="18"/>
      <c r="B169" s="21"/>
      <c r="C169" s="19"/>
      <c r="D169" s="19"/>
      <c r="E169" s="19"/>
      <c r="F169" s="19"/>
      <c r="G169" s="19"/>
      <c r="H169" s="21"/>
      <c r="I169" s="21"/>
      <c r="J169" s="21"/>
      <c r="K169" s="21"/>
      <c r="L169" s="19"/>
      <c r="M169" s="19"/>
      <c r="N169" s="19"/>
    </row>
    <row r="170" spans="1:14" s="1" customFormat="1" ht="14">
      <c r="A170" s="18"/>
      <c r="B170" s="21"/>
      <c r="C170" s="19"/>
      <c r="D170" s="19"/>
      <c r="E170" s="19"/>
      <c r="F170" s="19"/>
      <c r="G170" s="19"/>
      <c r="H170" s="21"/>
      <c r="I170" s="21"/>
      <c r="J170" s="21"/>
      <c r="K170" s="21"/>
      <c r="L170" s="19"/>
      <c r="M170" s="19"/>
      <c r="N170" s="19"/>
    </row>
    <row r="171" spans="1:14" s="1" customFormat="1" ht="14">
      <c r="A171" s="18"/>
      <c r="B171" s="21"/>
      <c r="C171" s="19"/>
      <c r="D171" s="19"/>
      <c r="E171" s="19"/>
      <c r="F171" s="19"/>
      <c r="G171" s="19"/>
      <c r="H171" s="21"/>
      <c r="I171" s="21"/>
      <c r="J171" s="21"/>
      <c r="K171" s="21"/>
      <c r="L171" s="19"/>
      <c r="M171" s="19"/>
      <c r="N171" s="19"/>
    </row>
    <row r="172" spans="1:14" s="1" customFormat="1" ht="14">
      <c r="A172" s="18"/>
      <c r="B172" s="21"/>
      <c r="C172" s="19"/>
      <c r="D172" s="19"/>
      <c r="E172" s="19"/>
      <c r="F172" s="19"/>
      <c r="G172" s="19"/>
      <c r="H172" s="21"/>
      <c r="I172" s="21"/>
      <c r="J172" s="21"/>
      <c r="K172" s="21"/>
      <c r="L172" s="19"/>
      <c r="M172" s="19"/>
      <c r="N172" s="19"/>
    </row>
    <row r="173" spans="1:14" s="1" customFormat="1" ht="14">
      <c r="A173" s="18"/>
      <c r="B173" s="21"/>
      <c r="C173" s="19"/>
      <c r="D173" s="19"/>
      <c r="E173" s="19"/>
      <c r="F173" s="19"/>
      <c r="G173" s="19"/>
      <c r="H173" s="21"/>
      <c r="I173" s="21"/>
      <c r="J173" s="21"/>
      <c r="K173" s="21"/>
      <c r="L173" s="19"/>
      <c r="M173" s="19"/>
      <c r="N173" s="19"/>
    </row>
    <row r="174" spans="1:14" s="1" customFormat="1" ht="14">
      <c r="A174" s="18"/>
      <c r="B174" s="21"/>
      <c r="C174" s="19"/>
      <c r="D174" s="19"/>
      <c r="E174" s="19"/>
      <c r="F174" s="19"/>
      <c r="G174" s="19"/>
      <c r="H174" s="21"/>
      <c r="I174" s="21"/>
      <c r="J174" s="21"/>
      <c r="K174" s="21"/>
      <c r="L174" s="19"/>
      <c r="M174" s="19"/>
      <c r="N174" s="19"/>
    </row>
    <row r="175" spans="1:14" s="1" customFormat="1" ht="14">
      <c r="A175" s="18"/>
      <c r="B175" s="21"/>
      <c r="C175" s="19"/>
      <c r="D175" s="19"/>
      <c r="E175" s="19"/>
      <c r="F175" s="19"/>
      <c r="G175" s="19"/>
      <c r="H175" s="21"/>
      <c r="I175" s="21"/>
      <c r="J175" s="21"/>
      <c r="K175" s="21"/>
      <c r="L175" s="19"/>
      <c r="M175" s="19"/>
      <c r="N175" s="19"/>
    </row>
    <row r="176" spans="1:14" s="1" customFormat="1" ht="14">
      <c r="A176" s="18"/>
      <c r="B176" s="21"/>
      <c r="C176" s="19"/>
      <c r="D176" s="19"/>
      <c r="E176" s="19"/>
      <c r="F176" s="19"/>
      <c r="G176" s="19"/>
      <c r="H176" s="21"/>
      <c r="I176" s="21"/>
      <c r="J176" s="21"/>
      <c r="K176" s="21"/>
      <c r="L176" s="19"/>
      <c r="M176" s="19"/>
      <c r="N176" s="19"/>
    </row>
    <row r="177" spans="1:14" s="1" customFormat="1" ht="14">
      <c r="A177" s="18"/>
      <c r="B177" s="21"/>
      <c r="C177" s="19"/>
      <c r="D177" s="19"/>
      <c r="E177" s="19"/>
      <c r="F177" s="19"/>
      <c r="G177" s="19"/>
      <c r="H177" s="21"/>
      <c r="I177" s="21"/>
      <c r="J177" s="21"/>
      <c r="K177" s="21"/>
      <c r="L177" s="19"/>
      <c r="M177" s="19"/>
      <c r="N177" s="19"/>
    </row>
    <row r="178" spans="1:14" s="1" customFormat="1" ht="14">
      <c r="A178" s="18"/>
      <c r="B178" s="21"/>
      <c r="C178" s="19"/>
      <c r="D178" s="19"/>
      <c r="E178" s="19"/>
      <c r="F178" s="19"/>
      <c r="G178" s="19"/>
      <c r="H178" s="21"/>
      <c r="I178" s="21"/>
      <c r="J178" s="21"/>
      <c r="K178" s="21"/>
      <c r="L178" s="19"/>
      <c r="M178" s="19"/>
      <c r="N178" s="19"/>
    </row>
    <row r="179" spans="1:14" s="1" customFormat="1" ht="14">
      <c r="A179" s="18"/>
      <c r="B179" s="21"/>
      <c r="C179" s="19"/>
      <c r="D179" s="19"/>
      <c r="E179" s="19"/>
      <c r="F179" s="19"/>
      <c r="G179" s="19"/>
      <c r="H179" s="21"/>
      <c r="I179" s="21"/>
      <c r="J179" s="21"/>
      <c r="K179" s="21"/>
      <c r="L179" s="19"/>
      <c r="M179" s="19"/>
      <c r="N179" s="19"/>
    </row>
    <row r="180" spans="1:14" s="1" customFormat="1" ht="14">
      <c r="A180" s="18"/>
      <c r="B180" s="21"/>
      <c r="C180" s="19"/>
      <c r="D180" s="19"/>
      <c r="E180" s="19"/>
      <c r="F180" s="19"/>
      <c r="G180" s="19"/>
      <c r="H180" s="21"/>
      <c r="I180" s="21"/>
      <c r="J180" s="21"/>
      <c r="K180" s="21"/>
      <c r="L180" s="19"/>
      <c r="M180" s="19"/>
      <c r="N180" s="19"/>
    </row>
    <row r="181" spans="1:14" s="1" customFormat="1" ht="14">
      <c r="A181" s="18"/>
      <c r="B181" s="21"/>
      <c r="C181" s="19"/>
      <c r="D181" s="19"/>
      <c r="E181" s="19"/>
      <c r="F181" s="19"/>
      <c r="G181" s="19"/>
      <c r="H181" s="21"/>
      <c r="I181" s="21"/>
      <c r="J181" s="21"/>
      <c r="K181" s="21"/>
      <c r="L181" s="19"/>
      <c r="M181" s="19"/>
      <c r="N181" s="19"/>
    </row>
    <row r="182" spans="1:14" s="1" customFormat="1" ht="14">
      <c r="A182" s="18"/>
      <c r="B182" s="21"/>
      <c r="C182" s="19"/>
      <c r="D182" s="19"/>
      <c r="E182" s="19"/>
      <c r="F182" s="19"/>
      <c r="G182" s="19"/>
      <c r="H182" s="21"/>
      <c r="I182" s="21"/>
      <c r="J182" s="21"/>
      <c r="K182" s="21"/>
      <c r="L182" s="19"/>
      <c r="M182" s="19"/>
      <c r="N182" s="19"/>
    </row>
    <row r="183" spans="1:14" s="1" customFormat="1" ht="14">
      <c r="A183" s="18"/>
      <c r="B183" s="21"/>
      <c r="C183" s="19"/>
      <c r="D183" s="19"/>
      <c r="E183" s="19"/>
      <c r="F183" s="19"/>
      <c r="G183" s="19"/>
      <c r="H183" s="21"/>
      <c r="I183" s="21"/>
      <c r="J183" s="21"/>
      <c r="K183" s="21"/>
      <c r="L183" s="19"/>
      <c r="M183" s="19"/>
      <c r="N183" s="19"/>
    </row>
    <row r="184" spans="1:14" s="1" customFormat="1" ht="14">
      <c r="A184" s="18"/>
      <c r="B184" s="21"/>
      <c r="C184" s="19"/>
      <c r="D184" s="19"/>
      <c r="E184" s="19"/>
      <c r="F184" s="19"/>
      <c r="G184" s="19"/>
      <c r="H184" s="21"/>
      <c r="I184" s="21"/>
      <c r="J184" s="21"/>
      <c r="K184" s="21"/>
      <c r="L184" s="19"/>
      <c r="M184" s="19"/>
      <c r="N184" s="19"/>
    </row>
    <row r="185" spans="1:14" s="1" customFormat="1" ht="14">
      <c r="A185" s="18"/>
      <c r="B185" s="21"/>
      <c r="C185" s="19"/>
      <c r="D185" s="19"/>
      <c r="E185" s="19"/>
      <c r="F185" s="19"/>
      <c r="G185" s="19"/>
      <c r="H185" s="21"/>
      <c r="I185" s="21"/>
      <c r="J185" s="21"/>
      <c r="K185" s="21"/>
      <c r="L185" s="19"/>
      <c r="M185" s="19"/>
      <c r="N185" s="19"/>
    </row>
    <row r="186" spans="1:14" s="1" customFormat="1" ht="14">
      <c r="A186" s="18"/>
      <c r="B186" s="21"/>
      <c r="C186" s="19"/>
      <c r="D186" s="19"/>
      <c r="E186" s="19"/>
      <c r="F186" s="19"/>
      <c r="G186" s="19"/>
      <c r="H186" s="21"/>
      <c r="I186" s="21"/>
      <c r="J186" s="21"/>
      <c r="K186" s="21"/>
      <c r="L186" s="19"/>
      <c r="M186" s="19"/>
      <c r="N186" s="19"/>
    </row>
    <row r="187" spans="1:14" s="1" customFormat="1" ht="14">
      <c r="A187" s="18"/>
      <c r="B187" s="21"/>
      <c r="C187" s="19"/>
      <c r="D187" s="19"/>
      <c r="E187" s="19"/>
      <c r="F187" s="19"/>
      <c r="G187" s="19"/>
      <c r="H187" s="21"/>
      <c r="I187" s="21"/>
      <c r="J187" s="21"/>
      <c r="K187" s="21"/>
      <c r="L187" s="19"/>
      <c r="M187" s="19"/>
      <c r="N187" s="19"/>
    </row>
    <row r="188" spans="1:14" s="1" customFormat="1" ht="14">
      <c r="A188" s="18"/>
      <c r="B188" s="21"/>
      <c r="C188" s="19"/>
      <c r="D188" s="19"/>
      <c r="E188" s="19"/>
      <c r="F188" s="19"/>
      <c r="G188" s="19"/>
      <c r="H188" s="21"/>
      <c r="I188" s="21"/>
      <c r="J188" s="21"/>
      <c r="K188" s="21"/>
      <c r="L188" s="19"/>
      <c r="M188" s="19"/>
      <c r="N188" s="19"/>
    </row>
    <row r="189" spans="1:14" s="1" customFormat="1" ht="14">
      <c r="A189" s="18"/>
      <c r="B189" s="21"/>
      <c r="C189" s="19"/>
      <c r="D189" s="19"/>
      <c r="E189" s="19"/>
      <c r="F189" s="19"/>
      <c r="G189" s="19"/>
      <c r="H189" s="21"/>
      <c r="I189" s="21"/>
      <c r="J189" s="21"/>
      <c r="K189" s="21"/>
      <c r="L189" s="19"/>
      <c r="M189" s="19"/>
      <c r="N189" s="19"/>
    </row>
    <row r="190" spans="1:14" s="1" customFormat="1" ht="14">
      <c r="A190" s="18"/>
      <c r="B190" s="21"/>
      <c r="C190" s="19"/>
      <c r="D190" s="19"/>
      <c r="E190" s="19"/>
      <c r="F190" s="19"/>
      <c r="G190" s="19"/>
      <c r="H190" s="21"/>
      <c r="I190" s="21"/>
      <c r="J190" s="21"/>
      <c r="K190" s="21"/>
      <c r="L190" s="19"/>
      <c r="M190" s="19"/>
      <c r="N190" s="19"/>
    </row>
    <row r="191" spans="1:14" s="1" customFormat="1" ht="14">
      <c r="A191" s="18"/>
      <c r="B191" s="21"/>
      <c r="C191" s="19"/>
      <c r="D191" s="19"/>
      <c r="E191" s="19"/>
      <c r="F191" s="19"/>
      <c r="G191" s="19"/>
      <c r="H191" s="21"/>
      <c r="I191" s="21"/>
      <c r="J191" s="21"/>
      <c r="K191" s="21"/>
      <c r="L191" s="19"/>
      <c r="M191" s="19"/>
      <c r="N191" s="19"/>
    </row>
    <row r="192" spans="1:14" s="1" customFormat="1" ht="14">
      <c r="A192" s="18"/>
      <c r="B192" s="21"/>
      <c r="C192" s="19"/>
      <c r="D192" s="19"/>
      <c r="E192" s="19"/>
      <c r="F192" s="19"/>
      <c r="G192" s="19"/>
      <c r="H192" s="21"/>
      <c r="I192" s="21"/>
      <c r="J192" s="21"/>
      <c r="K192" s="21"/>
      <c r="L192" s="19"/>
      <c r="M192" s="19"/>
      <c r="N192" s="19"/>
    </row>
    <row r="193" spans="1:14" s="1" customFormat="1" ht="14">
      <c r="A193" s="18"/>
      <c r="B193" s="21"/>
      <c r="C193" s="19"/>
      <c r="D193" s="19"/>
      <c r="E193" s="19"/>
      <c r="F193" s="19"/>
      <c r="G193" s="19"/>
      <c r="H193" s="21"/>
      <c r="I193" s="21"/>
      <c r="J193" s="21"/>
      <c r="K193" s="21"/>
      <c r="L193" s="19"/>
      <c r="M193" s="19"/>
      <c r="N193" s="19"/>
    </row>
    <row r="194" spans="1:14" s="1" customFormat="1" ht="14">
      <c r="A194" s="18"/>
      <c r="B194" s="21"/>
      <c r="C194" s="19"/>
      <c r="D194" s="19"/>
      <c r="E194" s="19"/>
      <c r="F194" s="19"/>
      <c r="G194" s="19"/>
      <c r="H194" s="21"/>
      <c r="I194" s="21"/>
      <c r="J194" s="21"/>
      <c r="K194" s="21"/>
      <c r="L194" s="19"/>
      <c r="M194" s="19"/>
      <c r="N194" s="19"/>
    </row>
    <row r="195" spans="1:14" s="1" customFormat="1" ht="14">
      <c r="A195" s="18"/>
      <c r="B195" s="21"/>
      <c r="C195" s="19"/>
      <c r="D195" s="19"/>
      <c r="E195" s="19"/>
      <c r="F195" s="19"/>
      <c r="G195" s="19"/>
      <c r="H195" s="21"/>
      <c r="I195" s="21"/>
      <c r="J195" s="21"/>
      <c r="K195" s="21"/>
      <c r="L195" s="19"/>
      <c r="M195" s="19"/>
      <c r="N195" s="19"/>
    </row>
    <row r="196" spans="1:14" s="1" customFormat="1" ht="14">
      <c r="A196" s="18"/>
      <c r="B196" s="21"/>
      <c r="C196" s="19"/>
      <c r="D196" s="19"/>
      <c r="E196" s="19"/>
      <c r="F196" s="19"/>
      <c r="G196" s="19"/>
      <c r="H196" s="21"/>
      <c r="I196" s="21"/>
      <c r="J196" s="21"/>
      <c r="K196" s="21"/>
      <c r="L196" s="19"/>
      <c r="M196" s="19"/>
      <c r="N196" s="19"/>
    </row>
    <row r="197" spans="1:14" s="1" customFormat="1" ht="14">
      <c r="A197" s="18"/>
      <c r="B197" s="21"/>
      <c r="C197" s="19"/>
      <c r="D197" s="19"/>
      <c r="E197" s="19"/>
      <c r="F197" s="19"/>
      <c r="G197" s="19"/>
      <c r="H197" s="21"/>
      <c r="I197" s="21"/>
      <c r="J197" s="21"/>
      <c r="K197" s="21"/>
      <c r="L197" s="19"/>
      <c r="M197" s="19"/>
      <c r="N197" s="19"/>
    </row>
    <row r="198" spans="1:14" s="1" customFormat="1" ht="14">
      <c r="A198" s="18"/>
      <c r="B198" s="21"/>
      <c r="C198" s="19"/>
      <c r="D198" s="19"/>
      <c r="E198" s="19"/>
      <c r="F198" s="19"/>
      <c r="G198" s="19"/>
      <c r="H198" s="21"/>
      <c r="I198" s="21"/>
      <c r="J198" s="21"/>
      <c r="K198" s="21"/>
      <c r="L198" s="19"/>
      <c r="M198" s="19"/>
      <c r="N198" s="19"/>
    </row>
    <row r="199" spans="1:14" s="1" customFormat="1" ht="14">
      <c r="A199" s="18"/>
      <c r="B199" s="21"/>
      <c r="C199" s="19"/>
      <c r="D199" s="19"/>
      <c r="E199" s="19"/>
      <c r="F199" s="19"/>
      <c r="G199" s="19"/>
      <c r="H199" s="21"/>
      <c r="I199" s="21"/>
      <c r="J199" s="21"/>
      <c r="K199" s="21"/>
      <c r="L199" s="19"/>
      <c r="M199" s="19"/>
      <c r="N199" s="19"/>
    </row>
    <row r="200" spans="1:14" s="1" customFormat="1" ht="14">
      <c r="A200" s="18"/>
      <c r="B200" s="21"/>
      <c r="C200" s="19"/>
      <c r="D200" s="19"/>
      <c r="E200" s="19"/>
      <c r="F200" s="19"/>
      <c r="G200" s="19"/>
      <c r="H200" s="21"/>
      <c r="I200" s="21"/>
      <c r="J200" s="21"/>
      <c r="K200" s="21"/>
      <c r="L200" s="19"/>
      <c r="M200" s="19"/>
      <c r="N200" s="19"/>
    </row>
    <row r="201" spans="1:14" s="1" customFormat="1" ht="14">
      <c r="A201" s="18"/>
      <c r="B201" s="21"/>
      <c r="C201" s="19"/>
      <c r="D201" s="19"/>
      <c r="E201" s="19"/>
      <c r="F201" s="19"/>
      <c r="G201" s="19"/>
      <c r="H201" s="21"/>
      <c r="I201" s="21"/>
      <c r="J201" s="21"/>
      <c r="K201" s="21"/>
      <c r="L201" s="19"/>
      <c r="M201" s="19"/>
      <c r="N201" s="19"/>
    </row>
    <row r="202" spans="1:14" s="1" customFormat="1" ht="14">
      <c r="A202" s="18"/>
      <c r="B202" s="21"/>
      <c r="C202" s="19"/>
      <c r="D202" s="19"/>
      <c r="E202" s="19"/>
      <c r="F202" s="19"/>
      <c r="G202" s="19"/>
      <c r="H202" s="21"/>
      <c r="I202" s="21"/>
      <c r="J202" s="21"/>
      <c r="K202" s="21"/>
      <c r="L202" s="19"/>
      <c r="M202" s="19"/>
      <c r="N202" s="19"/>
    </row>
    <row r="203" spans="1:14" s="1" customFormat="1" ht="14">
      <c r="A203" s="18"/>
      <c r="B203" s="21"/>
      <c r="C203" s="19"/>
      <c r="D203" s="19"/>
      <c r="E203" s="19"/>
      <c r="F203" s="19"/>
      <c r="G203" s="19"/>
      <c r="H203" s="21"/>
      <c r="I203" s="21"/>
      <c r="J203" s="21"/>
      <c r="K203" s="21"/>
      <c r="L203" s="19"/>
      <c r="M203" s="19"/>
      <c r="N203" s="19"/>
    </row>
    <row r="204" spans="1:14" s="1" customFormat="1" ht="14">
      <c r="A204" s="18"/>
      <c r="B204" s="21"/>
      <c r="C204" s="19"/>
      <c r="D204" s="19"/>
      <c r="E204" s="19"/>
      <c r="F204" s="19"/>
      <c r="G204" s="19"/>
      <c r="H204" s="21"/>
      <c r="I204" s="21"/>
      <c r="J204" s="21"/>
      <c r="K204" s="21"/>
      <c r="L204" s="19"/>
      <c r="M204" s="19"/>
      <c r="N204" s="19"/>
    </row>
    <row r="205" spans="1:14" s="1" customFormat="1" ht="14">
      <c r="A205" s="18"/>
      <c r="B205" s="21"/>
      <c r="C205" s="19"/>
      <c r="D205" s="19"/>
      <c r="E205" s="19"/>
      <c r="F205" s="19"/>
      <c r="G205" s="19"/>
      <c r="H205" s="21"/>
      <c r="I205" s="21"/>
      <c r="J205" s="21"/>
      <c r="K205" s="21"/>
      <c r="L205" s="19"/>
      <c r="M205" s="19"/>
      <c r="N205" s="19"/>
    </row>
    <row r="206" spans="1:14" s="1" customFormat="1" ht="14">
      <c r="A206" s="18"/>
      <c r="B206" s="21"/>
      <c r="C206" s="19"/>
      <c r="D206" s="19"/>
      <c r="E206" s="19"/>
      <c r="F206" s="19"/>
      <c r="G206" s="19"/>
      <c r="H206" s="21"/>
      <c r="I206" s="21"/>
      <c r="J206" s="21"/>
      <c r="K206" s="21"/>
      <c r="L206" s="19"/>
      <c r="M206" s="19"/>
      <c r="N206" s="19"/>
    </row>
    <row r="207" spans="1:14" s="1" customFormat="1" ht="14">
      <c r="A207" s="18"/>
      <c r="B207" s="21"/>
      <c r="C207" s="19"/>
      <c r="D207" s="19"/>
      <c r="E207" s="19"/>
      <c r="F207" s="19"/>
      <c r="G207" s="19"/>
      <c r="H207" s="21"/>
      <c r="I207" s="21"/>
      <c r="J207" s="21"/>
      <c r="K207" s="21"/>
      <c r="L207" s="19"/>
      <c r="M207" s="19"/>
      <c r="N207" s="19"/>
    </row>
    <row r="208" spans="1:14" s="1" customFormat="1" ht="14">
      <c r="A208" s="18"/>
      <c r="B208" s="21"/>
      <c r="C208" s="19"/>
      <c r="D208" s="19"/>
      <c r="E208" s="19"/>
      <c r="F208" s="19"/>
      <c r="G208" s="19"/>
      <c r="H208" s="21"/>
      <c r="I208" s="21"/>
      <c r="J208" s="21"/>
      <c r="K208" s="21"/>
      <c r="L208" s="19"/>
      <c r="M208" s="19"/>
      <c r="N208" s="19"/>
    </row>
    <row r="209" spans="1:14" s="1" customFormat="1" ht="14">
      <c r="A209" s="18"/>
      <c r="B209" s="21"/>
      <c r="C209" s="19"/>
      <c r="D209" s="19"/>
      <c r="E209" s="19"/>
      <c r="F209" s="19"/>
      <c r="G209" s="19"/>
      <c r="H209" s="21"/>
      <c r="I209" s="21"/>
      <c r="J209" s="21"/>
      <c r="K209" s="21"/>
      <c r="L209" s="19"/>
      <c r="M209" s="19"/>
      <c r="N209" s="19"/>
    </row>
    <row r="210" spans="1:14" s="1" customFormat="1" ht="14">
      <c r="A210" s="18"/>
      <c r="B210" s="21"/>
      <c r="C210" s="19"/>
      <c r="D210" s="19"/>
      <c r="E210" s="19"/>
      <c r="F210" s="19"/>
      <c r="G210" s="19"/>
      <c r="H210" s="21"/>
      <c r="I210" s="21"/>
      <c r="J210" s="21"/>
      <c r="K210" s="21"/>
      <c r="L210" s="19"/>
      <c r="M210" s="19"/>
      <c r="N210" s="19"/>
    </row>
    <row r="211" spans="1:14" s="1" customFormat="1" ht="14">
      <c r="A211" s="18"/>
      <c r="B211" s="21"/>
      <c r="C211" s="19"/>
      <c r="D211" s="19"/>
      <c r="E211" s="19"/>
      <c r="F211" s="19"/>
      <c r="G211" s="19"/>
      <c r="H211" s="21"/>
      <c r="I211" s="21"/>
      <c r="J211" s="21"/>
      <c r="K211" s="21"/>
      <c r="L211" s="19"/>
      <c r="M211" s="19"/>
      <c r="N211" s="19"/>
    </row>
    <row r="212" spans="1:14" s="1" customFormat="1" ht="14">
      <c r="A212" s="18"/>
      <c r="B212" s="21"/>
      <c r="C212" s="19"/>
      <c r="D212" s="19"/>
      <c r="E212" s="19"/>
      <c r="F212" s="19"/>
      <c r="G212" s="19"/>
      <c r="H212" s="21"/>
      <c r="I212" s="21"/>
      <c r="J212" s="21"/>
      <c r="K212" s="21"/>
      <c r="L212" s="19"/>
      <c r="M212" s="19"/>
      <c r="N212" s="19"/>
    </row>
    <row r="213" spans="1:14" s="1" customFormat="1" ht="14">
      <c r="A213" s="18"/>
      <c r="B213" s="21"/>
      <c r="C213" s="19"/>
      <c r="D213" s="19"/>
      <c r="E213" s="19"/>
      <c r="F213" s="19"/>
      <c r="G213" s="19"/>
      <c r="H213" s="21"/>
      <c r="I213" s="21"/>
      <c r="J213" s="21"/>
      <c r="K213" s="21"/>
      <c r="L213" s="19"/>
      <c r="M213" s="19"/>
      <c r="N213" s="19"/>
    </row>
    <row r="214" spans="1:14" s="1" customFormat="1" ht="14">
      <c r="A214" s="18"/>
      <c r="B214" s="21"/>
      <c r="C214" s="19"/>
      <c r="D214" s="19"/>
      <c r="E214" s="19"/>
      <c r="F214" s="19"/>
      <c r="G214" s="19"/>
      <c r="H214" s="21"/>
      <c r="I214" s="21"/>
      <c r="J214" s="21"/>
      <c r="K214" s="21"/>
      <c r="L214" s="19"/>
      <c r="M214" s="19"/>
      <c r="N214" s="19"/>
    </row>
    <row r="215" spans="1:14" s="1" customFormat="1" ht="14">
      <c r="A215" s="18"/>
      <c r="B215" s="21"/>
      <c r="C215" s="19"/>
      <c r="D215" s="19"/>
      <c r="E215" s="19"/>
      <c r="F215" s="19"/>
      <c r="G215" s="19"/>
      <c r="H215" s="21"/>
      <c r="I215" s="21"/>
      <c r="J215" s="21"/>
      <c r="K215" s="21"/>
      <c r="L215" s="19"/>
      <c r="M215" s="19"/>
      <c r="N215" s="19"/>
    </row>
    <row r="216" spans="1:14" s="1" customFormat="1" ht="14">
      <c r="A216" s="18"/>
      <c r="B216" s="21"/>
      <c r="C216" s="19"/>
      <c r="D216" s="19"/>
      <c r="E216" s="19"/>
      <c r="F216" s="19"/>
      <c r="G216" s="19"/>
      <c r="H216" s="21"/>
      <c r="I216" s="21"/>
      <c r="J216" s="21"/>
      <c r="K216" s="21"/>
      <c r="L216" s="19"/>
      <c r="M216" s="19"/>
      <c r="N216" s="19"/>
    </row>
    <row r="217" spans="1:14" s="1" customFormat="1" ht="14">
      <c r="A217" s="18"/>
      <c r="B217" s="21"/>
      <c r="C217" s="19"/>
      <c r="D217" s="19"/>
      <c r="E217" s="19"/>
      <c r="F217" s="19"/>
      <c r="G217" s="19"/>
      <c r="H217" s="21"/>
      <c r="I217" s="21"/>
      <c r="J217" s="21"/>
      <c r="K217" s="21"/>
      <c r="L217" s="19"/>
      <c r="M217" s="19"/>
      <c r="N217" s="19"/>
    </row>
    <row r="218" spans="1:14" s="1" customFormat="1" ht="14">
      <c r="A218" s="18"/>
      <c r="B218" s="21"/>
      <c r="C218" s="19"/>
      <c r="D218" s="19"/>
      <c r="E218" s="19"/>
      <c r="F218" s="19"/>
      <c r="G218" s="19"/>
      <c r="H218" s="21"/>
      <c r="I218" s="21"/>
      <c r="J218" s="21"/>
      <c r="K218" s="21"/>
      <c r="L218" s="19"/>
      <c r="M218" s="19"/>
      <c r="N218" s="19"/>
    </row>
    <row r="219" spans="1:14" s="1" customFormat="1" ht="14">
      <c r="A219" s="18"/>
      <c r="B219" s="21"/>
      <c r="C219" s="19"/>
      <c r="D219" s="19"/>
      <c r="E219" s="19"/>
      <c r="F219" s="19"/>
      <c r="G219" s="19"/>
      <c r="H219" s="21"/>
      <c r="I219" s="21"/>
      <c r="J219" s="21"/>
      <c r="K219" s="21"/>
      <c r="L219" s="19"/>
      <c r="M219" s="19"/>
      <c r="N219" s="19"/>
    </row>
    <row r="220" spans="1:14" s="1" customFormat="1" ht="14">
      <c r="A220" s="18"/>
      <c r="B220" s="21"/>
      <c r="C220" s="19"/>
      <c r="D220" s="19"/>
      <c r="E220" s="19"/>
      <c r="F220" s="19"/>
      <c r="G220" s="19"/>
      <c r="H220" s="21"/>
      <c r="I220" s="21"/>
      <c r="J220" s="21"/>
      <c r="K220" s="21"/>
      <c r="L220" s="19"/>
      <c r="M220" s="19"/>
      <c r="N220" s="19"/>
    </row>
    <row r="221" spans="1:14" s="1" customFormat="1" ht="14">
      <c r="A221" s="18"/>
      <c r="B221" s="21"/>
      <c r="C221" s="19"/>
      <c r="D221" s="19"/>
      <c r="E221" s="19"/>
      <c r="F221" s="19"/>
      <c r="G221" s="19"/>
      <c r="H221" s="21"/>
      <c r="I221" s="21"/>
      <c r="J221" s="21"/>
      <c r="K221" s="21"/>
      <c r="L221" s="19"/>
      <c r="M221" s="19"/>
      <c r="N221" s="19"/>
    </row>
    <row r="222" spans="1:14" s="1" customFormat="1" ht="14">
      <c r="A222" s="18"/>
      <c r="B222" s="21"/>
      <c r="C222" s="19"/>
      <c r="D222" s="19"/>
      <c r="E222" s="19"/>
      <c r="F222" s="19"/>
      <c r="G222" s="19"/>
      <c r="H222" s="21"/>
      <c r="I222" s="21"/>
      <c r="J222" s="21"/>
      <c r="K222" s="21"/>
      <c r="L222" s="19"/>
      <c r="M222" s="19"/>
      <c r="N222" s="19"/>
    </row>
    <row r="223" spans="1:14" s="1" customFormat="1" ht="14">
      <c r="A223" s="18"/>
      <c r="B223" s="21"/>
      <c r="C223" s="19"/>
      <c r="D223" s="19"/>
      <c r="E223" s="19"/>
      <c r="F223" s="19"/>
      <c r="G223" s="19"/>
      <c r="H223" s="21"/>
      <c r="I223" s="21"/>
      <c r="J223" s="21"/>
      <c r="K223" s="21"/>
      <c r="L223" s="19"/>
      <c r="M223" s="19"/>
      <c r="N223" s="19"/>
    </row>
    <row r="224" spans="1:14" s="1" customFormat="1" ht="14">
      <c r="A224" s="18"/>
      <c r="B224" s="21"/>
      <c r="C224" s="19"/>
      <c r="D224" s="19"/>
      <c r="E224" s="19"/>
      <c r="F224" s="19"/>
      <c r="G224" s="19"/>
      <c r="H224" s="21"/>
      <c r="I224" s="21"/>
      <c r="J224" s="21"/>
      <c r="K224" s="21"/>
      <c r="L224" s="19"/>
      <c r="M224" s="19"/>
      <c r="N224" s="19"/>
    </row>
    <row r="225" spans="1:14" s="1" customFormat="1" ht="14">
      <c r="A225" s="18"/>
      <c r="B225" s="21"/>
      <c r="C225" s="19"/>
      <c r="D225" s="19"/>
      <c r="E225" s="19"/>
      <c r="F225" s="19"/>
      <c r="G225" s="19"/>
      <c r="H225" s="21"/>
      <c r="I225" s="21"/>
      <c r="J225" s="21"/>
      <c r="K225" s="21"/>
      <c r="L225" s="19"/>
      <c r="M225" s="19"/>
      <c r="N225" s="19"/>
    </row>
    <row r="226" spans="1:14" s="1" customFormat="1" ht="14">
      <c r="A226" s="18"/>
      <c r="B226" s="21"/>
      <c r="C226" s="19"/>
      <c r="D226" s="19"/>
      <c r="E226" s="19"/>
      <c r="F226" s="19"/>
      <c r="G226" s="19"/>
      <c r="H226" s="21"/>
      <c r="I226" s="21"/>
      <c r="J226" s="21"/>
      <c r="K226" s="21"/>
      <c r="L226" s="19"/>
      <c r="M226" s="19"/>
      <c r="N226" s="19"/>
    </row>
    <row r="227" spans="1:14" s="1" customFormat="1" ht="14">
      <c r="A227" s="18"/>
      <c r="B227" s="21"/>
      <c r="C227" s="19"/>
      <c r="D227" s="19"/>
      <c r="E227" s="19"/>
      <c r="F227" s="19"/>
      <c r="G227" s="19"/>
      <c r="H227" s="21"/>
      <c r="I227" s="21"/>
      <c r="J227" s="21"/>
      <c r="K227" s="21"/>
      <c r="L227" s="19"/>
      <c r="M227" s="19"/>
      <c r="N227" s="19"/>
    </row>
    <row r="228" spans="1:14" s="1" customFormat="1" ht="14">
      <c r="A228" s="18"/>
      <c r="B228" s="21"/>
      <c r="C228" s="19"/>
      <c r="D228" s="19"/>
      <c r="E228" s="19"/>
      <c r="F228" s="19"/>
      <c r="G228" s="19"/>
      <c r="H228" s="21"/>
      <c r="I228" s="21"/>
      <c r="J228" s="21"/>
      <c r="K228" s="21"/>
      <c r="L228" s="19"/>
      <c r="M228" s="19"/>
      <c r="N228" s="19"/>
    </row>
    <row r="229" spans="1:14" s="1" customFormat="1" ht="14">
      <c r="A229" s="18"/>
      <c r="B229" s="21"/>
      <c r="C229" s="19"/>
      <c r="D229" s="19"/>
      <c r="E229" s="19"/>
      <c r="F229" s="19"/>
      <c r="G229" s="19"/>
      <c r="H229" s="21"/>
      <c r="I229" s="21"/>
      <c r="J229" s="21"/>
      <c r="K229" s="21"/>
      <c r="L229" s="19"/>
      <c r="M229" s="19"/>
      <c r="N229" s="19"/>
    </row>
    <row r="230" spans="1:14" s="1" customFormat="1" ht="14">
      <c r="A230" s="18"/>
      <c r="B230" s="21"/>
      <c r="C230" s="19"/>
      <c r="D230" s="19"/>
      <c r="E230" s="19"/>
      <c r="F230" s="19"/>
      <c r="G230" s="19"/>
      <c r="H230" s="21"/>
      <c r="I230" s="21"/>
      <c r="J230" s="21"/>
      <c r="K230" s="21"/>
      <c r="L230" s="19"/>
      <c r="M230" s="19"/>
      <c r="N230" s="19"/>
    </row>
    <row r="231" spans="1:14" s="1" customFormat="1" ht="14">
      <c r="A231" s="18"/>
      <c r="B231" s="21"/>
      <c r="C231" s="19"/>
      <c r="D231" s="19"/>
      <c r="E231" s="19"/>
      <c r="F231" s="19"/>
      <c r="G231" s="19"/>
      <c r="H231" s="21"/>
      <c r="I231" s="21"/>
      <c r="J231" s="21"/>
      <c r="K231" s="21"/>
      <c r="L231" s="19"/>
      <c r="M231" s="19"/>
      <c r="N231" s="19"/>
    </row>
    <row r="232" spans="1:14" s="1" customFormat="1" ht="14">
      <c r="A232" s="18"/>
      <c r="B232" s="21"/>
      <c r="C232" s="19"/>
      <c r="D232" s="19"/>
      <c r="E232" s="19"/>
      <c r="F232" s="19"/>
      <c r="G232" s="19"/>
      <c r="H232" s="21"/>
      <c r="I232" s="21"/>
      <c r="J232" s="21"/>
      <c r="K232" s="21"/>
      <c r="L232" s="19"/>
      <c r="M232" s="19"/>
      <c r="N232" s="19"/>
    </row>
    <row r="233" spans="1:14" s="1" customFormat="1" ht="14">
      <c r="A233" s="18"/>
      <c r="B233" s="21"/>
      <c r="C233" s="19"/>
      <c r="D233" s="19"/>
      <c r="E233" s="19"/>
      <c r="F233" s="19"/>
      <c r="G233" s="19"/>
      <c r="H233" s="21"/>
      <c r="I233" s="21"/>
      <c r="J233" s="21"/>
      <c r="K233" s="21"/>
      <c r="L233" s="19"/>
      <c r="M233" s="19"/>
      <c r="N233" s="19"/>
    </row>
    <row r="234" spans="1:14" s="1" customFormat="1" ht="14">
      <c r="A234" s="18"/>
      <c r="B234" s="21"/>
      <c r="C234" s="19"/>
      <c r="D234" s="19"/>
      <c r="E234" s="19"/>
      <c r="F234" s="19"/>
      <c r="G234" s="19"/>
      <c r="H234" s="21"/>
      <c r="I234" s="21"/>
      <c r="J234" s="21"/>
      <c r="K234" s="21"/>
      <c r="L234" s="19"/>
      <c r="M234" s="19"/>
      <c r="N234" s="19"/>
    </row>
    <row r="235" spans="1:14" s="1" customFormat="1" ht="14">
      <c r="A235" s="18"/>
      <c r="B235" s="21"/>
      <c r="C235" s="19"/>
      <c r="D235" s="19"/>
      <c r="E235" s="19"/>
      <c r="F235" s="19"/>
      <c r="G235" s="19"/>
      <c r="H235" s="21"/>
      <c r="I235" s="21"/>
      <c r="J235" s="21"/>
      <c r="K235" s="21"/>
      <c r="L235" s="19"/>
      <c r="M235" s="19"/>
      <c r="N235" s="19"/>
    </row>
    <row r="236" spans="1:14" s="1" customFormat="1" ht="14">
      <c r="A236" s="18"/>
      <c r="B236" s="21"/>
      <c r="C236" s="19"/>
      <c r="D236" s="19"/>
      <c r="E236" s="19"/>
      <c r="F236" s="19"/>
      <c r="G236" s="19"/>
      <c r="H236" s="21"/>
      <c r="I236" s="21"/>
      <c r="J236" s="21"/>
      <c r="K236" s="21"/>
      <c r="L236" s="19"/>
      <c r="M236" s="19"/>
      <c r="N236" s="19"/>
    </row>
    <row r="237" spans="1:14" s="1" customFormat="1" ht="14">
      <c r="A237" s="18"/>
      <c r="B237" s="21"/>
      <c r="C237" s="19"/>
      <c r="D237" s="19"/>
      <c r="E237" s="19"/>
      <c r="F237" s="19"/>
      <c r="G237" s="19"/>
      <c r="H237" s="21"/>
      <c r="I237" s="21"/>
      <c r="J237" s="21"/>
      <c r="K237" s="21"/>
      <c r="L237" s="19"/>
      <c r="M237" s="19"/>
      <c r="N237" s="19"/>
    </row>
    <row r="238" spans="1:14" s="1" customFormat="1" ht="14">
      <c r="A238" s="18"/>
      <c r="B238" s="21"/>
      <c r="C238" s="19"/>
      <c r="D238" s="19"/>
      <c r="E238" s="19"/>
      <c r="F238" s="19"/>
      <c r="G238" s="19"/>
      <c r="H238" s="21"/>
      <c r="I238" s="21"/>
      <c r="J238" s="21"/>
      <c r="K238" s="21"/>
      <c r="L238" s="19"/>
      <c r="M238" s="19"/>
      <c r="N238" s="19"/>
    </row>
    <row r="239" spans="1:14" s="1" customFormat="1" ht="14">
      <c r="A239" s="18"/>
      <c r="B239" s="21"/>
      <c r="C239" s="19"/>
      <c r="D239" s="19"/>
      <c r="E239" s="19"/>
      <c r="F239" s="19"/>
      <c r="G239" s="19"/>
      <c r="H239" s="21"/>
      <c r="I239" s="21"/>
      <c r="J239" s="21"/>
      <c r="K239" s="21"/>
      <c r="L239" s="19"/>
      <c r="M239" s="19"/>
      <c r="N239" s="19"/>
    </row>
    <row r="240" spans="1:14" s="1" customFormat="1" ht="14">
      <c r="A240" s="14"/>
      <c r="B240" s="22"/>
      <c r="H240" s="22"/>
      <c r="I240" s="22"/>
      <c r="J240" s="22"/>
      <c r="K240" s="22"/>
    </row>
    <row r="241" spans="1:11" s="1" customFormat="1" ht="14">
      <c r="A241" s="14"/>
      <c r="B241" s="22"/>
      <c r="H241" s="22"/>
      <c r="I241" s="22"/>
      <c r="J241" s="22"/>
      <c r="K241" s="22"/>
    </row>
    <row r="242" spans="1:11" s="1" customFormat="1" ht="14">
      <c r="A242" s="14"/>
      <c r="B242" s="22"/>
      <c r="H242" s="22"/>
      <c r="I242" s="22"/>
      <c r="J242" s="22"/>
      <c r="K242" s="22"/>
    </row>
    <row r="243" spans="1:11" s="1" customFormat="1" ht="14">
      <c r="A243" s="14"/>
      <c r="B243" s="22"/>
      <c r="H243" s="22"/>
      <c r="I243" s="22"/>
      <c r="J243" s="22"/>
      <c r="K243" s="22"/>
    </row>
    <row r="244" spans="1:11" s="1" customFormat="1" ht="14">
      <c r="A244" s="14"/>
      <c r="B244" s="22"/>
      <c r="H244" s="22"/>
      <c r="I244" s="22"/>
      <c r="J244" s="22"/>
      <c r="K244" s="22"/>
    </row>
    <row r="245" spans="1:11" s="1" customFormat="1" ht="14">
      <c r="A245" s="14"/>
      <c r="B245" s="22"/>
      <c r="H245" s="22"/>
      <c r="I245" s="22"/>
      <c r="J245" s="22"/>
      <c r="K245" s="22"/>
    </row>
    <row r="246" spans="1:11" s="1" customFormat="1" ht="14">
      <c r="A246" s="14"/>
      <c r="B246" s="22"/>
      <c r="H246" s="22"/>
      <c r="I246" s="22"/>
      <c r="J246" s="22"/>
      <c r="K246" s="22"/>
    </row>
    <row r="247" spans="1:11" s="1" customFormat="1" ht="14">
      <c r="A247" s="14"/>
      <c r="B247" s="22"/>
      <c r="H247" s="22"/>
      <c r="I247" s="22"/>
      <c r="J247" s="22"/>
      <c r="K247" s="22"/>
    </row>
    <row r="248" spans="1:11" s="1" customFormat="1" ht="14">
      <c r="A248" s="14"/>
      <c r="B248" s="22"/>
      <c r="H248" s="22"/>
      <c r="I248" s="22"/>
      <c r="J248" s="22"/>
      <c r="K248" s="22"/>
    </row>
    <row r="249" spans="1:11" s="1" customFormat="1" ht="14">
      <c r="A249" s="14"/>
      <c r="B249" s="22"/>
      <c r="H249" s="22"/>
      <c r="I249" s="22"/>
      <c r="J249" s="22"/>
      <c r="K249" s="22"/>
    </row>
    <row r="250" spans="1:11" s="1" customFormat="1" ht="14">
      <c r="A250" s="14"/>
      <c r="B250" s="22"/>
      <c r="H250" s="22"/>
      <c r="I250" s="22"/>
      <c r="J250" s="22"/>
      <c r="K250" s="22"/>
    </row>
    <row r="251" spans="1:11" s="1" customFormat="1" ht="14">
      <c r="A251" s="14"/>
      <c r="B251" s="22"/>
      <c r="H251" s="22"/>
      <c r="I251" s="22"/>
      <c r="J251" s="22"/>
      <c r="K251" s="22"/>
    </row>
    <row r="252" spans="1:11" s="1" customFormat="1" ht="14">
      <c r="A252" s="14"/>
      <c r="B252" s="22"/>
      <c r="H252" s="22"/>
      <c r="I252" s="22"/>
      <c r="J252" s="22"/>
      <c r="K252" s="22"/>
    </row>
    <row r="253" spans="1:11" s="1" customFormat="1" ht="14">
      <c r="A253" s="14"/>
      <c r="B253" s="22"/>
      <c r="H253" s="22"/>
      <c r="I253" s="22"/>
      <c r="J253" s="22"/>
      <c r="K253" s="22"/>
    </row>
    <row r="254" spans="1:11" s="1" customFormat="1" ht="14">
      <c r="A254" s="14"/>
      <c r="B254" s="22"/>
      <c r="H254" s="22"/>
      <c r="I254" s="22"/>
      <c r="J254" s="22"/>
      <c r="K254" s="22"/>
    </row>
    <row r="255" spans="1:11" s="1" customFormat="1" ht="14">
      <c r="A255" s="14"/>
      <c r="B255" s="22"/>
      <c r="H255" s="22"/>
      <c r="I255" s="22"/>
      <c r="J255" s="22"/>
      <c r="K255" s="22"/>
    </row>
    <row r="256" spans="1:11" s="1" customFormat="1" ht="14">
      <c r="A256" s="14"/>
      <c r="B256" s="22"/>
      <c r="H256" s="22"/>
      <c r="I256" s="22"/>
      <c r="J256" s="22"/>
      <c r="K256" s="22"/>
    </row>
    <row r="257" spans="1:11" s="1" customFormat="1" ht="14">
      <c r="A257" s="14"/>
      <c r="B257" s="22"/>
      <c r="H257" s="22"/>
      <c r="I257" s="22"/>
      <c r="J257" s="22"/>
      <c r="K257" s="22"/>
    </row>
    <row r="258" spans="1:11" s="1" customFormat="1" ht="14">
      <c r="A258" s="14"/>
      <c r="B258" s="22"/>
      <c r="H258" s="22"/>
      <c r="I258" s="22"/>
      <c r="J258" s="22"/>
      <c r="K258" s="22"/>
    </row>
    <row r="259" spans="1:11" s="1" customFormat="1" ht="14">
      <c r="A259" s="14"/>
      <c r="B259" s="22"/>
      <c r="H259" s="22"/>
      <c r="I259" s="22"/>
      <c r="J259" s="22"/>
      <c r="K259" s="22"/>
    </row>
    <row r="260" spans="1:11" s="1" customFormat="1" ht="14">
      <c r="A260" s="14"/>
      <c r="B260" s="22"/>
      <c r="H260" s="22"/>
      <c r="I260" s="22"/>
      <c r="J260" s="22"/>
      <c r="K260" s="22"/>
    </row>
    <row r="261" spans="1:11" s="1" customFormat="1" ht="14">
      <c r="A261" s="14"/>
      <c r="B261" s="22"/>
      <c r="H261" s="22"/>
      <c r="I261" s="22"/>
      <c r="J261" s="22"/>
      <c r="K261" s="22"/>
    </row>
    <row r="262" spans="1:11" s="1" customFormat="1" ht="14">
      <c r="A262" s="14"/>
      <c r="B262" s="22"/>
      <c r="H262" s="22"/>
      <c r="I262" s="22"/>
      <c r="J262" s="22"/>
      <c r="K262" s="22"/>
    </row>
    <row r="263" spans="1:11" s="1" customFormat="1" ht="14">
      <c r="A263" s="14"/>
      <c r="B263" s="22"/>
      <c r="H263" s="22"/>
      <c r="I263" s="22"/>
      <c r="J263" s="22"/>
      <c r="K263" s="22"/>
    </row>
    <row r="264" spans="1:11" s="1" customFormat="1" ht="14">
      <c r="A264" s="14"/>
      <c r="B264" s="22"/>
      <c r="H264" s="22"/>
      <c r="I264" s="22"/>
      <c r="J264" s="22"/>
      <c r="K264" s="22"/>
    </row>
    <row r="265" spans="1:11" s="1" customFormat="1" ht="14">
      <c r="A265" s="14"/>
      <c r="B265" s="22"/>
      <c r="H265" s="22"/>
      <c r="I265" s="22"/>
      <c r="J265" s="22"/>
      <c r="K265" s="22"/>
    </row>
    <row r="266" spans="1:11" s="1" customFormat="1" ht="14">
      <c r="A266" s="14"/>
      <c r="B266" s="22"/>
      <c r="H266" s="22"/>
      <c r="I266" s="22"/>
      <c r="J266" s="22"/>
      <c r="K266" s="22"/>
    </row>
    <row r="267" spans="1:11" s="1" customFormat="1" ht="14">
      <c r="A267" s="14"/>
      <c r="B267" s="22"/>
      <c r="H267" s="22"/>
      <c r="I267" s="22"/>
      <c r="J267" s="22"/>
      <c r="K267" s="22"/>
    </row>
    <row r="268" spans="1:11" s="1" customFormat="1" ht="14">
      <c r="A268" s="14"/>
      <c r="B268" s="22"/>
      <c r="H268" s="22"/>
      <c r="I268" s="22"/>
      <c r="J268" s="22"/>
      <c r="K268" s="22"/>
    </row>
    <row r="269" spans="1:11" s="1" customFormat="1" ht="14">
      <c r="A269" s="14"/>
      <c r="B269" s="22"/>
      <c r="H269" s="22"/>
      <c r="I269" s="22"/>
      <c r="J269" s="22"/>
      <c r="K269" s="22"/>
    </row>
    <row r="270" spans="1:11" s="1" customFormat="1" ht="14">
      <c r="A270" s="14"/>
      <c r="B270" s="22"/>
      <c r="H270" s="22"/>
      <c r="I270" s="22"/>
      <c r="J270" s="22"/>
      <c r="K270" s="22"/>
    </row>
    <row r="271" spans="1:11" s="1" customFormat="1" ht="14">
      <c r="A271" s="14"/>
      <c r="B271" s="22"/>
      <c r="H271" s="22"/>
      <c r="I271" s="22"/>
      <c r="J271" s="22"/>
      <c r="K271" s="22"/>
    </row>
    <row r="272" spans="1:11" s="1" customFormat="1" ht="14">
      <c r="A272" s="14"/>
      <c r="B272" s="22"/>
      <c r="H272" s="22"/>
      <c r="I272" s="22"/>
      <c r="J272" s="22"/>
      <c r="K272" s="22"/>
    </row>
    <row r="273" spans="1:11" s="1" customFormat="1" ht="14">
      <c r="A273" s="14"/>
      <c r="B273" s="22"/>
      <c r="H273" s="22"/>
      <c r="I273" s="22"/>
      <c r="J273" s="22"/>
      <c r="K273" s="22"/>
    </row>
    <row r="274" spans="1:11" s="1" customFormat="1" ht="14">
      <c r="A274" s="14"/>
      <c r="B274" s="22"/>
      <c r="H274" s="22"/>
      <c r="I274" s="22"/>
      <c r="J274" s="22"/>
      <c r="K274" s="22"/>
    </row>
    <row r="275" spans="1:11" s="1" customFormat="1" ht="14">
      <c r="A275" s="14"/>
      <c r="B275" s="22"/>
      <c r="H275" s="22"/>
      <c r="I275" s="22"/>
      <c r="J275" s="22"/>
      <c r="K275" s="22"/>
    </row>
    <row r="276" spans="1:11" s="1" customFormat="1" ht="14">
      <c r="A276" s="14"/>
      <c r="B276" s="22"/>
      <c r="H276" s="22"/>
      <c r="I276" s="22"/>
      <c r="J276" s="22"/>
      <c r="K276" s="22"/>
    </row>
    <row r="277" spans="1:11" s="1" customFormat="1" ht="14">
      <c r="A277" s="14"/>
      <c r="B277" s="22"/>
      <c r="H277" s="22"/>
      <c r="I277" s="22"/>
      <c r="J277" s="22"/>
      <c r="K277" s="22"/>
    </row>
    <row r="278" spans="1:11" s="1" customFormat="1" ht="14">
      <c r="A278" s="14"/>
      <c r="B278" s="22"/>
      <c r="H278" s="22"/>
      <c r="I278" s="22"/>
      <c r="J278" s="22"/>
      <c r="K278" s="22"/>
    </row>
    <row r="279" spans="1:11" s="1" customFormat="1" ht="14">
      <c r="A279" s="14"/>
      <c r="B279" s="22"/>
      <c r="H279" s="22"/>
      <c r="I279" s="22"/>
      <c r="J279" s="22"/>
      <c r="K279" s="22"/>
    </row>
    <row r="280" spans="1:11" s="1" customFormat="1" ht="14">
      <c r="A280" s="14"/>
      <c r="B280" s="22"/>
      <c r="H280" s="22"/>
      <c r="I280" s="22"/>
      <c r="J280" s="22"/>
      <c r="K280" s="22"/>
    </row>
    <row r="281" spans="1:11" s="1" customFormat="1" ht="14">
      <c r="A281" s="14"/>
      <c r="B281" s="22"/>
      <c r="H281" s="22"/>
      <c r="I281" s="22"/>
      <c r="J281" s="22"/>
      <c r="K281" s="22"/>
    </row>
    <row r="282" spans="1:11" s="1" customFormat="1" ht="14">
      <c r="A282" s="14"/>
      <c r="B282" s="22"/>
      <c r="H282" s="22"/>
      <c r="I282" s="22"/>
      <c r="J282" s="22"/>
      <c r="K282" s="22"/>
    </row>
    <row r="283" spans="1:11" s="1" customFormat="1" ht="14">
      <c r="A283" s="14"/>
      <c r="B283" s="22"/>
      <c r="H283" s="22"/>
      <c r="I283" s="22"/>
      <c r="J283" s="22"/>
      <c r="K283" s="22"/>
    </row>
    <row r="284" spans="1:11" s="1" customFormat="1" ht="14">
      <c r="A284" s="14"/>
      <c r="B284" s="22"/>
      <c r="H284" s="22"/>
      <c r="I284" s="22"/>
      <c r="J284" s="22"/>
      <c r="K284" s="22"/>
    </row>
    <row r="285" spans="1:11" s="1" customFormat="1" ht="14">
      <c r="A285" s="14"/>
      <c r="B285" s="22"/>
      <c r="H285" s="22"/>
      <c r="I285" s="22"/>
      <c r="J285" s="22"/>
      <c r="K285" s="22"/>
    </row>
    <row r="286" spans="1:11" s="1" customFormat="1" ht="14">
      <c r="A286" s="14"/>
      <c r="B286" s="22"/>
      <c r="H286" s="22"/>
      <c r="I286" s="22"/>
      <c r="J286" s="22"/>
      <c r="K286" s="22"/>
    </row>
    <row r="287" spans="1:11" s="1" customFormat="1" ht="14">
      <c r="A287" s="14"/>
      <c r="B287" s="22"/>
      <c r="H287" s="22"/>
      <c r="I287" s="22"/>
      <c r="J287" s="22"/>
      <c r="K287" s="22"/>
    </row>
    <row r="288" spans="1:11" s="1" customFormat="1" ht="14">
      <c r="A288" s="14"/>
      <c r="B288" s="22"/>
      <c r="H288" s="22"/>
      <c r="I288" s="22"/>
      <c r="J288" s="22"/>
      <c r="K288" s="22"/>
    </row>
    <row r="289" spans="1:11" s="1" customFormat="1" ht="14">
      <c r="A289" s="14"/>
      <c r="B289" s="22"/>
      <c r="H289" s="22"/>
      <c r="I289" s="22"/>
      <c r="J289" s="22"/>
      <c r="K289" s="22"/>
    </row>
    <row r="290" spans="1:11" s="1" customFormat="1" ht="14">
      <c r="A290" s="14"/>
      <c r="B290" s="22"/>
      <c r="H290" s="22"/>
      <c r="I290" s="22"/>
      <c r="J290" s="22"/>
      <c r="K290" s="22"/>
    </row>
    <row r="291" spans="1:11" s="1" customFormat="1" ht="14">
      <c r="A291" s="14"/>
      <c r="B291" s="22"/>
      <c r="H291" s="22"/>
      <c r="I291" s="22"/>
      <c r="J291" s="22"/>
      <c r="K291" s="22"/>
    </row>
    <row r="292" spans="1:11" s="1" customFormat="1" ht="14">
      <c r="A292" s="14"/>
      <c r="B292" s="22"/>
      <c r="H292" s="22"/>
      <c r="I292" s="22"/>
      <c r="J292" s="22"/>
      <c r="K292" s="22"/>
    </row>
    <row r="293" spans="1:11" s="1" customFormat="1" ht="14">
      <c r="A293" s="14"/>
      <c r="B293" s="22"/>
      <c r="H293" s="22"/>
      <c r="I293" s="22"/>
      <c r="J293" s="22"/>
      <c r="K293" s="22"/>
    </row>
    <row r="294" spans="1:11" s="1" customFormat="1" ht="14">
      <c r="A294" s="14"/>
      <c r="B294" s="22"/>
      <c r="H294" s="22"/>
      <c r="I294" s="22"/>
      <c r="J294" s="22"/>
      <c r="K294" s="22"/>
    </row>
    <row r="295" spans="1:11" s="1" customFormat="1" ht="14">
      <c r="A295" s="14"/>
      <c r="B295" s="22"/>
      <c r="H295" s="22"/>
      <c r="I295" s="22"/>
      <c r="J295" s="22"/>
      <c r="K295" s="22"/>
    </row>
    <row r="296" spans="1:11" s="1" customFormat="1" ht="14">
      <c r="A296" s="14"/>
      <c r="B296" s="22"/>
      <c r="H296" s="22"/>
      <c r="I296" s="22"/>
      <c r="J296" s="22"/>
      <c r="K296" s="22"/>
    </row>
    <row r="297" spans="1:11" s="1" customFormat="1" ht="14">
      <c r="A297" s="14"/>
      <c r="B297" s="22"/>
      <c r="H297" s="22"/>
      <c r="I297" s="22"/>
      <c r="J297" s="22"/>
      <c r="K297" s="22"/>
    </row>
    <row r="298" spans="1:11" s="1" customFormat="1" ht="14">
      <c r="A298" s="14"/>
      <c r="B298" s="22"/>
      <c r="H298" s="22"/>
      <c r="I298" s="22"/>
      <c r="J298" s="22"/>
      <c r="K298" s="22"/>
    </row>
    <row r="299" spans="1:11" s="1" customFormat="1" ht="14">
      <c r="A299" s="14"/>
      <c r="B299" s="22"/>
      <c r="H299" s="22"/>
      <c r="I299" s="22"/>
      <c r="J299" s="22"/>
      <c r="K299" s="22"/>
    </row>
    <row r="300" spans="1:11" s="1" customFormat="1" ht="14">
      <c r="A300" s="14"/>
      <c r="B300" s="22"/>
      <c r="H300" s="22"/>
      <c r="I300" s="22"/>
      <c r="J300" s="22"/>
      <c r="K300" s="22"/>
    </row>
    <row r="301" spans="1:11" s="1" customFormat="1" ht="14">
      <c r="A301" s="14"/>
      <c r="B301" s="22"/>
      <c r="H301" s="22"/>
      <c r="I301" s="22"/>
      <c r="J301" s="22"/>
      <c r="K301" s="22"/>
    </row>
    <row r="302" spans="1:11" s="1" customFormat="1" ht="14">
      <c r="A302" s="14"/>
      <c r="B302" s="22"/>
      <c r="H302" s="22"/>
      <c r="I302" s="22"/>
      <c r="J302" s="22"/>
      <c r="K302" s="22"/>
    </row>
    <row r="303" spans="1:11" s="1" customFormat="1" ht="14">
      <c r="A303" s="14"/>
      <c r="B303" s="22"/>
      <c r="H303" s="22"/>
      <c r="I303" s="22"/>
      <c r="J303" s="22"/>
      <c r="K303" s="22"/>
    </row>
    <row r="304" spans="1:11" s="1" customFormat="1" ht="14">
      <c r="A304" s="14"/>
      <c r="B304" s="22"/>
      <c r="H304" s="22"/>
      <c r="I304" s="22"/>
      <c r="J304" s="22"/>
      <c r="K304" s="22"/>
    </row>
    <row r="305" spans="1:11" s="1" customFormat="1" ht="14">
      <c r="A305" s="14"/>
      <c r="B305" s="22"/>
      <c r="H305" s="22"/>
      <c r="I305" s="22"/>
      <c r="J305" s="22"/>
      <c r="K305" s="22"/>
    </row>
    <row r="306" spans="1:11" s="1" customFormat="1" ht="14">
      <c r="A306" s="14"/>
      <c r="B306" s="22"/>
      <c r="H306" s="22"/>
      <c r="I306" s="22"/>
      <c r="J306" s="22"/>
      <c r="K306" s="22"/>
    </row>
    <row r="307" spans="1:11" s="1" customFormat="1" ht="14">
      <c r="A307" s="14"/>
      <c r="B307" s="22"/>
      <c r="H307" s="22"/>
      <c r="I307" s="22"/>
      <c r="J307" s="22"/>
      <c r="K307" s="22"/>
    </row>
    <row r="308" spans="1:11" s="1" customFormat="1" ht="14">
      <c r="A308" s="14"/>
      <c r="B308" s="22"/>
      <c r="H308" s="22"/>
      <c r="I308" s="22"/>
      <c r="J308" s="22"/>
      <c r="K308" s="22"/>
    </row>
    <row r="309" spans="1:11" s="1" customFormat="1" ht="14">
      <c r="A309" s="14"/>
      <c r="B309" s="22"/>
      <c r="H309" s="22"/>
      <c r="I309" s="22"/>
      <c r="J309" s="22"/>
      <c r="K309" s="22"/>
    </row>
    <row r="310" spans="1:11" s="1" customFormat="1" ht="14">
      <c r="A310" s="14"/>
      <c r="B310" s="22"/>
      <c r="H310" s="22"/>
      <c r="I310" s="22"/>
      <c r="J310" s="22"/>
      <c r="K310" s="22"/>
    </row>
    <row r="311" spans="1:11" s="1" customFormat="1" ht="14">
      <c r="A311" s="14"/>
      <c r="B311" s="22"/>
      <c r="H311" s="22"/>
      <c r="I311" s="22"/>
      <c r="J311" s="22"/>
      <c r="K311" s="22"/>
    </row>
    <row r="312" spans="1:11" s="1" customFormat="1" ht="14">
      <c r="A312" s="14"/>
      <c r="B312" s="22"/>
      <c r="H312" s="22"/>
      <c r="I312" s="22"/>
      <c r="J312" s="22"/>
      <c r="K312" s="22"/>
    </row>
    <row r="313" spans="1:11" s="1" customFormat="1" ht="14">
      <c r="A313" s="14"/>
      <c r="B313" s="22"/>
      <c r="H313" s="22"/>
      <c r="I313" s="22"/>
      <c r="J313" s="22"/>
      <c r="K313" s="22"/>
    </row>
    <row r="314" spans="1:11" s="1" customFormat="1" ht="14">
      <c r="A314" s="14"/>
      <c r="B314" s="22"/>
      <c r="H314" s="22"/>
      <c r="I314" s="22"/>
      <c r="J314" s="22"/>
      <c r="K314" s="22"/>
    </row>
    <row r="315" spans="1:11" s="1" customFormat="1" ht="14">
      <c r="A315" s="14"/>
      <c r="B315" s="22"/>
      <c r="H315" s="22"/>
      <c r="I315" s="22"/>
      <c r="J315" s="22"/>
      <c r="K315" s="22"/>
    </row>
    <row r="316" spans="1:11" s="1" customFormat="1" ht="14">
      <c r="A316" s="14"/>
      <c r="B316" s="22"/>
      <c r="H316" s="22"/>
      <c r="I316" s="22"/>
      <c r="J316" s="22"/>
      <c r="K316" s="22"/>
    </row>
    <row r="317" spans="1:11" s="1" customFormat="1" ht="14">
      <c r="A317" s="14"/>
      <c r="B317" s="22"/>
      <c r="H317" s="22"/>
      <c r="I317" s="22"/>
      <c r="J317" s="22"/>
      <c r="K317" s="22"/>
    </row>
    <row r="318" spans="1:11" s="1" customFormat="1" ht="14">
      <c r="A318" s="14"/>
      <c r="B318" s="22"/>
      <c r="H318" s="22"/>
      <c r="I318" s="22"/>
      <c r="J318" s="22"/>
      <c r="K318" s="22"/>
    </row>
    <row r="319" spans="1:11" s="1" customFormat="1" ht="14">
      <c r="A319" s="14"/>
      <c r="B319" s="22"/>
      <c r="H319" s="22"/>
      <c r="I319" s="22"/>
      <c r="J319" s="22"/>
      <c r="K319" s="22"/>
    </row>
    <row r="320" spans="1:11" s="1" customFormat="1" ht="14">
      <c r="A320" s="14"/>
      <c r="B320" s="22"/>
      <c r="H320" s="22"/>
      <c r="I320" s="22"/>
      <c r="J320" s="22"/>
      <c r="K320" s="22"/>
    </row>
    <row r="321" spans="1:11" s="1" customFormat="1" ht="14">
      <c r="A321" s="14"/>
      <c r="H321" s="22"/>
      <c r="I321" s="22"/>
      <c r="J321" s="22"/>
      <c r="K321" s="22"/>
    </row>
    <row r="322" spans="1:11" s="1" customFormat="1" ht="14">
      <c r="A322" s="14"/>
      <c r="H322" s="22"/>
      <c r="I322" s="22"/>
      <c r="J322" s="22"/>
      <c r="K322" s="22"/>
    </row>
    <row r="323" spans="1:11" s="1" customFormat="1" ht="14">
      <c r="A323" s="14"/>
      <c r="H323" s="22"/>
      <c r="I323" s="22"/>
      <c r="J323" s="22"/>
      <c r="K323" s="22"/>
    </row>
    <row r="324" spans="1:11" s="1" customFormat="1" ht="14">
      <c r="A324" s="14"/>
      <c r="H324" s="22"/>
      <c r="I324" s="22"/>
      <c r="J324" s="22"/>
      <c r="K324" s="22"/>
    </row>
    <row r="325" spans="1:11" s="1" customFormat="1" ht="14">
      <c r="A325" s="14"/>
      <c r="H325" s="22"/>
      <c r="I325" s="22"/>
      <c r="J325" s="22"/>
      <c r="K325" s="22"/>
    </row>
    <row r="326" spans="1:11" s="1" customFormat="1" ht="14">
      <c r="A326" s="14"/>
      <c r="H326" s="22"/>
      <c r="I326" s="22"/>
      <c r="J326" s="22"/>
      <c r="K326" s="22"/>
    </row>
    <row r="327" spans="1:11" s="1" customFormat="1" ht="14">
      <c r="A327" s="14"/>
      <c r="H327" s="22"/>
      <c r="I327" s="22"/>
      <c r="J327" s="22"/>
      <c r="K327" s="22"/>
    </row>
    <row r="328" spans="1:11" s="1" customFormat="1" ht="14">
      <c r="A328" s="14"/>
      <c r="H328" s="22"/>
      <c r="I328" s="22"/>
      <c r="J328" s="22"/>
      <c r="K328" s="22"/>
    </row>
    <row r="329" spans="1:11" s="1" customFormat="1" ht="14">
      <c r="A329" s="14"/>
      <c r="H329" s="22"/>
      <c r="I329" s="22"/>
      <c r="J329" s="22"/>
      <c r="K329" s="22"/>
    </row>
    <row r="330" spans="1:11" s="1" customFormat="1" ht="14">
      <c r="A330" s="14"/>
      <c r="H330" s="22"/>
      <c r="I330" s="22"/>
      <c r="J330" s="22"/>
      <c r="K330" s="22"/>
    </row>
  </sheetData>
  <autoFilter ref="A5:Q112" xr:uid="{D5EBE71B-15A5-47B3-9F37-362CD935B195}"/>
  <mergeCells count="2">
    <mergeCell ref="A4:N4"/>
    <mergeCell ref="O3:P3"/>
  </mergeCells>
  <phoneticPr fontId="6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D5FD-F313-4184-B3E5-E78D69A62F61}">
  <dimension ref="A1:O38"/>
  <sheetViews>
    <sheetView workbookViewId="0">
      <selection activeCell="I15" sqref="I15"/>
    </sheetView>
  </sheetViews>
  <sheetFormatPr baseColWidth="10" defaultRowHeight="15"/>
  <cols>
    <col min="1" max="1" width="17.83203125" bestFit="1" customWidth="1"/>
    <col min="2" max="2" width="20.6640625" bestFit="1" customWidth="1"/>
    <col min="3" max="3" width="19.33203125" bestFit="1" customWidth="1"/>
    <col min="4" max="4" width="16.5" bestFit="1" customWidth="1"/>
    <col min="5" max="10" width="17.6640625" style="25" customWidth="1"/>
    <col min="11" max="11" width="12.5" bestFit="1" customWidth="1"/>
    <col min="12" max="12" width="12" bestFit="1" customWidth="1"/>
    <col min="13" max="13" width="14.33203125" bestFit="1" customWidth="1"/>
  </cols>
  <sheetData>
    <row r="1" spans="1:15" ht="45.75" customHeight="1">
      <c r="A1" s="71" t="s">
        <v>124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15" ht="45.75" customHeight="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42" t="s">
        <v>127</v>
      </c>
      <c r="O2" s="43">
        <v>0.05</v>
      </c>
    </row>
    <row r="3" spans="1:1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5" ht="30">
      <c r="A4" s="69" t="s">
        <v>126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1:15">
      <c r="A5" s="15" t="s">
        <v>0</v>
      </c>
      <c r="B5" s="15" t="s">
        <v>1</v>
      </c>
      <c r="C5" s="15" t="s">
        <v>2</v>
      </c>
      <c r="D5" s="15" t="s">
        <v>113</v>
      </c>
      <c r="E5" s="24" t="s">
        <v>115</v>
      </c>
      <c r="F5" s="24" t="s">
        <v>128</v>
      </c>
      <c r="G5" s="24" t="s">
        <v>176</v>
      </c>
      <c r="H5" s="24" t="s">
        <v>128</v>
      </c>
      <c r="I5" s="24" t="s">
        <v>177</v>
      </c>
      <c r="J5" s="24" t="s">
        <v>128</v>
      </c>
      <c r="K5" s="15" t="s">
        <v>120</v>
      </c>
      <c r="L5" s="15" t="s">
        <v>116</v>
      </c>
      <c r="M5" s="15" t="s">
        <v>15</v>
      </c>
    </row>
    <row r="6" spans="1:15">
      <c r="A6" s="28" t="s">
        <v>6</v>
      </c>
      <c r="B6" s="2" t="s">
        <v>39</v>
      </c>
      <c r="C6" s="2" t="s">
        <v>13</v>
      </c>
      <c r="D6" s="2" t="s">
        <v>114</v>
      </c>
      <c r="E6" s="29">
        <v>7200</v>
      </c>
      <c r="F6" s="44">
        <f t="shared" ref="F6:F37" si="0">E6+(E6*$O$2)</f>
        <v>7560</v>
      </c>
      <c r="G6" s="29">
        <v>7200</v>
      </c>
      <c r="H6" s="44">
        <f t="shared" ref="H6:H37" si="1">G6+(G6*$O$2)</f>
        <v>7560</v>
      </c>
      <c r="I6" s="29">
        <v>7200</v>
      </c>
      <c r="J6" s="44">
        <f t="shared" ref="J6:J37" si="2">I6+(I6*$O$2)</f>
        <v>7560</v>
      </c>
      <c r="K6" s="2" t="s">
        <v>121</v>
      </c>
      <c r="L6" s="30">
        <v>44332</v>
      </c>
      <c r="M6" s="2" t="s">
        <v>123</v>
      </c>
    </row>
    <row r="7" spans="1:15">
      <c r="A7" s="28" t="s">
        <v>6</v>
      </c>
      <c r="B7" s="2" t="s">
        <v>40</v>
      </c>
      <c r="C7" s="2" t="s">
        <v>13</v>
      </c>
      <c r="D7" s="2" t="s">
        <v>114</v>
      </c>
      <c r="E7" s="29">
        <v>7200</v>
      </c>
      <c r="F7" s="44">
        <f t="shared" si="0"/>
        <v>7560</v>
      </c>
      <c r="G7" s="29">
        <v>7200</v>
      </c>
      <c r="H7" s="44">
        <f t="shared" si="1"/>
        <v>7560</v>
      </c>
      <c r="I7" s="29">
        <v>7200</v>
      </c>
      <c r="J7" s="44">
        <f t="shared" si="2"/>
        <v>7560</v>
      </c>
      <c r="K7" s="2" t="s">
        <v>121</v>
      </c>
      <c r="L7" s="30">
        <v>44332</v>
      </c>
      <c r="M7" s="2" t="s">
        <v>123</v>
      </c>
    </row>
    <row r="8" spans="1:15">
      <c r="A8" s="28" t="s">
        <v>6</v>
      </c>
      <c r="B8" s="2" t="s">
        <v>42</v>
      </c>
      <c r="C8" s="2" t="s">
        <v>13</v>
      </c>
      <c r="D8" s="2" t="s">
        <v>114</v>
      </c>
      <c r="E8" s="29">
        <v>7200</v>
      </c>
      <c r="F8" s="44">
        <f t="shared" si="0"/>
        <v>7560</v>
      </c>
      <c r="G8" s="29">
        <v>7200</v>
      </c>
      <c r="H8" s="44">
        <f t="shared" si="1"/>
        <v>7560</v>
      </c>
      <c r="I8" s="29">
        <v>7200</v>
      </c>
      <c r="J8" s="44">
        <f t="shared" si="2"/>
        <v>7560</v>
      </c>
      <c r="K8" s="2" t="s">
        <v>121</v>
      </c>
      <c r="L8" s="30">
        <v>44332</v>
      </c>
      <c r="M8" s="2" t="s">
        <v>123</v>
      </c>
    </row>
    <row r="9" spans="1:15">
      <c r="A9" s="28" t="s">
        <v>6</v>
      </c>
      <c r="B9" s="2" t="s">
        <v>36</v>
      </c>
      <c r="C9" s="2" t="s">
        <v>13</v>
      </c>
      <c r="D9" s="2" t="s">
        <v>114</v>
      </c>
      <c r="E9" s="29">
        <v>7200</v>
      </c>
      <c r="F9" s="44">
        <f t="shared" si="0"/>
        <v>7560</v>
      </c>
      <c r="G9" s="29">
        <v>7200</v>
      </c>
      <c r="H9" s="44">
        <f t="shared" si="1"/>
        <v>7560</v>
      </c>
      <c r="I9" s="29">
        <v>7200</v>
      </c>
      <c r="J9" s="44">
        <f t="shared" si="2"/>
        <v>7560</v>
      </c>
      <c r="K9" s="2" t="s">
        <v>121</v>
      </c>
      <c r="L9" s="30">
        <v>44332</v>
      </c>
      <c r="M9" s="2" t="s">
        <v>123</v>
      </c>
    </row>
    <row r="10" spans="1:15">
      <c r="A10" s="28" t="s">
        <v>6</v>
      </c>
      <c r="B10" s="2" t="s">
        <v>112</v>
      </c>
      <c r="C10" s="2" t="s">
        <v>13</v>
      </c>
      <c r="D10" s="2" t="s">
        <v>114</v>
      </c>
      <c r="E10" s="29">
        <v>7200</v>
      </c>
      <c r="F10" s="44">
        <f t="shared" si="0"/>
        <v>7560</v>
      </c>
      <c r="G10" s="29">
        <v>7200</v>
      </c>
      <c r="H10" s="44">
        <f t="shared" si="1"/>
        <v>7560</v>
      </c>
      <c r="I10" s="29">
        <v>7200</v>
      </c>
      <c r="J10" s="44">
        <f t="shared" si="2"/>
        <v>7560</v>
      </c>
      <c r="K10" s="2" t="s">
        <v>121</v>
      </c>
      <c r="L10" s="30">
        <v>44332</v>
      </c>
      <c r="M10" s="2" t="s">
        <v>123</v>
      </c>
    </row>
    <row r="11" spans="1:15">
      <c r="A11" s="28" t="s">
        <v>6</v>
      </c>
      <c r="B11" s="2" t="s">
        <v>37</v>
      </c>
      <c r="C11" s="2" t="s">
        <v>13</v>
      </c>
      <c r="D11" s="2" t="s">
        <v>114</v>
      </c>
      <c r="E11" s="29">
        <v>7200</v>
      </c>
      <c r="F11" s="44">
        <f t="shared" si="0"/>
        <v>7560</v>
      </c>
      <c r="G11" s="29">
        <v>7200</v>
      </c>
      <c r="H11" s="44">
        <f t="shared" si="1"/>
        <v>7560</v>
      </c>
      <c r="I11" s="29">
        <v>7200</v>
      </c>
      <c r="J11" s="44">
        <f t="shared" si="2"/>
        <v>7560</v>
      </c>
      <c r="K11" s="2" t="s">
        <v>121</v>
      </c>
      <c r="L11" s="30">
        <v>44332</v>
      </c>
      <c r="M11" s="2" t="s">
        <v>123</v>
      </c>
    </row>
    <row r="12" spans="1:15">
      <c r="A12" s="28" t="s">
        <v>6</v>
      </c>
      <c r="B12" s="2" t="s">
        <v>46</v>
      </c>
      <c r="C12" s="2" t="s">
        <v>13</v>
      </c>
      <c r="D12" s="2" t="s">
        <v>114</v>
      </c>
      <c r="E12" s="29">
        <v>7200</v>
      </c>
      <c r="F12" s="44">
        <f t="shared" si="0"/>
        <v>7560</v>
      </c>
      <c r="G12" s="29">
        <v>7200</v>
      </c>
      <c r="H12" s="44">
        <f t="shared" si="1"/>
        <v>7560</v>
      </c>
      <c r="I12" s="29">
        <v>7200</v>
      </c>
      <c r="J12" s="44">
        <f t="shared" si="2"/>
        <v>7560</v>
      </c>
      <c r="K12" s="2" t="s">
        <v>121</v>
      </c>
      <c r="L12" s="30">
        <v>44332</v>
      </c>
      <c r="M12" s="2" t="s">
        <v>123</v>
      </c>
    </row>
    <row r="13" spans="1:15">
      <c r="A13" s="28" t="s">
        <v>6</v>
      </c>
      <c r="B13" s="2" t="s">
        <v>41</v>
      </c>
      <c r="C13" s="2" t="s">
        <v>13</v>
      </c>
      <c r="D13" s="2" t="s">
        <v>114</v>
      </c>
      <c r="E13" s="29">
        <v>7200</v>
      </c>
      <c r="F13" s="44">
        <f t="shared" si="0"/>
        <v>7560</v>
      </c>
      <c r="G13" s="29">
        <v>7200</v>
      </c>
      <c r="H13" s="44">
        <f t="shared" si="1"/>
        <v>7560</v>
      </c>
      <c r="I13" s="29">
        <v>7200</v>
      </c>
      <c r="J13" s="44">
        <f t="shared" si="2"/>
        <v>7560</v>
      </c>
      <c r="K13" s="2" t="s">
        <v>121</v>
      </c>
      <c r="L13" s="30">
        <v>44332</v>
      </c>
      <c r="M13" s="2" t="s">
        <v>123</v>
      </c>
    </row>
    <row r="14" spans="1:15">
      <c r="A14" s="28" t="s">
        <v>6</v>
      </c>
      <c r="B14" s="2" t="s">
        <v>39</v>
      </c>
      <c r="C14" s="2" t="s">
        <v>13</v>
      </c>
      <c r="D14" s="2" t="s">
        <v>117</v>
      </c>
      <c r="E14" s="29">
        <v>8200</v>
      </c>
      <c r="F14" s="44">
        <f t="shared" si="0"/>
        <v>8610</v>
      </c>
      <c r="G14" s="29">
        <v>8200</v>
      </c>
      <c r="H14" s="44">
        <f t="shared" si="1"/>
        <v>8610</v>
      </c>
      <c r="I14" s="29">
        <v>8200</v>
      </c>
      <c r="J14" s="44">
        <f t="shared" si="2"/>
        <v>8610</v>
      </c>
      <c r="K14" s="2" t="s">
        <v>121</v>
      </c>
      <c r="L14" s="30">
        <v>44332</v>
      </c>
      <c r="M14" s="2" t="s">
        <v>123</v>
      </c>
    </row>
    <row r="15" spans="1:15">
      <c r="A15" s="28" t="s">
        <v>6</v>
      </c>
      <c r="B15" s="2" t="s">
        <v>40</v>
      </c>
      <c r="C15" s="2" t="s">
        <v>13</v>
      </c>
      <c r="D15" s="2" t="s">
        <v>117</v>
      </c>
      <c r="E15" s="29">
        <v>8200</v>
      </c>
      <c r="F15" s="44">
        <f t="shared" si="0"/>
        <v>8610</v>
      </c>
      <c r="G15" s="29">
        <v>8200</v>
      </c>
      <c r="H15" s="44">
        <f t="shared" si="1"/>
        <v>8610</v>
      </c>
      <c r="I15" s="29">
        <v>8200</v>
      </c>
      <c r="J15" s="44">
        <f t="shared" si="2"/>
        <v>8610</v>
      </c>
      <c r="K15" s="2" t="s">
        <v>121</v>
      </c>
      <c r="L15" s="30">
        <v>44332</v>
      </c>
      <c r="M15" s="2" t="s">
        <v>123</v>
      </c>
    </row>
    <row r="16" spans="1:15">
      <c r="A16" s="28" t="s">
        <v>6</v>
      </c>
      <c r="B16" s="2" t="s">
        <v>42</v>
      </c>
      <c r="C16" s="2" t="s">
        <v>13</v>
      </c>
      <c r="D16" s="2" t="s">
        <v>117</v>
      </c>
      <c r="E16" s="29">
        <v>8200</v>
      </c>
      <c r="F16" s="44">
        <f t="shared" si="0"/>
        <v>8610</v>
      </c>
      <c r="G16" s="29">
        <v>8200</v>
      </c>
      <c r="H16" s="44">
        <f t="shared" si="1"/>
        <v>8610</v>
      </c>
      <c r="I16" s="29">
        <v>8200</v>
      </c>
      <c r="J16" s="44">
        <f t="shared" si="2"/>
        <v>8610</v>
      </c>
      <c r="K16" s="2" t="s">
        <v>121</v>
      </c>
      <c r="L16" s="30">
        <v>44332</v>
      </c>
      <c r="M16" s="2" t="s">
        <v>123</v>
      </c>
    </row>
    <row r="17" spans="1:13">
      <c r="A17" s="28" t="s">
        <v>6</v>
      </c>
      <c r="B17" s="2" t="s">
        <v>36</v>
      </c>
      <c r="C17" s="2" t="s">
        <v>13</v>
      </c>
      <c r="D17" s="2" t="s">
        <v>117</v>
      </c>
      <c r="E17" s="29">
        <v>8200</v>
      </c>
      <c r="F17" s="44">
        <f t="shared" si="0"/>
        <v>8610</v>
      </c>
      <c r="G17" s="29">
        <v>8200</v>
      </c>
      <c r="H17" s="44">
        <f t="shared" si="1"/>
        <v>8610</v>
      </c>
      <c r="I17" s="29">
        <v>8200</v>
      </c>
      <c r="J17" s="44">
        <f t="shared" si="2"/>
        <v>8610</v>
      </c>
      <c r="K17" s="2" t="s">
        <v>121</v>
      </c>
      <c r="L17" s="30">
        <v>44332</v>
      </c>
      <c r="M17" s="2" t="s">
        <v>123</v>
      </c>
    </row>
    <row r="18" spans="1:13">
      <c r="A18" s="28" t="s">
        <v>6</v>
      </c>
      <c r="B18" s="2" t="s">
        <v>112</v>
      </c>
      <c r="C18" s="2" t="s">
        <v>13</v>
      </c>
      <c r="D18" s="2" t="s">
        <v>117</v>
      </c>
      <c r="E18" s="29">
        <v>8200</v>
      </c>
      <c r="F18" s="44">
        <f t="shared" si="0"/>
        <v>8610</v>
      </c>
      <c r="G18" s="29">
        <v>8200</v>
      </c>
      <c r="H18" s="44">
        <f t="shared" si="1"/>
        <v>8610</v>
      </c>
      <c r="I18" s="29">
        <v>8200</v>
      </c>
      <c r="J18" s="44">
        <f t="shared" si="2"/>
        <v>8610</v>
      </c>
      <c r="K18" s="2" t="s">
        <v>121</v>
      </c>
      <c r="L18" s="30">
        <v>44332</v>
      </c>
      <c r="M18" s="2" t="s">
        <v>123</v>
      </c>
    </row>
    <row r="19" spans="1:13">
      <c r="A19" s="28" t="s">
        <v>6</v>
      </c>
      <c r="B19" s="2" t="s">
        <v>37</v>
      </c>
      <c r="C19" s="2" t="s">
        <v>13</v>
      </c>
      <c r="D19" s="2" t="s">
        <v>117</v>
      </c>
      <c r="E19" s="29">
        <v>8200</v>
      </c>
      <c r="F19" s="44">
        <f t="shared" si="0"/>
        <v>8610</v>
      </c>
      <c r="G19" s="29">
        <v>8200</v>
      </c>
      <c r="H19" s="44">
        <f t="shared" si="1"/>
        <v>8610</v>
      </c>
      <c r="I19" s="29">
        <v>8200</v>
      </c>
      <c r="J19" s="44">
        <f t="shared" si="2"/>
        <v>8610</v>
      </c>
      <c r="K19" s="2" t="s">
        <v>121</v>
      </c>
      <c r="L19" s="30">
        <v>44332</v>
      </c>
      <c r="M19" s="2" t="s">
        <v>123</v>
      </c>
    </row>
    <row r="20" spans="1:13">
      <c r="A20" s="28" t="s">
        <v>6</v>
      </c>
      <c r="B20" s="2" t="s">
        <v>46</v>
      </c>
      <c r="C20" s="2" t="s">
        <v>13</v>
      </c>
      <c r="D20" s="2" t="s">
        <v>117</v>
      </c>
      <c r="E20" s="29">
        <v>8200</v>
      </c>
      <c r="F20" s="44">
        <f t="shared" si="0"/>
        <v>8610</v>
      </c>
      <c r="G20" s="29">
        <v>8200</v>
      </c>
      <c r="H20" s="44">
        <f t="shared" si="1"/>
        <v>8610</v>
      </c>
      <c r="I20" s="29">
        <v>8200</v>
      </c>
      <c r="J20" s="44">
        <f t="shared" si="2"/>
        <v>8610</v>
      </c>
      <c r="K20" s="2" t="s">
        <v>121</v>
      </c>
      <c r="L20" s="30">
        <v>44332</v>
      </c>
      <c r="M20" s="2" t="s">
        <v>123</v>
      </c>
    </row>
    <row r="21" spans="1:13">
      <c r="A21" s="28" t="s">
        <v>6</v>
      </c>
      <c r="B21" s="2" t="s">
        <v>41</v>
      </c>
      <c r="C21" s="2" t="s">
        <v>13</v>
      </c>
      <c r="D21" s="2" t="s">
        <v>117</v>
      </c>
      <c r="E21" s="29">
        <v>8200</v>
      </c>
      <c r="F21" s="44">
        <f t="shared" si="0"/>
        <v>8610</v>
      </c>
      <c r="G21" s="29">
        <v>8200</v>
      </c>
      <c r="H21" s="44">
        <f t="shared" si="1"/>
        <v>8610</v>
      </c>
      <c r="I21" s="29">
        <v>8200</v>
      </c>
      <c r="J21" s="44">
        <f t="shared" si="2"/>
        <v>8610</v>
      </c>
      <c r="K21" s="2" t="s">
        <v>121</v>
      </c>
      <c r="L21" s="30">
        <v>44332</v>
      </c>
      <c r="M21" s="2" t="s">
        <v>123</v>
      </c>
    </row>
    <row r="22" spans="1:13">
      <c r="A22" s="28" t="s">
        <v>6</v>
      </c>
      <c r="B22" s="2" t="s">
        <v>39</v>
      </c>
      <c r="C22" s="2" t="s">
        <v>13</v>
      </c>
      <c r="D22" s="2" t="s">
        <v>118</v>
      </c>
      <c r="E22" s="29">
        <v>8200</v>
      </c>
      <c r="F22" s="44">
        <f t="shared" si="0"/>
        <v>8610</v>
      </c>
      <c r="G22" s="29">
        <v>8200</v>
      </c>
      <c r="H22" s="44">
        <f t="shared" si="1"/>
        <v>8610</v>
      </c>
      <c r="I22" s="29">
        <v>8200</v>
      </c>
      <c r="J22" s="44">
        <f t="shared" si="2"/>
        <v>8610</v>
      </c>
      <c r="K22" s="2" t="s">
        <v>121</v>
      </c>
      <c r="L22" s="30">
        <v>44332</v>
      </c>
      <c r="M22" s="2" t="s">
        <v>123</v>
      </c>
    </row>
    <row r="23" spans="1:13">
      <c r="A23" s="28" t="s">
        <v>6</v>
      </c>
      <c r="B23" s="2" t="s">
        <v>40</v>
      </c>
      <c r="C23" s="2" t="s">
        <v>13</v>
      </c>
      <c r="D23" s="2" t="s">
        <v>118</v>
      </c>
      <c r="E23" s="29">
        <v>8200</v>
      </c>
      <c r="F23" s="44">
        <f t="shared" si="0"/>
        <v>8610</v>
      </c>
      <c r="G23" s="29">
        <v>8200</v>
      </c>
      <c r="H23" s="44">
        <f t="shared" si="1"/>
        <v>8610</v>
      </c>
      <c r="I23" s="29">
        <v>8200</v>
      </c>
      <c r="J23" s="44">
        <f t="shared" si="2"/>
        <v>8610</v>
      </c>
      <c r="K23" s="2" t="s">
        <v>121</v>
      </c>
      <c r="L23" s="30">
        <v>44332</v>
      </c>
      <c r="M23" s="2" t="s">
        <v>123</v>
      </c>
    </row>
    <row r="24" spans="1:13">
      <c r="A24" s="28" t="s">
        <v>6</v>
      </c>
      <c r="B24" s="2" t="s">
        <v>42</v>
      </c>
      <c r="C24" s="2" t="s">
        <v>13</v>
      </c>
      <c r="D24" s="2" t="s">
        <v>118</v>
      </c>
      <c r="E24" s="29">
        <v>8200</v>
      </c>
      <c r="F24" s="44">
        <f t="shared" si="0"/>
        <v>8610</v>
      </c>
      <c r="G24" s="29">
        <v>8200</v>
      </c>
      <c r="H24" s="44">
        <f t="shared" si="1"/>
        <v>8610</v>
      </c>
      <c r="I24" s="29">
        <v>8200</v>
      </c>
      <c r="J24" s="44">
        <f t="shared" si="2"/>
        <v>8610</v>
      </c>
      <c r="K24" s="2" t="s">
        <v>121</v>
      </c>
      <c r="L24" s="30">
        <v>44332</v>
      </c>
      <c r="M24" s="2" t="s">
        <v>123</v>
      </c>
    </row>
    <row r="25" spans="1:13">
      <c r="A25" s="28" t="s">
        <v>6</v>
      </c>
      <c r="B25" s="2" t="s">
        <v>36</v>
      </c>
      <c r="C25" s="2" t="s">
        <v>13</v>
      </c>
      <c r="D25" s="2" t="s">
        <v>118</v>
      </c>
      <c r="E25" s="29">
        <v>8200</v>
      </c>
      <c r="F25" s="44">
        <f t="shared" si="0"/>
        <v>8610</v>
      </c>
      <c r="G25" s="29">
        <v>8200</v>
      </c>
      <c r="H25" s="44">
        <f t="shared" si="1"/>
        <v>8610</v>
      </c>
      <c r="I25" s="29">
        <v>8200</v>
      </c>
      <c r="J25" s="44">
        <f t="shared" si="2"/>
        <v>8610</v>
      </c>
      <c r="K25" s="2" t="s">
        <v>121</v>
      </c>
      <c r="L25" s="30">
        <v>44332</v>
      </c>
      <c r="M25" s="2" t="s">
        <v>123</v>
      </c>
    </row>
    <row r="26" spans="1:13">
      <c r="A26" s="28" t="s">
        <v>6</v>
      </c>
      <c r="B26" s="2" t="s">
        <v>112</v>
      </c>
      <c r="C26" s="2" t="s">
        <v>13</v>
      </c>
      <c r="D26" s="2" t="s">
        <v>118</v>
      </c>
      <c r="E26" s="29">
        <v>8200</v>
      </c>
      <c r="F26" s="44">
        <f t="shared" si="0"/>
        <v>8610</v>
      </c>
      <c r="G26" s="29">
        <v>8200</v>
      </c>
      <c r="H26" s="44">
        <f t="shared" si="1"/>
        <v>8610</v>
      </c>
      <c r="I26" s="29">
        <v>8200</v>
      </c>
      <c r="J26" s="44">
        <f t="shared" si="2"/>
        <v>8610</v>
      </c>
      <c r="K26" s="2" t="s">
        <v>121</v>
      </c>
      <c r="L26" s="30">
        <v>44332</v>
      </c>
      <c r="M26" s="2" t="s">
        <v>123</v>
      </c>
    </row>
    <row r="27" spans="1:13">
      <c r="A27" s="28" t="s">
        <v>6</v>
      </c>
      <c r="B27" s="2" t="s">
        <v>37</v>
      </c>
      <c r="C27" s="2" t="s">
        <v>13</v>
      </c>
      <c r="D27" s="2" t="s">
        <v>118</v>
      </c>
      <c r="E27" s="29">
        <v>8200</v>
      </c>
      <c r="F27" s="44">
        <f t="shared" si="0"/>
        <v>8610</v>
      </c>
      <c r="G27" s="29">
        <v>8200</v>
      </c>
      <c r="H27" s="44">
        <f t="shared" si="1"/>
        <v>8610</v>
      </c>
      <c r="I27" s="29">
        <v>8200</v>
      </c>
      <c r="J27" s="44">
        <f t="shared" si="2"/>
        <v>8610</v>
      </c>
      <c r="K27" s="2" t="s">
        <v>121</v>
      </c>
      <c r="L27" s="30">
        <v>44332</v>
      </c>
      <c r="M27" s="2" t="s">
        <v>123</v>
      </c>
    </row>
    <row r="28" spans="1:13">
      <c r="A28" s="28" t="s">
        <v>6</v>
      </c>
      <c r="B28" s="2" t="s">
        <v>46</v>
      </c>
      <c r="C28" s="2" t="s">
        <v>13</v>
      </c>
      <c r="D28" s="2" t="s">
        <v>118</v>
      </c>
      <c r="E28" s="29">
        <v>8200</v>
      </c>
      <c r="F28" s="44">
        <f t="shared" si="0"/>
        <v>8610</v>
      </c>
      <c r="G28" s="29">
        <v>8200</v>
      </c>
      <c r="H28" s="44">
        <f t="shared" si="1"/>
        <v>8610</v>
      </c>
      <c r="I28" s="29">
        <v>8200</v>
      </c>
      <c r="J28" s="44">
        <f t="shared" si="2"/>
        <v>8610</v>
      </c>
      <c r="K28" s="2" t="s">
        <v>121</v>
      </c>
      <c r="L28" s="30">
        <v>44332</v>
      </c>
      <c r="M28" s="2" t="s">
        <v>123</v>
      </c>
    </row>
    <row r="29" spans="1:13">
      <c r="A29" s="28" t="s">
        <v>6</v>
      </c>
      <c r="B29" s="2" t="s">
        <v>41</v>
      </c>
      <c r="C29" s="2" t="s">
        <v>13</v>
      </c>
      <c r="D29" s="2" t="s">
        <v>118</v>
      </c>
      <c r="E29" s="29">
        <v>8200</v>
      </c>
      <c r="F29" s="44">
        <f t="shared" si="0"/>
        <v>8610</v>
      </c>
      <c r="G29" s="29">
        <v>8200</v>
      </c>
      <c r="H29" s="44">
        <f t="shared" si="1"/>
        <v>8610</v>
      </c>
      <c r="I29" s="29">
        <v>8200</v>
      </c>
      <c r="J29" s="44">
        <f t="shared" si="2"/>
        <v>8610</v>
      </c>
      <c r="K29" s="2" t="s">
        <v>121</v>
      </c>
      <c r="L29" s="30">
        <v>44332</v>
      </c>
      <c r="M29" s="2" t="s">
        <v>123</v>
      </c>
    </row>
    <row r="30" spans="1:13">
      <c r="A30" s="28" t="s">
        <v>6</v>
      </c>
      <c r="B30" s="2" t="s">
        <v>39</v>
      </c>
      <c r="C30" s="2" t="s">
        <v>13</v>
      </c>
      <c r="D30" s="2" t="s">
        <v>119</v>
      </c>
      <c r="E30" s="29">
        <v>6500</v>
      </c>
      <c r="F30" s="44">
        <f t="shared" si="0"/>
        <v>6825</v>
      </c>
      <c r="G30" s="29">
        <v>6500</v>
      </c>
      <c r="H30" s="44">
        <f t="shared" si="1"/>
        <v>6825</v>
      </c>
      <c r="I30" s="29">
        <v>6500</v>
      </c>
      <c r="J30" s="44">
        <f t="shared" si="2"/>
        <v>6825</v>
      </c>
      <c r="K30" s="2" t="s">
        <v>122</v>
      </c>
      <c r="L30" s="30">
        <v>44332</v>
      </c>
      <c r="M30" s="2" t="s">
        <v>123</v>
      </c>
    </row>
    <row r="31" spans="1:13">
      <c r="A31" s="28" t="s">
        <v>6</v>
      </c>
      <c r="B31" s="2" t="s">
        <v>40</v>
      </c>
      <c r="C31" s="2" t="s">
        <v>13</v>
      </c>
      <c r="D31" s="2" t="s">
        <v>119</v>
      </c>
      <c r="E31" s="29">
        <v>6500</v>
      </c>
      <c r="F31" s="44">
        <f t="shared" si="0"/>
        <v>6825</v>
      </c>
      <c r="G31" s="29">
        <v>6500</v>
      </c>
      <c r="H31" s="44">
        <f t="shared" si="1"/>
        <v>6825</v>
      </c>
      <c r="I31" s="29">
        <v>6500</v>
      </c>
      <c r="J31" s="44">
        <f t="shared" si="2"/>
        <v>6825</v>
      </c>
      <c r="K31" s="2" t="s">
        <v>122</v>
      </c>
      <c r="L31" s="30">
        <v>44332</v>
      </c>
      <c r="M31" s="2" t="s">
        <v>123</v>
      </c>
    </row>
    <row r="32" spans="1:13">
      <c r="A32" s="28" t="s">
        <v>6</v>
      </c>
      <c r="B32" s="2" t="s">
        <v>42</v>
      </c>
      <c r="C32" s="2" t="s">
        <v>13</v>
      </c>
      <c r="D32" s="2" t="s">
        <v>119</v>
      </c>
      <c r="E32" s="29">
        <v>6500</v>
      </c>
      <c r="F32" s="44">
        <f t="shared" si="0"/>
        <v>6825</v>
      </c>
      <c r="G32" s="29">
        <v>6500</v>
      </c>
      <c r="H32" s="44">
        <f t="shared" si="1"/>
        <v>6825</v>
      </c>
      <c r="I32" s="29">
        <v>6500</v>
      </c>
      <c r="J32" s="44">
        <f t="shared" si="2"/>
        <v>6825</v>
      </c>
      <c r="K32" s="2" t="s">
        <v>122</v>
      </c>
      <c r="L32" s="30">
        <v>44332</v>
      </c>
      <c r="M32" s="2" t="s">
        <v>123</v>
      </c>
    </row>
    <row r="33" spans="1:13">
      <c r="A33" s="28" t="s">
        <v>6</v>
      </c>
      <c r="B33" s="2" t="s">
        <v>36</v>
      </c>
      <c r="C33" s="2" t="s">
        <v>13</v>
      </c>
      <c r="D33" s="2" t="s">
        <v>119</v>
      </c>
      <c r="E33" s="29">
        <v>6500</v>
      </c>
      <c r="F33" s="44">
        <f t="shared" si="0"/>
        <v>6825</v>
      </c>
      <c r="G33" s="29">
        <v>6500</v>
      </c>
      <c r="H33" s="44">
        <f t="shared" si="1"/>
        <v>6825</v>
      </c>
      <c r="I33" s="29">
        <v>6500</v>
      </c>
      <c r="J33" s="44">
        <f t="shared" si="2"/>
        <v>6825</v>
      </c>
      <c r="K33" s="2" t="s">
        <v>122</v>
      </c>
      <c r="L33" s="30">
        <v>44332</v>
      </c>
      <c r="M33" s="2" t="s">
        <v>123</v>
      </c>
    </row>
    <row r="34" spans="1:13">
      <c r="A34" s="28" t="s">
        <v>6</v>
      </c>
      <c r="B34" s="2" t="s">
        <v>112</v>
      </c>
      <c r="C34" s="2" t="s">
        <v>13</v>
      </c>
      <c r="D34" s="2" t="s">
        <v>119</v>
      </c>
      <c r="E34" s="29">
        <v>6500</v>
      </c>
      <c r="F34" s="44">
        <f t="shared" si="0"/>
        <v>6825</v>
      </c>
      <c r="G34" s="29">
        <v>6500</v>
      </c>
      <c r="H34" s="44">
        <f t="shared" si="1"/>
        <v>6825</v>
      </c>
      <c r="I34" s="29">
        <v>6500</v>
      </c>
      <c r="J34" s="44">
        <f t="shared" si="2"/>
        <v>6825</v>
      </c>
      <c r="K34" s="2" t="s">
        <v>122</v>
      </c>
      <c r="L34" s="30">
        <v>44332</v>
      </c>
      <c r="M34" s="2" t="s">
        <v>123</v>
      </c>
    </row>
    <row r="35" spans="1:13">
      <c r="A35" s="28" t="s">
        <v>6</v>
      </c>
      <c r="B35" s="2" t="s">
        <v>37</v>
      </c>
      <c r="C35" s="2" t="s">
        <v>13</v>
      </c>
      <c r="D35" s="2" t="s">
        <v>119</v>
      </c>
      <c r="E35" s="29">
        <v>6500</v>
      </c>
      <c r="F35" s="44">
        <f t="shared" si="0"/>
        <v>6825</v>
      </c>
      <c r="G35" s="29">
        <v>6500</v>
      </c>
      <c r="H35" s="44">
        <f t="shared" si="1"/>
        <v>6825</v>
      </c>
      <c r="I35" s="29">
        <v>6500</v>
      </c>
      <c r="J35" s="44">
        <f t="shared" si="2"/>
        <v>6825</v>
      </c>
      <c r="K35" s="2" t="s">
        <v>122</v>
      </c>
      <c r="L35" s="30">
        <v>44332</v>
      </c>
      <c r="M35" s="2" t="s">
        <v>123</v>
      </c>
    </row>
    <row r="36" spans="1:13">
      <c r="A36" s="28" t="s">
        <v>6</v>
      </c>
      <c r="B36" s="2" t="s">
        <v>46</v>
      </c>
      <c r="C36" s="2" t="s">
        <v>13</v>
      </c>
      <c r="D36" s="2" t="s">
        <v>119</v>
      </c>
      <c r="E36" s="29">
        <v>6500</v>
      </c>
      <c r="F36" s="44">
        <f t="shared" si="0"/>
        <v>6825</v>
      </c>
      <c r="G36" s="29">
        <v>6500</v>
      </c>
      <c r="H36" s="44">
        <f t="shared" si="1"/>
        <v>6825</v>
      </c>
      <c r="I36" s="29">
        <v>6500</v>
      </c>
      <c r="J36" s="44">
        <f t="shared" si="2"/>
        <v>6825</v>
      </c>
      <c r="K36" s="2" t="s">
        <v>122</v>
      </c>
      <c r="L36" s="30">
        <v>44332</v>
      </c>
      <c r="M36" s="2" t="s">
        <v>123</v>
      </c>
    </row>
    <row r="37" spans="1:13">
      <c r="A37" s="28" t="s">
        <v>6</v>
      </c>
      <c r="B37" s="2" t="s">
        <v>41</v>
      </c>
      <c r="C37" s="2" t="s">
        <v>13</v>
      </c>
      <c r="D37" s="2" t="s">
        <v>119</v>
      </c>
      <c r="E37" s="29">
        <v>6500</v>
      </c>
      <c r="F37" s="44">
        <f t="shared" si="0"/>
        <v>6825</v>
      </c>
      <c r="G37" s="29">
        <v>6500</v>
      </c>
      <c r="H37" s="44">
        <f t="shared" si="1"/>
        <v>6825</v>
      </c>
      <c r="I37" s="29">
        <v>6500</v>
      </c>
      <c r="J37" s="44">
        <f t="shared" si="2"/>
        <v>6825</v>
      </c>
      <c r="K37" s="2" t="s">
        <v>122</v>
      </c>
      <c r="L37" s="30">
        <v>44332</v>
      </c>
      <c r="M37" s="2" t="s">
        <v>123</v>
      </c>
    </row>
    <row r="38" spans="1:13">
      <c r="A38" s="26"/>
      <c r="B38" s="26"/>
      <c r="C38" s="26"/>
      <c r="D38" s="1"/>
      <c r="E38" s="27"/>
      <c r="F38" s="27"/>
      <c r="G38" s="27"/>
      <c r="H38" s="27"/>
      <c r="I38" s="27"/>
      <c r="J38" s="27"/>
      <c r="K38" s="26"/>
      <c r="L38" s="26"/>
      <c r="M38" s="26"/>
    </row>
  </sheetData>
  <autoFilter ref="A5:M5" xr:uid="{B6270F2C-7F11-47DE-8564-7323817ACB14}"/>
  <mergeCells count="2">
    <mergeCell ref="A1:M3"/>
    <mergeCell ref="A4:M4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A854-6A65-4928-BA81-8B5E8F960704}">
  <dimension ref="A1:AT36"/>
  <sheetViews>
    <sheetView zoomScaleNormal="100" workbookViewId="0">
      <pane xSplit="2" topLeftCell="C1" activePane="topRight" state="frozen"/>
      <selection activeCell="A2" sqref="A2"/>
      <selection pane="topRight" activeCell="N1" sqref="N1"/>
    </sheetView>
  </sheetViews>
  <sheetFormatPr baseColWidth="10" defaultRowHeight="15"/>
  <cols>
    <col min="1" max="1" width="4.33203125" customWidth="1"/>
    <col min="2" max="2" width="25" bestFit="1" customWidth="1"/>
    <col min="3" max="3" width="14.6640625" bestFit="1" customWidth="1"/>
    <col min="4" max="4" width="14.6640625" customWidth="1"/>
    <col min="5" max="5" width="19.6640625" bestFit="1" customWidth="1"/>
    <col min="6" max="6" width="19.6640625" customWidth="1"/>
    <col min="7" max="7" width="13.83203125" bestFit="1" customWidth="1"/>
    <col min="8" max="8" width="13.83203125" customWidth="1"/>
    <col min="9" max="9" width="13.83203125" bestFit="1" customWidth="1"/>
    <col min="10" max="10" width="13.83203125" customWidth="1"/>
    <col min="11" max="11" width="13.83203125" bestFit="1" customWidth="1"/>
    <col min="12" max="12" width="13.83203125" customWidth="1"/>
    <col min="13" max="13" width="16.6640625" bestFit="1" customWidth="1"/>
    <col min="14" max="14" width="12" style="31" customWidth="1"/>
    <col min="17" max="17" width="5.1640625" customWidth="1"/>
    <col min="18" max="18" width="14.83203125" bestFit="1" customWidth="1"/>
    <col min="20" max="20" width="20" bestFit="1" customWidth="1"/>
    <col min="22" max="22" width="13.83203125" bestFit="1" customWidth="1"/>
    <col min="24" max="24" width="13.83203125" bestFit="1" customWidth="1"/>
    <col min="26" max="26" width="13.83203125" bestFit="1" customWidth="1"/>
    <col min="28" max="28" width="13.83203125" bestFit="1" customWidth="1"/>
    <col min="32" max="32" width="3.5" bestFit="1" customWidth="1"/>
    <col min="33" max="33" width="14.83203125" bestFit="1" customWidth="1"/>
    <col min="35" max="35" width="20" bestFit="1" customWidth="1"/>
    <col min="37" max="37" width="13.83203125" bestFit="1" customWidth="1"/>
    <col min="39" max="39" width="13.83203125" bestFit="1" customWidth="1"/>
    <col min="41" max="41" width="13.83203125" bestFit="1" customWidth="1"/>
    <col min="43" max="43" width="13.83203125" bestFit="1" customWidth="1"/>
    <col min="45" max="45" width="12.1640625" bestFit="1" customWidth="1"/>
  </cols>
  <sheetData>
    <row r="1" spans="1:46" ht="114" customHeight="1">
      <c r="B1" s="76" t="s">
        <v>111</v>
      </c>
      <c r="C1" s="76"/>
      <c r="D1" s="76"/>
      <c r="E1" s="76"/>
      <c r="F1" s="76"/>
      <c r="G1" s="76"/>
      <c r="H1" s="76"/>
      <c r="I1" s="76"/>
      <c r="J1" s="76"/>
      <c r="K1" s="76"/>
      <c r="L1" s="77"/>
      <c r="M1" s="49" t="s">
        <v>127</v>
      </c>
      <c r="N1" s="32">
        <v>0.5</v>
      </c>
      <c r="O1" s="51">
        <v>3.95</v>
      </c>
      <c r="P1" s="55">
        <v>0.1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46" s="45" customFormat="1" ht="16">
      <c r="A2" s="73" t="s">
        <v>174</v>
      </c>
      <c r="B2" s="46" t="s">
        <v>130</v>
      </c>
      <c r="C2" s="23" t="s">
        <v>133</v>
      </c>
      <c r="D2" s="47" t="s">
        <v>128</v>
      </c>
      <c r="E2" s="23" t="s">
        <v>134</v>
      </c>
      <c r="F2" s="47" t="s">
        <v>128</v>
      </c>
      <c r="G2" s="23" t="s">
        <v>135</v>
      </c>
      <c r="H2" s="47" t="s">
        <v>128</v>
      </c>
      <c r="I2" s="23" t="s">
        <v>136</v>
      </c>
      <c r="J2" s="47" t="s">
        <v>128</v>
      </c>
      <c r="K2" s="23" t="s">
        <v>137</v>
      </c>
      <c r="L2" s="47" t="s">
        <v>128</v>
      </c>
      <c r="M2" s="23" t="s">
        <v>138</v>
      </c>
      <c r="N2" s="47" t="s">
        <v>128</v>
      </c>
      <c r="O2" s="51" t="s">
        <v>172</v>
      </c>
      <c r="P2" s="58" t="s">
        <v>128</v>
      </c>
      <c r="Q2" s="78" t="s">
        <v>173</v>
      </c>
      <c r="R2" s="23" t="s">
        <v>133</v>
      </c>
      <c r="S2" s="47" t="s">
        <v>128</v>
      </c>
      <c r="T2" s="23" t="s">
        <v>134</v>
      </c>
      <c r="U2" s="47" t="s">
        <v>128</v>
      </c>
      <c r="V2" s="23" t="s">
        <v>135</v>
      </c>
      <c r="W2" s="47" t="s">
        <v>128</v>
      </c>
      <c r="X2" s="23" t="s">
        <v>136</v>
      </c>
      <c r="Y2" s="47" t="s">
        <v>128</v>
      </c>
      <c r="Z2" s="23" t="s">
        <v>137</v>
      </c>
      <c r="AA2" s="47" t="s">
        <v>128</v>
      </c>
      <c r="AB2" s="23" t="s">
        <v>138</v>
      </c>
      <c r="AC2" s="47" t="s">
        <v>128</v>
      </c>
      <c r="AD2" s="51" t="s">
        <v>172</v>
      </c>
      <c r="AE2" s="58" t="s">
        <v>128</v>
      </c>
      <c r="AF2" s="74" t="s">
        <v>175</v>
      </c>
      <c r="AG2" s="23" t="s">
        <v>133</v>
      </c>
      <c r="AH2" s="47" t="s">
        <v>128</v>
      </c>
      <c r="AI2" s="23" t="s">
        <v>134</v>
      </c>
      <c r="AJ2" s="47" t="s">
        <v>128</v>
      </c>
      <c r="AK2" s="23" t="s">
        <v>135</v>
      </c>
      <c r="AL2" s="47" t="s">
        <v>128</v>
      </c>
      <c r="AM2" s="23" t="s">
        <v>136</v>
      </c>
      <c r="AN2" s="47" t="s">
        <v>128</v>
      </c>
      <c r="AO2" s="23" t="s">
        <v>137</v>
      </c>
      <c r="AP2" s="47" t="s">
        <v>128</v>
      </c>
      <c r="AQ2" s="23" t="s">
        <v>138</v>
      </c>
      <c r="AR2" s="47" t="s">
        <v>128</v>
      </c>
      <c r="AS2" s="51" t="s">
        <v>172</v>
      </c>
      <c r="AT2" s="58" t="s">
        <v>128</v>
      </c>
    </row>
    <row r="3" spans="1:46">
      <c r="A3" s="73"/>
      <c r="B3" s="48" t="s">
        <v>13</v>
      </c>
      <c r="C3" s="52">
        <f>140/$O$1</f>
        <v>35.443037974683541</v>
      </c>
      <c r="D3" s="53">
        <f>C3+(C3*$N$1)</f>
        <v>53.164556962025316</v>
      </c>
      <c r="E3" s="52">
        <f>(160/$O$1)</f>
        <v>40.506329113924046</v>
      </c>
      <c r="F3" s="53">
        <f>E3+(E3*$N$1)</f>
        <v>60.759493670886073</v>
      </c>
      <c r="G3" s="52">
        <f>(180/$O$1)</f>
        <v>45.569620253164558</v>
      </c>
      <c r="H3" s="53">
        <f>G3+(G3*$N$1)</f>
        <v>68.354430379746844</v>
      </c>
      <c r="I3" s="52">
        <f>(230/$O$1)</f>
        <v>58.22784810126582</v>
      </c>
      <c r="J3" s="53">
        <f>I3+(I3*$N$1)</f>
        <v>87.341772151898738</v>
      </c>
      <c r="K3" s="52">
        <f>(250/$O$1)</f>
        <v>63.291139240506325</v>
      </c>
      <c r="L3" s="53">
        <f>K3+(K3*$N$1)</f>
        <v>94.936708860759495</v>
      </c>
      <c r="M3" s="52">
        <f>(300/$O$1)</f>
        <v>75.949367088607588</v>
      </c>
      <c r="N3" s="53">
        <f>M3+(M3*$N$1)</f>
        <v>113.92405063291139</v>
      </c>
      <c r="O3" s="54">
        <f>480/$O$1</f>
        <v>121.51898734177215</v>
      </c>
      <c r="P3" s="59">
        <f>O3+(O3*$P$1)</f>
        <v>133.67088607594937</v>
      </c>
      <c r="Q3" s="78"/>
      <c r="R3" s="60">
        <f>165/$O$1</f>
        <v>41.772151898734172</v>
      </c>
      <c r="S3" s="61">
        <f>R3+(R3*$N$1)</f>
        <v>62.658227848101262</v>
      </c>
      <c r="T3" s="25">
        <f>(185/$O$1)</f>
        <v>46.835443037974684</v>
      </c>
      <c r="U3" s="61">
        <f>T3+(T3*$N$1)</f>
        <v>70.25316455696202</v>
      </c>
      <c r="V3" s="25">
        <f>(210/$O$1)</f>
        <v>53.164556962025316</v>
      </c>
      <c r="W3" s="61">
        <f>V3+(V3*$N$1)</f>
        <v>79.74683544303798</v>
      </c>
      <c r="X3" s="25">
        <f>(235/$O$1)</f>
        <v>59.493670886075947</v>
      </c>
      <c r="Y3" s="61">
        <f>X3+(X3*$N$1)</f>
        <v>89.240506329113913</v>
      </c>
      <c r="Z3" s="25">
        <f>260/$O$1</f>
        <v>65.822784810126578</v>
      </c>
      <c r="AA3" s="61">
        <f>Z3+(Z3*$N$1)</f>
        <v>98.734177215189874</v>
      </c>
      <c r="AB3" s="25">
        <f>310/$O$1</f>
        <v>78.48101265822784</v>
      </c>
      <c r="AC3" s="61">
        <f>AB3+(AB3*$N$1)</f>
        <v>117.72151898734177</v>
      </c>
      <c r="AD3" s="25">
        <f>600/O1</f>
        <v>151.89873417721518</v>
      </c>
      <c r="AE3" s="61">
        <f>AD3+(AD3*$N$1)</f>
        <v>227.84810126582278</v>
      </c>
      <c r="AF3" s="74"/>
      <c r="AG3" s="25">
        <f>250/$O$1</f>
        <v>63.291139240506325</v>
      </c>
      <c r="AH3" s="61">
        <f>AG3+(AG3*$N$1)</f>
        <v>94.936708860759495</v>
      </c>
      <c r="AI3" s="25">
        <f>270/$O$1</f>
        <v>68.35443037974683</v>
      </c>
      <c r="AJ3" s="61">
        <f>AI3+(AI3*$N$1)</f>
        <v>102.53164556962025</v>
      </c>
      <c r="AK3" s="25">
        <f>300/$O$1</f>
        <v>75.949367088607588</v>
      </c>
      <c r="AL3" s="61">
        <f>AK3+(AK3*$N$1)</f>
        <v>113.92405063291139</v>
      </c>
      <c r="AM3" s="25">
        <f>350/$O$1</f>
        <v>88.60759493670885</v>
      </c>
      <c r="AN3" s="61">
        <f>AM3+(AM3*$N$1)</f>
        <v>132.91139240506328</v>
      </c>
      <c r="AO3" s="25">
        <f>370/$O$1</f>
        <v>93.670886075949369</v>
      </c>
      <c r="AP3" s="61">
        <f>AO3+(AO3*$N$1)</f>
        <v>140.50632911392404</v>
      </c>
      <c r="AQ3" s="25">
        <f>350/$O$1</f>
        <v>88.60759493670885</v>
      </c>
      <c r="AR3" s="61">
        <f>AQ3+(AQ3*$N$1)</f>
        <v>132.91139240506328</v>
      </c>
      <c r="AS3" s="25">
        <f>680/$O$1</f>
        <v>172.15189873417719</v>
      </c>
      <c r="AT3" s="61">
        <f>AS3+(AS3*$N$1)</f>
        <v>258.22784810126581</v>
      </c>
    </row>
    <row r="4" spans="1:46">
      <c r="A4" s="73"/>
      <c r="B4" s="48" t="s">
        <v>139</v>
      </c>
      <c r="C4" s="52">
        <f t="shared" ref="C4:C9" si="0">140/$O$1</f>
        <v>35.443037974683541</v>
      </c>
      <c r="D4" s="53">
        <f t="shared" ref="D4:D9" si="1">C4+(C4*$N$1)</f>
        <v>53.164556962025316</v>
      </c>
      <c r="E4" s="52">
        <f t="shared" ref="E4:E9" si="2">(160/$O$1)</f>
        <v>40.506329113924046</v>
      </c>
      <c r="F4" s="53">
        <f t="shared" ref="F4:F9" si="3">E4+(E4*$N$1)</f>
        <v>60.759493670886073</v>
      </c>
      <c r="G4" s="52">
        <f t="shared" ref="G4:G9" si="4">(180/$O$1)</f>
        <v>45.569620253164558</v>
      </c>
      <c r="H4" s="53">
        <f t="shared" ref="H4:H9" si="5">G4+(G4*$N$1)</f>
        <v>68.354430379746844</v>
      </c>
      <c r="I4" s="52">
        <f t="shared" ref="I4:I9" si="6">(230/$O$1)</f>
        <v>58.22784810126582</v>
      </c>
      <c r="J4" s="53">
        <f t="shared" ref="J4:J9" si="7">I4+(I4*$N$1)</f>
        <v>87.341772151898738</v>
      </c>
      <c r="K4" s="52">
        <f t="shared" ref="K4:K9" si="8">(250/$O$1)</f>
        <v>63.291139240506325</v>
      </c>
      <c r="L4" s="53">
        <f t="shared" ref="L4:L9" si="9">K4+(K4*$N$1)</f>
        <v>94.936708860759495</v>
      </c>
      <c r="M4" s="52">
        <f t="shared" ref="M4:M9" si="10">(300/$O$1)</f>
        <v>75.949367088607588</v>
      </c>
      <c r="N4" s="53">
        <f t="shared" ref="N4:N9" si="11">M4+(M4*$N$1)</f>
        <v>113.92405063291139</v>
      </c>
      <c r="O4" s="54">
        <f>480/O1</f>
        <v>121.51898734177215</v>
      </c>
      <c r="P4" s="59">
        <f t="shared" ref="P4:P36" si="12">O4+(O4*$P$1)</f>
        <v>133.67088607594937</v>
      </c>
      <c r="Q4" s="78"/>
      <c r="R4" s="60">
        <f t="shared" ref="R4:R9" si="13">165/$O$1</f>
        <v>41.772151898734172</v>
      </c>
      <c r="S4" s="61">
        <f t="shared" ref="S4:S9" si="14">R4+(R4*$N$1)</f>
        <v>62.658227848101262</v>
      </c>
      <c r="T4" s="25">
        <f t="shared" ref="T4:T8" si="15">(185/$O$1)</f>
        <v>46.835443037974684</v>
      </c>
      <c r="U4" s="61">
        <f t="shared" ref="U4:U9" si="16">T4+(T4*$N$1)</f>
        <v>70.25316455696202</v>
      </c>
      <c r="V4" s="25">
        <f t="shared" ref="V4:V8" si="17">(210/$O$1)</f>
        <v>53.164556962025316</v>
      </c>
      <c r="W4" s="61">
        <f t="shared" ref="W4:W9" si="18">V4+(V4*$N$1)</f>
        <v>79.74683544303798</v>
      </c>
      <c r="X4" s="25">
        <f t="shared" ref="X4:X9" si="19">(235/$O$1)</f>
        <v>59.493670886075947</v>
      </c>
      <c r="Y4" s="61">
        <f t="shared" ref="Y4:Y9" si="20">X4+(X4*$N$1)</f>
        <v>89.240506329113913</v>
      </c>
      <c r="Z4" s="25">
        <f t="shared" ref="Z4:Z9" si="21">260/$O$1</f>
        <v>65.822784810126578</v>
      </c>
      <c r="AA4" s="61">
        <f t="shared" ref="AA4:AA9" si="22">Z4+(Z4*$N$1)</f>
        <v>98.734177215189874</v>
      </c>
      <c r="AB4" s="25">
        <f t="shared" ref="AB4:AB9" si="23">310/$O$1</f>
        <v>78.48101265822784</v>
      </c>
      <c r="AC4" s="61">
        <f t="shared" ref="AC4:AC8" si="24">AB4+(AB4*$N$1)</f>
        <v>117.72151898734177</v>
      </c>
      <c r="AD4" s="25">
        <f>600/O1</f>
        <v>151.89873417721518</v>
      </c>
      <c r="AE4" s="61">
        <f t="shared" ref="AE4:AE9" si="25">AD4+(AD4*$N$1)</f>
        <v>227.84810126582278</v>
      </c>
      <c r="AF4" s="74"/>
      <c r="AG4" s="25">
        <f t="shared" ref="AG4:AG9" si="26">250/$O$1</f>
        <v>63.291139240506325</v>
      </c>
      <c r="AH4" s="61">
        <f t="shared" ref="AH4:AH9" si="27">AG4+(AG4*$N$1)</f>
        <v>94.936708860759495</v>
      </c>
      <c r="AI4" s="25">
        <f t="shared" ref="AI4:AI9" si="28">270/$O$1</f>
        <v>68.35443037974683</v>
      </c>
      <c r="AJ4" s="61">
        <f t="shared" ref="AJ4:AJ9" si="29">AI4+(AI4*$N$1)</f>
        <v>102.53164556962025</v>
      </c>
      <c r="AK4" s="25">
        <f t="shared" ref="AK4:AK9" si="30">300/$O$1</f>
        <v>75.949367088607588</v>
      </c>
      <c r="AL4" s="61">
        <f t="shared" ref="AL4:AL9" si="31">AK4+(AK4*$N$1)</f>
        <v>113.92405063291139</v>
      </c>
      <c r="AM4" s="25">
        <f t="shared" ref="AM4:AM9" si="32">350/$O$1</f>
        <v>88.60759493670885</v>
      </c>
      <c r="AN4" s="61">
        <f t="shared" ref="AN4:AN9" si="33">AM4+(AM4*$N$1)</f>
        <v>132.91139240506328</v>
      </c>
      <c r="AO4" s="25">
        <f t="shared" ref="AO4:AO9" si="34">370/$O$1</f>
        <v>93.670886075949369</v>
      </c>
      <c r="AP4" s="61">
        <f t="shared" ref="AP4:AP9" si="35">AO4+(AO4*$N$1)</f>
        <v>140.50632911392404</v>
      </c>
      <c r="AQ4" s="25">
        <f t="shared" ref="AQ4:AQ9" si="36">350/$O$1</f>
        <v>88.60759493670885</v>
      </c>
      <c r="AR4" s="61">
        <f t="shared" ref="AR4:AR9" si="37">AQ4+(AQ4*$N$1)</f>
        <v>132.91139240506328</v>
      </c>
      <c r="AS4" s="25">
        <f>680/$O$1</f>
        <v>172.15189873417719</v>
      </c>
      <c r="AT4" s="61">
        <f>AS4+(AS4*$N$1)</f>
        <v>258.22784810126581</v>
      </c>
    </row>
    <row r="5" spans="1:46">
      <c r="A5" s="73"/>
      <c r="B5" s="48" t="s">
        <v>140</v>
      </c>
      <c r="C5" s="52">
        <f t="shared" si="0"/>
        <v>35.443037974683541</v>
      </c>
      <c r="D5" s="53">
        <f t="shared" si="1"/>
        <v>53.164556962025316</v>
      </c>
      <c r="E5" s="52">
        <f t="shared" si="2"/>
        <v>40.506329113924046</v>
      </c>
      <c r="F5" s="53">
        <f t="shared" si="3"/>
        <v>60.759493670886073</v>
      </c>
      <c r="G5" s="52">
        <f t="shared" si="4"/>
        <v>45.569620253164558</v>
      </c>
      <c r="H5" s="53">
        <f t="shared" si="5"/>
        <v>68.354430379746844</v>
      </c>
      <c r="I5" s="52">
        <f t="shared" si="6"/>
        <v>58.22784810126582</v>
      </c>
      <c r="J5" s="53">
        <f t="shared" si="7"/>
        <v>87.341772151898738</v>
      </c>
      <c r="K5" s="52">
        <f t="shared" si="8"/>
        <v>63.291139240506325</v>
      </c>
      <c r="L5" s="53">
        <f t="shared" si="9"/>
        <v>94.936708860759495</v>
      </c>
      <c r="M5" s="52">
        <f t="shared" si="10"/>
        <v>75.949367088607588</v>
      </c>
      <c r="N5" s="53">
        <f t="shared" si="11"/>
        <v>113.92405063291139</v>
      </c>
      <c r="O5" s="54">
        <f>580/O1</f>
        <v>146.83544303797467</v>
      </c>
      <c r="P5" s="59">
        <f t="shared" si="12"/>
        <v>161.51898734177215</v>
      </c>
      <c r="Q5" s="78"/>
      <c r="R5" s="60">
        <f t="shared" si="13"/>
        <v>41.772151898734172</v>
      </c>
      <c r="S5" s="61">
        <f t="shared" si="14"/>
        <v>62.658227848101262</v>
      </c>
      <c r="T5" s="25">
        <f t="shared" si="15"/>
        <v>46.835443037974684</v>
      </c>
      <c r="U5" s="61">
        <f t="shared" si="16"/>
        <v>70.25316455696202</v>
      </c>
      <c r="V5" s="25">
        <f t="shared" si="17"/>
        <v>53.164556962025316</v>
      </c>
      <c r="W5" s="61">
        <f t="shared" si="18"/>
        <v>79.74683544303798</v>
      </c>
      <c r="X5" s="25">
        <f t="shared" si="19"/>
        <v>59.493670886075947</v>
      </c>
      <c r="Y5" s="61">
        <f t="shared" si="20"/>
        <v>89.240506329113913</v>
      </c>
      <c r="Z5" s="25">
        <f t="shared" si="21"/>
        <v>65.822784810126578</v>
      </c>
      <c r="AA5" s="61">
        <f t="shared" si="22"/>
        <v>98.734177215189874</v>
      </c>
      <c r="AB5" s="25">
        <f t="shared" si="23"/>
        <v>78.48101265822784</v>
      </c>
      <c r="AC5" s="61">
        <f t="shared" si="24"/>
        <v>117.72151898734177</v>
      </c>
      <c r="AD5" s="25">
        <f>800/O1</f>
        <v>202.53164556962025</v>
      </c>
      <c r="AE5" s="61">
        <f t="shared" si="25"/>
        <v>303.79746835443041</v>
      </c>
      <c r="AF5" s="74"/>
      <c r="AG5" s="25">
        <f t="shared" si="26"/>
        <v>63.291139240506325</v>
      </c>
      <c r="AH5" s="61">
        <f t="shared" si="27"/>
        <v>94.936708860759495</v>
      </c>
      <c r="AI5" s="25">
        <f t="shared" si="28"/>
        <v>68.35443037974683</v>
      </c>
      <c r="AJ5" s="61">
        <f t="shared" si="29"/>
        <v>102.53164556962025</v>
      </c>
      <c r="AK5" s="25">
        <f t="shared" si="30"/>
        <v>75.949367088607588</v>
      </c>
      <c r="AL5" s="61">
        <f t="shared" si="31"/>
        <v>113.92405063291139</v>
      </c>
      <c r="AM5" s="25">
        <f t="shared" si="32"/>
        <v>88.60759493670885</v>
      </c>
      <c r="AN5" s="61">
        <f t="shared" si="33"/>
        <v>132.91139240506328</v>
      </c>
      <c r="AO5" s="25">
        <f t="shared" si="34"/>
        <v>93.670886075949369</v>
      </c>
      <c r="AP5" s="61">
        <f t="shared" si="35"/>
        <v>140.50632911392404</v>
      </c>
      <c r="AQ5" s="25">
        <f t="shared" si="36"/>
        <v>88.60759493670885</v>
      </c>
      <c r="AR5" s="61">
        <f t="shared" si="37"/>
        <v>132.91139240506328</v>
      </c>
      <c r="AS5" s="25">
        <f>990/$O$1</f>
        <v>250.63291139240505</v>
      </c>
      <c r="AT5" s="61">
        <f>AS5+(AS5*$N$1)</f>
        <v>375.94936708860757</v>
      </c>
    </row>
    <row r="6" spans="1:46">
      <c r="A6" s="73"/>
      <c r="B6" s="48" t="s">
        <v>141</v>
      </c>
      <c r="C6" s="52">
        <f t="shared" si="0"/>
        <v>35.443037974683541</v>
      </c>
      <c r="D6" s="53">
        <f t="shared" si="1"/>
        <v>53.164556962025316</v>
      </c>
      <c r="E6" s="52">
        <f t="shared" si="2"/>
        <v>40.506329113924046</v>
      </c>
      <c r="F6" s="53">
        <f t="shared" si="3"/>
        <v>60.759493670886073</v>
      </c>
      <c r="G6" s="52">
        <f t="shared" si="4"/>
        <v>45.569620253164558</v>
      </c>
      <c r="H6" s="53">
        <f t="shared" si="5"/>
        <v>68.354430379746844</v>
      </c>
      <c r="I6" s="52">
        <f t="shared" si="6"/>
        <v>58.22784810126582</v>
      </c>
      <c r="J6" s="53">
        <f t="shared" si="7"/>
        <v>87.341772151898738</v>
      </c>
      <c r="K6" s="52">
        <f t="shared" si="8"/>
        <v>63.291139240506325</v>
      </c>
      <c r="L6" s="53">
        <f t="shared" si="9"/>
        <v>94.936708860759495</v>
      </c>
      <c r="M6" s="52">
        <f t="shared" si="10"/>
        <v>75.949367088607588</v>
      </c>
      <c r="N6" s="53">
        <f t="shared" si="11"/>
        <v>113.92405063291139</v>
      </c>
      <c r="O6" s="54">
        <f>580/O1</f>
        <v>146.83544303797467</v>
      </c>
      <c r="P6" s="59">
        <f t="shared" si="12"/>
        <v>161.51898734177215</v>
      </c>
      <c r="Q6" s="78"/>
      <c r="R6" s="60">
        <f t="shared" si="13"/>
        <v>41.772151898734172</v>
      </c>
      <c r="S6" s="61">
        <f t="shared" si="14"/>
        <v>62.658227848101262</v>
      </c>
      <c r="T6" s="25">
        <f t="shared" si="15"/>
        <v>46.835443037974684</v>
      </c>
      <c r="U6" s="61">
        <f t="shared" si="16"/>
        <v>70.25316455696202</v>
      </c>
      <c r="V6" s="25">
        <f t="shared" si="17"/>
        <v>53.164556962025316</v>
      </c>
      <c r="W6" s="61">
        <f t="shared" si="18"/>
        <v>79.74683544303798</v>
      </c>
      <c r="X6" s="25">
        <f t="shared" si="19"/>
        <v>59.493670886075947</v>
      </c>
      <c r="Y6" s="61">
        <f t="shared" si="20"/>
        <v>89.240506329113913</v>
      </c>
      <c r="Z6" s="25">
        <f t="shared" si="21"/>
        <v>65.822784810126578</v>
      </c>
      <c r="AA6" s="61">
        <f t="shared" si="22"/>
        <v>98.734177215189874</v>
      </c>
      <c r="AB6" s="25">
        <f t="shared" si="23"/>
        <v>78.48101265822784</v>
      </c>
      <c r="AC6" s="61">
        <f t="shared" si="24"/>
        <v>117.72151898734177</v>
      </c>
      <c r="AD6" s="25">
        <f>800/O1</f>
        <v>202.53164556962025</v>
      </c>
      <c r="AE6" s="61">
        <f t="shared" si="25"/>
        <v>303.79746835443041</v>
      </c>
      <c r="AF6" s="74"/>
      <c r="AG6" s="25">
        <f t="shared" si="26"/>
        <v>63.291139240506325</v>
      </c>
      <c r="AH6" s="61">
        <f t="shared" si="27"/>
        <v>94.936708860759495</v>
      </c>
      <c r="AI6" s="25">
        <f t="shared" si="28"/>
        <v>68.35443037974683</v>
      </c>
      <c r="AJ6" s="61">
        <f t="shared" si="29"/>
        <v>102.53164556962025</v>
      </c>
      <c r="AK6" s="25">
        <f t="shared" si="30"/>
        <v>75.949367088607588</v>
      </c>
      <c r="AL6" s="61">
        <f t="shared" si="31"/>
        <v>113.92405063291139</v>
      </c>
      <c r="AM6" s="25">
        <f t="shared" si="32"/>
        <v>88.60759493670885</v>
      </c>
      <c r="AN6" s="61">
        <f t="shared" si="33"/>
        <v>132.91139240506328</v>
      </c>
      <c r="AO6" s="25">
        <f t="shared" si="34"/>
        <v>93.670886075949369</v>
      </c>
      <c r="AP6" s="61">
        <f t="shared" si="35"/>
        <v>140.50632911392404</v>
      </c>
      <c r="AQ6" s="25">
        <f t="shared" si="36"/>
        <v>88.60759493670885</v>
      </c>
      <c r="AR6" s="61">
        <f t="shared" si="37"/>
        <v>132.91139240506328</v>
      </c>
      <c r="AS6" s="25">
        <f t="shared" ref="AS6:AS8" si="38">990/$O$1</f>
        <v>250.63291139240505</v>
      </c>
      <c r="AT6" s="61">
        <f t="shared" ref="AT6:AT8" si="39">AS6+(AS6*$N$1)</f>
        <v>375.94936708860757</v>
      </c>
    </row>
    <row r="7" spans="1:46">
      <c r="A7" s="73"/>
      <c r="B7" s="48" t="s">
        <v>142</v>
      </c>
      <c r="C7" s="52">
        <f t="shared" si="0"/>
        <v>35.443037974683541</v>
      </c>
      <c r="D7" s="53">
        <f t="shared" si="1"/>
        <v>53.164556962025316</v>
      </c>
      <c r="E7" s="52">
        <f t="shared" si="2"/>
        <v>40.506329113924046</v>
      </c>
      <c r="F7" s="53">
        <f t="shared" si="3"/>
        <v>60.759493670886073</v>
      </c>
      <c r="G7" s="52">
        <f t="shared" si="4"/>
        <v>45.569620253164558</v>
      </c>
      <c r="H7" s="53">
        <f t="shared" si="5"/>
        <v>68.354430379746844</v>
      </c>
      <c r="I7" s="52">
        <f t="shared" si="6"/>
        <v>58.22784810126582</v>
      </c>
      <c r="J7" s="53">
        <f t="shared" si="7"/>
        <v>87.341772151898738</v>
      </c>
      <c r="K7" s="52">
        <f t="shared" si="8"/>
        <v>63.291139240506325</v>
      </c>
      <c r="L7" s="53">
        <f t="shared" si="9"/>
        <v>94.936708860759495</v>
      </c>
      <c r="M7" s="52">
        <f t="shared" si="10"/>
        <v>75.949367088607588</v>
      </c>
      <c r="N7" s="53">
        <f t="shared" si="11"/>
        <v>113.92405063291139</v>
      </c>
      <c r="O7" s="54">
        <f>580/O1</f>
        <v>146.83544303797467</v>
      </c>
      <c r="P7" s="59">
        <f t="shared" si="12"/>
        <v>161.51898734177215</v>
      </c>
      <c r="Q7" s="78"/>
      <c r="R7" s="60">
        <f t="shared" si="13"/>
        <v>41.772151898734172</v>
      </c>
      <c r="S7" s="61">
        <f t="shared" si="14"/>
        <v>62.658227848101262</v>
      </c>
      <c r="T7" s="25">
        <f t="shared" si="15"/>
        <v>46.835443037974684</v>
      </c>
      <c r="U7" s="61">
        <f t="shared" si="16"/>
        <v>70.25316455696202</v>
      </c>
      <c r="V7" s="25">
        <f t="shared" si="17"/>
        <v>53.164556962025316</v>
      </c>
      <c r="W7" s="61">
        <f t="shared" si="18"/>
        <v>79.74683544303798</v>
      </c>
      <c r="X7" s="25">
        <f t="shared" si="19"/>
        <v>59.493670886075947</v>
      </c>
      <c r="Y7" s="61">
        <f t="shared" si="20"/>
        <v>89.240506329113913</v>
      </c>
      <c r="Z7" s="25">
        <f t="shared" si="21"/>
        <v>65.822784810126578</v>
      </c>
      <c r="AA7" s="61">
        <f t="shared" si="22"/>
        <v>98.734177215189874</v>
      </c>
      <c r="AB7" s="25">
        <f t="shared" si="23"/>
        <v>78.48101265822784</v>
      </c>
      <c r="AC7" s="61">
        <f t="shared" si="24"/>
        <v>117.72151898734177</v>
      </c>
      <c r="AD7" s="25">
        <f>800/O1</f>
        <v>202.53164556962025</v>
      </c>
      <c r="AE7" s="61">
        <f t="shared" si="25"/>
        <v>303.79746835443041</v>
      </c>
      <c r="AF7" s="74"/>
      <c r="AG7" s="25">
        <f t="shared" si="26"/>
        <v>63.291139240506325</v>
      </c>
      <c r="AH7" s="61">
        <f t="shared" si="27"/>
        <v>94.936708860759495</v>
      </c>
      <c r="AI7" s="25">
        <f t="shared" si="28"/>
        <v>68.35443037974683</v>
      </c>
      <c r="AJ7" s="61">
        <f t="shared" si="29"/>
        <v>102.53164556962025</v>
      </c>
      <c r="AK7" s="25">
        <f t="shared" si="30"/>
        <v>75.949367088607588</v>
      </c>
      <c r="AL7" s="61">
        <f t="shared" si="31"/>
        <v>113.92405063291139</v>
      </c>
      <c r="AM7" s="25">
        <f t="shared" si="32"/>
        <v>88.60759493670885</v>
      </c>
      <c r="AN7" s="61">
        <f t="shared" si="33"/>
        <v>132.91139240506328</v>
      </c>
      <c r="AO7" s="25">
        <f t="shared" si="34"/>
        <v>93.670886075949369</v>
      </c>
      <c r="AP7" s="61">
        <f t="shared" si="35"/>
        <v>140.50632911392404</v>
      </c>
      <c r="AQ7" s="25">
        <f t="shared" si="36"/>
        <v>88.60759493670885</v>
      </c>
      <c r="AR7" s="61">
        <f t="shared" si="37"/>
        <v>132.91139240506328</v>
      </c>
      <c r="AS7" s="25">
        <f t="shared" si="38"/>
        <v>250.63291139240505</v>
      </c>
      <c r="AT7" s="61">
        <f t="shared" si="39"/>
        <v>375.94936708860757</v>
      </c>
    </row>
    <row r="8" spans="1:46">
      <c r="A8" s="73"/>
      <c r="B8" s="48" t="s">
        <v>143</v>
      </c>
      <c r="C8" s="52">
        <f t="shared" si="0"/>
        <v>35.443037974683541</v>
      </c>
      <c r="D8" s="53">
        <f t="shared" si="1"/>
        <v>53.164556962025316</v>
      </c>
      <c r="E8" s="52">
        <f t="shared" si="2"/>
        <v>40.506329113924046</v>
      </c>
      <c r="F8" s="53">
        <f t="shared" si="3"/>
        <v>60.759493670886073</v>
      </c>
      <c r="G8" s="52">
        <f t="shared" si="4"/>
        <v>45.569620253164558</v>
      </c>
      <c r="H8" s="53">
        <f t="shared" si="5"/>
        <v>68.354430379746844</v>
      </c>
      <c r="I8" s="52">
        <f t="shared" si="6"/>
        <v>58.22784810126582</v>
      </c>
      <c r="J8" s="53">
        <f t="shared" si="7"/>
        <v>87.341772151898738</v>
      </c>
      <c r="K8" s="52">
        <f t="shared" si="8"/>
        <v>63.291139240506325</v>
      </c>
      <c r="L8" s="53">
        <f t="shared" si="9"/>
        <v>94.936708860759495</v>
      </c>
      <c r="M8" s="52">
        <f t="shared" si="10"/>
        <v>75.949367088607588</v>
      </c>
      <c r="N8" s="53">
        <f t="shared" si="11"/>
        <v>113.92405063291139</v>
      </c>
      <c r="O8" s="54">
        <f>580/O1</f>
        <v>146.83544303797467</v>
      </c>
      <c r="P8" s="59">
        <f t="shared" si="12"/>
        <v>161.51898734177215</v>
      </c>
      <c r="Q8" s="78"/>
      <c r="R8" s="60">
        <f t="shared" si="13"/>
        <v>41.772151898734172</v>
      </c>
      <c r="S8" s="61">
        <f t="shared" si="14"/>
        <v>62.658227848101262</v>
      </c>
      <c r="T8" s="25">
        <f t="shared" si="15"/>
        <v>46.835443037974684</v>
      </c>
      <c r="U8" s="61">
        <f t="shared" si="16"/>
        <v>70.25316455696202</v>
      </c>
      <c r="V8" s="25">
        <f t="shared" si="17"/>
        <v>53.164556962025316</v>
      </c>
      <c r="W8" s="61">
        <f t="shared" si="18"/>
        <v>79.74683544303798</v>
      </c>
      <c r="X8" s="25">
        <f t="shared" si="19"/>
        <v>59.493670886075947</v>
      </c>
      <c r="Y8" s="61">
        <f t="shared" si="20"/>
        <v>89.240506329113913</v>
      </c>
      <c r="Z8" s="25">
        <f t="shared" si="21"/>
        <v>65.822784810126578</v>
      </c>
      <c r="AA8" s="61">
        <f t="shared" si="22"/>
        <v>98.734177215189874</v>
      </c>
      <c r="AB8" s="25">
        <f t="shared" si="23"/>
        <v>78.48101265822784</v>
      </c>
      <c r="AC8" s="61">
        <f t="shared" si="24"/>
        <v>117.72151898734177</v>
      </c>
      <c r="AD8" s="25">
        <f>800/O1</f>
        <v>202.53164556962025</v>
      </c>
      <c r="AE8" s="61">
        <f t="shared" si="25"/>
        <v>303.79746835443041</v>
      </c>
      <c r="AF8" s="74"/>
      <c r="AG8" s="25">
        <f t="shared" si="26"/>
        <v>63.291139240506325</v>
      </c>
      <c r="AH8" s="61">
        <f t="shared" si="27"/>
        <v>94.936708860759495</v>
      </c>
      <c r="AI8" s="25">
        <f t="shared" si="28"/>
        <v>68.35443037974683</v>
      </c>
      <c r="AJ8" s="61">
        <f t="shared" si="29"/>
        <v>102.53164556962025</v>
      </c>
      <c r="AK8" s="25">
        <f t="shared" si="30"/>
        <v>75.949367088607588</v>
      </c>
      <c r="AL8" s="61">
        <f t="shared" si="31"/>
        <v>113.92405063291139</v>
      </c>
      <c r="AM8" s="25">
        <f t="shared" si="32"/>
        <v>88.60759493670885</v>
      </c>
      <c r="AN8" s="61">
        <f t="shared" si="33"/>
        <v>132.91139240506328</v>
      </c>
      <c r="AO8" s="25">
        <f t="shared" si="34"/>
        <v>93.670886075949369</v>
      </c>
      <c r="AP8" s="61">
        <f t="shared" si="35"/>
        <v>140.50632911392404</v>
      </c>
      <c r="AQ8" s="25">
        <f t="shared" si="36"/>
        <v>88.60759493670885</v>
      </c>
      <c r="AR8" s="61">
        <f t="shared" si="37"/>
        <v>132.91139240506328</v>
      </c>
      <c r="AS8" s="25">
        <f t="shared" si="38"/>
        <v>250.63291139240505</v>
      </c>
      <c r="AT8" s="61">
        <f t="shared" si="39"/>
        <v>375.94936708860757</v>
      </c>
    </row>
    <row r="9" spans="1:46">
      <c r="A9" s="73"/>
      <c r="B9" s="48" t="s">
        <v>144</v>
      </c>
      <c r="C9" s="52">
        <f t="shared" si="0"/>
        <v>35.443037974683541</v>
      </c>
      <c r="D9" s="53">
        <f t="shared" si="1"/>
        <v>53.164556962025316</v>
      </c>
      <c r="E9" s="52">
        <f t="shared" si="2"/>
        <v>40.506329113924046</v>
      </c>
      <c r="F9" s="53">
        <f t="shared" si="3"/>
        <v>60.759493670886073</v>
      </c>
      <c r="G9" s="52">
        <f t="shared" si="4"/>
        <v>45.569620253164558</v>
      </c>
      <c r="H9" s="53">
        <f t="shared" si="5"/>
        <v>68.354430379746844</v>
      </c>
      <c r="I9" s="52">
        <f t="shared" si="6"/>
        <v>58.22784810126582</v>
      </c>
      <c r="J9" s="53">
        <f t="shared" si="7"/>
        <v>87.341772151898738</v>
      </c>
      <c r="K9" s="52">
        <f t="shared" si="8"/>
        <v>63.291139240506325</v>
      </c>
      <c r="L9" s="53">
        <f t="shared" si="9"/>
        <v>94.936708860759495</v>
      </c>
      <c r="M9" s="52">
        <f t="shared" si="10"/>
        <v>75.949367088607588</v>
      </c>
      <c r="N9" s="53">
        <f t="shared" si="11"/>
        <v>113.92405063291139</v>
      </c>
      <c r="O9" s="54">
        <f>580/O1</f>
        <v>146.83544303797467</v>
      </c>
      <c r="P9" s="59">
        <f t="shared" si="12"/>
        <v>161.51898734177215</v>
      </c>
      <c r="Q9" s="78"/>
      <c r="R9" s="60">
        <f t="shared" si="13"/>
        <v>41.772151898734172</v>
      </c>
      <c r="S9" s="61">
        <f t="shared" si="14"/>
        <v>62.658227848101262</v>
      </c>
      <c r="T9" s="25">
        <f>(185/$O$1)</f>
        <v>46.835443037974684</v>
      </c>
      <c r="U9" s="61">
        <f t="shared" si="16"/>
        <v>70.25316455696202</v>
      </c>
      <c r="V9" s="25">
        <f>(210/$O$1)</f>
        <v>53.164556962025316</v>
      </c>
      <c r="W9" s="61">
        <f t="shared" si="18"/>
        <v>79.74683544303798</v>
      </c>
      <c r="X9" s="25">
        <f t="shared" si="19"/>
        <v>59.493670886075947</v>
      </c>
      <c r="Y9" s="61">
        <f t="shared" si="20"/>
        <v>89.240506329113913</v>
      </c>
      <c r="Z9" s="25">
        <f t="shared" si="21"/>
        <v>65.822784810126578</v>
      </c>
      <c r="AA9" s="61">
        <f t="shared" si="22"/>
        <v>98.734177215189874</v>
      </c>
      <c r="AB9" s="25">
        <f t="shared" si="23"/>
        <v>78.48101265822784</v>
      </c>
      <c r="AC9" s="61">
        <f>AB9+(AB9*$N$1)</f>
        <v>117.72151898734177</v>
      </c>
      <c r="AD9" s="25">
        <f>600/O1</f>
        <v>151.89873417721518</v>
      </c>
      <c r="AE9" s="61">
        <f t="shared" si="25"/>
        <v>227.84810126582278</v>
      </c>
      <c r="AF9" s="74"/>
      <c r="AG9" s="25">
        <f t="shared" si="26"/>
        <v>63.291139240506325</v>
      </c>
      <c r="AH9" s="61">
        <f t="shared" si="27"/>
        <v>94.936708860759495</v>
      </c>
      <c r="AI9" s="25">
        <f t="shared" si="28"/>
        <v>68.35443037974683</v>
      </c>
      <c r="AJ9" s="61">
        <f t="shared" si="29"/>
        <v>102.53164556962025</v>
      </c>
      <c r="AK9" s="25">
        <f t="shared" si="30"/>
        <v>75.949367088607588</v>
      </c>
      <c r="AL9" s="61">
        <f t="shared" si="31"/>
        <v>113.92405063291139</v>
      </c>
      <c r="AM9" s="25">
        <f t="shared" si="32"/>
        <v>88.60759493670885</v>
      </c>
      <c r="AN9" s="61">
        <f t="shared" si="33"/>
        <v>132.91139240506328</v>
      </c>
      <c r="AO9" s="25">
        <f t="shared" si="34"/>
        <v>93.670886075949369</v>
      </c>
      <c r="AP9" s="61">
        <f t="shared" si="35"/>
        <v>140.50632911392404</v>
      </c>
      <c r="AQ9" s="25">
        <f t="shared" si="36"/>
        <v>88.60759493670885</v>
      </c>
      <c r="AR9" s="61">
        <f t="shared" si="37"/>
        <v>132.91139240506328</v>
      </c>
      <c r="AS9" s="25">
        <f>680/$O$1</f>
        <v>172.15189873417719</v>
      </c>
      <c r="AT9" s="61">
        <f>AS9+(AS9*$N$1)</f>
        <v>258.22784810126581</v>
      </c>
    </row>
    <row r="10" spans="1:46" ht="16">
      <c r="A10" s="73"/>
      <c r="B10" s="75" t="s">
        <v>131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56"/>
      <c r="P10" s="57"/>
      <c r="Q10" s="78"/>
      <c r="R10" s="63"/>
      <c r="S10" s="62"/>
      <c r="T10" s="64"/>
      <c r="U10" s="61"/>
      <c r="V10" s="64"/>
      <c r="W10" s="61"/>
      <c r="X10" s="64"/>
      <c r="Y10" s="61"/>
      <c r="Z10" s="64"/>
      <c r="AA10" s="61"/>
      <c r="AB10" s="64"/>
      <c r="AC10" s="61"/>
      <c r="AD10" s="64"/>
      <c r="AE10" s="65"/>
      <c r="AF10" s="74"/>
      <c r="AG10" s="64"/>
      <c r="AH10" s="61"/>
      <c r="AI10" s="64"/>
      <c r="AJ10" s="61"/>
      <c r="AK10" s="64"/>
      <c r="AL10" s="61"/>
      <c r="AM10" s="64"/>
      <c r="AN10" s="61"/>
      <c r="AO10" s="64"/>
      <c r="AP10" s="61"/>
      <c r="AQ10" s="64"/>
      <c r="AR10" s="61"/>
      <c r="AS10" s="64"/>
      <c r="AT10" s="61"/>
    </row>
    <row r="11" spans="1:46">
      <c r="A11" s="73"/>
      <c r="B11" s="48" t="s">
        <v>145</v>
      </c>
      <c r="C11" s="52">
        <f>(160/$O$1)</f>
        <v>40.506329113924046</v>
      </c>
      <c r="D11" s="53">
        <f>$C11+($C11*$N$1)</f>
        <v>60.759493670886073</v>
      </c>
      <c r="E11" s="52">
        <f>(200/$O$1)</f>
        <v>50.632911392405063</v>
      </c>
      <c r="F11" s="53">
        <f>$E11+($E11*$N$1)</f>
        <v>75.949367088607602</v>
      </c>
      <c r="G11" s="52">
        <f>(230/$O$1)</f>
        <v>58.22784810126582</v>
      </c>
      <c r="H11" s="53">
        <f>$G11+($G11*$N$1)</f>
        <v>87.341772151898738</v>
      </c>
      <c r="I11" s="52">
        <f>(270/$O$1)</f>
        <v>68.35443037974683</v>
      </c>
      <c r="J11" s="53">
        <f>$I11+($I11*$N$1)</f>
        <v>102.53164556962025</v>
      </c>
      <c r="K11" s="52">
        <f>(300/$O$1)</f>
        <v>75.949367088607588</v>
      </c>
      <c r="L11" s="53">
        <f>$K11+($K11*$N$1)</f>
        <v>113.92405063291139</v>
      </c>
      <c r="M11" s="52">
        <f>(350/$O$1)</f>
        <v>88.60759493670885</v>
      </c>
      <c r="N11" s="53">
        <f>M11+(M11*$N$1)</f>
        <v>132.91139240506328</v>
      </c>
      <c r="O11" s="54">
        <f>580/O1</f>
        <v>146.83544303797467</v>
      </c>
      <c r="P11" s="59">
        <f t="shared" si="12"/>
        <v>161.51898734177215</v>
      </c>
      <c r="Q11" s="78"/>
      <c r="R11" s="60">
        <f>350/$O$1</f>
        <v>88.60759493670885</v>
      </c>
      <c r="S11" s="61">
        <f>R11+(R11*$N$1)</f>
        <v>132.91139240506328</v>
      </c>
      <c r="T11" s="25">
        <f>(450/$O$1)</f>
        <v>113.92405063291139</v>
      </c>
      <c r="U11" s="61">
        <f>T11+(T11*$N$1)</f>
        <v>170.88607594936707</v>
      </c>
      <c r="V11" s="25">
        <f>(530/$O$1)</f>
        <v>134.17721518987341</v>
      </c>
      <c r="W11" s="61">
        <f>V11+(V11*$N$1)</f>
        <v>201.2658227848101</v>
      </c>
      <c r="X11" s="25">
        <f>(540/$O$1)</f>
        <v>136.70886075949366</v>
      </c>
      <c r="Y11" s="61">
        <f>X11+(X11*$N$1)</f>
        <v>205.0632911392405</v>
      </c>
      <c r="Z11" s="25">
        <f>650/$O$1</f>
        <v>164.55696202531644</v>
      </c>
      <c r="AA11" s="61">
        <f>Z11+(Z11*$N$1)</f>
        <v>246.83544303797464</v>
      </c>
      <c r="AB11" s="25">
        <f>750/$O$1</f>
        <v>189.87341772151899</v>
      </c>
      <c r="AC11" s="61">
        <f>AB11+(AB11*$N$1)</f>
        <v>284.81012658227849</v>
      </c>
      <c r="AD11" s="25">
        <f>800/$O$1</f>
        <v>202.53164556962025</v>
      </c>
      <c r="AE11" s="61">
        <f>AD11+(AD11*$N$1)</f>
        <v>303.79746835443041</v>
      </c>
      <c r="AF11" s="74"/>
      <c r="AG11" s="25">
        <f>650/$O$1</f>
        <v>164.55696202531644</v>
      </c>
      <c r="AH11" s="61">
        <f>AG11+(AG11*$N$1)</f>
        <v>246.83544303797464</v>
      </c>
      <c r="AI11" s="25">
        <f>700/$O$1</f>
        <v>177.2151898734177</v>
      </c>
      <c r="AJ11" s="61">
        <f>AI11+(AI11*$N$1)</f>
        <v>265.82278481012656</v>
      </c>
      <c r="AK11" s="25">
        <f>850/$O$1</f>
        <v>215.18987341772151</v>
      </c>
      <c r="AL11" s="61">
        <f>AK11+(AK11*$N$1)</f>
        <v>322.78481012658227</v>
      </c>
      <c r="AM11" s="25">
        <f>1000/$O$1</f>
        <v>253.1645569620253</v>
      </c>
      <c r="AN11" s="61">
        <f>AM11+(AM11*$N$1)</f>
        <v>379.74683544303798</v>
      </c>
      <c r="AO11" s="25">
        <f>1150/$O$1</f>
        <v>291.13924050632909</v>
      </c>
      <c r="AP11" s="61">
        <f>AO11+(AO11*$N$1)</f>
        <v>436.70886075949363</v>
      </c>
      <c r="AQ11" s="25">
        <f>1300/$O$1</f>
        <v>329.11392405063287</v>
      </c>
      <c r="AR11" s="61">
        <f>AQ11+(AQ11*$N$1)</f>
        <v>493.67088607594928</v>
      </c>
      <c r="AS11" s="25">
        <f t="shared" ref="AS11" si="40">680/$O$1</f>
        <v>172.15189873417719</v>
      </c>
      <c r="AT11" s="61">
        <f t="shared" ref="AT11" si="41">AS11+(AS11*$N$1)</f>
        <v>258.22784810126581</v>
      </c>
    </row>
    <row r="12" spans="1:46">
      <c r="A12" s="73"/>
      <c r="B12" s="48" t="s">
        <v>146</v>
      </c>
      <c r="C12" s="52">
        <f t="shared" ref="C12:C24" si="42">(160/$O$1)</f>
        <v>40.506329113924046</v>
      </c>
      <c r="D12" s="53">
        <f t="shared" ref="D12:D24" si="43">$C12+($C12*$N$1)</f>
        <v>60.759493670886073</v>
      </c>
      <c r="E12" s="52">
        <f t="shared" ref="E12:E24" si="44">(200/$O$1)</f>
        <v>50.632911392405063</v>
      </c>
      <c r="F12" s="53">
        <f t="shared" ref="F12:F24" si="45">$E12+($E12*$N$1)</f>
        <v>75.949367088607602</v>
      </c>
      <c r="G12" s="52">
        <f t="shared" ref="G12:G24" si="46">(230/$O$1)</f>
        <v>58.22784810126582</v>
      </c>
      <c r="H12" s="53">
        <f t="shared" ref="H12:H24" si="47">$G12+($G12*$N$1)</f>
        <v>87.341772151898738</v>
      </c>
      <c r="I12" s="52">
        <f t="shared" ref="I12:I24" si="48">(270/$O$1)</f>
        <v>68.35443037974683</v>
      </c>
      <c r="J12" s="53">
        <f t="shared" ref="J12:J24" si="49">$I12+($I12*$N$1)</f>
        <v>102.53164556962025</v>
      </c>
      <c r="K12" s="52">
        <f t="shared" ref="K12:K24" si="50">(300/$O$1)</f>
        <v>75.949367088607588</v>
      </c>
      <c r="L12" s="53">
        <f t="shared" ref="L12:L24" si="51">$K12+($K12*$N$1)</f>
        <v>113.92405063291139</v>
      </c>
      <c r="M12" s="52">
        <f t="shared" ref="M12:M24" si="52">(350/$O$1)</f>
        <v>88.60759493670885</v>
      </c>
      <c r="N12" s="53">
        <f t="shared" ref="N12:N24" si="53">M12+(M12*$N$1)</f>
        <v>132.91139240506328</v>
      </c>
      <c r="O12" s="54">
        <f>580/O1</f>
        <v>146.83544303797467</v>
      </c>
      <c r="P12" s="59">
        <f t="shared" si="12"/>
        <v>161.51898734177215</v>
      </c>
      <c r="Q12" s="78"/>
      <c r="R12" s="60">
        <f t="shared" ref="R12:R24" si="54">350/$O$1</f>
        <v>88.60759493670885</v>
      </c>
      <c r="S12" s="61">
        <f t="shared" ref="S12:S24" si="55">R12+(R12*$N$1)</f>
        <v>132.91139240506328</v>
      </c>
      <c r="T12" s="25">
        <f t="shared" ref="T12:T24" si="56">(450/$O$1)</f>
        <v>113.92405063291139</v>
      </c>
      <c r="U12" s="61">
        <f t="shared" ref="U12:U24" si="57">T12+(T12*$N$1)</f>
        <v>170.88607594936707</v>
      </c>
      <c r="V12" s="25">
        <f t="shared" ref="V12:V24" si="58">(530/$O$1)</f>
        <v>134.17721518987341</v>
      </c>
      <c r="W12" s="61">
        <f t="shared" ref="W12:W24" si="59">V12+(V12*$N$1)</f>
        <v>201.2658227848101</v>
      </c>
      <c r="X12" s="25">
        <f t="shared" ref="X12:X24" si="60">(540/$O$1)</f>
        <v>136.70886075949366</v>
      </c>
      <c r="Y12" s="61">
        <f t="shared" ref="Y12:Y24" si="61">X12+(X12*$N$1)</f>
        <v>205.0632911392405</v>
      </c>
      <c r="Z12" s="25">
        <f t="shared" ref="Z12:Z24" si="62">650/$O$1</f>
        <v>164.55696202531644</v>
      </c>
      <c r="AA12" s="61">
        <f t="shared" ref="AA12:AA24" si="63">Z12+(Z12*$N$1)</f>
        <v>246.83544303797464</v>
      </c>
      <c r="AB12" s="25">
        <f t="shared" ref="AB12:AB24" si="64">750/$O$1</f>
        <v>189.87341772151899</v>
      </c>
      <c r="AC12" s="61">
        <f t="shared" ref="AC12:AC24" si="65">AB12+(AB12*$N$1)</f>
        <v>284.81012658227849</v>
      </c>
      <c r="AD12" s="25">
        <f t="shared" ref="AD12:AD15" si="66">800/$O$1</f>
        <v>202.53164556962025</v>
      </c>
      <c r="AE12" s="61">
        <f t="shared" ref="AE12:AE24" si="67">AD12+(AD12*$N$1)</f>
        <v>303.79746835443041</v>
      </c>
      <c r="AF12" s="74"/>
      <c r="AG12" s="25">
        <f t="shared" ref="AG12:AG24" si="68">650/$O$1</f>
        <v>164.55696202531644</v>
      </c>
      <c r="AH12" s="61">
        <f t="shared" ref="AH12:AH24" si="69">AG12+(AG12*$N$1)</f>
        <v>246.83544303797464</v>
      </c>
      <c r="AI12" s="25">
        <f t="shared" ref="AI12:AI24" si="70">700/$O$1</f>
        <v>177.2151898734177</v>
      </c>
      <c r="AJ12" s="61">
        <f t="shared" ref="AJ12:AJ24" si="71">AI12+(AI12*$N$1)</f>
        <v>265.82278481012656</v>
      </c>
      <c r="AK12" s="25">
        <f t="shared" ref="AK12:AK24" si="72">850/$O$1</f>
        <v>215.18987341772151</v>
      </c>
      <c r="AL12" s="61">
        <f t="shared" ref="AL12:AL24" si="73">AK12+(AK12*$N$1)</f>
        <v>322.78481012658227</v>
      </c>
      <c r="AM12" s="25">
        <f t="shared" ref="AM12:AM24" si="74">1000/$O$1</f>
        <v>253.1645569620253</v>
      </c>
      <c r="AN12" s="61">
        <f t="shared" ref="AN12:AN24" si="75">AM12+(AM12*$N$1)</f>
        <v>379.74683544303798</v>
      </c>
      <c r="AO12" s="25">
        <f t="shared" ref="AO12:AO24" si="76">1150/$O$1</f>
        <v>291.13924050632909</v>
      </c>
      <c r="AP12" s="61">
        <f t="shared" ref="AP12:AP24" si="77">AO12+(AO12*$N$1)</f>
        <v>436.70886075949363</v>
      </c>
      <c r="AQ12" s="25">
        <f t="shared" ref="AQ12:AQ24" si="78">1300/$O$1</f>
        <v>329.11392405063287</v>
      </c>
      <c r="AR12" s="61">
        <f t="shared" ref="AR12:AR24" si="79">AQ12+(AQ12*$N$1)</f>
        <v>493.67088607594928</v>
      </c>
      <c r="AS12" s="25">
        <f>990/$O$1</f>
        <v>250.63291139240505</v>
      </c>
      <c r="AT12" s="61">
        <f>AS12+(AS12*$N$1)</f>
        <v>375.94936708860757</v>
      </c>
    </row>
    <row r="13" spans="1:46">
      <c r="A13" s="73"/>
      <c r="B13" s="48" t="s">
        <v>147</v>
      </c>
      <c r="C13" s="52">
        <f t="shared" si="42"/>
        <v>40.506329113924046</v>
      </c>
      <c r="D13" s="53">
        <f t="shared" si="43"/>
        <v>60.759493670886073</v>
      </c>
      <c r="E13" s="52">
        <f t="shared" si="44"/>
        <v>50.632911392405063</v>
      </c>
      <c r="F13" s="53">
        <f t="shared" si="45"/>
        <v>75.949367088607602</v>
      </c>
      <c r="G13" s="52">
        <f t="shared" si="46"/>
        <v>58.22784810126582</v>
      </c>
      <c r="H13" s="53">
        <f t="shared" si="47"/>
        <v>87.341772151898738</v>
      </c>
      <c r="I13" s="52">
        <f t="shared" si="48"/>
        <v>68.35443037974683</v>
      </c>
      <c r="J13" s="53">
        <f t="shared" si="49"/>
        <v>102.53164556962025</v>
      </c>
      <c r="K13" s="52">
        <f t="shared" si="50"/>
        <v>75.949367088607588</v>
      </c>
      <c r="L13" s="53">
        <f t="shared" si="51"/>
        <v>113.92405063291139</v>
      </c>
      <c r="M13" s="52">
        <f t="shared" si="52"/>
        <v>88.60759493670885</v>
      </c>
      <c r="N13" s="53">
        <f t="shared" si="53"/>
        <v>132.91139240506328</v>
      </c>
      <c r="O13" s="54">
        <f>580/O1</f>
        <v>146.83544303797467</v>
      </c>
      <c r="P13" s="59">
        <f t="shared" si="12"/>
        <v>161.51898734177215</v>
      </c>
      <c r="Q13" s="78"/>
      <c r="R13" s="60">
        <f t="shared" si="54"/>
        <v>88.60759493670885</v>
      </c>
      <c r="S13" s="61">
        <f t="shared" si="55"/>
        <v>132.91139240506328</v>
      </c>
      <c r="T13" s="25">
        <f t="shared" si="56"/>
        <v>113.92405063291139</v>
      </c>
      <c r="U13" s="61">
        <f t="shared" si="57"/>
        <v>170.88607594936707</v>
      </c>
      <c r="V13" s="25">
        <f t="shared" si="58"/>
        <v>134.17721518987341</v>
      </c>
      <c r="W13" s="61">
        <f t="shared" si="59"/>
        <v>201.2658227848101</v>
      </c>
      <c r="X13" s="25">
        <f t="shared" si="60"/>
        <v>136.70886075949366</v>
      </c>
      <c r="Y13" s="61">
        <f t="shared" si="61"/>
        <v>205.0632911392405</v>
      </c>
      <c r="Z13" s="25">
        <f t="shared" si="62"/>
        <v>164.55696202531644</v>
      </c>
      <c r="AA13" s="61">
        <f t="shared" si="63"/>
        <v>246.83544303797464</v>
      </c>
      <c r="AB13" s="25">
        <f t="shared" si="64"/>
        <v>189.87341772151899</v>
      </c>
      <c r="AC13" s="61">
        <f t="shared" si="65"/>
        <v>284.81012658227849</v>
      </c>
      <c r="AD13" s="25">
        <f t="shared" si="66"/>
        <v>202.53164556962025</v>
      </c>
      <c r="AE13" s="61">
        <f t="shared" si="67"/>
        <v>303.79746835443041</v>
      </c>
      <c r="AF13" s="74"/>
      <c r="AG13" s="25">
        <f t="shared" si="68"/>
        <v>164.55696202531644</v>
      </c>
      <c r="AH13" s="61">
        <f t="shared" si="69"/>
        <v>246.83544303797464</v>
      </c>
      <c r="AI13" s="25">
        <f t="shared" si="70"/>
        <v>177.2151898734177</v>
      </c>
      <c r="AJ13" s="61">
        <f t="shared" si="71"/>
        <v>265.82278481012656</v>
      </c>
      <c r="AK13" s="25">
        <f t="shared" si="72"/>
        <v>215.18987341772151</v>
      </c>
      <c r="AL13" s="61">
        <f t="shared" si="73"/>
        <v>322.78481012658227</v>
      </c>
      <c r="AM13" s="25">
        <f t="shared" si="74"/>
        <v>253.1645569620253</v>
      </c>
      <c r="AN13" s="61">
        <f t="shared" si="75"/>
        <v>379.74683544303798</v>
      </c>
      <c r="AO13" s="25">
        <f t="shared" si="76"/>
        <v>291.13924050632909</v>
      </c>
      <c r="AP13" s="61">
        <f t="shared" si="77"/>
        <v>436.70886075949363</v>
      </c>
      <c r="AQ13" s="25">
        <f t="shared" si="78"/>
        <v>329.11392405063287</v>
      </c>
      <c r="AR13" s="61">
        <f t="shared" si="79"/>
        <v>493.67088607594928</v>
      </c>
      <c r="AS13" s="25">
        <f t="shared" ref="AS13:AS15" si="80">990/$O$1</f>
        <v>250.63291139240505</v>
      </c>
      <c r="AT13" s="61">
        <f t="shared" ref="AT13:AT15" si="81">AS13+(AS13*$N$1)</f>
        <v>375.94936708860757</v>
      </c>
    </row>
    <row r="14" spans="1:46">
      <c r="A14" s="73"/>
      <c r="B14" s="48" t="s">
        <v>148</v>
      </c>
      <c r="C14" s="52">
        <f t="shared" si="42"/>
        <v>40.506329113924046</v>
      </c>
      <c r="D14" s="53">
        <f t="shared" si="43"/>
        <v>60.759493670886073</v>
      </c>
      <c r="E14" s="52">
        <f t="shared" si="44"/>
        <v>50.632911392405063</v>
      </c>
      <c r="F14" s="53">
        <f t="shared" si="45"/>
        <v>75.949367088607602</v>
      </c>
      <c r="G14" s="52">
        <f t="shared" si="46"/>
        <v>58.22784810126582</v>
      </c>
      <c r="H14" s="53">
        <f t="shared" si="47"/>
        <v>87.341772151898738</v>
      </c>
      <c r="I14" s="52">
        <f t="shared" si="48"/>
        <v>68.35443037974683</v>
      </c>
      <c r="J14" s="53">
        <f t="shared" si="49"/>
        <v>102.53164556962025</v>
      </c>
      <c r="K14" s="52">
        <f t="shared" si="50"/>
        <v>75.949367088607588</v>
      </c>
      <c r="L14" s="53">
        <f t="shared" si="51"/>
        <v>113.92405063291139</v>
      </c>
      <c r="M14" s="52">
        <f t="shared" si="52"/>
        <v>88.60759493670885</v>
      </c>
      <c r="N14" s="53">
        <f t="shared" si="53"/>
        <v>132.91139240506328</v>
      </c>
      <c r="O14" s="54">
        <f>580/O1</f>
        <v>146.83544303797467</v>
      </c>
      <c r="P14" s="59">
        <f t="shared" si="12"/>
        <v>161.51898734177215</v>
      </c>
      <c r="Q14" s="78"/>
      <c r="R14" s="60">
        <f t="shared" si="54"/>
        <v>88.60759493670885</v>
      </c>
      <c r="S14" s="61">
        <f t="shared" si="55"/>
        <v>132.91139240506328</v>
      </c>
      <c r="T14" s="25">
        <f t="shared" si="56"/>
        <v>113.92405063291139</v>
      </c>
      <c r="U14" s="61">
        <f t="shared" si="57"/>
        <v>170.88607594936707</v>
      </c>
      <c r="V14" s="25">
        <f t="shared" si="58"/>
        <v>134.17721518987341</v>
      </c>
      <c r="W14" s="61">
        <f t="shared" si="59"/>
        <v>201.2658227848101</v>
      </c>
      <c r="X14" s="25">
        <f t="shared" si="60"/>
        <v>136.70886075949366</v>
      </c>
      <c r="Y14" s="61">
        <f t="shared" si="61"/>
        <v>205.0632911392405</v>
      </c>
      <c r="Z14" s="25">
        <f t="shared" si="62"/>
        <v>164.55696202531644</v>
      </c>
      <c r="AA14" s="61">
        <f t="shared" si="63"/>
        <v>246.83544303797464</v>
      </c>
      <c r="AB14" s="25">
        <f t="shared" si="64"/>
        <v>189.87341772151899</v>
      </c>
      <c r="AC14" s="61">
        <f t="shared" si="65"/>
        <v>284.81012658227849</v>
      </c>
      <c r="AD14" s="25">
        <f t="shared" si="66"/>
        <v>202.53164556962025</v>
      </c>
      <c r="AE14" s="61">
        <f t="shared" si="67"/>
        <v>303.79746835443041</v>
      </c>
      <c r="AF14" s="74"/>
      <c r="AG14" s="25">
        <f t="shared" si="68"/>
        <v>164.55696202531644</v>
      </c>
      <c r="AH14" s="61">
        <f t="shared" si="69"/>
        <v>246.83544303797464</v>
      </c>
      <c r="AI14" s="25">
        <f t="shared" si="70"/>
        <v>177.2151898734177</v>
      </c>
      <c r="AJ14" s="61">
        <f t="shared" si="71"/>
        <v>265.82278481012656</v>
      </c>
      <c r="AK14" s="25">
        <f t="shared" si="72"/>
        <v>215.18987341772151</v>
      </c>
      <c r="AL14" s="61">
        <f t="shared" si="73"/>
        <v>322.78481012658227</v>
      </c>
      <c r="AM14" s="25">
        <f t="shared" si="74"/>
        <v>253.1645569620253</v>
      </c>
      <c r="AN14" s="61">
        <f t="shared" si="75"/>
        <v>379.74683544303798</v>
      </c>
      <c r="AO14" s="25">
        <f t="shared" si="76"/>
        <v>291.13924050632909</v>
      </c>
      <c r="AP14" s="61">
        <f t="shared" si="77"/>
        <v>436.70886075949363</v>
      </c>
      <c r="AQ14" s="25">
        <f t="shared" si="78"/>
        <v>329.11392405063287</v>
      </c>
      <c r="AR14" s="61">
        <f t="shared" si="79"/>
        <v>493.67088607594928</v>
      </c>
      <c r="AS14" s="25">
        <f t="shared" si="80"/>
        <v>250.63291139240505</v>
      </c>
      <c r="AT14" s="61">
        <f t="shared" si="81"/>
        <v>375.94936708860757</v>
      </c>
    </row>
    <row r="15" spans="1:46">
      <c r="A15" s="73"/>
      <c r="B15" s="48" t="s">
        <v>149</v>
      </c>
      <c r="C15" s="52">
        <f t="shared" si="42"/>
        <v>40.506329113924046</v>
      </c>
      <c r="D15" s="53">
        <f t="shared" si="43"/>
        <v>60.759493670886073</v>
      </c>
      <c r="E15" s="52">
        <f t="shared" si="44"/>
        <v>50.632911392405063</v>
      </c>
      <c r="F15" s="53">
        <f t="shared" si="45"/>
        <v>75.949367088607602</v>
      </c>
      <c r="G15" s="52">
        <f t="shared" si="46"/>
        <v>58.22784810126582</v>
      </c>
      <c r="H15" s="53">
        <f t="shared" si="47"/>
        <v>87.341772151898738</v>
      </c>
      <c r="I15" s="52">
        <f t="shared" si="48"/>
        <v>68.35443037974683</v>
      </c>
      <c r="J15" s="53">
        <f t="shared" si="49"/>
        <v>102.53164556962025</v>
      </c>
      <c r="K15" s="52">
        <f t="shared" si="50"/>
        <v>75.949367088607588</v>
      </c>
      <c r="L15" s="53">
        <f t="shared" si="51"/>
        <v>113.92405063291139</v>
      </c>
      <c r="M15" s="52">
        <f t="shared" si="52"/>
        <v>88.60759493670885</v>
      </c>
      <c r="N15" s="53">
        <f t="shared" si="53"/>
        <v>132.91139240506328</v>
      </c>
      <c r="O15" s="54">
        <f>580/O1</f>
        <v>146.83544303797467</v>
      </c>
      <c r="P15" s="59">
        <f t="shared" si="12"/>
        <v>161.51898734177215</v>
      </c>
      <c r="Q15" s="78"/>
      <c r="R15" s="60">
        <f t="shared" si="54"/>
        <v>88.60759493670885</v>
      </c>
      <c r="S15" s="61">
        <f t="shared" si="55"/>
        <v>132.91139240506328</v>
      </c>
      <c r="T15" s="25">
        <f t="shared" si="56"/>
        <v>113.92405063291139</v>
      </c>
      <c r="U15" s="61">
        <f t="shared" si="57"/>
        <v>170.88607594936707</v>
      </c>
      <c r="V15" s="25">
        <f t="shared" si="58"/>
        <v>134.17721518987341</v>
      </c>
      <c r="W15" s="61">
        <f t="shared" si="59"/>
        <v>201.2658227848101</v>
      </c>
      <c r="X15" s="25">
        <f t="shared" si="60"/>
        <v>136.70886075949366</v>
      </c>
      <c r="Y15" s="61">
        <f t="shared" si="61"/>
        <v>205.0632911392405</v>
      </c>
      <c r="Z15" s="25">
        <f t="shared" si="62"/>
        <v>164.55696202531644</v>
      </c>
      <c r="AA15" s="61">
        <f t="shared" si="63"/>
        <v>246.83544303797464</v>
      </c>
      <c r="AB15" s="25">
        <f t="shared" si="64"/>
        <v>189.87341772151899</v>
      </c>
      <c r="AC15" s="61">
        <f t="shared" si="65"/>
        <v>284.81012658227849</v>
      </c>
      <c r="AD15" s="25">
        <f t="shared" si="66"/>
        <v>202.53164556962025</v>
      </c>
      <c r="AE15" s="61">
        <f t="shared" si="67"/>
        <v>303.79746835443041</v>
      </c>
      <c r="AF15" s="74"/>
      <c r="AG15" s="25">
        <f t="shared" si="68"/>
        <v>164.55696202531644</v>
      </c>
      <c r="AH15" s="61">
        <f t="shared" si="69"/>
        <v>246.83544303797464</v>
      </c>
      <c r="AI15" s="25">
        <f t="shared" si="70"/>
        <v>177.2151898734177</v>
      </c>
      <c r="AJ15" s="61">
        <f t="shared" si="71"/>
        <v>265.82278481012656</v>
      </c>
      <c r="AK15" s="25">
        <f t="shared" si="72"/>
        <v>215.18987341772151</v>
      </c>
      <c r="AL15" s="61">
        <f t="shared" si="73"/>
        <v>322.78481012658227</v>
      </c>
      <c r="AM15" s="25">
        <f t="shared" si="74"/>
        <v>253.1645569620253</v>
      </c>
      <c r="AN15" s="61">
        <f t="shared" si="75"/>
        <v>379.74683544303798</v>
      </c>
      <c r="AO15" s="25">
        <f t="shared" si="76"/>
        <v>291.13924050632909</v>
      </c>
      <c r="AP15" s="61">
        <f t="shared" si="77"/>
        <v>436.70886075949363</v>
      </c>
      <c r="AQ15" s="25">
        <f t="shared" si="78"/>
        <v>329.11392405063287</v>
      </c>
      <c r="AR15" s="61">
        <f t="shared" si="79"/>
        <v>493.67088607594928</v>
      </c>
      <c r="AS15" s="25">
        <f t="shared" si="80"/>
        <v>250.63291139240505</v>
      </c>
      <c r="AT15" s="61">
        <f t="shared" si="81"/>
        <v>375.94936708860757</v>
      </c>
    </row>
    <row r="16" spans="1:46">
      <c r="A16" s="73"/>
      <c r="B16" s="48" t="s">
        <v>150</v>
      </c>
      <c r="C16" s="52">
        <f t="shared" si="42"/>
        <v>40.506329113924046</v>
      </c>
      <c r="D16" s="53">
        <f t="shared" si="43"/>
        <v>60.759493670886073</v>
      </c>
      <c r="E16" s="52">
        <f t="shared" si="44"/>
        <v>50.632911392405063</v>
      </c>
      <c r="F16" s="53">
        <f t="shared" si="45"/>
        <v>75.949367088607602</v>
      </c>
      <c r="G16" s="52">
        <f t="shared" si="46"/>
        <v>58.22784810126582</v>
      </c>
      <c r="H16" s="53">
        <f t="shared" si="47"/>
        <v>87.341772151898738</v>
      </c>
      <c r="I16" s="52">
        <f t="shared" si="48"/>
        <v>68.35443037974683</v>
      </c>
      <c r="J16" s="53">
        <f t="shared" si="49"/>
        <v>102.53164556962025</v>
      </c>
      <c r="K16" s="52">
        <f t="shared" si="50"/>
        <v>75.949367088607588</v>
      </c>
      <c r="L16" s="53">
        <f t="shared" si="51"/>
        <v>113.92405063291139</v>
      </c>
      <c r="M16" s="52">
        <f t="shared" si="52"/>
        <v>88.60759493670885</v>
      </c>
      <c r="N16" s="53">
        <f t="shared" si="53"/>
        <v>132.91139240506328</v>
      </c>
      <c r="O16" s="54">
        <f>780/O1</f>
        <v>197.46835443037975</v>
      </c>
      <c r="P16" s="59">
        <f t="shared" si="12"/>
        <v>217.21518987341773</v>
      </c>
      <c r="Q16" s="78"/>
      <c r="R16" s="60">
        <f t="shared" si="54"/>
        <v>88.60759493670885</v>
      </c>
      <c r="S16" s="61">
        <f t="shared" si="55"/>
        <v>132.91139240506328</v>
      </c>
      <c r="T16" s="25">
        <f t="shared" si="56"/>
        <v>113.92405063291139</v>
      </c>
      <c r="U16" s="61">
        <f t="shared" si="57"/>
        <v>170.88607594936707</v>
      </c>
      <c r="V16" s="25">
        <f t="shared" si="58"/>
        <v>134.17721518987341</v>
      </c>
      <c r="W16" s="61">
        <f t="shared" si="59"/>
        <v>201.2658227848101</v>
      </c>
      <c r="X16" s="25">
        <f t="shared" si="60"/>
        <v>136.70886075949366</v>
      </c>
      <c r="Y16" s="61">
        <f t="shared" si="61"/>
        <v>205.0632911392405</v>
      </c>
      <c r="Z16" s="25">
        <f t="shared" si="62"/>
        <v>164.55696202531644</v>
      </c>
      <c r="AA16" s="61">
        <f t="shared" si="63"/>
        <v>246.83544303797464</v>
      </c>
      <c r="AB16" s="25">
        <f t="shared" si="64"/>
        <v>189.87341772151899</v>
      </c>
      <c r="AC16" s="61">
        <f t="shared" si="65"/>
        <v>284.81012658227849</v>
      </c>
      <c r="AD16" s="25">
        <f>950/O1</f>
        <v>240.50632911392404</v>
      </c>
      <c r="AE16" s="61">
        <f t="shared" si="67"/>
        <v>360.75949367088606</v>
      </c>
      <c r="AF16" s="74"/>
      <c r="AG16" s="25">
        <f t="shared" si="68"/>
        <v>164.55696202531644</v>
      </c>
      <c r="AH16" s="61">
        <f t="shared" si="69"/>
        <v>246.83544303797464</v>
      </c>
      <c r="AI16" s="25">
        <f t="shared" si="70"/>
        <v>177.2151898734177</v>
      </c>
      <c r="AJ16" s="61">
        <f t="shared" si="71"/>
        <v>265.82278481012656</v>
      </c>
      <c r="AK16" s="25">
        <f t="shared" si="72"/>
        <v>215.18987341772151</v>
      </c>
      <c r="AL16" s="61">
        <f t="shared" si="73"/>
        <v>322.78481012658227</v>
      </c>
      <c r="AM16" s="25">
        <f t="shared" si="74"/>
        <v>253.1645569620253</v>
      </c>
      <c r="AN16" s="61">
        <f t="shared" si="75"/>
        <v>379.74683544303798</v>
      </c>
      <c r="AO16" s="25">
        <f t="shared" si="76"/>
        <v>291.13924050632909</v>
      </c>
      <c r="AP16" s="61">
        <f t="shared" si="77"/>
        <v>436.70886075949363</v>
      </c>
      <c r="AQ16" s="25">
        <f t="shared" si="78"/>
        <v>329.11392405063287</v>
      </c>
      <c r="AR16" s="61">
        <f t="shared" si="79"/>
        <v>493.67088607594928</v>
      </c>
      <c r="AS16" s="25">
        <f>1250/$O$1</f>
        <v>316.45569620253161</v>
      </c>
      <c r="AT16" s="61">
        <f>AS16+(AS16*$N$1)</f>
        <v>474.68354430379742</v>
      </c>
    </row>
    <row r="17" spans="1:46">
      <c r="A17" s="73"/>
      <c r="B17" s="48" t="s">
        <v>151</v>
      </c>
      <c r="C17" s="52">
        <f t="shared" si="42"/>
        <v>40.506329113924046</v>
      </c>
      <c r="D17" s="53">
        <f t="shared" si="43"/>
        <v>60.759493670886073</v>
      </c>
      <c r="E17" s="52">
        <f t="shared" si="44"/>
        <v>50.632911392405063</v>
      </c>
      <c r="F17" s="53">
        <f t="shared" si="45"/>
        <v>75.949367088607602</v>
      </c>
      <c r="G17" s="52">
        <f t="shared" si="46"/>
        <v>58.22784810126582</v>
      </c>
      <c r="H17" s="53">
        <f t="shared" si="47"/>
        <v>87.341772151898738</v>
      </c>
      <c r="I17" s="52">
        <f t="shared" si="48"/>
        <v>68.35443037974683</v>
      </c>
      <c r="J17" s="53">
        <f t="shared" si="49"/>
        <v>102.53164556962025</v>
      </c>
      <c r="K17" s="52">
        <f t="shared" si="50"/>
        <v>75.949367088607588</v>
      </c>
      <c r="L17" s="53">
        <f t="shared" si="51"/>
        <v>113.92405063291139</v>
      </c>
      <c r="M17" s="52">
        <f t="shared" si="52"/>
        <v>88.60759493670885</v>
      </c>
      <c r="N17" s="53">
        <f t="shared" si="53"/>
        <v>132.91139240506328</v>
      </c>
      <c r="O17" s="54">
        <f>780/O1</f>
        <v>197.46835443037975</v>
      </c>
      <c r="P17" s="59">
        <f t="shared" si="12"/>
        <v>217.21518987341773</v>
      </c>
      <c r="Q17" s="78"/>
      <c r="R17" s="60">
        <f t="shared" si="54"/>
        <v>88.60759493670885</v>
      </c>
      <c r="S17" s="61">
        <f t="shared" si="55"/>
        <v>132.91139240506328</v>
      </c>
      <c r="T17" s="25">
        <f t="shared" si="56"/>
        <v>113.92405063291139</v>
      </c>
      <c r="U17" s="61">
        <f t="shared" si="57"/>
        <v>170.88607594936707</v>
      </c>
      <c r="V17" s="25">
        <f t="shared" si="58"/>
        <v>134.17721518987341</v>
      </c>
      <c r="W17" s="61">
        <f t="shared" si="59"/>
        <v>201.2658227848101</v>
      </c>
      <c r="X17" s="25">
        <f t="shared" si="60"/>
        <v>136.70886075949366</v>
      </c>
      <c r="Y17" s="61">
        <f t="shared" si="61"/>
        <v>205.0632911392405</v>
      </c>
      <c r="Z17" s="25">
        <f t="shared" si="62"/>
        <v>164.55696202531644</v>
      </c>
      <c r="AA17" s="61">
        <f t="shared" si="63"/>
        <v>246.83544303797464</v>
      </c>
      <c r="AB17" s="25">
        <f t="shared" si="64"/>
        <v>189.87341772151899</v>
      </c>
      <c r="AC17" s="61">
        <f t="shared" si="65"/>
        <v>284.81012658227849</v>
      </c>
      <c r="AD17" s="25">
        <f>950/O1</f>
        <v>240.50632911392404</v>
      </c>
      <c r="AE17" s="61">
        <f t="shared" si="67"/>
        <v>360.75949367088606</v>
      </c>
      <c r="AF17" s="74"/>
      <c r="AG17" s="25">
        <f t="shared" si="68"/>
        <v>164.55696202531644</v>
      </c>
      <c r="AH17" s="61">
        <f t="shared" si="69"/>
        <v>246.83544303797464</v>
      </c>
      <c r="AI17" s="25">
        <f t="shared" si="70"/>
        <v>177.2151898734177</v>
      </c>
      <c r="AJ17" s="61">
        <f t="shared" si="71"/>
        <v>265.82278481012656</v>
      </c>
      <c r="AK17" s="25">
        <f t="shared" si="72"/>
        <v>215.18987341772151</v>
      </c>
      <c r="AL17" s="61">
        <f t="shared" si="73"/>
        <v>322.78481012658227</v>
      </c>
      <c r="AM17" s="25">
        <f t="shared" si="74"/>
        <v>253.1645569620253</v>
      </c>
      <c r="AN17" s="61">
        <f t="shared" si="75"/>
        <v>379.74683544303798</v>
      </c>
      <c r="AO17" s="25">
        <f t="shared" si="76"/>
        <v>291.13924050632909</v>
      </c>
      <c r="AP17" s="61">
        <f t="shared" si="77"/>
        <v>436.70886075949363</v>
      </c>
      <c r="AQ17" s="25">
        <f t="shared" si="78"/>
        <v>329.11392405063287</v>
      </c>
      <c r="AR17" s="61">
        <f t="shared" si="79"/>
        <v>493.67088607594928</v>
      </c>
      <c r="AS17" s="25">
        <f>1250/$O$1</f>
        <v>316.45569620253161</v>
      </c>
      <c r="AT17" s="61">
        <f>AS17+(AS17*$N$1)</f>
        <v>474.68354430379742</v>
      </c>
    </row>
    <row r="18" spans="1:46">
      <c r="A18" s="73"/>
      <c r="B18" s="48" t="s">
        <v>152</v>
      </c>
      <c r="C18" s="52">
        <f t="shared" si="42"/>
        <v>40.506329113924046</v>
      </c>
      <c r="D18" s="53">
        <f t="shared" si="43"/>
        <v>60.759493670886073</v>
      </c>
      <c r="E18" s="52">
        <f t="shared" si="44"/>
        <v>50.632911392405063</v>
      </c>
      <c r="F18" s="53">
        <f t="shared" si="45"/>
        <v>75.949367088607602</v>
      </c>
      <c r="G18" s="52">
        <f t="shared" si="46"/>
        <v>58.22784810126582</v>
      </c>
      <c r="H18" s="53">
        <f t="shared" si="47"/>
        <v>87.341772151898738</v>
      </c>
      <c r="I18" s="52">
        <f t="shared" si="48"/>
        <v>68.35443037974683</v>
      </c>
      <c r="J18" s="53">
        <f t="shared" si="49"/>
        <v>102.53164556962025</v>
      </c>
      <c r="K18" s="52">
        <f t="shared" si="50"/>
        <v>75.949367088607588</v>
      </c>
      <c r="L18" s="53">
        <f t="shared" si="51"/>
        <v>113.92405063291139</v>
      </c>
      <c r="M18" s="52">
        <f t="shared" si="52"/>
        <v>88.60759493670885</v>
      </c>
      <c r="N18" s="53">
        <f t="shared" si="53"/>
        <v>132.91139240506328</v>
      </c>
      <c r="O18" s="54">
        <f>580/O1</f>
        <v>146.83544303797467</v>
      </c>
      <c r="P18" s="59">
        <f t="shared" si="12"/>
        <v>161.51898734177215</v>
      </c>
      <c r="Q18" s="78"/>
      <c r="R18" s="60">
        <f t="shared" si="54"/>
        <v>88.60759493670885</v>
      </c>
      <c r="S18" s="61">
        <f t="shared" si="55"/>
        <v>132.91139240506328</v>
      </c>
      <c r="T18" s="25">
        <f t="shared" si="56"/>
        <v>113.92405063291139</v>
      </c>
      <c r="U18" s="61">
        <f t="shared" si="57"/>
        <v>170.88607594936707</v>
      </c>
      <c r="V18" s="25">
        <f t="shared" si="58"/>
        <v>134.17721518987341</v>
      </c>
      <c r="W18" s="61">
        <f t="shared" si="59"/>
        <v>201.2658227848101</v>
      </c>
      <c r="X18" s="25">
        <f t="shared" si="60"/>
        <v>136.70886075949366</v>
      </c>
      <c r="Y18" s="61">
        <f t="shared" si="61"/>
        <v>205.0632911392405</v>
      </c>
      <c r="Z18" s="25">
        <f t="shared" si="62"/>
        <v>164.55696202531644</v>
      </c>
      <c r="AA18" s="61">
        <f t="shared" si="63"/>
        <v>246.83544303797464</v>
      </c>
      <c r="AB18" s="25">
        <f t="shared" si="64"/>
        <v>189.87341772151899</v>
      </c>
      <c r="AC18" s="61">
        <f t="shared" si="65"/>
        <v>284.81012658227849</v>
      </c>
      <c r="AD18" s="25">
        <f>800/O1</f>
        <v>202.53164556962025</v>
      </c>
      <c r="AE18" s="61">
        <f t="shared" si="67"/>
        <v>303.79746835443041</v>
      </c>
      <c r="AF18" s="74"/>
      <c r="AG18" s="25">
        <f t="shared" si="68"/>
        <v>164.55696202531644</v>
      </c>
      <c r="AH18" s="61">
        <f t="shared" si="69"/>
        <v>246.83544303797464</v>
      </c>
      <c r="AI18" s="25">
        <f t="shared" si="70"/>
        <v>177.2151898734177</v>
      </c>
      <c r="AJ18" s="61">
        <f t="shared" si="71"/>
        <v>265.82278481012656</v>
      </c>
      <c r="AK18" s="25">
        <f t="shared" si="72"/>
        <v>215.18987341772151</v>
      </c>
      <c r="AL18" s="61">
        <f t="shared" si="73"/>
        <v>322.78481012658227</v>
      </c>
      <c r="AM18" s="25">
        <f t="shared" si="74"/>
        <v>253.1645569620253</v>
      </c>
      <c r="AN18" s="61">
        <f t="shared" si="75"/>
        <v>379.74683544303798</v>
      </c>
      <c r="AO18" s="25">
        <f t="shared" si="76"/>
        <v>291.13924050632909</v>
      </c>
      <c r="AP18" s="61">
        <f t="shared" si="77"/>
        <v>436.70886075949363</v>
      </c>
      <c r="AQ18" s="25">
        <f t="shared" si="78"/>
        <v>329.11392405063287</v>
      </c>
      <c r="AR18" s="61">
        <f t="shared" si="79"/>
        <v>493.67088607594928</v>
      </c>
      <c r="AS18" s="25">
        <f>990/$O$1</f>
        <v>250.63291139240505</v>
      </c>
      <c r="AT18" s="61">
        <f>AS18+(AS18*$N$1)</f>
        <v>375.94936708860757</v>
      </c>
    </row>
    <row r="19" spans="1:46">
      <c r="A19" s="73"/>
      <c r="B19" s="48" t="s">
        <v>153</v>
      </c>
      <c r="C19" s="52">
        <f t="shared" si="42"/>
        <v>40.506329113924046</v>
      </c>
      <c r="D19" s="53">
        <f t="shared" si="43"/>
        <v>60.759493670886073</v>
      </c>
      <c r="E19" s="52">
        <f t="shared" si="44"/>
        <v>50.632911392405063</v>
      </c>
      <c r="F19" s="53">
        <f t="shared" si="45"/>
        <v>75.949367088607602</v>
      </c>
      <c r="G19" s="52">
        <f t="shared" si="46"/>
        <v>58.22784810126582</v>
      </c>
      <c r="H19" s="53">
        <f t="shared" si="47"/>
        <v>87.341772151898738</v>
      </c>
      <c r="I19" s="52">
        <f t="shared" si="48"/>
        <v>68.35443037974683</v>
      </c>
      <c r="J19" s="53">
        <f t="shared" si="49"/>
        <v>102.53164556962025</v>
      </c>
      <c r="K19" s="52">
        <f t="shared" si="50"/>
        <v>75.949367088607588</v>
      </c>
      <c r="L19" s="53">
        <f t="shared" si="51"/>
        <v>113.92405063291139</v>
      </c>
      <c r="M19" s="52">
        <f t="shared" si="52"/>
        <v>88.60759493670885</v>
      </c>
      <c r="N19" s="53">
        <f t="shared" si="53"/>
        <v>132.91139240506328</v>
      </c>
      <c r="O19" s="54">
        <f>580/O1</f>
        <v>146.83544303797467</v>
      </c>
      <c r="P19" s="59">
        <f t="shared" si="12"/>
        <v>161.51898734177215</v>
      </c>
      <c r="Q19" s="78"/>
      <c r="R19" s="60">
        <f t="shared" si="54"/>
        <v>88.60759493670885</v>
      </c>
      <c r="S19" s="61">
        <f t="shared" si="55"/>
        <v>132.91139240506328</v>
      </c>
      <c r="T19" s="25">
        <f t="shared" si="56"/>
        <v>113.92405063291139</v>
      </c>
      <c r="U19" s="61">
        <f t="shared" si="57"/>
        <v>170.88607594936707</v>
      </c>
      <c r="V19" s="25">
        <f t="shared" si="58"/>
        <v>134.17721518987341</v>
      </c>
      <c r="W19" s="61">
        <f t="shared" si="59"/>
        <v>201.2658227848101</v>
      </c>
      <c r="X19" s="25">
        <f t="shared" si="60"/>
        <v>136.70886075949366</v>
      </c>
      <c r="Y19" s="61">
        <f t="shared" si="61"/>
        <v>205.0632911392405</v>
      </c>
      <c r="Z19" s="25">
        <f t="shared" si="62"/>
        <v>164.55696202531644</v>
      </c>
      <c r="AA19" s="61">
        <f t="shared" si="63"/>
        <v>246.83544303797464</v>
      </c>
      <c r="AB19" s="25">
        <f t="shared" si="64"/>
        <v>189.87341772151899</v>
      </c>
      <c r="AC19" s="61">
        <f t="shared" si="65"/>
        <v>284.81012658227849</v>
      </c>
      <c r="AD19" s="25">
        <f>800/O1</f>
        <v>202.53164556962025</v>
      </c>
      <c r="AE19" s="61">
        <f t="shared" si="67"/>
        <v>303.79746835443041</v>
      </c>
      <c r="AF19" s="74"/>
      <c r="AG19" s="25">
        <f t="shared" si="68"/>
        <v>164.55696202531644</v>
      </c>
      <c r="AH19" s="61">
        <f t="shared" si="69"/>
        <v>246.83544303797464</v>
      </c>
      <c r="AI19" s="25">
        <f t="shared" si="70"/>
        <v>177.2151898734177</v>
      </c>
      <c r="AJ19" s="61">
        <f t="shared" si="71"/>
        <v>265.82278481012656</v>
      </c>
      <c r="AK19" s="25">
        <f t="shared" si="72"/>
        <v>215.18987341772151</v>
      </c>
      <c r="AL19" s="61">
        <f t="shared" si="73"/>
        <v>322.78481012658227</v>
      </c>
      <c r="AM19" s="25">
        <f t="shared" si="74"/>
        <v>253.1645569620253</v>
      </c>
      <c r="AN19" s="61">
        <f t="shared" si="75"/>
        <v>379.74683544303798</v>
      </c>
      <c r="AO19" s="25">
        <f t="shared" si="76"/>
        <v>291.13924050632909</v>
      </c>
      <c r="AP19" s="61">
        <f t="shared" si="77"/>
        <v>436.70886075949363</v>
      </c>
      <c r="AQ19" s="25">
        <f t="shared" si="78"/>
        <v>329.11392405063287</v>
      </c>
      <c r="AR19" s="61">
        <f t="shared" si="79"/>
        <v>493.67088607594928</v>
      </c>
      <c r="AS19" s="25">
        <f t="shared" ref="AS19:AS22" si="82">990/$O$1</f>
        <v>250.63291139240505</v>
      </c>
      <c r="AT19" s="61">
        <f t="shared" ref="AT19:AT22" si="83">AS19+(AS19*$N$1)</f>
        <v>375.94936708860757</v>
      </c>
    </row>
    <row r="20" spans="1:46">
      <c r="A20" s="73"/>
      <c r="B20" s="48" t="s">
        <v>154</v>
      </c>
      <c r="C20" s="52">
        <f t="shared" si="42"/>
        <v>40.506329113924046</v>
      </c>
      <c r="D20" s="53">
        <f t="shared" si="43"/>
        <v>60.759493670886073</v>
      </c>
      <c r="E20" s="52">
        <f t="shared" si="44"/>
        <v>50.632911392405063</v>
      </c>
      <c r="F20" s="53">
        <f t="shared" si="45"/>
        <v>75.949367088607602</v>
      </c>
      <c r="G20" s="52">
        <f t="shared" si="46"/>
        <v>58.22784810126582</v>
      </c>
      <c r="H20" s="53">
        <f t="shared" si="47"/>
        <v>87.341772151898738</v>
      </c>
      <c r="I20" s="52">
        <f t="shared" si="48"/>
        <v>68.35443037974683</v>
      </c>
      <c r="J20" s="53">
        <f t="shared" si="49"/>
        <v>102.53164556962025</v>
      </c>
      <c r="K20" s="52">
        <f t="shared" si="50"/>
        <v>75.949367088607588</v>
      </c>
      <c r="L20" s="53">
        <f t="shared" si="51"/>
        <v>113.92405063291139</v>
      </c>
      <c r="M20" s="52">
        <f t="shared" si="52"/>
        <v>88.60759493670885</v>
      </c>
      <c r="N20" s="53">
        <f t="shared" si="53"/>
        <v>132.91139240506328</v>
      </c>
      <c r="O20" s="54">
        <f>580/O1</f>
        <v>146.83544303797467</v>
      </c>
      <c r="P20" s="59">
        <f t="shared" si="12"/>
        <v>161.51898734177215</v>
      </c>
      <c r="Q20" s="78"/>
      <c r="R20" s="60">
        <f t="shared" si="54"/>
        <v>88.60759493670885</v>
      </c>
      <c r="S20" s="61">
        <f t="shared" si="55"/>
        <v>132.91139240506328</v>
      </c>
      <c r="T20" s="25">
        <f t="shared" si="56"/>
        <v>113.92405063291139</v>
      </c>
      <c r="U20" s="61">
        <f t="shared" si="57"/>
        <v>170.88607594936707</v>
      </c>
      <c r="V20" s="25">
        <f t="shared" si="58"/>
        <v>134.17721518987341</v>
      </c>
      <c r="W20" s="61">
        <f t="shared" si="59"/>
        <v>201.2658227848101</v>
      </c>
      <c r="X20" s="25">
        <f t="shared" si="60"/>
        <v>136.70886075949366</v>
      </c>
      <c r="Y20" s="61">
        <f t="shared" si="61"/>
        <v>205.0632911392405</v>
      </c>
      <c r="Z20" s="25">
        <f t="shared" si="62"/>
        <v>164.55696202531644</v>
      </c>
      <c r="AA20" s="61">
        <f t="shared" si="63"/>
        <v>246.83544303797464</v>
      </c>
      <c r="AB20" s="25">
        <f t="shared" si="64"/>
        <v>189.87341772151899</v>
      </c>
      <c r="AC20" s="61">
        <f t="shared" si="65"/>
        <v>284.81012658227849</v>
      </c>
      <c r="AD20" s="25">
        <f>800/O1</f>
        <v>202.53164556962025</v>
      </c>
      <c r="AE20" s="61">
        <f t="shared" si="67"/>
        <v>303.79746835443041</v>
      </c>
      <c r="AF20" s="74"/>
      <c r="AG20" s="25">
        <f t="shared" si="68"/>
        <v>164.55696202531644</v>
      </c>
      <c r="AH20" s="61">
        <f t="shared" si="69"/>
        <v>246.83544303797464</v>
      </c>
      <c r="AI20" s="25">
        <f t="shared" si="70"/>
        <v>177.2151898734177</v>
      </c>
      <c r="AJ20" s="61">
        <f t="shared" si="71"/>
        <v>265.82278481012656</v>
      </c>
      <c r="AK20" s="25">
        <f t="shared" si="72"/>
        <v>215.18987341772151</v>
      </c>
      <c r="AL20" s="61">
        <f t="shared" si="73"/>
        <v>322.78481012658227</v>
      </c>
      <c r="AM20" s="25">
        <f t="shared" si="74"/>
        <v>253.1645569620253</v>
      </c>
      <c r="AN20" s="61">
        <f t="shared" si="75"/>
        <v>379.74683544303798</v>
      </c>
      <c r="AO20" s="25">
        <f t="shared" si="76"/>
        <v>291.13924050632909</v>
      </c>
      <c r="AP20" s="61">
        <f t="shared" si="77"/>
        <v>436.70886075949363</v>
      </c>
      <c r="AQ20" s="25">
        <f t="shared" si="78"/>
        <v>329.11392405063287</v>
      </c>
      <c r="AR20" s="61">
        <f t="shared" si="79"/>
        <v>493.67088607594928</v>
      </c>
      <c r="AS20" s="25">
        <f t="shared" si="82"/>
        <v>250.63291139240505</v>
      </c>
      <c r="AT20" s="61">
        <f t="shared" si="83"/>
        <v>375.94936708860757</v>
      </c>
    </row>
    <row r="21" spans="1:46">
      <c r="A21" s="73"/>
      <c r="B21" s="48" t="s">
        <v>155</v>
      </c>
      <c r="C21" s="52">
        <f t="shared" si="42"/>
        <v>40.506329113924046</v>
      </c>
      <c r="D21" s="53">
        <f t="shared" si="43"/>
        <v>60.759493670886073</v>
      </c>
      <c r="E21" s="52">
        <f t="shared" si="44"/>
        <v>50.632911392405063</v>
      </c>
      <c r="F21" s="53">
        <f t="shared" si="45"/>
        <v>75.949367088607602</v>
      </c>
      <c r="G21" s="52">
        <f t="shared" si="46"/>
        <v>58.22784810126582</v>
      </c>
      <c r="H21" s="53">
        <f t="shared" si="47"/>
        <v>87.341772151898738</v>
      </c>
      <c r="I21" s="52">
        <f t="shared" si="48"/>
        <v>68.35443037974683</v>
      </c>
      <c r="J21" s="53">
        <f t="shared" si="49"/>
        <v>102.53164556962025</v>
      </c>
      <c r="K21" s="52">
        <f t="shared" si="50"/>
        <v>75.949367088607588</v>
      </c>
      <c r="L21" s="53">
        <f t="shared" si="51"/>
        <v>113.92405063291139</v>
      </c>
      <c r="M21" s="52">
        <f t="shared" si="52"/>
        <v>88.60759493670885</v>
      </c>
      <c r="N21" s="53">
        <f t="shared" si="53"/>
        <v>132.91139240506328</v>
      </c>
      <c r="O21" s="54">
        <f>580/O1</f>
        <v>146.83544303797467</v>
      </c>
      <c r="P21" s="59">
        <f t="shared" si="12"/>
        <v>161.51898734177215</v>
      </c>
      <c r="Q21" s="78"/>
      <c r="R21" s="60">
        <f t="shared" si="54"/>
        <v>88.60759493670885</v>
      </c>
      <c r="S21" s="61">
        <f t="shared" si="55"/>
        <v>132.91139240506328</v>
      </c>
      <c r="T21" s="25">
        <f t="shared" si="56"/>
        <v>113.92405063291139</v>
      </c>
      <c r="U21" s="61">
        <f t="shared" si="57"/>
        <v>170.88607594936707</v>
      </c>
      <c r="V21" s="25">
        <f t="shared" si="58"/>
        <v>134.17721518987341</v>
      </c>
      <c r="W21" s="61">
        <f t="shared" si="59"/>
        <v>201.2658227848101</v>
      </c>
      <c r="X21" s="25">
        <f t="shared" si="60"/>
        <v>136.70886075949366</v>
      </c>
      <c r="Y21" s="61">
        <f t="shared" si="61"/>
        <v>205.0632911392405</v>
      </c>
      <c r="Z21" s="25">
        <f t="shared" si="62"/>
        <v>164.55696202531644</v>
      </c>
      <c r="AA21" s="61">
        <f t="shared" si="63"/>
        <v>246.83544303797464</v>
      </c>
      <c r="AB21" s="25">
        <f t="shared" si="64"/>
        <v>189.87341772151899</v>
      </c>
      <c r="AC21" s="61">
        <f t="shared" si="65"/>
        <v>284.81012658227849</v>
      </c>
      <c r="AD21" s="25">
        <f>800/O1</f>
        <v>202.53164556962025</v>
      </c>
      <c r="AE21" s="61">
        <f t="shared" si="67"/>
        <v>303.79746835443041</v>
      </c>
      <c r="AF21" s="74"/>
      <c r="AG21" s="25">
        <f t="shared" si="68"/>
        <v>164.55696202531644</v>
      </c>
      <c r="AH21" s="61">
        <f t="shared" si="69"/>
        <v>246.83544303797464</v>
      </c>
      <c r="AI21" s="25">
        <f t="shared" si="70"/>
        <v>177.2151898734177</v>
      </c>
      <c r="AJ21" s="61">
        <f t="shared" si="71"/>
        <v>265.82278481012656</v>
      </c>
      <c r="AK21" s="25">
        <f t="shared" si="72"/>
        <v>215.18987341772151</v>
      </c>
      <c r="AL21" s="61">
        <f t="shared" si="73"/>
        <v>322.78481012658227</v>
      </c>
      <c r="AM21" s="25">
        <f t="shared" si="74"/>
        <v>253.1645569620253</v>
      </c>
      <c r="AN21" s="61">
        <f t="shared" si="75"/>
        <v>379.74683544303798</v>
      </c>
      <c r="AO21" s="25">
        <f t="shared" si="76"/>
        <v>291.13924050632909</v>
      </c>
      <c r="AP21" s="61">
        <f t="shared" si="77"/>
        <v>436.70886075949363</v>
      </c>
      <c r="AQ21" s="25">
        <f t="shared" si="78"/>
        <v>329.11392405063287</v>
      </c>
      <c r="AR21" s="61">
        <f t="shared" si="79"/>
        <v>493.67088607594928</v>
      </c>
      <c r="AS21" s="25">
        <f t="shared" si="82"/>
        <v>250.63291139240505</v>
      </c>
      <c r="AT21" s="61">
        <f t="shared" si="83"/>
        <v>375.94936708860757</v>
      </c>
    </row>
    <row r="22" spans="1:46">
      <c r="A22" s="73"/>
      <c r="B22" s="48" t="s">
        <v>156</v>
      </c>
      <c r="C22" s="52">
        <f t="shared" si="42"/>
        <v>40.506329113924046</v>
      </c>
      <c r="D22" s="53">
        <f t="shared" si="43"/>
        <v>60.759493670886073</v>
      </c>
      <c r="E22" s="52">
        <f t="shared" si="44"/>
        <v>50.632911392405063</v>
      </c>
      <c r="F22" s="53">
        <f t="shared" si="45"/>
        <v>75.949367088607602</v>
      </c>
      <c r="G22" s="52">
        <f t="shared" si="46"/>
        <v>58.22784810126582</v>
      </c>
      <c r="H22" s="53">
        <f t="shared" si="47"/>
        <v>87.341772151898738</v>
      </c>
      <c r="I22" s="52">
        <f t="shared" si="48"/>
        <v>68.35443037974683</v>
      </c>
      <c r="J22" s="53">
        <f t="shared" si="49"/>
        <v>102.53164556962025</v>
      </c>
      <c r="K22" s="52">
        <f t="shared" si="50"/>
        <v>75.949367088607588</v>
      </c>
      <c r="L22" s="53">
        <f t="shared" si="51"/>
        <v>113.92405063291139</v>
      </c>
      <c r="M22" s="52">
        <f t="shared" si="52"/>
        <v>88.60759493670885</v>
      </c>
      <c r="N22" s="53">
        <f t="shared" si="53"/>
        <v>132.91139240506328</v>
      </c>
      <c r="O22" s="54">
        <f>580/O1</f>
        <v>146.83544303797467</v>
      </c>
      <c r="P22" s="59">
        <f t="shared" si="12"/>
        <v>161.51898734177215</v>
      </c>
      <c r="Q22" s="78"/>
      <c r="R22" s="60">
        <f t="shared" si="54"/>
        <v>88.60759493670885</v>
      </c>
      <c r="S22" s="61">
        <f t="shared" si="55"/>
        <v>132.91139240506328</v>
      </c>
      <c r="T22" s="25">
        <f t="shared" si="56"/>
        <v>113.92405063291139</v>
      </c>
      <c r="U22" s="61">
        <f t="shared" si="57"/>
        <v>170.88607594936707</v>
      </c>
      <c r="V22" s="25">
        <f t="shared" si="58"/>
        <v>134.17721518987341</v>
      </c>
      <c r="W22" s="61">
        <f t="shared" si="59"/>
        <v>201.2658227848101</v>
      </c>
      <c r="X22" s="25">
        <f t="shared" si="60"/>
        <v>136.70886075949366</v>
      </c>
      <c r="Y22" s="61">
        <f t="shared" si="61"/>
        <v>205.0632911392405</v>
      </c>
      <c r="Z22" s="25">
        <f t="shared" si="62"/>
        <v>164.55696202531644</v>
      </c>
      <c r="AA22" s="61">
        <f t="shared" si="63"/>
        <v>246.83544303797464</v>
      </c>
      <c r="AB22" s="25">
        <f t="shared" si="64"/>
        <v>189.87341772151899</v>
      </c>
      <c r="AC22" s="61">
        <f t="shared" si="65"/>
        <v>284.81012658227849</v>
      </c>
      <c r="AD22" s="25">
        <f>800/O1</f>
        <v>202.53164556962025</v>
      </c>
      <c r="AE22" s="61">
        <f t="shared" si="67"/>
        <v>303.79746835443041</v>
      </c>
      <c r="AF22" s="74"/>
      <c r="AG22" s="25">
        <f t="shared" si="68"/>
        <v>164.55696202531644</v>
      </c>
      <c r="AH22" s="61">
        <f t="shared" si="69"/>
        <v>246.83544303797464</v>
      </c>
      <c r="AI22" s="25">
        <f t="shared" si="70"/>
        <v>177.2151898734177</v>
      </c>
      <c r="AJ22" s="61">
        <f t="shared" si="71"/>
        <v>265.82278481012656</v>
      </c>
      <c r="AK22" s="25">
        <f t="shared" si="72"/>
        <v>215.18987341772151</v>
      </c>
      <c r="AL22" s="61">
        <f t="shared" si="73"/>
        <v>322.78481012658227</v>
      </c>
      <c r="AM22" s="25">
        <f t="shared" si="74"/>
        <v>253.1645569620253</v>
      </c>
      <c r="AN22" s="61">
        <f t="shared" si="75"/>
        <v>379.74683544303798</v>
      </c>
      <c r="AO22" s="25">
        <f t="shared" si="76"/>
        <v>291.13924050632909</v>
      </c>
      <c r="AP22" s="61">
        <f t="shared" si="77"/>
        <v>436.70886075949363</v>
      </c>
      <c r="AQ22" s="25">
        <f t="shared" si="78"/>
        <v>329.11392405063287</v>
      </c>
      <c r="AR22" s="61">
        <f t="shared" si="79"/>
        <v>493.67088607594928</v>
      </c>
      <c r="AS22" s="25">
        <f t="shared" si="82"/>
        <v>250.63291139240505</v>
      </c>
      <c r="AT22" s="61">
        <f t="shared" si="83"/>
        <v>375.94936708860757</v>
      </c>
    </row>
    <row r="23" spans="1:46">
      <c r="A23" s="73"/>
      <c r="B23" s="48" t="s">
        <v>157</v>
      </c>
      <c r="C23" s="52">
        <f t="shared" si="42"/>
        <v>40.506329113924046</v>
      </c>
      <c r="D23" s="53">
        <f t="shared" si="43"/>
        <v>60.759493670886073</v>
      </c>
      <c r="E23" s="52">
        <f t="shared" si="44"/>
        <v>50.632911392405063</v>
      </c>
      <c r="F23" s="53">
        <f t="shared" si="45"/>
        <v>75.949367088607602</v>
      </c>
      <c r="G23" s="52">
        <f t="shared" si="46"/>
        <v>58.22784810126582</v>
      </c>
      <c r="H23" s="53">
        <f t="shared" si="47"/>
        <v>87.341772151898738</v>
      </c>
      <c r="I23" s="52">
        <f t="shared" si="48"/>
        <v>68.35443037974683</v>
      </c>
      <c r="J23" s="53">
        <f t="shared" si="49"/>
        <v>102.53164556962025</v>
      </c>
      <c r="K23" s="52">
        <f t="shared" si="50"/>
        <v>75.949367088607588</v>
      </c>
      <c r="L23" s="53">
        <f t="shared" si="51"/>
        <v>113.92405063291139</v>
      </c>
      <c r="M23" s="52">
        <f t="shared" si="52"/>
        <v>88.60759493670885</v>
      </c>
      <c r="N23" s="53">
        <f t="shared" si="53"/>
        <v>132.91139240506328</v>
      </c>
      <c r="O23" s="54">
        <f>780/O1</f>
        <v>197.46835443037975</v>
      </c>
      <c r="P23" s="59">
        <f t="shared" si="12"/>
        <v>217.21518987341773</v>
      </c>
      <c r="Q23" s="78"/>
      <c r="R23" s="60">
        <f t="shared" si="54"/>
        <v>88.60759493670885</v>
      </c>
      <c r="S23" s="61">
        <f t="shared" si="55"/>
        <v>132.91139240506328</v>
      </c>
      <c r="T23" s="25">
        <f t="shared" si="56"/>
        <v>113.92405063291139</v>
      </c>
      <c r="U23" s="61">
        <f t="shared" si="57"/>
        <v>170.88607594936707</v>
      </c>
      <c r="V23" s="25">
        <f t="shared" si="58"/>
        <v>134.17721518987341</v>
      </c>
      <c r="W23" s="61">
        <f t="shared" si="59"/>
        <v>201.2658227848101</v>
      </c>
      <c r="X23" s="25">
        <f t="shared" si="60"/>
        <v>136.70886075949366</v>
      </c>
      <c r="Y23" s="61">
        <f t="shared" si="61"/>
        <v>205.0632911392405</v>
      </c>
      <c r="Z23" s="25">
        <f t="shared" si="62"/>
        <v>164.55696202531644</v>
      </c>
      <c r="AA23" s="61">
        <f t="shared" si="63"/>
        <v>246.83544303797464</v>
      </c>
      <c r="AB23" s="25">
        <f t="shared" si="64"/>
        <v>189.87341772151899</v>
      </c>
      <c r="AC23" s="61">
        <f t="shared" si="65"/>
        <v>284.81012658227849</v>
      </c>
      <c r="AD23" s="25">
        <f>950/O1</f>
        <v>240.50632911392404</v>
      </c>
      <c r="AE23" s="61">
        <f t="shared" si="67"/>
        <v>360.75949367088606</v>
      </c>
      <c r="AF23" s="74"/>
      <c r="AG23" s="25">
        <f t="shared" si="68"/>
        <v>164.55696202531644</v>
      </c>
      <c r="AH23" s="61">
        <f t="shared" si="69"/>
        <v>246.83544303797464</v>
      </c>
      <c r="AI23" s="25">
        <f t="shared" si="70"/>
        <v>177.2151898734177</v>
      </c>
      <c r="AJ23" s="61">
        <f t="shared" si="71"/>
        <v>265.82278481012656</v>
      </c>
      <c r="AK23" s="25">
        <f t="shared" si="72"/>
        <v>215.18987341772151</v>
      </c>
      <c r="AL23" s="61">
        <f t="shared" si="73"/>
        <v>322.78481012658227</v>
      </c>
      <c r="AM23" s="25">
        <f t="shared" si="74"/>
        <v>253.1645569620253</v>
      </c>
      <c r="AN23" s="61">
        <f t="shared" si="75"/>
        <v>379.74683544303798</v>
      </c>
      <c r="AO23" s="25">
        <f t="shared" si="76"/>
        <v>291.13924050632909</v>
      </c>
      <c r="AP23" s="61">
        <f t="shared" si="77"/>
        <v>436.70886075949363</v>
      </c>
      <c r="AQ23" s="25">
        <f t="shared" si="78"/>
        <v>329.11392405063287</v>
      </c>
      <c r="AR23" s="61">
        <f t="shared" si="79"/>
        <v>493.67088607594928</v>
      </c>
      <c r="AS23" s="25">
        <f>1250/$O$1</f>
        <v>316.45569620253161</v>
      </c>
      <c r="AT23" s="61">
        <f>AS23+(AS23*$N$1)</f>
        <v>474.68354430379742</v>
      </c>
    </row>
    <row r="24" spans="1:46">
      <c r="A24" s="73"/>
      <c r="B24" s="48" t="s">
        <v>158</v>
      </c>
      <c r="C24" s="52">
        <f t="shared" si="42"/>
        <v>40.506329113924046</v>
      </c>
      <c r="D24" s="53">
        <f t="shared" si="43"/>
        <v>60.759493670886073</v>
      </c>
      <c r="E24" s="52">
        <f t="shared" si="44"/>
        <v>50.632911392405063</v>
      </c>
      <c r="F24" s="53">
        <f t="shared" si="45"/>
        <v>75.949367088607602</v>
      </c>
      <c r="G24" s="52">
        <f t="shared" si="46"/>
        <v>58.22784810126582</v>
      </c>
      <c r="H24" s="53">
        <f t="shared" si="47"/>
        <v>87.341772151898738</v>
      </c>
      <c r="I24" s="52">
        <f t="shared" si="48"/>
        <v>68.35443037974683</v>
      </c>
      <c r="J24" s="53">
        <f t="shared" si="49"/>
        <v>102.53164556962025</v>
      </c>
      <c r="K24" s="52">
        <f t="shared" si="50"/>
        <v>75.949367088607588</v>
      </c>
      <c r="L24" s="53">
        <f t="shared" si="51"/>
        <v>113.92405063291139</v>
      </c>
      <c r="M24" s="52">
        <f t="shared" si="52"/>
        <v>88.60759493670885</v>
      </c>
      <c r="N24" s="53">
        <f t="shared" si="53"/>
        <v>132.91139240506328</v>
      </c>
      <c r="O24" s="54">
        <f>780/O1</f>
        <v>197.46835443037975</v>
      </c>
      <c r="P24" s="59">
        <f t="shared" si="12"/>
        <v>217.21518987341773</v>
      </c>
      <c r="Q24" s="78"/>
      <c r="R24" s="60">
        <f t="shared" si="54"/>
        <v>88.60759493670885</v>
      </c>
      <c r="S24" s="61">
        <f t="shared" si="55"/>
        <v>132.91139240506328</v>
      </c>
      <c r="T24" s="25">
        <f t="shared" si="56"/>
        <v>113.92405063291139</v>
      </c>
      <c r="U24" s="61">
        <f t="shared" si="57"/>
        <v>170.88607594936707</v>
      </c>
      <c r="V24" s="25">
        <f t="shared" si="58"/>
        <v>134.17721518987341</v>
      </c>
      <c r="W24" s="61">
        <f t="shared" si="59"/>
        <v>201.2658227848101</v>
      </c>
      <c r="X24" s="25">
        <f t="shared" si="60"/>
        <v>136.70886075949366</v>
      </c>
      <c r="Y24" s="61">
        <f t="shared" si="61"/>
        <v>205.0632911392405</v>
      </c>
      <c r="Z24" s="25">
        <f t="shared" si="62"/>
        <v>164.55696202531644</v>
      </c>
      <c r="AA24" s="61">
        <f t="shared" si="63"/>
        <v>246.83544303797464</v>
      </c>
      <c r="AB24" s="25">
        <f t="shared" si="64"/>
        <v>189.87341772151899</v>
      </c>
      <c r="AC24" s="61">
        <f t="shared" si="65"/>
        <v>284.81012658227849</v>
      </c>
      <c r="AD24" s="25">
        <f>950/O1</f>
        <v>240.50632911392404</v>
      </c>
      <c r="AE24" s="61">
        <f t="shared" si="67"/>
        <v>360.75949367088606</v>
      </c>
      <c r="AF24" s="74"/>
      <c r="AG24" s="25">
        <f t="shared" si="68"/>
        <v>164.55696202531644</v>
      </c>
      <c r="AH24" s="61">
        <f t="shared" si="69"/>
        <v>246.83544303797464</v>
      </c>
      <c r="AI24" s="25">
        <f t="shared" si="70"/>
        <v>177.2151898734177</v>
      </c>
      <c r="AJ24" s="61">
        <f t="shared" si="71"/>
        <v>265.82278481012656</v>
      </c>
      <c r="AK24" s="25">
        <f t="shared" si="72"/>
        <v>215.18987341772151</v>
      </c>
      <c r="AL24" s="61">
        <f t="shared" si="73"/>
        <v>322.78481012658227</v>
      </c>
      <c r="AM24" s="25">
        <f t="shared" si="74"/>
        <v>253.1645569620253</v>
      </c>
      <c r="AN24" s="61">
        <f t="shared" si="75"/>
        <v>379.74683544303798</v>
      </c>
      <c r="AO24" s="25">
        <f t="shared" si="76"/>
        <v>291.13924050632909</v>
      </c>
      <c r="AP24" s="61">
        <f t="shared" si="77"/>
        <v>436.70886075949363</v>
      </c>
      <c r="AQ24" s="25">
        <f t="shared" si="78"/>
        <v>329.11392405063287</v>
      </c>
      <c r="AR24" s="61">
        <f t="shared" si="79"/>
        <v>493.67088607594928</v>
      </c>
      <c r="AS24" s="25">
        <f>1250/$O$1</f>
        <v>316.45569620253161</v>
      </c>
      <c r="AT24" s="61">
        <f>AS24+(AS24*$N$1)</f>
        <v>474.68354430379742</v>
      </c>
    </row>
    <row r="25" spans="1:46" ht="16">
      <c r="A25" s="73"/>
      <c r="B25" s="75" t="s">
        <v>132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56"/>
      <c r="P25" s="57"/>
      <c r="Q25" s="78"/>
      <c r="R25" s="63"/>
      <c r="S25" s="62"/>
      <c r="T25" s="64"/>
      <c r="U25" s="61"/>
      <c r="V25" s="64"/>
      <c r="W25" s="61"/>
      <c r="X25" s="64"/>
      <c r="Y25" s="61"/>
      <c r="Z25" s="64"/>
      <c r="AA25" s="61"/>
      <c r="AB25" s="64"/>
      <c r="AC25" s="61"/>
      <c r="AD25" s="64"/>
      <c r="AE25" s="65"/>
      <c r="AF25" s="74"/>
      <c r="AG25" s="64"/>
      <c r="AH25" s="61"/>
      <c r="AI25" s="64"/>
      <c r="AJ25" s="61"/>
      <c r="AK25" s="64"/>
      <c r="AL25" s="61"/>
      <c r="AM25" s="64"/>
      <c r="AN25" s="61"/>
      <c r="AO25" s="64"/>
      <c r="AP25" s="61"/>
      <c r="AQ25" s="64"/>
      <c r="AR25" s="61"/>
      <c r="AS25" s="64"/>
      <c r="AT25" s="61"/>
    </row>
    <row r="26" spans="1:46">
      <c r="A26" s="73"/>
      <c r="B26" s="48" t="s">
        <v>159</v>
      </c>
      <c r="C26" s="52">
        <f>(200/$O$1)</f>
        <v>50.632911392405063</v>
      </c>
      <c r="D26" s="53">
        <f>C26+(C26*$N$1)</f>
        <v>75.949367088607602</v>
      </c>
      <c r="E26" s="52">
        <f>(250/$O$1)</f>
        <v>63.291139240506325</v>
      </c>
      <c r="F26" s="53">
        <f>E26+(E26*$N$1)</f>
        <v>94.936708860759495</v>
      </c>
      <c r="G26" s="52">
        <f>(280/$O$1)</f>
        <v>70.886075949367083</v>
      </c>
      <c r="H26" s="53">
        <f>G26+(G26*$N$1)</f>
        <v>106.32911392405063</v>
      </c>
      <c r="I26" s="52">
        <f>(320/$O$1)</f>
        <v>81.012658227848092</v>
      </c>
      <c r="J26" s="53">
        <f>I26+(I26*$N$1)</f>
        <v>121.51898734177215</v>
      </c>
      <c r="K26" s="52">
        <f>(350/$O$1)</f>
        <v>88.60759493670885</v>
      </c>
      <c r="L26" s="53">
        <f>K26+(K26*$N$1)</f>
        <v>132.91139240506328</v>
      </c>
      <c r="M26" s="52">
        <f>(400/$O$1)</f>
        <v>101.26582278481013</v>
      </c>
      <c r="N26" s="53">
        <f>M26+(M26*$N$1)</f>
        <v>151.8987341772152</v>
      </c>
      <c r="O26" s="54">
        <f>580/O1</f>
        <v>146.83544303797467</v>
      </c>
      <c r="P26" s="59">
        <f t="shared" si="12"/>
        <v>161.51898734177215</v>
      </c>
      <c r="Q26" s="78"/>
      <c r="R26" s="60">
        <f>500/$O$1</f>
        <v>126.58227848101265</v>
      </c>
      <c r="S26" s="61">
        <f>R26+(R26*$N$1)</f>
        <v>189.87341772151899</v>
      </c>
      <c r="T26" s="25">
        <f>(560/$O$1)</f>
        <v>141.77215189873417</v>
      </c>
      <c r="U26" s="61">
        <f>T26+(T26*$N$1)</f>
        <v>212.65822784810126</v>
      </c>
      <c r="V26" s="25">
        <f>(660/$O$1)</f>
        <v>167.08860759493669</v>
      </c>
      <c r="W26" s="61">
        <f>V26+(V26*$N$1)</f>
        <v>250.63291139240505</v>
      </c>
      <c r="X26" s="25">
        <f>(780/$O$1)</f>
        <v>197.46835443037975</v>
      </c>
      <c r="Y26" s="61">
        <f>X26+(X26*$N$1)</f>
        <v>296.20253164556959</v>
      </c>
      <c r="Z26" s="25">
        <f>850/$O$1</f>
        <v>215.18987341772151</v>
      </c>
      <c r="AA26" s="61">
        <f>Z26+(Z26*$N$1)</f>
        <v>322.78481012658227</v>
      </c>
      <c r="AB26" s="25">
        <f>860/$O$1</f>
        <v>217.72151898734177</v>
      </c>
      <c r="AC26" s="61">
        <f>AB26+(AB26*$N$1)</f>
        <v>326.58227848101262</v>
      </c>
      <c r="AD26" s="25">
        <f>800/O1</f>
        <v>202.53164556962025</v>
      </c>
      <c r="AE26" s="61">
        <f>AD26+(AD26*$N$1)</f>
        <v>303.79746835443041</v>
      </c>
      <c r="AF26" s="74"/>
      <c r="AG26" s="25">
        <f>850/$O$1</f>
        <v>215.18987341772151</v>
      </c>
      <c r="AH26" s="61">
        <f>AG26+(AG26*$N$1)</f>
        <v>322.78481012658227</v>
      </c>
      <c r="AI26" s="25">
        <f>1100/$O$1</f>
        <v>278.48101265822783</v>
      </c>
      <c r="AJ26" s="61">
        <f>AI26+(AI26*$N$1)</f>
        <v>417.72151898734171</v>
      </c>
      <c r="AK26" s="25">
        <f>1250/$O$1</f>
        <v>316.45569620253161</v>
      </c>
      <c r="AL26" s="61">
        <f>AK26+(AK26*$N$1)</f>
        <v>474.68354430379742</v>
      </c>
      <c r="AM26" s="25">
        <f>1300/$O$1</f>
        <v>329.11392405063287</v>
      </c>
      <c r="AN26" s="61">
        <f>AM26+(AM26*$N$1)</f>
        <v>493.67088607594928</v>
      </c>
      <c r="AO26" s="25">
        <f>1450/$O$1</f>
        <v>367.08860759493672</v>
      </c>
      <c r="AP26" s="61">
        <f>AO26+(AO26*$N$1)</f>
        <v>550.63291139240505</v>
      </c>
      <c r="AQ26" s="25">
        <f>1560/$O$1</f>
        <v>394.9367088607595</v>
      </c>
      <c r="AR26" s="61">
        <f>AQ26+(AQ26*$N$1)</f>
        <v>592.40506329113919</v>
      </c>
      <c r="AS26" s="25">
        <f>990/O1</f>
        <v>250.63291139240505</v>
      </c>
      <c r="AT26" s="61">
        <f>AS26+(AS26*$N$1)</f>
        <v>375.94936708860757</v>
      </c>
    </row>
    <row r="27" spans="1:46">
      <c r="A27" s="73"/>
      <c r="B27" s="48" t="s">
        <v>160</v>
      </c>
      <c r="C27" s="52">
        <f t="shared" ref="C27:C36" si="84">(200/$O$1)</f>
        <v>50.632911392405063</v>
      </c>
      <c r="D27" s="53">
        <f t="shared" ref="D27:D36" si="85">C27+(C27*$N$1)</f>
        <v>75.949367088607602</v>
      </c>
      <c r="E27" s="52">
        <f t="shared" ref="E27:E36" si="86">(250/$O$1)</f>
        <v>63.291139240506325</v>
      </c>
      <c r="F27" s="53">
        <f t="shared" ref="F27:F36" si="87">E27+(E27*$N$1)</f>
        <v>94.936708860759495</v>
      </c>
      <c r="G27" s="52">
        <f t="shared" ref="G27:G36" si="88">(280/$O$1)</f>
        <v>70.886075949367083</v>
      </c>
      <c r="H27" s="53">
        <f t="shared" ref="H27:H36" si="89">G27+(G27*$N$1)</f>
        <v>106.32911392405063</v>
      </c>
      <c r="I27" s="52">
        <f t="shared" ref="I27:I36" si="90">(320/$O$1)</f>
        <v>81.012658227848092</v>
      </c>
      <c r="J27" s="53">
        <f t="shared" ref="J27:J36" si="91">I27+(I27*$N$1)</f>
        <v>121.51898734177215</v>
      </c>
      <c r="K27" s="52">
        <f t="shared" ref="K27:K36" si="92">(350/$O$1)</f>
        <v>88.60759493670885</v>
      </c>
      <c r="L27" s="53">
        <f t="shared" ref="L27:L36" si="93">K27+(K27*$N$1)</f>
        <v>132.91139240506328</v>
      </c>
      <c r="M27" s="52">
        <f t="shared" ref="M27:M36" si="94">(400/$O$1)</f>
        <v>101.26582278481013</v>
      </c>
      <c r="N27" s="53">
        <f t="shared" ref="N27:N36" si="95">M27+(M27*$N$1)</f>
        <v>151.8987341772152</v>
      </c>
      <c r="O27" s="54">
        <f>780/O1</f>
        <v>197.46835443037975</v>
      </c>
      <c r="P27" s="59">
        <f t="shared" si="12"/>
        <v>217.21518987341773</v>
      </c>
      <c r="Q27" s="78"/>
      <c r="R27" s="60">
        <f t="shared" ref="R27:R36" si="96">500/$O$1</f>
        <v>126.58227848101265</v>
      </c>
      <c r="S27" s="61">
        <f t="shared" ref="S27:S36" si="97">R27+(R27*$N$1)</f>
        <v>189.87341772151899</v>
      </c>
      <c r="T27" s="25">
        <f t="shared" ref="T27:T36" si="98">(560/$O$1)</f>
        <v>141.77215189873417</v>
      </c>
      <c r="U27" s="61">
        <f t="shared" ref="U27:U36" si="99">T27+(T27*$N$1)</f>
        <v>212.65822784810126</v>
      </c>
      <c r="V27" s="25">
        <f t="shared" ref="V27:V36" si="100">(660/$O$1)</f>
        <v>167.08860759493669</v>
      </c>
      <c r="W27" s="61">
        <f t="shared" ref="W27:W36" si="101">V27+(V27*$N$1)</f>
        <v>250.63291139240505</v>
      </c>
      <c r="X27" s="25">
        <f t="shared" ref="X27:X36" si="102">(780/$O$1)</f>
        <v>197.46835443037975</v>
      </c>
      <c r="Y27" s="61">
        <f t="shared" ref="Y27:Y36" si="103">X27+(X27*$N$1)</f>
        <v>296.20253164556959</v>
      </c>
      <c r="Z27" s="25">
        <f t="shared" ref="Z27:Z36" si="104">850/$O$1</f>
        <v>215.18987341772151</v>
      </c>
      <c r="AA27" s="61">
        <f t="shared" ref="AA27:AA36" si="105">Z27+(Z27*$N$1)</f>
        <v>322.78481012658227</v>
      </c>
      <c r="AB27" s="25">
        <f t="shared" ref="AB27:AB36" si="106">860/$O$1</f>
        <v>217.72151898734177</v>
      </c>
      <c r="AC27" s="61">
        <f t="shared" ref="AC27:AC36" si="107">AB27+(AB27*$N$1)</f>
        <v>326.58227848101262</v>
      </c>
      <c r="AD27" s="25">
        <f>950/$O$1</f>
        <v>240.50632911392404</v>
      </c>
      <c r="AE27" s="61">
        <f t="shared" ref="AE27:AE36" si="108">AD27+(AD27*$N$1)</f>
        <v>360.75949367088606</v>
      </c>
      <c r="AF27" s="74"/>
      <c r="AG27" s="25">
        <f t="shared" ref="AG27:AG36" si="109">850/$O$1</f>
        <v>215.18987341772151</v>
      </c>
      <c r="AH27" s="61">
        <f t="shared" ref="AH27:AH36" si="110">AG27+(AG27*$N$1)</f>
        <v>322.78481012658227</v>
      </c>
      <c r="AI27" s="25">
        <f t="shared" ref="AI27:AI36" si="111">1100/$O$1</f>
        <v>278.48101265822783</v>
      </c>
      <c r="AJ27" s="61">
        <f t="shared" ref="AJ27:AJ36" si="112">AI27+(AI27*$N$1)</f>
        <v>417.72151898734171</v>
      </c>
      <c r="AK27" s="25">
        <f t="shared" ref="AK27:AK36" si="113">1250/$O$1</f>
        <v>316.45569620253161</v>
      </c>
      <c r="AL27" s="61">
        <f t="shared" ref="AL27:AL36" si="114">AK27+(AK27*$N$1)</f>
        <v>474.68354430379742</v>
      </c>
      <c r="AM27" s="25">
        <f t="shared" ref="AM27:AM36" si="115">1300/$O$1</f>
        <v>329.11392405063287</v>
      </c>
      <c r="AN27" s="61">
        <f t="shared" ref="AN27:AN36" si="116">AM27+(AM27*$N$1)</f>
        <v>493.67088607594928</v>
      </c>
      <c r="AO27" s="25">
        <f t="shared" ref="AO27:AO36" si="117">1450/$O$1</f>
        <v>367.08860759493672</v>
      </c>
      <c r="AP27" s="61">
        <f t="shared" ref="AP27:AP36" si="118">AO27+(AO27*$N$1)</f>
        <v>550.63291139240505</v>
      </c>
      <c r="AQ27" s="25">
        <f t="shared" ref="AQ27:AQ36" si="119">1560/$O$1</f>
        <v>394.9367088607595</v>
      </c>
      <c r="AR27" s="61">
        <f t="shared" ref="AR27:AR36" si="120">AQ27+(AQ27*$N$1)</f>
        <v>592.40506329113919</v>
      </c>
      <c r="AS27" s="25">
        <f>1250/$O$1</f>
        <v>316.45569620253161</v>
      </c>
      <c r="AT27" s="61">
        <f>AS27+(AS27*$N$1)</f>
        <v>474.68354430379742</v>
      </c>
    </row>
    <row r="28" spans="1:46">
      <c r="A28" s="73"/>
      <c r="B28" s="48" t="s">
        <v>161</v>
      </c>
      <c r="C28" s="52">
        <f t="shared" si="84"/>
        <v>50.632911392405063</v>
      </c>
      <c r="D28" s="53">
        <f t="shared" si="85"/>
        <v>75.949367088607602</v>
      </c>
      <c r="E28" s="52">
        <f t="shared" si="86"/>
        <v>63.291139240506325</v>
      </c>
      <c r="F28" s="53">
        <f t="shared" si="87"/>
        <v>94.936708860759495</v>
      </c>
      <c r="G28" s="52">
        <f t="shared" si="88"/>
        <v>70.886075949367083</v>
      </c>
      <c r="H28" s="53">
        <f t="shared" si="89"/>
        <v>106.32911392405063</v>
      </c>
      <c r="I28" s="52">
        <f t="shared" si="90"/>
        <v>81.012658227848092</v>
      </c>
      <c r="J28" s="53">
        <f t="shared" si="91"/>
        <v>121.51898734177215</v>
      </c>
      <c r="K28" s="52">
        <f t="shared" si="92"/>
        <v>88.60759493670885</v>
      </c>
      <c r="L28" s="53">
        <f t="shared" si="93"/>
        <v>132.91139240506328</v>
      </c>
      <c r="M28" s="52">
        <f t="shared" si="94"/>
        <v>101.26582278481013</v>
      </c>
      <c r="N28" s="53">
        <f t="shared" si="95"/>
        <v>151.8987341772152</v>
      </c>
      <c r="O28" s="54">
        <f>780/O1</f>
        <v>197.46835443037975</v>
      </c>
      <c r="P28" s="59">
        <f t="shared" si="12"/>
        <v>217.21518987341773</v>
      </c>
      <c r="Q28" s="78"/>
      <c r="R28" s="60">
        <f t="shared" si="96"/>
        <v>126.58227848101265</v>
      </c>
      <c r="S28" s="61">
        <f t="shared" si="97"/>
        <v>189.87341772151899</v>
      </c>
      <c r="T28" s="25">
        <f t="shared" si="98"/>
        <v>141.77215189873417</v>
      </c>
      <c r="U28" s="61">
        <f t="shared" si="99"/>
        <v>212.65822784810126</v>
      </c>
      <c r="V28" s="25">
        <f t="shared" si="100"/>
        <v>167.08860759493669</v>
      </c>
      <c r="W28" s="61">
        <f t="shared" si="101"/>
        <v>250.63291139240505</v>
      </c>
      <c r="X28" s="25">
        <f t="shared" si="102"/>
        <v>197.46835443037975</v>
      </c>
      <c r="Y28" s="61">
        <f t="shared" si="103"/>
        <v>296.20253164556959</v>
      </c>
      <c r="Z28" s="25">
        <f t="shared" si="104"/>
        <v>215.18987341772151</v>
      </c>
      <c r="AA28" s="61">
        <f t="shared" si="105"/>
        <v>322.78481012658227</v>
      </c>
      <c r="AB28" s="25">
        <f t="shared" si="106"/>
        <v>217.72151898734177</v>
      </c>
      <c r="AC28" s="61">
        <f t="shared" si="107"/>
        <v>326.58227848101262</v>
      </c>
      <c r="AD28" s="25">
        <f t="shared" ref="AD28:AD36" si="121">950/$O$1</f>
        <v>240.50632911392404</v>
      </c>
      <c r="AE28" s="61">
        <f t="shared" si="108"/>
        <v>360.75949367088606</v>
      </c>
      <c r="AF28" s="74"/>
      <c r="AG28" s="25">
        <f t="shared" si="109"/>
        <v>215.18987341772151</v>
      </c>
      <c r="AH28" s="61">
        <f t="shared" si="110"/>
        <v>322.78481012658227</v>
      </c>
      <c r="AI28" s="25">
        <f t="shared" si="111"/>
        <v>278.48101265822783</v>
      </c>
      <c r="AJ28" s="61">
        <f t="shared" si="112"/>
        <v>417.72151898734171</v>
      </c>
      <c r="AK28" s="25">
        <f t="shared" si="113"/>
        <v>316.45569620253161</v>
      </c>
      <c r="AL28" s="61">
        <f t="shared" si="114"/>
        <v>474.68354430379742</v>
      </c>
      <c r="AM28" s="25">
        <f t="shared" si="115"/>
        <v>329.11392405063287</v>
      </c>
      <c r="AN28" s="61">
        <f t="shared" si="116"/>
        <v>493.67088607594928</v>
      </c>
      <c r="AO28" s="25">
        <f t="shared" si="117"/>
        <v>367.08860759493672</v>
      </c>
      <c r="AP28" s="61">
        <f t="shared" si="118"/>
        <v>550.63291139240505</v>
      </c>
      <c r="AQ28" s="25">
        <f t="shared" si="119"/>
        <v>394.9367088607595</v>
      </c>
      <c r="AR28" s="61">
        <f t="shared" si="120"/>
        <v>592.40506329113919</v>
      </c>
      <c r="AS28" s="25">
        <f t="shared" ref="AS28:AS36" si="122">1250/$O$1</f>
        <v>316.45569620253161</v>
      </c>
      <c r="AT28" s="61">
        <f t="shared" ref="AT28:AT36" si="123">AS28+(AS28*$N$1)</f>
        <v>474.68354430379742</v>
      </c>
    </row>
    <row r="29" spans="1:46">
      <c r="A29" s="73"/>
      <c r="B29" s="48" t="s">
        <v>162</v>
      </c>
      <c r="C29" s="52">
        <f t="shared" si="84"/>
        <v>50.632911392405063</v>
      </c>
      <c r="D29" s="53">
        <f t="shared" si="85"/>
        <v>75.949367088607602</v>
      </c>
      <c r="E29" s="52">
        <f t="shared" si="86"/>
        <v>63.291139240506325</v>
      </c>
      <c r="F29" s="53">
        <f t="shared" si="87"/>
        <v>94.936708860759495</v>
      </c>
      <c r="G29" s="52">
        <f t="shared" si="88"/>
        <v>70.886075949367083</v>
      </c>
      <c r="H29" s="53">
        <f t="shared" si="89"/>
        <v>106.32911392405063</v>
      </c>
      <c r="I29" s="52">
        <f t="shared" si="90"/>
        <v>81.012658227848092</v>
      </c>
      <c r="J29" s="53">
        <f t="shared" si="91"/>
        <v>121.51898734177215</v>
      </c>
      <c r="K29" s="52">
        <f t="shared" si="92"/>
        <v>88.60759493670885</v>
      </c>
      <c r="L29" s="53">
        <f t="shared" si="93"/>
        <v>132.91139240506328</v>
      </c>
      <c r="M29" s="52">
        <f t="shared" si="94"/>
        <v>101.26582278481013</v>
      </c>
      <c r="N29" s="53">
        <f t="shared" si="95"/>
        <v>151.8987341772152</v>
      </c>
      <c r="O29" s="54">
        <f>780/O1</f>
        <v>197.46835443037975</v>
      </c>
      <c r="P29" s="59">
        <f t="shared" si="12"/>
        <v>217.21518987341773</v>
      </c>
      <c r="Q29" s="78"/>
      <c r="R29" s="60">
        <f t="shared" si="96"/>
        <v>126.58227848101265</v>
      </c>
      <c r="S29" s="61">
        <f t="shared" si="97"/>
        <v>189.87341772151899</v>
      </c>
      <c r="T29" s="25">
        <f t="shared" si="98"/>
        <v>141.77215189873417</v>
      </c>
      <c r="U29" s="61">
        <f t="shared" si="99"/>
        <v>212.65822784810126</v>
      </c>
      <c r="V29" s="25">
        <f t="shared" si="100"/>
        <v>167.08860759493669</v>
      </c>
      <c r="W29" s="61">
        <f t="shared" si="101"/>
        <v>250.63291139240505</v>
      </c>
      <c r="X29" s="25">
        <f t="shared" si="102"/>
        <v>197.46835443037975</v>
      </c>
      <c r="Y29" s="61">
        <f t="shared" si="103"/>
        <v>296.20253164556959</v>
      </c>
      <c r="Z29" s="25">
        <f t="shared" si="104"/>
        <v>215.18987341772151</v>
      </c>
      <c r="AA29" s="61">
        <f t="shared" si="105"/>
        <v>322.78481012658227</v>
      </c>
      <c r="AB29" s="25">
        <f t="shared" si="106"/>
        <v>217.72151898734177</v>
      </c>
      <c r="AC29" s="61">
        <f t="shared" si="107"/>
        <v>326.58227848101262</v>
      </c>
      <c r="AD29" s="25">
        <f t="shared" si="121"/>
        <v>240.50632911392404</v>
      </c>
      <c r="AE29" s="61">
        <f t="shared" si="108"/>
        <v>360.75949367088606</v>
      </c>
      <c r="AF29" s="74"/>
      <c r="AG29" s="25">
        <f t="shared" si="109"/>
        <v>215.18987341772151</v>
      </c>
      <c r="AH29" s="61">
        <f t="shared" si="110"/>
        <v>322.78481012658227</v>
      </c>
      <c r="AI29" s="25">
        <f t="shared" si="111"/>
        <v>278.48101265822783</v>
      </c>
      <c r="AJ29" s="61">
        <f t="shared" si="112"/>
        <v>417.72151898734171</v>
      </c>
      <c r="AK29" s="25">
        <f t="shared" si="113"/>
        <v>316.45569620253161</v>
      </c>
      <c r="AL29" s="61">
        <f t="shared" si="114"/>
        <v>474.68354430379742</v>
      </c>
      <c r="AM29" s="25">
        <f t="shared" si="115"/>
        <v>329.11392405063287</v>
      </c>
      <c r="AN29" s="61">
        <f t="shared" si="116"/>
        <v>493.67088607594928</v>
      </c>
      <c r="AO29" s="25">
        <f t="shared" si="117"/>
        <v>367.08860759493672</v>
      </c>
      <c r="AP29" s="61">
        <f t="shared" si="118"/>
        <v>550.63291139240505</v>
      </c>
      <c r="AQ29" s="25">
        <f t="shared" si="119"/>
        <v>394.9367088607595</v>
      </c>
      <c r="AR29" s="61">
        <f t="shared" si="120"/>
        <v>592.40506329113919</v>
      </c>
      <c r="AS29" s="25">
        <f t="shared" si="122"/>
        <v>316.45569620253161</v>
      </c>
      <c r="AT29" s="61">
        <f t="shared" si="123"/>
        <v>474.68354430379742</v>
      </c>
    </row>
    <row r="30" spans="1:46">
      <c r="A30" s="73"/>
      <c r="B30" s="48" t="s">
        <v>163</v>
      </c>
      <c r="C30" s="52">
        <f t="shared" si="84"/>
        <v>50.632911392405063</v>
      </c>
      <c r="D30" s="53">
        <f t="shared" si="85"/>
        <v>75.949367088607602</v>
      </c>
      <c r="E30" s="52">
        <f t="shared" si="86"/>
        <v>63.291139240506325</v>
      </c>
      <c r="F30" s="53">
        <f t="shared" si="87"/>
        <v>94.936708860759495</v>
      </c>
      <c r="G30" s="52">
        <f t="shared" si="88"/>
        <v>70.886075949367083</v>
      </c>
      <c r="H30" s="53">
        <f t="shared" si="89"/>
        <v>106.32911392405063</v>
      </c>
      <c r="I30" s="52">
        <f t="shared" si="90"/>
        <v>81.012658227848092</v>
      </c>
      <c r="J30" s="53">
        <f t="shared" si="91"/>
        <v>121.51898734177215</v>
      </c>
      <c r="K30" s="52">
        <f t="shared" si="92"/>
        <v>88.60759493670885</v>
      </c>
      <c r="L30" s="53">
        <f t="shared" si="93"/>
        <v>132.91139240506328</v>
      </c>
      <c r="M30" s="52">
        <f t="shared" si="94"/>
        <v>101.26582278481013</v>
      </c>
      <c r="N30" s="53">
        <f t="shared" si="95"/>
        <v>151.8987341772152</v>
      </c>
      <c r="O30" s="54">
        <f>780/O1</f>
        <v>197.46835443037975</v>
      </c>
      <c r="P30" s="59">
        <f t="shared" si="12"/>
        <v>217.21518987341773</v>
      </c>
      <c r="Q30" s="78"/>
      <c r="R30" s="60">
        <f t="shared" si="96"/>
        <v>126.58227848101265</v>
      </c>
      <c r="S30" s="61">
        <f t="shared" si="97"/>
        <v>189.87341772151899</v>
      </c>
      <c r="T30" s="25">
        <f t="shared" si="98"/>
        <v>141.77215189873417</v>
      </c>
      <c r="U30" s="61">
        <f t="shared" si="99"/>
        <v>212.65822784810126</v>
      </c>
      <c r="V30" s="25">
        <f t="shared" si="100"/>
        <v>167.08860759493669</v>
      </c>
      <c r="W30" s="61">
        <f t="shared" si="101"/>
        <v>250.63291139240505</v>
      </c>
      <c r="X30" s="25">
        <f t="shared" si="102"/>
        <v>197.46835443037975</v>
      </c>
      <c r="Y30" s="61">
        <f t="shared" si="103"/>
        <v>296.20253164556959</v>
      </c>
      <c r="Z30" s="25">
        <f t="shared" si="104"/>
        <v>215.18987341772151</v>
      </c>
      <c r="AA30" s="61">
        <f t="shared" si="105"/>
        <v>322.78481012658227</v>
      </c>
      <c r="AB30" s="25">
        <f t="shared" si="106"/>
        <v>217.72151898734177</v>
      </c>
      <c r="AC30" s="61">
        <f t="shared" si="107"/>
        <v>326.58227848101262</v>
      </c>
      <c r="AD30" s="25">
        <f t="shared" si="121"/>
        <v>240.50632911392404</v>
      </c>
      <c r="AE30" s="61">
        <f t="shared" si="108"/>
        <v>360.75949367088606</v>
      </c>
      <c r="AF30" s="74"/>
      <c r="AG30" s="25">
        <f t="shared" si="109"/>
        <v>215.18987341772151</v>
      </c>
      <c r="AH30" s="61">
        <f t="shared" si="110"/>
        <v>322.78481012658227</v>
      </c>
      <c r="AI30" s="25">
        <f t="shared" si="111"/>
        <v>278.48101265822783</v>
      </c>
      <c r="AJ30" s="61">
        <f t="shared" si="112"/>
        <v>417.72151898734171</v>
      </c>
      <c r="AK30" s="25">
        <f t="shared" si="113"/>
        <v>316.45569620253161</v>
      </c>
      <c r="AL30" s="61">
        <f t="shared" si="114"/>
        <v>474.68354430379742</v>
      </c>
      <c r="AM30" s="25">
        <f t="shared" si="115"/>
        <v>329.11392405063287</v>
      </c>
      <c r="AN30" s="61">
        <f t="shared" si="116"/>
        <v>493.67088607594928</v>
      </c>
      <c r="AO30" s="25">
        <f t="shared" si="117"/>
        <v>367.08860759493672</v>
      </c>
      <c r="AP30" s="61">
        <f t="shared" si="118"/>
        <v>550.63291139240505</v>
      </c>
      <c r="AQ30" s="25">
        <f t="shared" si="119"/>
        <v>394.9367088607595</v>
      </c>
      <c r="AR30" s="61">
        <f t="shared" si="120"/>
        <v>592.40506329113919</v>
      </c>
      <c r="AS30" s="25">
        <f t="shared" si="122"/>
        <v>316.45569620253161</v>
      </c>
      <c r="AT30" s="61">
        <f t="shared" si="123"/>
        <v>474.68354430379742</v>
      </c>
    </row>
    <row r="31" spans="1:46">
      <c r="A31" s="73"/>
      <c r="B31" s="48" t="s">
        <v>164</v>
      </c>
      <c r="C31" s="52">
        <f t="shared" si="84"/>
        <v>50.632911392405063</v>
      </c>
      <c r="D31" s="53">
        <f t="shared" si="85"/>
        <v>75.949367088607602</v>
      </c>
      <c r="E31" s="52">
        <f t="shared" si="86"/>
        <v>63.291139240506325</v>
      </c>
      <c r="F31" s="53">
        <f t="shared" si="87"/>
        <v>94.936708860759495</v>
      </c>
      <c r="G31" s="52">
        <f t="shared" si="88"/>
        <v>70.886075949367083</v>
      </c>
      <c r="H31" s="53">
        <f t="shared" si="89"/>
        <v>106.32911392405063</v>
      </c>
      <c r="I31" s="52">
        <f t="shared" si="90"/>
        <v>81.012658227848092</v>
      </c>
      <c r="J31" s="53">
        <f t="shared" si="91"/>
        <v>121.51898734177215</v>
      </c>
      <c r="K31" s="52">
        <f t="shared" si="92"/>
        <v>88.60759493670885</v>
      </c>
      <c r="L31" s="53">
        <f t="shared" si="93"/>
        <v>132.91139240506328</v>
      </c>
      <c r="M31" s="52">
        <f t="shared" si="94"/>
        <v>101.26582278481013</v>
      </c>
      <c r="N31" s="53">
        <f t="shared" si="95"/>
        <v>151.8987341772152</v>
      </c>
      <c r="O31" s="54">
        <f>780/O1</f>
        <v>197.46835443037975</v>
      </c>
      <c r="P31" s="59">
        <f t="shared" si="12"/>
        <v>217.21518987341773</v>
      </c>
      <c r="Q31" s="78"/>
      <c r="R31" s="60">
        <f t="shared" si="96"/>
        <v>126.58227848101265</v>
      </c>
      <c r="S31" s="61">
        <f t="shared" si="97"/>
        <v>189.87341772151899</v>
      </c>
      <c r="T31" s="25">
        <f t="shared" si="98"/>
        <v>141.77215189873417</v>
      </c>
      <c r="U31" s="61">
        <f t="shared" si="99"/>
        <v>212.65822784810126</v>
      </c>
      <c r="V31" s="25">
        <f t="shared" si="100"/>
        <v>167.08860759493669</v>
      </c>
      <c r="W31" s="61">
        <f t="shared" si="101"/>
        <v>250.63291139240505</v>
      </c>
      <c r="X31" s="25">
        <f t="shared" si="102"/>
        <v>197.46835443037975</v>
      </c>
      <c r="Y31" s="61">
        <f t="shared" si="103"/>
        <v>296.20253164556959</v>
      </c>
      <c r="Z31" s="25">
        <f t="shared" si="104"/>
        <v>215.18987341772151</v>
      </c>
      <c r="AA31" s="61">
        <f t="shared" si="105"/>
        <v>322.78481012658227</v>
      </c>
      <c r="AB31" s="25">
        <f t="shared" si="106"/>
        <v>217.72151898734177</v>
      </c>
      <c r="AC31" s="61">
        <f t="shared" si="107"/>
        <v>326.58227848101262</v>
      </c>
      <c r="AD31" s="25">
        <f t="shared" si="121"/>
        <v>240.50632911392404</v>
      </c>
      <c r="AE31" s="61">
        <f t="shared" si="108"/>
        <v>360.75949367088606</v>
      </c>
      <c r="AF31" s="74"/>
      <c r="AG31" s="25">
        <f t="shared" si="109"/>
        <v>215.18987341772151</v>
      </c>
      <c r="AH31" s="61">
        <f t="shared" si="110"/>
        <v>322.78481012658227</v>
      </c>
      <c r="AI31" s="25">
        <f t="shared" si="111"/>
        <v>278.48101265822783</v>
      </c>
      <c r="AJ31" s="61">
        <f t="shared" si="112"/>
        <v>417.72151898734171</v>
      </c>
      <c r="AK31" s="25">
        <f t="shared" si="113"/>
        <v>316.45569620253161</v>
      </c>
      <c r="AL31" s="61">
        <f t="shared" si="114"/>
        <v>474.68354430379742</v>
      </c>
      <c r="AM31" s="25">
        <f t="shared" si="115"/>
        <v>329.11392405063287</v>
      </c>
      <c r="AN31" s="61">
        <f t="shared" si="116"/>
        <v>493.67088607594928</v>
      </c>
      <c r="AO31" s="25">
        <f t="shared" si="117"/>
        <v>367.08860759493672</v>
      </c>
      <c r="AP31" s="61">
        <f t="shared" si="118"/>
        <v>550.63291139240505</v>
      </c>
      <c r="AQ31" s="25">
        <f t="shared" si="119"/>
        <v>394.9367088607595</v>
      </c>
      <c r="AR31" s="61">
        <f t="shared" si="120"/>
        <v>592.40506329113919</v>
      </c>
      <c r="AS31" s="25">
        <f t="shared" si="122"/>
        <v>316.45569620253161</v>
      </c>
      <c r="AT31" s="61">
        <f t="shared" si="123"/>
        <v>474.68354430379742</v>
      </c>
    </row>
    <row r="32" spans="1:46">
      <c r="A32" s="73"/>
      <c r="B32" s="48" t="s">
        <v>165</v>
      </c>
      <c r="C32" s="52">
        <f t="shared" si="84"/>
        <v>50.632911392405063</v>
      </c>
      <c r="D32" s="53">
        <f t="shared" si="85"/>
        <v>75.949367088607602</v>
      </c>
      <c r="E32" s="52">
        <f t="shared" si="86"/>
        <v>63.291139240506325</v>
      </c>
      <c r="F32" s="53">
        <f t="shared" si="87"/>
        <v>94.936708860759495</v>
      </c>
      <c r="G32" s="52">
        <f t="shared" si="88"/>
        <v>70.886075949367083</v>
      </c>
      <c r="H32" s="53">
        <f t="shared" si="89"/>
        <v>106.32911392405063</v>
      </c>
      <c r="I32" s="52">
        <f t="shared" si="90"/>
        <v>81.012658227848092</v>
      </c>
      <c r="J32" s="53">
        <f t="shared" si="91"/>
        <v>121.51898734177215</v>
      </c>
      <c r="K32" s="52">
        <f t="shared" si="92"/>
        <v>88.60759493670885</v>
      </c>
      <c r="L32" s="53">
        <f t="shared" si="93"/>
        <v>132.91139240506328</v>
      </c>
      <c r="M32" s="52">
        <f t="shared" si="94"/>
        <v>101.26582278481013</v>
      </c>
      <c r="N32" s="53">
        <f t="shared" si="95"/>
        <v>151.8987341772152</v>
      </c>
      <c r="O32" s="54">
        <f>780/O1</f>
        <v>197.46835443037975</v>
      </c>
      <c r="P32" s="59">
        <f t="shared" si="12"/>
        <v>217.21518987341773</v>
      </c>
      <c r="Q32" s="78"/>
      <c r="R32" s="60">
        <f t="shared" si="96"/>
        <v>126.58227848101265</v>
      </c>
      <c r="S32" s="61">
        <f t="shared" si="97"/>
        <v>189.87341772151899</v>
      </c>
      <c r="T32" s="25">
        <f t="shared" si="98"/>
        <v>141.77215189873417</v>
      </c>
      <c r="U32" s="61">
        <f t="shared" si="99"/>
        <v>212.65822784810126</v>
      </c>
      <c r="V32" s="25">
        <f t="shared" si="100"/>
        <v>167.08860759493669</v>
      </c>
      <c r="W32" s="61">
        <f t="shared" si="101"/>
        <v>250.63291139240505</v>
      </c>
      <c r="X32" s="25">
        <f t="shared" si="102"/>
        <v>197.46835443037975</v>
      </c>
      <c r="Y32" s="61">
        <f t="shared" si="103"/>
        <v>296.20253164556959</v>
      </c>
      <c r="Z32" s="25">
        <f t="shared" si="104"/>
        <v>215.18987341772151</v>
      </c>
      <c r="AA32" s="61">
        <f t="shared" si="105"/>
        <v>322.78481012658227</v>
      </c>
      <c r="AB32" s="25">
        <f t="shared" si="106"/>
        <v>217.72151898734177</v>
      </c>
      <c r="AC32" s="61">
        <f t="shared" si="107"/>
        <v>326.58227848101262</v>
      </c>
      <c r="AD32" s="25">
        <f t="shared" si="121"/>
        <v>240.50632911392404</v>
      </c>
      <c r="AE32" s="61">
        <f t="shared" si="108"/>
        <v>360.75949367088606</v>
      </c>
      <c r="AF32" s="74"/>
      <c r="AG32" s="25">
        <f t="shared" si="109"/>
        <v>215.18987341772151</v>
      </c>
      <c r="AH32" s="61">
        <f t="shared" si="110"/>
        <v>322.78481012658227</v>
      </c>
      <c r="AI32" s="25">
        <f t="shared" si="111"/>
        <v>278.48101265822783</v>
      </c>
      <c r="AJ32" s="61">
        <f t="shared" si="112"/>
        <v>417.72151898734171</v>
      </c>
      <c r="AK32" s="25">
        <f t="shared" si="113"/>
        <v>316.45569620253161</v>
      </c>
      <c r="AL32" s="61">
        <f t="shared" si="114"/>
        <v>474.68354430379742</v>
      </c>
      <c r="AM32" s="25">
        <f t="shared" si="115"/>
        <v>329.11392405063287</v>
      </c>
      <c r="AN32" s="61">
        <f t="shared" si="116"/>
        <v>493.67088607594928</v>
      </c>
      <c r="AO32" s="25">
        <f t="shared" si="117"/>
        <v>367.08860759493672</v>
      </c>
      <c r="AP32" s="61">
        <f t="shared" si="118"/>
        <v>550.63291139240505</v>
      </c>
      <c r="AQ32" s="25">
        <f t="shared" si="119"/>
        <v>394.9367088607595</v>
      </c>
      <c r="AR32" s="61">
        <f t="shared" si="120"/>
        <v>592.40506329113919</v>
      </c>
      <c r="AS32" s="25">
        <f t="shared" si="122"/>
        <v>316.45569620253161</v>
      </c>
      <c r="AT32" s="61">
        <f t="shared" si="123"/>
        <v>474.68354430379742</v>
      </c>
    </row>
    <row r="33" spans="1:46">
      <c r="A33" s="73"/>
      <c r="B33" s="48" t="s">
        <v>166</v>
      </c>
      <c r="C33" s="52">
        <f t="shared" si="84"/>
        <v>50.632911392405063</v>
      </c>
      <c r="D33" s="53">
        <f t="shared" si="85"/>
        <v>75.949367088607602</v>
      </c>
      <c r="E33" s="52">
        <f t="shared" si="86"/>
        <v>63.291139240506325</v>
      </c>
      <c r="F33" s="53">
        <f t="shared" si="87"/>
        <v>94.936708860759495</v>
      </c>
      <c r="G33" s="52">
        <f t="shared" si="88"/>
        <v>70.886075949367083</v>
      </c>
      <c r="H33" s="53">
        <f t="shared" si="89"/>
        <v>106.32911392405063</v>
      </c>
      <c r="I33" s="52">
        <f t="shared" si="90"/>
        <v>81.012658227848092</v>
      </c>
      <c r="J33" s="53">
        <f t="shared" si="91"/>
        <v>121.51898734177215</v>
      </c>
      <c r="K33" s="52">
        <f t="shared" si="92"/>
        <v>88.60759493670885</v>
      </c>
      <c r="L33" s="53">
        <f t="shared" si="93"/>
        <v>132.91139240506328</v>
      </c>
      <c r="M33" s="52">
        <f t="shared" si="94"/>
        <v>101.26582278481013</v>
      </c>
      <c r="N33" s="53">
        <f t="shared" si="95"/>
        <v>151.8987341772152</v>
      </c>
      <c r="O33" s="54">
        <f>780/O1</f>
        <v>197.46835443037975</v>
      </c>
      <c r="P33" s="59">
        <f t="shared" si="12"/>
        <v>217.21518987341773</v>
      </c>
      <c r="Q33" s="78"/>
      <c r="R33" s="60">
        <f t="shared" si="96"/>
        <v>126.58227848101265</v>
      </c>
      <c r="S33" s="61">
        <f t="shared" si="97"/>
        <v>189.87341772151899</v>
      </c>
      <c r="T33" s="25">
        <f t="shared" si="98"/>
        <v>141.77215189873417</v>
      </c>
      <c r="U33" s="61">
        <f t="shared" si="99"/>
        <v>212.65822784810126</v>
      </c>
      <c r="V33" s="25">
        <f t="shared" si="100"/>
        <v>167.08860759493669</v>
      </c>
      <c r="W33" s="61">
        <f t="shared" si="101"/>
        <v>250.63291139240505</v>
      </c>
      <c r="X33" s="25">
        <f t="shared" si="102"/>
        <v>197.46835443037975</v>
      </c>
      <c r="Y33" s="61">
        <f t="shared" si="103"/>
        <v>296.20253164556959</v>
      </c>
      <c r="Z33" s="25">
        <f t="shared" si="104"/>
        <v>215.18987341772151</v>
      </c>
      <c r="AA33" s="61">
        <f t="shared" si="105"/>
        <v>322.78481012658227</v>
      </c>
      <c r="AB33" s="25">
        <f t="shared" si="106"/>
        <v>217.72151898734177</v>
      </c>
      <c r="AC33" s="61">
        <f t="shared" si="107"/>
        <v>326.58227848101262</v>
      </c>
      <c r="AD33" s="25">
        <f t="shared" si="121"/>
        <v>240.50632911392404</v>
      </c>
      <c r="AE33" s="61">
        <f t="shared" si="108"/>
        <v>360.75949367088606</v>
      </c>
      <c r="AF33" s="74"/>
      <c r="AG33" s="25">
        <f t="shared" si="109"/>
        <v>215.18987341772151</v>
      </c>
      <c r="AH33" s="61">
        <f t="shared" si="110"/>
        <v>322.78481012658227</v>
      </c>
      <c r="AI33" s="25">
        <f t="shared" si="111"/>
        <v>278.48101265822783</v>
      </c>
      <c r="AJ33" s="61">
        <f t="shared" si="112"/>
        <v>417.72151898734171</v>
      </c>
      <c r="AK33" s="25">
        <f t="shared" si="113"/>
        <v>316.45569620253161</v>
      </c>
      <c r="AL33" s="61">
        <f t="shared" si="114"/>
        <v>474.68354430379742</v>
      </c>
      <c r="AM33" s="25">
        <f t="shared" si="115"/>
        <v>329.11392405063287</v>
      </c>
      <c r="AN33" s="61">
        <f t="shared" si="116"/>
        <v>493.67088607594928</v>
      </c>
      <c r="AO33" s="25">
        <f t="shared" si="117"/>
        <v>367.08860759493672</v>
      </c>
      <c r="AP33" s="61">
        <f t="shared" si="118"/>
        <v>550.63291139240505</v>
      </c>
      <c r="AQ33" s="25">
        <f t="shared" si="119"/>
        <v>394.9367088607595</v>
      </c>
      <c r="AR33" s="61">
        <f t="shared" si="120"/>
        <v>592.40506329113919</v>
      </c>
      <c r="AS33" s="25">
        <f t="shared" si="122"/>
        <v>316.45569620253161</v>
      </c>
      <c r="AT33" s="61">
        <f t="shared" si="123"/>
        <v>474.68354430379742</v>
      </c>
    </row>
    <row r="34" spans="1:46">
      <c r="A34" s="73"/>
      <c r="B34" s="48" t="s">
        <v>167</v>
      </c>
      <c r="C34" s="52">
        <f t="shared" si="84"/>
        <v>50.632911392405063</v>
      </c>
      <c r="D34" s="53">
        <f t="shared" si="85"/>
        <v>75.949367088607602</v>
      </c>
      <c r="E34" s="52">
        <f t="shared" si="86"/>
        <v>63.291139240506325</v>
      </c>
      <c r="F34" s="53">
        <f t="shared" si="87"/>
        <v>94.936708860759495</v>
      </c>
      <c r="G34" s="52">
        <f t="shared" si="88"/>
        <v>70.886075949367083</v>
      </c>
      <c r="H34" s="53">
        <f t="shared" si="89"/>
        <v>106.32911392405063</v>
      </c>
      <c r="I34" s="52">
        <f t="shared" si="90"/>
        <v>81.012658227848092</v>
      </c>
      <c r="J34" s="53">
        <f t="shared" si="91"/>
        <v>121.51898734177215</v>
      </c>
      <c r="K34" s="52">
        <f t="shared" si="92"/>
        <v>88.60759493670885</v>
      </c>
      <c r="L34" s="53">
        <f t="shared" si="93"/>
        <v>132.91139240506328</v>
      </c>
      <c r="M34" s="52">
        <f t="shared" si="94"/>
        <v>101.26582278481013</v>
      </c>
      <c r="N34" s="53">
        <f t="shared" si="95"/>
        <v>151.8987341772152</v>
      </c>
      <c r="O34" s="54">
        <f>780/O1</f>
        <v>197.46835443037975</v>
      </c>
      <c r="P34" s="59">
        <f t="shared" si="12"/>
        <v>217.21518987341773</v>
      </c>
      <c r="Q34" s="78"/>
      <c r="R34" s="60">
        <f t="shared" si="96"/>
        <v>126.58227848101265</v>
      </c>
      <c r="S34" s="61">
        <f t="shared" si="97"/>
        <v>189.87341772151899</v>
      </c>
      <c r="T34" s="25">
        <f t="shared" si="98"/>
        <v>141.77215189873417</v>
      </c>
      <c r="U34" s="61">
        <f t="shared" si="99"/>
        <v>212.65822784810126</v>
      </c>
      <c r="V34" s="25">
        <f t="shared" si="100"/>
        <v>167.08860759493669</v>
      </c>
      <c r="W34" s="61">
        <f t="shared" si="101"/>
        <v>250.63291139240505</v>
      </c>
      <c r="X34" s="25">
        <f t="shared" si="102"/>
        <v>197.46835443037975</v>
      </c>
      <c r="Y34" s="61">
        <f t="shared" si="103"/>
        <v>296.20253164556959</v>
      </c>
      <c r="Z34" s="25">
        <f t="shared" si="104"/>
        <v>215.18987341772151</v>
      </c>
      <c r="AA34" s="61">
        <f t="shared" si="105"/>
        <v>322.78481012658227</v>
      </c>
      <c r="AB34" s="25">
        <f t="shared" si="106"/>
        <v>217.72151898734177</v>
      </c>
      <c r="AC34" s="61">
        <f t="shared" si="107"/>
        <v>326.58227848101262</v>
      </c>
      <c r="AD34" s="25">
        <f t="shared" si="121"/>
        <v>240.50632911392404</v>
      </c>
      <c r="AE34" s="61">
        <f t="shared" si="108"/>
        <v>360.75949367088606</v>
      </c>
      <c r="AF34" s="74"/>
      <c r="AG34" s="25">
        <f t="shared" si="109"/>
        <v>215.18987341772151</v>
      </c>
      <c r="AH34" s="61">
        <f t="shared" si="110"/>
        <v>322.78481012658227</v>
      </c>
      <c r="AI34" s="25">
        <f t="shared" si="111"/>
        <v>278.48101265822783</v>
      </c>
      <c r="AJ34" s="61">
        <f t="shared" si="112"/>
        <v>417.72151898734171</v>
      </c>
      <c r="AK34" s="25">
        <f t="shared" si="113"/>
        <v>316.45569620253161</v>
      </c>
      <c r="AL34" s="61">
        <f t="shared" si="114"/>
        <v>474.68354430379742</v>
      </c>
      <c r="AM34" s="25">
        <f t="shared" si="115"/>
        <v>329.11392405063287</v>
      </c>
      <c r="AN34" s="61">
        <f t="shared" si="116"/>
        <v>493.67088607594928</v>
      </c>
      <c r="AO34" s="25">
        <f t="shared" si="117"/>
        <v>367.08860759493672</v>
      </c>
      <c r="AP34" s="61">
        <f t="shared" si="118"/>
        <v>550.63291139240505</v>
      </c>
      <c r="AQ34" s="25">
        <f t="shared" si="119"/>
        <v>394.9367088607595</v>
      </c>
      <c r="AR34" s="61">
        <f t="shared" si="120"/>
        <v>592.40506329113919</v>
      </c>
      <c r="AS34" s="25">
        <f t="shared" si="122"/>
        <v>316.45569620253161</v>
      </c>
      <c r="AT34" s="61">
        <f t="shared" si="123"/>
        <v>474.68354430379742</v>
      </c>
    </row>
    <row r="35" spans="1:46">
      <c r="A35" s="73"/>
      <c r="B35" s="48" t="s">
        <v>168</v>
      </c>
      <c r="C35" s="52">
        <f t="shared" si="84"/>
        <v>50.632911392405063</v>
      </c>
      <c r="D35" s="53">
        <f t="shared" si="85"/>
        <v>75.949367088607602</v>
      </c>
      <c r="E35" s="52">
        <f t="shared" si="86"/>
        <v>63.291139240506325</v>
      </c>
      <c r="F35" s="53">
        <f t="shared" si="87"/>
        <v>94.936708860759495</v>
      </c>
      <c r="G35" s="52">
        <f t="shared" si="88"/>
        <v>70.886075949367083</v>
      </c>
      <c r="H35" s="53">
        <f t="shared" si="89"/>
        <v>106.32911392405063</v>
      </c>
      <c r="I35" s="52">
        <f t="shared" si="90"/>
        <v>81.012658227848092</v>
      </c>
      <c r="J35" s="53">
        <f t="shared" si="91"/>
        <v>121.51898734177215</v>
      </c>
      <c r="K35" s="52">
        <f t="shared" si="92"/>
        <v>88.60759493670885</v>
      </c>
      <c r="L35" s="53">
        <f t="shared" si="93"/>
        <v>132.91139240506328</v>
      </c>
      <c r="M35" s="52">
        <f t="shared" si="94"/>
        <v>101.26582278481013</v>
      </c>
      <c r="N35" s="53">
        <f t="shared" si="95"/>
        <v>151.8987341772152</v>
      </c>
      <c r="O35" s="54">
        <f>780/O1</f>
        <v>197.46835443037975</v>
      </c>
      <c r="P35" s="59">
        <f t="shared" si="12"/>
        <v>217.21518987341773</v>
      </c>
      <c r="Q35" s="78"/>
      <c r="R35" s="60">
        <f t="shared" si="96"/>
        <v>126.58227848101265</v>
      </c>
      <c r="S35" s="61">
        <f t="shared" si="97"/>
        <v>189.87341772151899</v>
      </c>
      <c r="T35" s="25">
        <f t="shared" si="98"/>
        <v>141.77215189873417</v>
      </c>
      <c r="U35" s="61">
        <f t="shared" si="99"/>
        <v>212.65822784810126</v>
      </c>
      <c r="V35" s="25">
        <f t="shared" si="100"/>
        <v>167.08860759493669</v>
      </c>
      <c r="W35" s="61">
        <f t="shared" si="101"/>
        <v>250.63291139240505</v>
      </c>
      <c r="X35" s="25">
        <f t="shared" si="102"/>
        <v>197.46835443037975</v>
      </c>
      <c r="Y35" s="61">
        <f t="shared" si="103"/>
        <v>296.20253164556959</v>
      </c>
      <c r="Z35" s="25">
        <f t="shared" si="104"/>
        <v>215.18987341772151</v>
      </c>
      <c r="AA35" s="61">
        <f t="shared" si="105"/>
        <v>322.78481012658227</v>
      </c>
      <c r="AB35" s="25">
        <f t="shared" si="106"/>
        <v>217.72151898734177</v>
      </c>
      <c r="AC35" s="61">
        <f t="shared" si="107"/>
        <v>326.58227848101262</v>
      </c>
      <c r="AD35" s="25">
        <f t="shared" si="121"/>
        <v>240.50632911392404</v>
      </c>
      <c r="AE35" s="61">
        <f t="shared" si="108"/>
        <v>360.75949367088606</v>
      </c>
      <c r="AF35" s="74"/>
      <c r="AG35" s="25">
        <f t="shared" si="109"/>
        <v>215.18987341772151</v>
      </c>
      <c r="AH35" s="61">
        <f t="shared" si="110"/>
        <v>322.78481012658227</v>
      </c>
      <c r="AI35" s="25">
        <f t="shared" si="111"/>
        <v>278.48101265822783</v>
      </c>
      <c r="AJ35" s="61">
        <f t="shared" si="112"/>
        <v>417.72151898734171</v>
      </c>
      <c r="AK35" s="25">
        <f t="shared" si="113"/>
        <v>316.45569620253161</v>
      </c>
      <c r="AL35" s="61">
        <f t="shared" si="114"/>
        <v>474.68354430379742</v>
      </c>
      <c r="AM35" s="25">
        <f t="shared" si="115"/>
        <v>329.11392405063287</v>
      </c>
      <c r="AN35" s="61">
        <f t="shared" si="116"/>
        <v>493.67088607594928</v>
      </c>
      <c r="AO35" s="25">
        <f t="shared" si="117"/>
        <v>367.08860759493672</v>
      </c>
      <c r="AP35" s="61">
        <f t="shared" si="118"/>
        <v>550.63291139240505</v>
      </c>
      <c r="AQ35" s="25">
        <f t="shared" si="119"/>
        <v>394.9367088607595</v>
      </c>
      <c r="AR35" s="61">
        <f t="shared" si="120"/>
        <v>592.40506329113919</v>
      </c>
      <c r="AS35" s="25">
        <f t="shared" si="122"/>
        <v>316.45569620253161</v>
      </c>
      <c r="AT35" s="61">
        <f t="shared" si="123"/>
        <v>474.68354430379742</v>
      </c>
    </row>
    <row r="36" spans="1:46">
      <c r="A36" s="73"/>
      <c r="B36" s="48" t="s">
        <v>169</v>
      </c>
      <c r="C36" s="52">
        <f t="shared" si="84"/>
        <v>50.632911392405063</v>
      </c>
      <c r="D36" s="53">
        <f t="shared" si="85"/>
        <v>75.949367088607602</v>
      </c>
      <c r="E36" s="52">
        <f t="shared" si="86"/>
        <v>63.291139240506325</v>
      </c>
      <c r="F36" s="53">
        <f t="shared" si="87"/>
        <v>94.936708860759495</v>
      </c>
      <c r="G36" s="52">
        <f t="shared" si="88"/>
        <v>70.886075949367083</v>
      </c>
      <c r="H36" s="53">
        <f t="shared" si="89"/>
        <v>106.32911392405063</v>
      </c>
      <c r="I36" s="52">
        <f t="shared" si="90"/>
        <v>81.012658227848092</v>
      </c>
      <c r="J36" s="53">
        <f t="shared" si="91"/>
        <v>121.51898734177215</v>
      </c>
      <c r="K36" s="52">
        <f t="shared" si="92"/>
        <v>88.60759493670885</v>
      </c>
      <c r="L36" s="53">
        <f t="shared" si="93"/>
        <v>132.91139240506328</v>
      </c>
      <c r="M36" s="52">
        <f t="shared" si="94"/>
        <v>101.26582278481013</v>
      </c>
      <c r="N36" s="53">
        <f t="shared" si="95"/>
        <v>151.8987341772152</v>
      </c>
      <c r="O36" s="54">
        <f>780/O1</f>
        <v>197.46835443037975</v>
      </c>
      <c r="P36" s="59">
        <f t="shared" si="12"/>
        <v>217.21518987341773</v>
      </c>
      <c r="Q36" s="78"/>
      <c r="R36" s="60">
        <f t="shared" si="96"/>
        <v>126.58227848101265</v>
      </c>
      <c r="S36" s="61">
        <f t="shared" si="97"/>
        <v>189.87341772151899</v>
      </c>
      <c r="T36" s="25">
        <f t="shared" si="98"/>
        <v>141.77215189873417</v>
      </c>
      <c r="U36" s="61">
        <f t="shared" si="99"/>
        <v>212.65822784810126</v>
      </c>
      <c r="V36" s="25">
        <f t="shared" si="100"/>
        <v>167.08860759493669</v>
      </c>
      <c r="W36" s="61">
        <f t="shared" si="101"/>
        <v>250.63291139240505</v>
      </c>
      <c r="X36" s="25">
        <f t="shared" si="102"/>
        <v>197.46835443037975</v>
      </c>
      <c r="Y36" s="61">
        <f t="shared" si="103"/>
        <v>296.20253164556959</v>
      </c>
      <c r="Z36" s="25">
        <f t="shared" si="104"/>
        <v>215.18987341772151</v>
      </c>
      <c r="AA36" s="61">
        <f t="shared" si="105"/>
        <v>322.78481012658227</v>
      </c>
      <c r="AB36" s="25">
        <f t="shared" si="106"/>
        <v>217.72151898734177</v>
      </c>
      <c r="AC36" s="61">
        <f t="shared" si="107"/>
        <v>326.58227848101262</v>
      </c>
      <c r="AD36" s="25">
        <f t="shared" si="121"/>
        <v>240.50632911392404</v>
      </c>
      <c r="AE36" s="61">
        <f t="shared" si="108"/>
        <v>360.75949367088606</v>
      </c>
      <c r="AF36" s="74"/>
      <c r="AG36" s="25">
        <f t="shared" si="109"/>
        <v>215.18987341772151</v>
      </c>
      <c r="AH36" s="61">
        <f t="shared" si="110"/>
        <v>322.78481012658227</v>
      </c>
      <c r="AI36" s="25">
        <f t="shared" si="111"/>
        <v>278.48101265822783</v>
      </c>
      <c r="AJ36" s="61">
        <f t="shared" si="112"/>
        <v>417.72151898734171</v>
      </c>
      <c r="AK36" s="25">
        <f t="shared" si="113"/>
        <v>316.45569620253161</v>
      </c>
      <c r="AL36" s="61">
        <f t="shared" si="114"/>
        <v>474.68354430379742</v>
      </c>
      <c r="AM36" s="25">
        <f t="shared" si="115"/>
        <v>329.11392405063287</v>
      </c>
      <c r="AN36" s="61">
        <f t="shared" si="116"/>
        <v>493.67088607594928</v>
      </c>
      <c r="AO36" s="25">
        <f t="shared" si="117"/>
        <v>367.08860759493672</v>
      </c>
      <c r="AP36" s="61">
        <f t="shared" si="118"/>
        <v>550.63291139240505</v>
      </c>
      <c r="AQ36" s="25">
        <f t="shared" si="119"/>
        <v>394.9367088607595</v>
      </c>
      <c r="AR36" s="61">
        <f t="shared" si="120"/>
        <v>592.40506329113919</v>
      </c>
      <c r="AS36" s="25">
        <f t="shared" si="122"/>
        <v>316.45569620253161</v>
      </c>
      <c r="AT36" s="61">
        <f t="shared" si="123"/>
        <v>474.68354430379742</v>
      </c>
    </row>
  </sheetData>
  <mergeCells count="6">
    <mergeCell ref="A2:A36"/>
    <mergeCell ref="AF2:AF36"/>
    <mergeCell ref="B10:N10"/>
    <mergeCell ref="B25:N25"/>
    <mergeCell ref="B1:L1"/>
    <mergeCell ref="Q2:Q36"/>
  </mergeCells>
  <pageMargins left="0.7" right="0.7" top="0.75" bottom="0.75" header="0.3" footer="0.3"/>
  <pageSetup paperSize="9" orientation="portrait" horizontalDpi="0" verticalDpi="0" r:id="rId1"/>
  <ignoredErrors>
    <ignoredError sqref="E3:E9 G3:G9 I3:I9 K3:K9 M3:M9 E26:E36 G26:G36 I26:I36 K26:K36 M26:M36 T3:T9 T11 T12:T24 T26:T36 V3:V9 V11:V24 V26:V36 X3:X9 X11:X36 Z3:Z36 AB3:AB36 AD3:AD36 AI3:AI24 AI26:AI36 AK3:AK36 AM3:AM36 AO3:AO36 AQ3:AQ36 AS3:AS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LCL</vt:lpstr>
      <vt:lpstr>FCL</vt:lpstr>
      <vt:lpstr>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2021-04-27T20:53:55Z</dcterms:created>
  <dcterms:modified xsi:type="dcterms:W3CDTF">2022-07-11T15:02:24Z</dcterms:modified>
</cp:coreProperties>
</file>