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5600" windowHeight="9240" tabRatio="760"/>
  </bookViews>
  <sheets>
    <sheet name="CAMBIO DE VÁLVULAS" sheetId="23" r:id="rId1"/>
    <sheet name="ACCESORIOS" sheetId="16" r:id="rId2"/>
  </sheets>
  <definedNames>
    <definedName name="_xlnm._FilterDatabase" localSheetId="0" hidden="1">'CAMBIO DE VÁLVULAS'!$A$32:$H$71</definedName>
    <definedName name="VAL">ACCESORIOS!$B$1:$C$79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7" i="16"/>
  <c r="C167" s="1"/>
  <c r="G83" i="23"/>
  <c r="H83" s="1"/>
  <c r="E160" i="16"/>
  <c r="C160" s="1"/>
  <c r="E33"/>
  <c r="C33" s="1"/>
  <c r="G26" i="23"/>
  <c r="H26" s="1"/>
  <c r="G25"/>
  <c r="H25" s="1"/>
  <c r="G24"/>
  <c r="H24" s="1"/>
  <c r="G23"/>
  <c r="H23" s="1"/>
  <c r="G22"/>
  <c r="H22" s="1"/>
  <c r="G16"/>
  <c r="H16" s="1"/>
  <c r="G15" s="1"/>
  <c r="H15" s="1"/>
  <c r="G13"/>
  <c r="H13" s="1"/>
  <c r="G12" s="1"/>
  <c r="H12" s="1"/>
  <c r="G10"/>
  <c r="H10" s="1"/>
  <c r="G9" s="1"/>
  <c r="H9" s="1"/>
  <c r="G7"/>
  <c r="H7" s="1"/>
  <c r="G6" s="1"/>
  <c r="H6" s="1"/>
  <c r="G27"/>
  <c r="H27" s="1"/>
  <c r="G21"/>
  <c r="H21" s="1"/>
  <c r="G20"/>
  <c r="H20" s="1"/>
  <c r="G19"/>
  <c r="H19" s="1"/>
  <c r="G28" l="1"/>
  <c r="H28" s="1"/>
  <c r="G18" s="1"/>
  <c r="H18" s="1"/>
  <c r="H4" s="1"/>
  <c r="E92" i="16" l="1"/>
  <c r="C92" s="1"/>
  <c r="E93"/>
  <c r="C93" s="1"/>
  <c r="E91"/>
  <c r="C91" s="1"/>
  <c r="E90"/>
  <c r="C90" s="1"/>
  <c r="E165" l="1"/>
  <c r="C165" s="1"/>
  <c r="E189" l="1"/>
  <c r="C189" s="1"/>
  <c r="E190"/>
  <c r="C190" s="1"/>
  <c r="E188"/>
  <c r="C188" s="1"/>
  <c r="E183"/>
  <c r="C183" s="1"/>
  <c r="E175"/>
  <c r="C175" s="1"/>
  <c r="E166"/>
  <c r="C166" s="1"/>
  <c r="G82" i="23" s="1"/>
  <c r="H82" s="1"/>
  <c r="E157" i="16"/>
  <c r="C157" s="1"/>
  <c r="E186"/>
  <c r="C186" s="1"/>
  <c r="E178"/>
  <c r="C178" s="1"/>
  <c r="E170"/>
  <c r="C170" s="1"/>
  <c r="E182"/>
  <c r="C182" s="1"/>
  <c r="E174"/>
  <c r="C174" s="1"/>
  <c r="E164"/>
  <c r="C164" s="1"/>
  <c r="E181"/>
  <c r="C181" s="1"/>
  <c r="E173"/>
  <c r="C173" s="1"/>
  <c r="E163"/>
  <c r="C163" s="1"/>
  <c r="E180"/>
  <c r="C180" s="1"/>
  <c r="E172"/>
  <c r="C172" s="1"/>
  <c r="E162"/>
  <c r="C162" s="1"/>
  <c r="E185"/>
  <c r="C185" s="1"/>
  <c r="E177"/>
  <c r="C177" s="1"/>
  <c r="E169"/>
  <c r="C169" s="1"/>
  <c r="E159"/>
  <c r="C159" s="1"/>
  <c r="G74" i="23" s="1"/>
  <c r="E184" i="16"/>
  <c r="C184" s="1"/>
  <c r="E176"/>
  <c r="C176" s="1"/>
  <c r="E168"/>
  <c r="C168" s="1"/>
  <c r="E158"/>
  <c r="C158" s="1"/>
  <c r="E187"/>
  <c r="C187" s="1"/>
  <c r="E179"/>
  <c r="C179" s="1"/>
  <c r="E171"/>
  <c r="C171" s="1"/>
  <c r="E161"/>
  <c r="C161" s="1"/>
  <c r="E18"/>
  <c r="C18" s="1"/>
  <c r="E141"/>
  <c r="C141" s="1"/>
  <c r="E120"/>
  <c r="C120" s="1"/>
  <c r="H74" i="23" l="1"/>
  <c r="G90"/>
  <c r="H90" s="1"/>
  <c r="G79"/>
  <c r="H79" s="1"/>
  <c r="G78"/>
  <c r="H78" s="1"/>
  <c r="G88"/>
  <c r="H88" s="1"/>
  <c r="G97"/>
  <c r="H97" s="1"/>
  <c r="G86"/>
  <c r="H86" s="1"/>
  <c r="G96"/>
  <c r="H96" s="1"/>
  <c r="G76"/>
  <c r="H76" s="1"/>
  <c r="G99"/>
  <c r="H99" s="1"/>
  <c r="G94"/>
  <c r="H94" s="1"/>
  <c r="G100"/>
  <c r="H100" s="1"/>
  <c r="G98"/>
  <c r="H98" s="1"/>
  <c r="G87"/>
  <c r="H87" s="1"/>
  <c r="G77"/>
  <c r="H77" s="1"/>
  <c r="G95"/>
  <c r="H95" s="1"/>
  <c r="G75"/>
  <c r="H75" s="1"/>
  <c r="G89"/>
  <c r="H89" s="1"/>
  <c r="G93"/>
  <c r="H93" s="1"/>
  <c r="G84" l="1"/>
  <c r="H84" s="1"/>
  <c r="G73"/>
  <c r="H73" s="1"/>
  <c r="G80" s="1"/>
  <c r="H80" s="1"/>
  <c r="H72" s="1"/>
  <c r="G91"/>
  <c r="H91" s="1"/>
  <c r="G92"/>
  <c r="H92" s="1"/>
  <c r="G85"/>
  <c r="H85" s="1"/>
  <c r="G101" l="1"/>
  <c r="H101" s="1"/>
  <c r="H81" s="1"/>
  <c r="E15" i="16" l="1"/>
  <c r="C15" s="1"/>
  <c r="E40"/>
  <c r="C40" s="1"/>
  <c r="E38"/>
  <c r="C38" s="1"/>
  <c r="E37"/>
  <c r="C37" s="1"/>
  <c r="E36"/>
  <c r="C36" s="1"/>
  <c r="E34"/>
  <c r="C34" s="1"/>
  <c r="E26"/>
  <c r="C26" s="1"/>
  <c r="E24"/>
  <c r="C24" s="1"/>
  <c r="E23"/>
  <c r="C23" s="1"/>
  <c r="E22"/>
  <c r="C22" s="1"/>
  <c r="E20"/>
  <c r="C20" s="1"/>
  <c r="E19"/>
  <c r="C19" s="1"/>
  <c r="E17"/>
  <c r="C17" s="1"/>
  <c r="E16"/>
  <c r="C16" s="1"/>
  <c r="E14"/>
  <c r="C14" s="1"/>
  <c r="E9"/>
  <c r="C9" s="1"/>
  <c r="E8"/>
  <c r="C8" s="1"/>
  <c r="E7"/>
  <c r="C7" s="1"/>
  <c r="E6"/>
  <c r="C6" s="1"/>
  <c r="E5"/>
  <c r="C5" s="1"/>
  <c r="E4"/>
  <c r="C4" s="1"/>
  <c r="E3"/>
  <c r="C3" s="1"/>
  <c r="E2"/>
  <c r="C2" s="1"/>
  <c r="E13" l="1"/>
  <c r="C13" s="1"/>
  <c r="E12" l="1"/>
  <c r="C12" s="1"/>
  <c r="E10"/>
  <c r="C10" s="1"/>
  <c r="E11"/>
  <c r="C11" s="1"/>
  <c r="E103" l="1"/>
  <c r="C103" s="1"/>
  <c r="E52"/>
  <c r="C52" s="1"/>
  <c r="E69" l="1"/>
  <c r="C69" s="1"/>
  <c r="E51"/>
  <c r="C51" s="1"/>
  <c r="E53"/>
  <c r="C53" s="1"/>
  <c r="E155"/>
  <c r="C155" s="1"/>
  <c r="E154"/>
  <c r="C154" s="1"/>
  <c r="E153"/>
  <c r="C153" s="1"/>
  <c r="E152"/>
  <c r="C152" s="1"/>
  <c r="E151"/>
  <c r="C151" s="1"/>
  <c r="E149" l="1"/>
  <c r="C149" s="1"/>
  <c r="E148"/>
  <c r="C148" s="1"/>
  <c r="E147"/>
  <c r="C147" s="1"/>
  <c r="E144"/>
  <c r="C144" s="1"/>
  <c r="E146"/>
  <c r="C146" s="1"/>
  <c r="E145"/>
  <c r="C145" s="1"/>
  <c r="E143"/>
  <c r="C143" s="1"/>
  <c r="E142"/>
  <c r="C142" s="1"/>
  <c r="E140"/>
  <c r="C140" s="1"/>
  <c r="E139"/>
  <c r="C139" s="1"/>
  <c r="E138"/>
  <c r="C138" s="1"/>
  <c r="E137"/>
  <c r="C137" s="1"/>
  <c r="E136"/>
  <c r="C136" s="1"/>
  <c r="E135"/>
  <c r="C135" s="1"/>
  <c r="E134"/>
  <c r="C134" s="1"/>
  <c r="E133"/>
  <c r="C133" s="1"/>
  <c r="E132"/>
  <c r="C132" s="1"/>
  <c r="E131"/>
  <c r="C131" s="1"/>
  <c r="E130"/>
  <c r="C130" s="1"/>
  <c r="E129"/>
  <c r="C129" s="1"/>
  <c r="E128"/>
  <c r="C128" s="1"/>
  <c r="E127"/>
  <c r="C127" s="1"/>
  <c r="E126"/>
  <c r="C126" s="1"/>
  <c r="E125"/>
  <c r="C125" s="1"/>
  <c r="E124"/>
  <c r="C124" s="1"/>
  <c r="E150"/>
  <c r="C150" s="1"/>
  <c r="E49"/>
  <c r="C49" s="1"/>
  <c r="E25"/>
  <c r="C25" s="1"/>
  <c r="E32" l="1"/>
  <c r="C32" s="1"/>
  <c r="E31"/>
  <c r="C31" s="1"/>
  <c r="E35"/>
  <c r="C35" s="1"/>
  <c r="E39"/>
  <c r="C39" s="1"/>
  <c r="E41"/>
  <c r="C41" s="1"/>
  <c r="E42"/>
  <c r="C42" s="1"/>
  <c r="E43"/>
  <c r="C43" s="1"/>
  <c r="E44"/>
  <c r="C44" s="1"/>
  <c r="E45"/>
  <c r="C45" s="1"/>
  <c r="E46"/>
  <c r="C46" s="1"/>
  <c r="E47"/>
  <c r="C47" s="1"/>
  <c r="E48"/>
  <c r="C48" s="1"/>
  <c r="E50"/>
  <c r="C50" s="1"/>
  <c r="E54"/>
  <c r="C54" s="1"/>
  <c r="G62" i="23" s="1"/>
  <c r="H62" s="1"/>
  <c r="E55" i="16"/>
  <c r="C55" s="1"/>
  <c r="E56"/>
  <c r="C56" s="1"/>
  <c r="E57"/>
  <c r="C57" s="1"/>
  <c r="E58"/>
  <c r="C58" s="1"/>
  <c r="E59"/>
  <c r="C59" s="1"/>
  <c r="G63" i="23" s="1"/>
  <c r="H63" s="1"/>
  <c r="E60" i="16"/>
  <c r="C60" s="1"/>
  <c r="E61"/>
  <c r="C61" s="1"/>
  <c r="E62"/>
  <c r="C62" s="1"/>
  <c r="E63"/>
  <c r="C63" s="1"/>
  <c r="E64"/>
  <c r="C64" s="1"/>
  <c r="E65"/>
  <c r="C65" s="1"/>
  <c r="E66"/>
  <c r="C66" s="1"/>
  <c r="E67"/>
  <c r="C67" s="1"/>
  <c r="E68"/>
  <c r="C68" s="1"/>
  <c r="E70"/>
  <c r="C70" s="1"/>
  <c r="E71"/>
  <c r="C71" s="1"/>
  <c r="E72"/>
  <c r="C72" s="1"/>
  <c r="E73"/>
  <c r="C73" s="1"/>
  <c r="E74"/>
  <c r="C74" s="1"/>
  <c r="E75"/>
  <c r="C75" s="1"/>
  <c r="E76"/>
  <c r="C76" s="1"/>
  <c r="E77"/>
  <c r="C77" s="1"/>
  <c r="E78"/>
  <c r="C78" s="1"/>
  <c r="E79"/>
  <c r="C79" s="1"/>
  <c r="E80"/>
  <c r="C80" s="1"/>
  <c r="E81"/>
  <c r="C81" s="1"/>
  <c r="E82"/>
  <c r="C82" s="1"/>
  <c r="E83"/>
  <c r="C83" s="1"/>
  <c r="E84"/>
  <c r="C84" s="1"/>
  <c r="E85"/>
  <c r="C85" s="1"/>
  <c r="E86"/>
  <c r="C86" s="1"/>
  <c r="E87"/>
  <c r="C87" s="1"/>
  <c r="E88"/>
  <c r="C88" s="1"/>
  <c r="E89"/>
  <c r="C89" s="1"/>
  <c r="E94"/>
  <c r="C94" s="1"/>
  <c r="E95"/>
  <c r="C95" s="1"/>
  <c r="E96"/>
  <c r="C96" s="1"/>
  <c r="E97"/>
  <c r="C97" s="1"/>
  <c r="E98"/>
  <c r="C98" s="1"/>
  <c r="E99"/>
  <c r="C99" s="1"/>
  <c r="E100"/>
  <c r="C100" s="1"/>
  <c r="E101"/>
  <c r="C101" s="1"/>
  <c r="E102"/>
  <c r="C102" s="1"/>
  <c r="E104"/>
  <c r="C104" s="1"/>
  <c r="E105"/>
  <c r="C105" s="1"/>
  <c r="E106"/>
  <c r="C106" s="1"/>
  <c r="E107"/>
  <c r="C107" s="1"/>
  <c r="E108"/>
  <c r="C108" s="1"/>
  <c r="E109"/>
  <c r="C109" s="1"/>
  <c r="E110"/>
  <c r="C110" s="1"/>
  <c r="E111"/>
  <c r="C111" s="1"/>
  <c r="E112"/>
  <c r="C112" s="1"/>
  <c r="E113"/>
  <c r="C113" s="1"/>
  <c r="E114"/>
  <c r="C114" s="1"/>
  <c r="E115"/>
  <c r="C115" s="1"/>
  <c r="E116"/>
  <c r="C116" s="1"/>
  <c r="E117"/>
  <c r="C117" s="1"/>
  <c r="E118"/>
  <c r="C118" s="1"/>
  <c r="E119"/>
  <c r="C119" s="1"/>
  <c r="E121"/>
  <c r="C121" s="1"/>
  <c r="E122"/>
  <c r="C122" s="1"/>
  <c r="E123"/>
  <c r="C123" s="1"/>
  <c r="E156"/>
  <c r="C156" s="1"/>
  <c r="E30"/>
  <c r="C30" s="1"/>
  <c r="E29"/>
  <c r="C29" s="1"/>
  <c r="E27"/>
  <c r="C27" s="1"/>
  <c r="E28" l="1"/>
  <c r="C28" s="1"/>
  <c r="E21"/>
  <c r="C21" s="1"/>
  <c r="G32" i="23" l="1"/>
  <c r="H32" s="1"/>
  <c r="G66"/>
  <c r="H66" s="1"/>
  <c r="G51"/>
  <c r="H51" s="1"/>
  <c r="G52"/>
  <c r="H52" s="1"/>
  <c r="G67"/>
  <c r="H67" s="1"/>
  <c r="G61"/>
  <c r="H61" s="1"/>
  <c r="G55"/>
  <c r="H55" s="1"/>
  <c r="G54"/>
  <c r="H54" s="1"/>
  <c r="G53"/>
  <c r="H53" s="1"/>
  <c r="G57"/>
  <c r="H57" s="1"/>
  <c r="G69"/>
  <c r="H69" s="1"/>
  <c r="G34"/>
  <c r="H34" s="1"/>
  <c r="G35"/>
  <c r="H35" s="1"/>
  <c r="G36"/>
  <c r="H36" s="1"/>
  <c r="G33"/>
  <c r="H33" s="1"/>
  <c r="G37"/>
  <c r="H37" s="1"/>
  <c r="G38"/>
  <c r="H38" s="1"/>
  <c r="G56" l="1"/>
  <c r="H56" s="1"/>
  <c r="G39"/>
  <c r="H39" s="1"/>
  <c r="H31" s="1"/>
  <c r="G42"/>
  <c r="H42" s="1"/>
  <c r="G47"/>
  <c r="H47" s="1"/>
  <c r="G60"/>
  <c r="H60" s="1"/>
  <c r="G43"/>
  <c r="H43" s="1"/>
  <c r="G48"/>
  <c r="H48" s="1"/>
  <c r="G68"/>
  <c r="H68" s="1"/>
  <c r="G59"/>
  <c r="H59" s="1"/>
  <c r="G41"/>
  <c r="H41" s="1"/>
  <c r="G46"/>
  <c r="H46" s="1"/>
  <c r="G70"/>
  <c r="H70" s="1"/>
  <c r="G58"/>
  <c r="H58" s="1"/>
  <c r="G49" l="1"/>
  <c r="H49" s="1"/>
  <c r="H45" s="1"/>
  <c r="G71"/>
  <c r="H71" s="1"/>
  <c r="H65" s="1"/>
  <c r="G44"/>
  <c r="H44" s="1"/>
  <c r="H40" s="1"/>
  <c r="G64"/>
  <c r="H64" s="1"/>
  <c r="H50" s="1"/>
  <c r="H30" l="1"/>
  <c r="H3" s="1"/>
</calcChain>
</file>

<file path=xl/sharedStrings.xml><?xml version="1.0" encoding="utf-8"?>
<sst xmlns="http://schemas.openxmlformats.org/spreadsheetml/2006/main" count="638" uniqueCount="349">
  <si>
    <t>ITEM</t>
  </si>
  <si>
    <t>UDM</t>
  </si>
  <si>
    <t>CANT.</t>
  </si>
  <si>
    <t>P/UNITARIO</t>
  </si>
  <si>
    <t>Glb.</t>
  </si>
  <si>
    <t>Und.</t>
  </si>
  <si>
    <t>Dia</t>
  </si>
  <si>
    <t>Gal.</t>
  </si>
  <si>
    <t>Kg.</t>
  </si>
  <si>
    <t>01.00.00</t>
  </si>
  <si>
    <t>01.01.00</t>
  </si>
  <si>
    <t>01.01.01</t>
  </si>
  <si>
    <t>01.03.00</t>
  </si>
  <si>
    <t>01.03.01</t>
  </si>
  <si>
    <t>01.04.00</t>
  </si>
  <si>
    <t>01.04.01</t>
  </si>
  <si>
    <t>Alquiler de compresora de aire tornillo rotativo</t>
  </si>
  <si>
    <t>m3</t>
  </si>
  <si>
    <t>01.05.00</t>
  </si>
  <si>
    <t>01.05.01</t>
  </si>
  <si>
    <t>PRUEBAS HIDRÁULICAS DEL TANQUE DE GLP (AGUA).</t>
  </si>
  <si>
    <t>PRUEBAS NEUMÁTICAS DEL TANQUE DE GLP (AIRE).</t>
  </si>
  <si>
    <t>Suministro de Válvula Check-Lock de 1-1/4" NPT X 35GPM. Marca Rego 7591U (Válvula de drenaje de 1 1/4¨).</t>
  </si>
  <si>
    <t>Suministro de Válvula Mixta NPT 3/4" -para Montaje con Manómetro NPT 1/4". Marca Rego A2805C (válvula de nivel de 3/4).</t>
  </si>
  <si>
    <t>Suministro de Válvula Exceso de Flujo de 1 1/4" x 50 GPM, Rego 3282C</t>
  </si>
  <si>
    <t>Suministro de niple de acero SCH 80 1 1/4”x 3”</t>
  </si>
  <si>
    <t>02.00.00</t>
  </si>
  <si>
    <t>02.01.00</t>
  </si>
  <si>
    <t>02.01.01</t>
  </si>
  <si>
    <t>01.02.00</t>
  </si>
  <si>
    <t>01.02.01</t>
  </si>
  <si>
    <t>Suministro de brocha de 2” marca tumi</t>
  </si>
  <si>
    <t>Suministro de Cepillo circular de alambre trenzado 4 1/2"</t>
  </si>
  <si>
    <t>Suministro de Combustible para la compresora de aire de tornillo rotativo.</t>
  </si>
  <si>
    <t>Suministro de Espray negro</t>
  </si>
  <si>
    <t>Suministro de Pasta metálica</t>
  </si>
  <si>
    <t>Suministro de trapo industrial</t>
  </si>
  <si>
    <t>Suministro de Rodillo 2" epóxico</t>
  </si>
  <si>
    <t>Suministro de Cepillo de Copa 4"</t>
  </si>
  <si>
    <t>Suministro de Pintura color amarillo caterpilar</t>
  </si>
  <si>
    <t>Suministro de teflón amarillo 1/2".</t>
  </si>
  <si>
    <t>SUMINISTRO DE VÁLVULAS, ACCESORIOS, CONSUMIBLES Y OTROS.</t>
  </si>
  <si>
    <t>Suministro de Válvula de alivio de Presión de 2" NPT X 250 PSI. Marca Rego 7534G. (Válvula De Seguridad De 2¨)</t>
  </si>
  <si>
    <t>Suministro de adaptador o rosca para tubería válvula de retorno alivio 2", conexión de salida 3”. Marca Rego 7534-20*(Adaptador pipe away de 3¨).</t>
  </si>
  <si>
    <t>Lubricante Multiusos WD-40 11 onzas</t>
  </si>
  <si>
    <t>Suministro de Pote de Grasa Multipropósito 453 gr</t>
  </si>
  <si>
    <t>Suministro de niple de acero SCH 80 1 1/4”x 2”</t>
  </si>
  <si>
    <t>Suministro de niple de acero SCH 80 2”x 1 1/2”</t>
  </si>
  <si>
    <t>Suministro de niple de acero SCH 80 2”x 2”</t>
  </si>
  <si>
    <t>Suministro de niple de acero SCH 80 2”x 3”</t>
  </si>
  <si>
    <t>Suministro de base epoxica  gris</t>
  </si>
  <si>
    <t xml:space="preserve">SUMINISTRO DE CONSUMIBLES </t>
  </si>
  <si>
    <t xml:space="preserve"> ALQUILER DE EQUIPOS</t>
  </si>
  <si>
    <t>Disco de Corte 4 1/2"</t>
  </si>
  <si>
    <t xml:space="preserve"> Suministro  de traje tyvek</t>
  </si>
  <si>
    <t xml:space="preserve">Suministro de Cartuchos Quimicoos advantage GME - MULTIGAS </t>
  </si>
  <si>
    <t>FACTOR DE VARIACIÓN DE PRECIO</t>
  </si>
  <si>
    <t>FACTOR CONVERTIR A SOLES</t>
  </si>
  <si>
    <t>FACTOR UTILIDAD</t>
  </si>
  <si>
    <t xml:space="preserve">Empaque de material No Asbesto de un espesor 3/16” </t>
  </si>
  <si>
    <t xml:space="preserve">Empaque manhole neopreno de 3/16” </t>
  </si>
  <si>
    <t>Suministro de Thinner</t>
  </si>
  <si>
    <t>Suministro de base coal tar</t>
  </si>
  <si>
    <t>TRABAJOS PRELIMINARES, GASTOS OPERATIVOS Y VIÁTICOS</t>
  </si>
  <si>
    <t>DOMO DEL TANQUE DE GLP</t>
  </si>
  <si>
    <t>Suministro de Bifurcación de 1/4” para manómetros.</t>
  </si>
  <si>
    <t>Suministro de espirometálico de 1 1/2” x 300 Lb.</t>
  </si>
  <si>
    <t>DESCRIPCIÓN</t>
  </si>
  <si>
    <t>PRECIO</t>
  </si>
  <si>
    <t>02.01.02</t>
  </si>
  <si>
    <t>02.01.03</t>
  </si>
  <si>
    <t>02.01.04</t>
  </si>
  <si>
    <t>02.01.05</t>
  </si>
  <si>
    <t>02.01.06</t>
  </si>
  <si>
    <t>02.01.07</t>
  </si>
  <si>
    <t>02.01.08</t>
  </si>
  <si>
    <t>02.02.00</t>
  </si>
  <si>
    <t>02.02.01</t>
  </si>
  <si>
    <t>02.02.02</t>
  </si>
  <si>
    <t>02.02.03</t>
  </si>
  <si>
    <t>02.02.04</t>
  </si>
  <si>
    <t>02.03.00</t>
  </si>
  <si>
    <t>02.03.01</t>
  </si>
  <si>
    <t>02.03.02</t>
  </si>
  <si>
    <t>02.03.03</t>
  </si>
  <si>
    <t>02.03.04</t>
  </si>
  <si>
    <t>02.05.00</t>
  </si>
  <si>
    <t>02.05.01</t>
  </si>
  <si>
    <t>02.05.02</t>
  </si>
  <si>
    <t>02.05.03</t>
  </si>
  <si>
    <t>02.05.04</t>
  </si>
  <si>
    <t>02.05.05</t>
  </si>
  <si>
    <t>02.05.06</t>
  </si>
  <si>
    <t>02.07.00</t>
  </si>
  <si>
    <t>02.07.01</t>
  </si>
  <si>
    <t>02.07.02</t>
  </si>
  <si>
    <t>02.07.04</t>
  </si>
  <si>
    <t>02.04.00</t>
  </si>
  <si>
    <t>02.04.01</t>
  </si>
  <si>
    <t>02.04.02</t>
  </si>
  <si>
    <t>02.04.03</t>
  </si>
  <si>
    <t>02.04.04</t>
  </si>
  <si>
    <t>02.04.05</t>
  </si>
  <si>
    <t>02.04.06</t>
  </si>
  <si>
    <t>02.04.07</t>
  </si>
  <si>
    <t>Otros (5%)</t>
  </si>
  <si>
    <t>Suministro de unión universal 1" de acero x 3000 Lb.</t>
  </si>
  <si>
    <t>02.04.08</t>
  </si>
  <si>
    <t>02.04.09</t>
  </si>
  <si>
    <t>Suministro de Perno 3/4” x 5” (Grado 8).</t>
  </si>
  <si>
    <t>Suministro de arandela plana  estructural ala corta 3/4" (Grado 8).</t>
  </si>
  <si>
    <t>Suministro de arandela presión 3/4" (Grado 8).</t>
  </si>
  <si>
    <t>Suministro de válvula de exceso de flujo acero 2", 100 GPM  Rego  A3292B</t>
  </si>
  <si>
    <t>Suministro de unión universal 2" de acero x 3000 Lb.</t>
  </si>
  <si>
    <t>Suministro de válvula de alivio hidrostático 1/4" x 450 PSI. Marca Rego 3127U</t>
  </si>
  <si>
    <t>LÍNEA DE BY PASS N°01  (ZONA DEL TANQUE DE GLP)</t>
  </si>
  <si>
    <t>Suministro de válvula de alivio hidrostático 1/2" x 450 PSI. Marca Rego 3129U.</t>
  </si>
  <si>
    <t>Suministro de niple de acero SCH 80 1 1/4”x 1 1/2”</t>
  </si>
  <si>
    <t xml:space="preserve">Suministro de Riel Unistrut bajo 2” x 2.4 m </t>
  </si>
  <si>
    <t xml:space="preserve">Suministro de perno hexagonal Zincado 3/8” x 2” – RC (Grado 2) </t>
  </si>
  <si>
    <t xml:space="preserve">Suministro de tuerca hexagonal Zincado 3/8” – (Grado 2) </t>
  </si>
  <si>
    <t xml:space="preserve">Suministro de arandela plana ala ancha Zincado 3/8” – (Grado 2) </t>
  </si>
  <si>
    <t>Suministro abrazadera tipo "U-Bolt" 3/8" X 2" (Forrado manguera PVC y base de neopreno)</t>
  </si>
  <si>
    <t>Suministro de tapon macho de acero 1” x 3000 Lb.</t>
  </si>
  <si>
    <t>02.07.06</t>
  </si>
  <si>
    <t>02.07.08</t>
  </si>
  <si>
    <t>LÍNEA DE DESCARGA DE GLP (ZONA DEL TANQUE DE GLP)</t>
  </si>
  <si>
    <t>LÍNEA DE RETORNO DE VAPOR DE LA DESCARGA DE GLP (ZONA DEL TANQUE DE GLP)</t>
  </si>
  <si>
    <t>Servicio de Retiro de agua por camión cisterna (Con certificado de disposición final)</t>
  </si>
  <si>
    <t>Suministro de tapon macho de acero 3/4” x 3000 Lb.</t>
  </si>
  <si>
    <t>Suministro de Válvula de alivio de Presión de 1 1/4" NPT X 250 PSI. Marca Rego 3135 G. (Válvula De Seguridad De 1 1/4")</t>
  </si>
  <si>
    <t>Suministro de adaptador o rosca para tubería válvula de retorno alivio 1 1/4", conexión de salida 2”. Marca Rego 3135-10 (Adaptador pipe away de 2¨).</t>
  </si>
  <si>
    <t>Suministro de tapon macho de acero 2” x 3000 Lb.</t>
  </si>
  <si>
    <t>Suministro de tapon macho de acero 1 1/4” x 3000 Lb.</t>
  </si>
  <si>
    <t>Suministro de niple de acero SCH 80 1”x 2”</t>
  </si>
  <si>
    <t>Suministro de niple de acero SCH 80 1”x 3”</t>
  </si>
  <si>
    <t>Suministro de unión universal 1 1/4" de acero x 3000 Lb.</t>
  </si>
  <si>
    <t>Suministro de niple de acero SCH 80 3/4”x 2”</t>
  </si>
  <si>
    <t>Suministro de niple de acero SCH 80 3/4”x 3”</t>
  </si>
  <si>
    <t>Suministro de unión universal 3/4" de acero x 3000 Lb.</t>
  </si>
  <si>
    <t>Suministro de Perno 1” x 6” (Grado 8).</t>
  </si>
  <si>
    <t>Suministro de arandela plana  estructural ala corta 1" (Grado 8).</t>
  </si>
  <si>
    <t>Suministro de arandela presión 1" (Grado 8).</t>
  </si>
  <si>
    <t xml:space="preserve">Suministro de Perno 5/8” x 3"  (Grado 8). </t>
  </si>
  <si>
    <t xml:space="preserve">Suministro de arandela plana  estructural ala corta 5/8” (Grado 8). </t>
  </si>
  <si>
    <t>Suministro de arandela presión  5/8” (Grado 8).</t>
  </si>
  <si>
    <t>Suministro de Válvula Check ø 2" clase 300 roscado acero. Marca Rego A3186.</t>
  </si>
  <si>
    <t xml:space="preserve">Suministro de espirometálico de 1” x 300 Lb. </t>
  </si>
  <si>
    <t>Suministro de unión simple 1" de acero x 3000 Lb.</t>
  </si>
  <si>
    <t>Suministro de Tee 2" de acero x 3000 Lb.</t>
  </si>
  <si>
    <t xml:space="preserve">Brida Roscada De Acero A-105 B16.5  3/4" X 300 LBS. RF </t>
  </si>
  <si>
    <t xml:space="preserve">Suministro de espirometálico de 3/4” x 300 Lb. </t>
  </si>
  <si>
    <t>Suministro de Válvula Exceso de Flujo de 3/4" x 20 GPM, Rego 3272G</t>
  </si>
  <si>
    <t>Suministro de Válvula de venteo "SPICH" DE 1/4" Rego 3165C</t>
  </si>
  <si>
    <t>Suministro de Válvula Check ø 1 1/4" clase 300 roscado acero Marca Rego A3276BC</t>
  </si>
  <si>
    <t>Suministro de arandela plana ala corta 7/8" (Grado 8).</t>
  </si>
  <si>
    <t xml:space="preserve">Suministro de tuerca hexagonal  7/8"" (Grado 8).  </t>
  </si>
  <si>
    <t xml:space="preserve">Suministro de arandela presion 7/8" (Grado 8).  </t>
  </si>
  <si>
    <t>Suministro de espirometálico de 2” x 300 Lb.</t>
  </si>
  <si>
    <t>Suministro de arandela plana ala corta  1 1/4" (Grado 8).</t>
  </si>
  <si>
    <t xml:space="preserve">Suministro de arandela presion 1 1/4"  (Grado 8).  </t>
  </si>
  <si>
    <t xml:space="preserve">Suministro de tuerca hexagonal 1 1/4"  (Grado 8).  </t>
  </si>
  <si>
    <t xml:space="preserve">Suministro de Perno 1 1/4" x 8" (Grado 8).  </t>
  </si>
  <si>
    <t>Suministro de unión universal 1 1/2" de acero x 3000 Lb.</t>
  </si>
  <si>
    <t>Suministro de niple de acero SCH 80 1/4”x 2”</t>
  </si>
  <si>
    <t>Suministro de niple de acero SCH 80 1/4”x 1”</t>
  </si>
  <si>
    <t>Suministro de niple de acero SCH 80 1/4”x 3”</t>
  </si>
  <si>
    <t xml:space="preserve">Suministro de Reducción Bushing 2 ”x 1 1/2” de acero x 3000 Lb. </t>
  </si>
  <si>
    <t>Suministro de niple de acero SCH 80 1 1/2”x 1”</t>
  </si>
  <si>
    <t>Suministro de niple de acero SCH 80 1 1/2”x 2”</t>
  </si>
  <si>
    <t>Suministro de niple de acero SCH 80 1 1/2”x 3”</t>
  </si>
  <si>
    <t xml:space="preserve">Suministro de Reducción Bushing 2 ”x 1/2” de acero x 3000 Lb. </t>
  </si>
  <si>
    <t>Suministro de niple de acero SCH 80 1/2”x 1”</t>
  </si>
  <si>
    <t>Suministro de niple de acero SCH 80 1 1/4”x 4”</t>
  </si>
  <si>
    <t>Suministro de niple de acero SCH 80 1 1/4”x 1 m</t>
  </si>
  <si>
    <t xml:space="preserve">Suministro de Reducción Bushing 1 1/4”x 3/4” de acero x 3000 Lb. </t>
  </si>
  <si>
    <t>Suministro de niple de acero SCH 80 2”x 50 Cm</t>
  </si>
  <si>
    <t>Suministro de niple de acero SCH 80 3/4”x 50 Cm</t>
  </si>
  <si>
    <t xml:space="preserve">Brida Roscada De Acero A-105 B16.5  2" X 300 LBS. RF </t>
  </si>
  <si>
    <t>Suministro de unión simple 2" de acero x 3000 Lb.</t>
  </si>
  <si>
    <t>Suministro de niple de acero SCH 80 3/4”x 1 m</t>
  </si>
  <si>
    <t>Suministro de niple de acero SCH 80 2”x 1 m</t>
  </si>
  <si>
    <t>Suministro de niple de acero SCH 80 1”x 5”</t>
  </si>
  <si>
    <t>Suministro de niple de acero SCH 80 1 1/4”x 5”</t>
  </si>
  <si>
    <t>Suministro de niple de acero SCH 80 1 1/4”x 50 cm</t>
  </si>
  <si>
    <t>Suministro de tapon macho de acero 1/4” x 3000 Lb.</t>
  </si>
  <si>
    <t>Suministro de niple de acero SCH 80 2”x 4"</t>
  </si>
  <si>
    <t>Suministro de niple de acero SCH 80 2”x 5"</t>
  </si>
  <si>
    <t>Suministro de niple de acero SCH 80 3/4”x 1”</t>
  </si>
  <si>
    <t>ÍTEM</t>
  </si>
  <si>
    <t>Suministro de visor check indicador de flujo 2" x 400 WOG, Marca Rego A7794</t>
  </si>
  <si>
    <t>Suministro de Válvula de bola roscada 2" x 600 WOG 80. Marca Apollo.</t>
  </si>
  <si>
    <t>Suministro de Válvula de bola roscada  1 1/2" x 600 WOG 80. Marca Apollo.</t>
  </si>
  <si>
    <t>Suministro de Válvula de bola roscada  1 1/4" x 600 WOG 80. Marca Apollo.</t>
  </si>
  <si>
    <t>Suministro de Válvula de bola roscada  1" x 600 WOG 80. Marca Apollo.</t>
  </si>
  <si>
    <t>Suministro de Válvula de bola roscada  3/4" x 600 WOG 80. Marca Apollo.</t>
  </si>
  <si>
    <t>Suministro de Válvula de bola roscada  3/8" x 600 WOG 80. Marca Apollo.</t>
  </si>
  <si>
    <t>Suministro de Válvula de bola roscada  1/4" x 600 WOG 80. Marca Apollo.</t>
  </si>
  <si>
    <t>Suministro de codo  de  2" x 90° de acero x 3000 Lb.</t>
  </si>
  <si>
    <t>Suministro de codo  de  1 1/2" x 90° de acero x 3000 Lb.</t>
  </si>
  <si>
    <t>Suministro de codo  de  1 1/4" x 90° de acero x 3000 Lb.</t>
  </si>
  <si>
    <t>Suministro de codo  de  1 " x 90° de acero x 3000 Lb.</t>
  </si>
  <si>
    <t>Suministro de codo  de  3/4" x 90° de acero x 3000 Lb.</t>
  </si>
  <si>
    <t>Suministro de codo  de  1/2" x 90° de acero x 3000 Lb.</t>
  </si>
  <si>
    <t>Suministro de unión simple 1 1/2" de acero x 3000 Lb.</t>
  </si>
  <si>
    <t>Suministro de unión simple 1 1/4" de acero x 3000 Lb.</t>
  </si>
  <si>
    <t>Suministro de unión simple 3/4" de acero x 3000 Lb.</t>
  </si>
  <si>
    <t>Suministro de unión simple 1/2" de acero x 3000 Lb.</t>
  </si>
  <si>
    <t>Suministro de unión simple 3/8" de acero x 3000 Lb.</t>
  </si>
  <si>
    <t>Suministro de unión simple 1/4" de acero x 3000 Lb.</t>
  </si>
  <si>
    <t xml:space="preserve">Brida Roscada De Acero A-105 B16.5  1 1/2" X 300 LBS. RF </t>
  </si>
  <si>
    <t xml:space="preserve">Brida Roscada De Acero A-105 B16.5  1 1/4" X 300 LBS. RF </t>
  </si>
  <si>
    <t xml:space="preserve">Brida Roscada De Acero A-105 B16.5  1 " X 300 LBS. RF </t>
  </si>
  <si>
    <t>Suministro de tapon macho de acero 1 1/2” x 3000 Lb.</t>
  </si>
  <si>
    <t>Suministro de tapon macho de acero 1/2” x 3000 Lb.</t>
  </si>
  <si>
    <t xml:space="preserve">Suministro de Reducción Bushing 2 ”x 1 1/4” de acero x 3000 Lb. </t>
  </si>
  <si>
    <t xml:space="preserve">Suministro de Reducción Bushing 2 ”x 3/4” de acero x 3000 Lb. </t>
  </si>
  <si>
    <t xml:space="preserve">Suministro de Reducción Bushing 1 1/4”x 1” de acero x 3000 Lb. </t>
  </si>
  <si>
    <t xml:space="preserve">Suministro de Reducción Bushing 1 1/4”x 1/2” de acero x 3000 Lb. </t>
  </si>
  <si>
    <t xml:space="preserve">Suministro de Reducción Bushing 1”x 3/4” de acero x 3000 Lb. </t>
  </si>
  <si>
    <t xml:space="preserve">Suministro de Reducción Bushing 1”x 1/2” de acero x 3000 Lb. </t>
  </si>
  <si>
    <t xml:space="preserve">Suministro de Reducción Bushing 3/4”x 1/2” de acero x 3000 Lb. </t>
  </si>
  <si>
    <t xml:space="preserve">Suministro de Reducción Bushing 1/2”x 1/4” de acero x 3000 Lb. </t>
  </si>
  <si>
    <t>Suministro de Tuerca hexagonal 1” (Grado 8).</t>
  </si>
  <si>
    <t>Suministro de Tuerca  hexagonal 3/4”  (Grado 8).</t>
  </si>
  <si>
    <t xml:space="preserve">Suministro de esparrago 3/4" x 1 m (Grado 8).  </t>
  </si>
  <si>
    <t xml:space="preserve">Suministro de Perno 7/8" x 6" (Grado 8).  </t>
  </si>
  <si>
    <t xml:space="preserve">Suministro de Tuerca  hexagonal 5/8” (Grado 8). </t>
  </si>
  <si>
    <t>Suministro de espirometálico de 1 1/4” x 300 Lb.</t>
  </si>
  <si>
    <t>Suministro de Tee 1 1/2" de acero x 3000 Lb.</t>
  </si>
  <si>
    <t>Suministro de Tee 1 1/4" de acero x 3000 Lb.</t>
  </si>
  <si>
    <t>Suministro de Tee 1" de acero x 3000 Lb.</t>
  </si>
  <si>
    <t>Suministro de Tee 3/4" de acero x 3000 Lb.</t>
  </si>
  <si>
    <t>Suministro de Tee 1/2" de acero x 3000 Lb.</t>
  </si>
  <si>
    <t>Suministro de Tee 1/4" de acero x 3000 Lb.</t>
  </si>
  <si>
    <t>Suministro de Termometro -20 A 120 °C, DIAL 3" x 6" x 1/2" POST Marca ASES. (Sin calibrar)</t>
  </si>
  <si>
    <t>Suministro de manómetro  con Glicerina, 0-300 PSI/20 bar, Dial 2" x 1/4" NPT Marca ASES (Certificado)</t>
  </si>
  <si>
    <t>Suministro de manguera para GLP con terminales prensadas de 2”, W.P. 350 PSI, marca: GATES</t>
  </si>
  <si>
    <t>Suministro de manguera para GLP con terminales prensadas de 1 1/2”, W.P. 350 PSI, marca: GATES</t>
  </si>
  <si>
    <t>Suministro de manguera para GLP con terminales prensadas de 1 1/4”, W.P. 350 PSI, marca: GATES</t>
  </si>
  <si>
    <t>Suministro de manguera para GLP con terminales prensadas de 1”, W.P. 350 PSI, marca: GATES</t>
  </si>
  <si>
    <t xml:space="preserve">Suministro de Válvula by pass de 1" MARCA BLACKMER </t>
  </si>
  <si>
    <t xml:space="preserve">Suministro de Válvula by pass de 3/4" MARCA BLACKMER </t>
  </si>
  <si>
    <t>Suministro de Válvula by pass de 1 1/4" MARCA MARSHALL</t>
  </si>
  <si>
    <t>Servicio de Retiro de agua por camión cisterna (Sin certificado de disposición final)</t>
  </si>
  <si>
    <t>Suministro de agua  por Camión cisterna</t>
  </si>
  <si>
    <t>Suministro de Nitrógeno</t>
  </si>
  <si>
    <t>Hopedaje</t>
  </si>
  <si>
    <t>GASBEL</t>
  </si>
  <si>
    <t>TIS GAS</t>
  </si>
  <si>
    <t>TES&amp;CONTROL</t>
  </si>
  <si>
    <t>GASBEL y ST</t>
  </si>
  <si>
    <t>DINCORSA</t>
  </si>
  <si>
    <t>CAMPORSAL</t>
  </si>
  <si>
    <t>NO</t>
  </si>
  <si>
    <t>SPEED SLS</t>
  </si>
  <si>
    <t>TAPIA</t>
  </si>
  <si>
    <t>TRAMECO</t>
  </si>
  <si>
    <t>HyN</t>
  </si>
  <si>
    <t>DINMETSA</t>
  </si>
  <si>
    <t>VENTEO CONTROLADO DE GLP A LA ATMÓSFERA, DESPRESURIZACIÓN Y DESGASIFICADO DE TANQUE Y LÍNEAS DE GLP.</t>
  </si>
  <si>
    <t xml:space="preserve"> Otros consumible (5%)</t>
  </si>
  <si>
    <t>Medidor volumétrico porcentual marca  Rochester ( Tanque horizontal  y diametro 1.9  m) (Sin calibrar)</t>
  </si>
  <si>
    <t>Medidor volumétrico porcentual marca SQUIBB TAYLOR( Tanque horizontal  diametro 1.9 m) (Sin calibrar)</t>
  </si>
  <si>
    <t>Medidor volumétrico porcentual marca SQUIBB TAYLOR ( Tanque horizontal  y diametro 1.4 m) (Sin calibrar)</t>
  </si>
  <si>
    <t>Suministro de manómetro  con Glicerina, 0-600 PSI/20 bar, Dial 2" x 1/4" NPT Marca ASES (sin Certificado)</t>
  </si>
  <si>
    <t>Transporte de compresora de aire tornillo rotativo</t>
  </si>
  <si>
    <t>Lija Fierro #  40 marca ASA</t>
  </si>
  <si>
    <t>02.04.10</t>
  </si>
  <si>
    <t>02.07.07</t>
  </si>
  <si>
    <t>Hidratante</t>
  </si>
  <si>
    <t>Suministro de manómetro  con Glicerina, 0-300 PSI/20 bar, Dial 2" x 1/4" NPT Marca ASES (Sin Certificado)</t>
  </si>
  <si>
    <t>01.01.01.01</t>
  </si>
  <si>
    <t>01.02.01.01</t>
  </si>
  <si>
    <t>01.03.01.01</t>
  </si>
  <si>
    <t>01.04.01.01</t>
  </si>
  <si>
    <t>MONTAJE DE LAS LÍNEAS DE GLP EN  ZONA DEL TANQUE DE GLP  Y PUESTA EN MARCHA</t>
  </si>
  <si>
    <t>01.05.01.01</t>
  </si>
  <si>
    <t>Peaje (Dos unidad)</t>
  </si>
  <si>
    <t>Traslado de personal en Lima (Dos unidad)</t>
  </si>
  <si>
    <t>Glb</t>
  </si>
  <si>
    <t xml:space="preserve">Alcohol Gel 1100 ml </t>
  </si>
  <si>
    <t>Jabón líquido frutal 1 L</t>
  </si>
  <si>
    <t xml:space="preserve">Mascarilla Descartable 50 Und </t>
  </si>
  <si>
    <t>Viáticos ( Desayuno (0), Almuerzo (12) y cena (0))</t>
  </si>
  <si>
    <t xml:space="preserve">Suministro de Perno 5/8” x 3 1/2"  (Grado 8). </t>
  </si>
  <si>
    <t>Suministro de niple de acero SCH 80 1/4”x 5”</t>
  </si>
  <si>
    <t>02.04.11</t>
  </si>
  <si>
    <t>02.04.12</t>
  </si>
  <si>
    <t>Suministro de Válvula Exceso de Flujo de 1 1/4" x 30 GPM, Rego 3282A</t>
  </si>
  <si>
    <t>Removedor de pintura 1/4gl</t>
  </si>
  <si>
    <t xml:space="preserve">Suministro de Detergente Punto azul 10 Kg </t>
  </si>
  <si>
    <t>Escobilla de acero con Mango de Madera 3 x 14 cm</t>
  </si>
  <si>
    <t>PROVEEDOR</t>
  </si>
  <si>
    <t>Suministro de Argón</t>
  </si>
  <si>
    <t>Suministro de Disco Desbaste 4 1/2" metal 1/4"</t>
  </si>
  <si>
    <t>Suministro de Aporte para soldadura tig  er 70-s 6 de diámetro 3/32</t>
  </si>
  <si>
    <t>Suministro de Tablas, andamios hechizos</t>
  </si>
  <si>
    <t>Suministro de tubo de acero SCH 80 2”x 6 m sin costura.</t>
  </si>
  <si>
    <t>Suministro de tubo de acero SCH 80 1 1/4”x 6 m sin costura.</t>
  </si>
  <si>
    <t>Suministro de tubo de acero SCH 80 1”x 6 m sin costura.</t>
  </si>
  <si>
    <t>Suministro de tubo de acero SCH 80 3/4”x 6 m sin costura.</t>
  </si>
  <si>
    <r>
      <rPr>
        <b/>
        <i/>
        <sz val="10"/>
        <rFont val="Arial Narrow"/>
        <family val="2"/>
      </rPr>
      <t>El servicio comprende los siguiente:</t>
    </r>
    <r>
      <rPr>
        <sz val="10"/>
        <rFont val="Arial Narrow"/>
        <family val="2"/>
      </rPr>
      <t xml:space="preserve">
- Desgasificación del tanque de GLP.
- Desgasificación de las líneas de GLP.
- Desinstalación de la tapa del manhole.
- Inundación del tanque con agua y detergente.</t>
    </r>
  </si>
  <si>
    <r>
      <rPr>
        <b/>
        <i/>
        <sz val="10"/>
        <rFont val="Arial Narrow"/>
        <family val="2"/>
      </rPr>
      <t>El servicio comprende los siguiente:</t>
    </r>
    <r>
      <rPr>
        <sz val="10"/>
        <rFont val="Arial Narrow"/>
        <family val="2"/>
      </rPr>
      <t xml:space="preserve">
- Movilización y desmovilización de equipos, materiales y herramientas.                                     
- Soporte de seguridad: Pólizas (responsabilidad civil, SCTR), elementos de seguridad (EPP´S) 
- Señalización y seguridad en obra (malla, letreros, cachacos).           
- Traslado de personal y viáticos.
- Equipos de protección personal en el contexto de COVID 19.</t>
    </r>
  </si>
  <si>
    <t>Mano de obra  4 Personas</t>
  </si>
  <si>
    <r>
      <t xml:space="preserve">El servicio comprende los siguiente:
</t>
    </r>
    <r>
      <rPr>
        <sz val="10"/>
        <rFont val="Arial Narrow"/>
        <family val="2"/>
      </rPr>
      <t xml:space="preserve">
- Desinstalación de las válvulas y tuberías del domo del tanque de GLP. (solo se aplica a las válvulas a intervenir)
- Instalación de la tapa del manhole con un nuevo empaque de neopreno (el presente empaque de neopreno es provisional solo para realizar la prueba hidráulica)
- Pruebas hidráulicas del tanque de GLP a 250 PSI por una hora.
- Desinstalación de tapones de las coplas y tapa del manhole del tanque de GLP.
- Retiro del agua del tanque de GLP (no se considera el certificado de disposición final)
- Limpieza interna del tanque de GLP (trabajo en espacio confinado).
</t>
    </r>
  </si>
  <si>
    <r>
      <t xml:space="preserve">El servicio comprende los siguiente:
</t>
    </r>
    <r>
      <rPr>
        <sz val="10"/>
        <rFont val="Arial Narrow"/>
        <family val="2"/>
      </rPr>
      <t xml:space="preserve">
- Se realizará la Instalación de la tapa del manhole del tanque de GLP, con su respectivo empaque de material No Asbesto de un espesor 3/16”.
- Se realizará el montaje de la válvula check y válvula esférica de la línea de descarga de GLP (Las válvulas serán nuevas)
- Se realizará el montaje de la válvula de drenaje (Las válvulas serán nuevas).
- Pruebas neumáticas del tanque de GLP a 110 PSI por una hora.</t>
    </r>
  </si>
  <si>
    <t>Equipos de protección personal (04 lentes, 04 guantes de badana y 04 tapones de oído)</t>
  </si>
  <si>
    <t>01.05.01.02</t>
  </si>
  <si>
    <t>01.05.01.03</t>
  </si>
  <si>
    <t>01.05.01.04</t>
  </si>
  <si>
    <t>01.05.01.05</t>
  </si>
  <si>
    <t>01.05.01.06</t>
  </si>
  <si>
    <t>01.05.01.07</t>
  </si>
  <si>
    <t>01.05.01.08</t>
  </si>
  <si>
    <t>01.05.01.09</t>
  </si>
  <si>
    <t>01.05.01.10</t>
  </si>
  <si>
    <t>L= 45 cm</t>
  </si>
  <si>
    <t>LÍNEA DE DESPACHO N°01  (ZONA DEL TANQUE DE GLP)</t>
  </si>
  <si>
    <t>Suministro de manguera para GLP con terminales prensadas de 3/4”, W.P. 350 PSI, marca: GATES</t>
  </si>
  <si>
    <t>02.04.13</t>
  </si>
  <si>
    <t>02.04.14</t>
  </si>
  <si>
    <t>SERVICIO DE CAMBIO DE VÁLVULAS DEL DOMO DEL TANQUE DE GLP E INSTALACIÓN DE MANGUERASSERVICIO DE CAMBIO DE VÁLVULAS DEL DOMO DEL TANQUE DE GLP</t>
  </si>
  <si>
    <t>02.06.00</t>
  </si>
  <si>
    <t>02.06.01</t>
  </si>
  <si>
    <t>02.06.02</t>
  </si>
  <si>
    <t>02.06.03</t>
  </si>
  <si>
    <t>02.06.04</t>
  </si>
  <si>
    <t>02.06.05</t>
  </si>
  <si>
    <t>02.06.06</t>
  </si>
  <si>
    <t>02.06.07</t>
  </si>
  <si>
    <t>02.06.08</t>
  </si>
  <si>
    <t>02.07.09</t>
  </si>
  <si>
    <t>02.07.10</t>
  </si>
  <si>
    <t>02.07.11</t>
  </si>
  <si>
    <t>02.07.12</t>
  </si>
  <si>
    <t>02.07.13</t>
  </si>
  <si>
    <t>02.07.14</t>
  </si>
  <si>
    <t>02.07.15</t>
  </si>
  <si>
    <t>02.07.16</t>
  </si>
  <si>
    <t>02.07.17</t>
  </si>
  <si>
    <t>02.07.18</t>
  </si>
  <si>
    <t>02.07.19</t>
  </si>
  <si>
    <t>02.07.20</t>
  </si>
  <si>
    <t>02.07.21</t>
  </si>
  <si>
    <t>02.07.22</t>
  </si>
  <si>
    <t>Suministro de base epoxica  amarillo caterpilar</t>
  </si>
  <si>
    <r>
      <rPr>
        <b/>
        <i/>
        <sz val="10"/>
        <rFont val="Arial Narrow"/>
        <family val="2"/>
      </rPr>
      <t xml:space="preserve">El servicio comprende los siguiente:
</t>
    </r>
    <r>
      <rPr>
        <sz val="10"/>
        <rFont val="Arial Narrow"/>
        <family val="2"/>
      </rPr>
      <t xml:space="preserve">- Montaje de las líneas de succión, despacho y descarga de GLP. Ubicada en el domo del tanque GLP.
- Prueba de hermeticidad de las líneas de succión, despacho y descarga de GLP. Ubicada en el domo del tanque GLP. (&gt;250 PSI fase liquida, &gt; 200 fase vapor por una hora en presencia de un ingeniero colegiado y habilitado).
- Puesta en marcha del sistema de GLP. (purgado de bomba, Pruebas de despacho, y regulación de presión)
</t>
    </r>
  </si>
  <si>
    <t>CAMBIO DE VÁLVULAS E INSTALACIÓN DE MANQUERAS
“ESTACIÓN DE SERVICIOS RIO ARO" PRUEBA ERP</t>
  </si>
</sst>
</file>

<file path=xl/styles.xml><?xml version="1.0" encoding="utf-8"?>
<styleSheet xmlns="http://schemas.openxmlformats.org/spreadsheetml/2006/main">
  <numFmts count="5">
    <numFmt numFmtId="164" formatCode="_-&quot;S/&quot;* #,##0.00_-;\-&quot;S/&quot;* #,##0.00_-;_-&quot;S/&quot;* &quot;-&quot;??_-;_-@_-"/>
    <numFmt numFmtId="165" formatCode="_(&quot;S/&quot;* #,##0.00_);_(&quot;S/&quot;* \(#,##0.00\);_(&quot;S/&quot;* &quot;-&quot;??_);_(@_)"/>
    <numFmt numFmtId="166" formatCode="0.0"/>
    <numFmt numFmtId="167" formatCode="_ [$S/.-280A]\ * #,##0.00_ ;_ [$S/.-280A]\ * \-#,##0.00_ ;_ [$S/.-280A]\ * &quot;-&quot;??_ ;_ @_ "/>
    <numFmt numFmtId="168" formatCode="_ [$S/.-280A]\ * #,##0.000_ ;_ [$S/.-280A]\ * \-#,##0.000_ ;_ [$S/.-280A]\ * &quot;-&quot;??_ ;_ @_ 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Arial Narrow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164" fontId="13" fillId="0" borderId="0" applyFont="0" applyFill="0" applyBorder="0" applyAlignment="0" applyProtection="0"/>
  </cellStyleXfs>
  <cellXfs count="9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8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68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6" fillId="0" borderId="0" xfId="0" applyFont="1"/>
    <xf numFmtId="2" fontId="4" fillId="0" borderId="0" xfId="0" applyNumberFormat="1" applyFont="1" applyFill="1" applyBorder="1"/>
    <xf numFmtId="167" fontId="4" fillId="0" borderId="1" xfId="0" applyNumberFormat="1" applyFont="1" applyFill="1" applyBorder="1" applyAlignment="1">
      <alignment vertical="center" wrapText="1"/>
    </xf>
    <xf numFmtId="0" fontId="4" fillId="0" borderId="0" xfId="0" applyFont="1"/>
    <xf numFmtId="0" fontId="4" fillId="2" borderId="0" xfId="0" applyFont="1" applyFill="1"/>
    <xf numFmtId="0" fontId="4" fillId="0" borderId="0" xfId="0" applyFont="1" applyBorder="1"/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right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right" vertical="center" wrapText="1"/>
    </xf>
    <xf numFmtId="166" fontId="4" fillId="0" borderId="1" xfId="0" applyNumberFormat="1" applyFont="1" applyFill="1" applyBorder="1" applyAlignment="1">
      <alignment horizontal="left" vertical="center" wrapText="1"/>
    </xf>
    <xf numFmtId="166" fontId="4" fillId="0" borderId="2" xfId="0" applyNumberFormat="1" applyFont="1" applyFill="1" applyBorder="1" applyAlignment="1">
      <alignment horizontal="left" vertical="center" wrapText="1"/>
    </xf>
    <xf numFmtId="166" fontId="4" fillId="0" borderId="4" xfId="0" applyNumberFormat="1" applyFont="1" applyFill="1" applyBorder="1" applyAlignment="1">
      <alignment horizontal="left" vertical="center" wrapText="1"/>
    </xf>
    <xf numFmtId="166" fontId="4" fillId="0" borderId="1" xfId="0" applyNumberFormat="1" applyFont="1" applyBorder="1" applyAlignment="1">
      <alignment horizontal="left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9" fillId="0" borderId="0" xfId="0" applyFont="1"/>
    <xf numFmtId="2" fontId="10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2" fillId="0" borderId="0" xfId="0" applyFont="1"/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7" fontId="4" fillId="0" borderId="1" xfId="0" applyNumberFormat="1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/>
    <xf numFmtId="165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7" fontId="4" fillId="0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164" fontId="5" fillId="4" borderId="1" xfId="2" applyFont="1" applyFill="1" applyBorder="1" applyAlignment="1">
      <alignment vertical="center"/>
    </xf>
    <xf numFmtId="164" fontId="3" fillId="0" borderId="1" xfId="2" applyFont="1" applyFill="1" applyBorder="1" applyAlignment="1">
      <alignment vertical="center" wrapText="1"/>
    </xf>
    <xf numFmtId="164" fontId="4" fillId="0" borderId="1" xfId="2" applyFont="1" applyBorder="1" applyAlignment="1">
      <alignment horizontal="center" vertical="center" wrapText="1"/>
    </xf>
    <xf numFmtId="164" fontId="4" fillId="0" borderId="1" xfId="2" applyFont="1" applyBorder="1"/>
    <xf numFmtId="164" fontId="4" fillId="0" borderId="1" xfId="2" applyFont="1" applyBorder="1" applyAlignment="1">
      <alignment horizontal="right" vertical="center" wrapText="1"/>
    </xf>
    <xf numFmtId="164" fontId="12" fillId="0" borderId="0" xfId="2" applyFont="1"/>
    <xf numFmtId="164" fontId="4" fillId="0" borderId="1" xfId="2" applyFont="1" applyFill="1" applyBorder="1" applyAlignment="1">
      <alignment horizontal="right" vertical="center" wrapText="1"/>
    </xf>
    <xf numFmtId="164" fontId="4" fillId="0" borderId="1" xfId="2" applyFont="1" applyBorder="1" applyAlignment="1">
      <alignment horizontal="right" vertical="center"/>
    </xf>
    <xf numFmtId="164" fontId="3" fillId="0" borderId="1" xfId="2" applyFont="1" applyFill="1" applyBorder="1" applyAlignment="1">
      <alignment vertical="center"/>
    </xf>
    <xf numFmtId="164" fontId="4" fillId="0" borderId="1" xfId="2" applyFont="1" applyFill="1" applyBorder="1" applyAlignment="1">
      <alignment vertical="center" wrapText="1"/>
    </xf>
    <xf numFmtId="164" fontId="6" fillId="0" borderId="0" xfId="2" applyFont="1"/>
    <xf numFmtId="164" fontId="0" fillId="0" borderId="0" xfId="2" applyFont="1"/>
    <xf numFmtId="164" fontId="4" fillId="0" borderId="0" xfId="2" applyFont="1" applyBorder="1"/>
    <xf numFmtId="164" fontId="5" fillId="4" borderId="1" xfId="2" applyFont="1" applyFill="1" applyBorder="1" applyAlignment="1">
      <alignment horizontal="center" vertical="center"/>
    </xf>
    <xf numFmtId="164" fontId="4" fillId="0" borderId="0" xfId="0" applyNumberFormat="1" applyFont="1"/>
    <xf numFmtId="166" fontId="4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6" fontId="4" fillId="0" borderId="2" xfId="0" applyNumberFormat="1" applyFont="1" applyFill="1" applyBorder="1" applyAlignment="1">
      <alignment horizontal="left" vertical="center" wrapText="1"/>
    </xf>
    <xf numFmtId="166" fontId="4" fillId="0" borderId="4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2" applyFont="1" applyFill="1" applyBorder="1" applyAlignment="1">
      <alignment vertical="center"/>
    </xf>
    <xf numFmtId="166" fontId="4" fillId="0" borderId="2" xfId="0" applyNumberFormat="1" applyFont="1" applyFill="1" applyBorder="1" applyAlignment="1">
      <alignment horizontal="left" vertical="center" wrapText="1"/>
    </xf>
    <xf numFmtId="166" fontId="4" fillId="0" borderId="3" xfId="0" applyNumberFormat="1" applyFont="1" applyFill="1" applyBorder="1" applyAlignment="1">
      <alignment horizontal="left" vertical="center" wrapText="1"/>
    </xf>
    <xf numFmtId="166" fontId="4" fillId="0" borderId="4" xfId="0" applyNumberFormat="1" applyFont="1" applyFill="1" applyBorder="1" applyAlignment="1">
      <alignment horizontal="left" vertical="center" wrapText="1"/>
    </xf>
    <xf numFmtId="166" fontId="3" fillId="3" borderId="1" xfId="0" applyNumberFormat="1" applyFont="1" applyFill="1" applyBorder="1" applyAlignment="1">
      <alignment horizontal="left" vertical="center"/>
    </xf>
    <xf numFmtId="166" fontId="4" fillId="0" borderId="1" xfId="0" applyNumberFormat="1" applyFont="1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left" vertical="center"/>
    </xf>
    <xf numFmtId="166" fontId="4" fillId="0" borderId="1" xfId="0" applyNumberFormat="1" applyFont="1" applyFill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left" vertical="center" wrapText="1"/>
    </xf>
    <xf numFmtId="166" fontId="4" fillId="0" borderId="1" xfId="0" applyNumberFormat="1" applyFont="1" applyBorder="1" applyAlignment="1">
      <alignment horizontal="left" vertical="center"/>
    </xf>
    <xf numFmtId="166" fontId="5" fillId="4" borderId="1" xfId="0" applyNumberFormat="1" applyFont="1" applyFill="1" applyBorder="1" applyAlignment="1">
      <alignment horizontal="left" vertical="center"/>
    </xf>
    <xf numFmtId="166" fontId="3" fillId="0" borderId="2" xfId="0" applyNumberFormat="1" applyFont="1" applyFill="1" applyBorder="1" applyAlignment="1">
      <alignment horizontal="left" vertical="center"/>
    </xf>
    <xf numFmtId="166" fontId="3" fillId="0" borderId="3" xfId="0" applyNumberFormat="1" applyFont="1" applyFill="1" applyBorder="1" applyAlignment="1">
      <alignment horizontal="left" vertical="center"/>
    </xf>
    <xf numFmtId="166" fontId="3" fillId="0" borderId="4" xfId="0" applyNumberFormat="1" applyFont="1" applyFill="1" applyBorder="1" applyAlignment="1">
      <alignment horizontal="left" vertical="center"/>
    </xf>
    <xf numFmtId="166" fontId="3" fillId="0" borderId="2" xfId="0" applyNumberFormat="1" applyFont="1" applyFill="1" applyBorder="1" applyAlignment="1">
      <alignment horizontal="left" vertical="center" wrapText="1"/>
    </xf>
    <xf numFmtId="166" fontId="3" fillId="0" borderId="3" xfId="0" applyNumberFormat="1" applyFont="1" applyFill="1" applyBorder="1" applyAlignment="1">
      <alignment horizontal="left" vertical="center" wrapText="1"/>
    </xf>
    <xf numFmtId="166" fontId="3" fillId="0" borderId="4" xfId="0" applyNumberFormat="1" applyFont="1" applyFill="1" applyBorder="1" applyAlignment="1">
      <alignment horizontal="left" vertical="center" wrapText="1"/>
    </xf>
    <xf numFmtId="166" fontId="4" fillId="0" borderId="1" xfId="0" applyNumberFormat="1" applyFont="1" applyFill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 wrapText="1"/>
    </xf>
    <xf numFmtId="166" fontId="4" fillId="0" borderId="3" xfId="0" applyNumberFormat="1" applyFont="1" applyBorder="1" applyAlignment="1">
      <alignment horizontal="left" vertical="center" wrapText="1"/>
    </xf>
    <xf numFmtId="166" fontId="4" fillId="0" borderId="4" xfId="0" applyNumberFormat="1" applyFont="1" applyBorder="1" applyAlignment="1">
      <alignment horizontal="left" vertical="center" wrapText="1"/>
    </xf>
    <xf numFmtId="166" fontId="14" fillId="0" borderId="1" xfId="0" applyNumberFormat="1" applyFont="1" applyBorder="1" applyAlignment="1">
      <alignment horizontal="left" vertical="center" wrapText="1"/>
    </xf>
    <xf numFmtId="166" fontId="5" fillId="4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166" fontId="5" fillId="4" borderId="1" xfId="0" applyNumberFormat="1" applyFont="1" applyFill="1" applyBorder="1" applyAlignment="1">
      <alignment horizontal="left" vertical="center" wrapText="1"/>
    </xf>
  </cellXfs>
  <cellStyles count="3">
    <cellStyle name="Moneda" xfId="2" builtinId="4"/>
    <cellStyle name="Normal" xfId="0" builtinId="0"/>
    <cellStyle name="Normal 2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64" formatCode="_-&quot;S/&quot;* #,##0.00_-;\-&quot;S/&quot;* #,##0.00_-;_-&quot;S/&quot;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relativeIndent="255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 Narrow"/>
        <scheme val="none"/>
      </font>
      <alignment horizontal="left" vertical="center" textRotation="0" indent="0" relativeIndent="255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VALVULAS" displayName="VALVULAS" ref="B1:C190" totalsRowShown="0" headerRowDxfId="6" dataDxfId="4" headerRowBorderDxfId="5" tableBorderDxfId="3" totalsRowBorderDxfId="2">
  <autoFilter ref="B1:C190"/>
  <tableColumns count="2">
    <tableColumn id="1" name="DESCRIPCIÓN" dataDxfId="1"/>
    <tableColumn id="4" name="PRECIO" dataDxfId="0">
      <calculatedColumnFormula>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2:BC120"/>
  <sheetViews>
    <sheetView tabSelected="1" zoomScale="110" zoomScaleNormal="110" workbookViewId="0">
      <selection activeCell="A3" sqref="A3:G3"/>
    </sheetView>
  </sheetViews>
  <sheetFormatPr baseColWidth="10" defaultRowHeight="12.75"/>
  <cols>
    <col min="1" max="1" width="9.140625" style="15" bestFit="1" customWidth="1"/>
    <col min="2" max="2" width="15.140625" style="15" customWidth="1"/>
    <col min="3" max="3" width="30.140625" style="15" customWidth="1"/>
    <col min="4" max="4" width="15.140625" style="15" customWidth="1"/>
    <col min="5" max="5" width="4.5703125" style="15" bestFit="1" customWidth="1"/>
    <col min="6" max="6" width="5.7109375" style="15" bestFit="1" customWidth="1"/>
    <col min="7" max="7" width="11" style="15" bestFit="1" customWidth="1"/>
    <col min="8" max="8" width="15.5703125" style="62" customWidth="1"/>
    <col min="9" max="9" width="4.5703125" style="13" customWidth="1"/>
    <col min="10" max="10" width="32.5703125" style="13" customWidth="1"/>
    <col min="11" max="11" width="6.85546875" style="13" customWidth="1"/>
    <col min="12" max="12" width="7.28515625" style="13" customWidth="1"/>
    <col min="13" max="13" width="14.140625" style="13" customWidth="1"/>
    <col min="14" max="14" width="14.28515625" style="13" customWidth="1"/>
    <col min="15" max="15" width="13.140625" style="13" customWidth="1"/>
    <col min="16" max="16" width="14.28515625" style="13" customWidth="1"/>
    <col min="17" max="17" width="20" style="13" customWidth="1"/>
    <col min="18" max="18" width="16.140625" style="13" customWidth="1"/>
    <col min="19" max="20" width="11.42578125" style="13"/>
    <col min="21" max="21" width="14" style="13" bestFit="1" customWidth="1"/>
    <col min="22" max="22" width="17.7109375" style="13" bestFit="1" customWidth="1"/>
    <col min="23" max="23" width="11.140625" style="13" customWidth="1"/>
    <col min="24" max="24" width="25.5703125" style="13" customWidth="1"/>
    <col min="25" max="25" width="14.28515625" style="13" customWidth="1"/>
    <col min="26" max="26" width="11.42578125" style="13"/>
    <col min="27" max="27" width="16.140625" style="13" customWidth="1"/>
    <col min="28" max="28" width="21.7109375" style="13" customWidth="1"/>
    <col min="29" max="29" width="10.85546875" style="13" bestFit="1" customWidth="1"/>
    <col min="30" max="30" width="9.140625" style="13" bestFit="1" customWidth="1"/>
    <col min="31" max="31" width="7.140625" style="13" bestFit="1" customWidth="1"/>
    <col min="32" max="32" width="17.85546875" style="13" bestFit="1" customWidth="1"/>
    <col min="33" max="33" width="5.140625" style="13" customWidth="1"/>
    <col min="34" max="35" width="14.85546875" style="13" bestFit="1" customWidth="1"/>
    <col min="36" max="16384" width="11.42578125" style="13"/>
  </cols>
  <sheetData>
    <row r="2" spans="1:39" s="9" customFormat="1" ht="24.95" customHeight="1">
      <c r="A2" s="17" t="s">
        <v>0</v>
      </c>
      <c r="B2" s="92" t="s">
        <v>67</v>
      </c>
      <c r="C2" s="92"/>
      <c r="D2" s="92"/>
      <c r="E2" s="92" t="s">
        <v>1</v>
      </c>
      <c r="F2" s="92" t="s">
        <v>2</v>
      </c>
      <c r="G2" s="92" t="s">
        <v>3</v>
      </c>
      <c r="H2" s="63" t="s">
        <v>68</v>
      </c>
      <c r="J2" s="49" t="s">
        <v>56</v>
      </c>
      <c r="K2" s="35">
        <v>1.1000000000000001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s="9" customFormat="1" ht="38.25" customHeight="1">
      <c r="A3" s="93" t="s">
        <v>348</v>
      </c>
      <c r="B3" s="93"/>
      <c r="C3" s="93"/>
      <c r="D3" s="93"/>
      <c r="E3" s="93"/>
      <c r="F3" s="93"/>
      <c r="G3" s="93"/>
      <c r="H3" s="51">
        <f>H4+H30</f>
        <v>6999.2194716101712</v>
      </c>
      <c r="J3" s="49" t="s">
        <v>57</v>
      </c>
      <c r="K3" s="36">
        <v>4.0999999999999996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spans="1:39" s="9" customFormat="1" ht="35.25" customHeight="1">
      <c r="A4" s="17" t="s">
        <v>9</v>
      </c>
      <c r="B4" s="94" t="s">
        <v>322</v>
      </c>
      <c r="C4" s="94"/>
      <c r="D4" s="94"/>
      <c r="E4" s="94"/>
      <c r="F4" s="94"/>
      <c r="G4" s="94"/>
      <c r="H4" s="50">
        <f>H6+H9+H12+H15+H18</f>
        <v>1901.555084745763</v>
      </c>
      <c r="J4" s="49" t="s">
        <v>58</v>
      </c>
      <c r="K4" s="39">
        <v>1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s="9" customFormat="1" ht="24.95" customHeight="1">
      <c r="A5" s="1" t="s">
        <v>10</v>
      </c>
      <c r="B5" s="84" t="s">
        <v>260</v>
      </c>
      <c r="C5" s="85"/>
      <c r="D5" s="85"/>
      <c r="E5" s="85"/>
      <c r="F5" s="85"/>
      <c r="G5" s="85"/>
      <c r="H5" s="86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 ht="96" customHeight="1">
      <c r="A6" s="2" t="s">
        <v>11</v>
      </c>
      <c r="B6" s="78" t="s">
        <v>302</v>
      </c>
      <c r="C6" s="79"/>
      <c r="D6" s="79"/>
      <c r="E6" s="2" t="s">
        <v>4</v>
      </c>
      <c r="F6" s="3">
        <v>1</v>
      </c>
      <c r="G6" s="4">
        <f>SUM(H7:H7)</f>
        <v>396.00000000000006</v>
      </c>
      <c r="H6" s="52">
        <f>F6*G6</f>
        <v>396.00000000000006</v>
      </c>
      <c r="J6" s="64"/>
    </row>
    <row r="7" spans="1:39" ht="15" customHeight="1">
      <c r="A7" s="2" t="s">
        <v>272</v>
      </c>
      <c r="B7" s="78" t="s">
        <v>304</v>
      </c>
      <c r="C7" s="78"/>
      <c r="D7" s="78"/>
      <c r="E7" s="2" t="s">
        <v>6</v>
      </c>
      <c r="F7" s="3">
        <v>1</v>
      </c>
      <c r="G7" s="43">
        <f>$K$2*$K$4*90*4</f>
        <v>396.00000000000006</v>
      </c>
      <c r="H7" s="53">
        <f>G7*F7</f>
        <v>396.00000000000006</v>
      </c>
    </row>
    <row r="8" spans="1:39" s="9" customFormat="1" ht="24.95" customHeight="1">
      <c r="A8" s="1" t="s">
        <v>29</v>
      </c>
      <c r="B8" s="81" t="s">
        <v>20</v>
      </c>
      <c r="C8" s="82"/>
      <c r="D8" s="82"/>
      <c r="E8" s="82"/>
      <c r="F8" s="82"/>
      <c r="G8" s="82"/>
      <c r="H8" s="8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1:39" ht="144.75" customHeight="1">
      <c r="A9" s="2" t="s">
        <v>30</v>
      </c>
      <c r="B9" s="91" t="s">
        <v>305</v>
      </c>
      <c r="C9" s="79"/>
      <c r="D9" s="79"/>
      <c r="E9" s="2" t="s">
        <v>4</v>
      </c>
      <c r="F9" s="3">
        <v>1</v>
      </c>
      <c r="G9" s="5">
        <f>SUM(H10:H10)</f>
        <v>198.00000000000003</v>
      </c>
      <c r="H9" s="54">
        <f>G9*F9</f>
        <v>198.00000000000003</v>
      </c>
    </row>
    <row r="10" spans="1:39" ht="15" customHeight="1">
      <c r="A10" s="2" t="s">
        <v>273</v>
      </c>
      <c r="B10" s="78" t="s">
        <v>304</v>
      </c>
      <c r="C10" s="78"/>
      <c r="D10" s="78"/>
      <c r="E10" s="2" t="s">
        <v>6</v>
      </c>
      <c r="F10" s="3">
        <v>0.5</v>
      </c>
      <c r="G10" s="43">
        <f>$K$2*$K$4*90*4</f>
        <v>396.00000000000006</v>
      </c>
      <c r="H10" s="53">
        <f>G10*F10</f>
        <v>198.00000000000003</v>
      </c>
    </row>
    <row r="11" spans="1:39" s="9" customFormat="1" ht="24.95" customHeight="1">
      <c r="A11" s="1" t="s">
        <v>12</v>
      </c>
      <c r="B11" s="81" t="s">
        <v>21</v>
      </c>
      <c r="C11" s="82"/>
      <c r="D11" s="82"/>
      <c r="E11" s="82"/>
      <c r="F11" s="82"/>
      <c r="G11" s="82"/>
      <c r="H11" s="83"/>
    </row>
    <row r="12" spans="1:39" ht="129.75" customHeight="1">
      <c r="A12" s="2" t="s">
        <v>13</v>
      </c>
      <c r="B12" s="91" t="s">
        <v>306</v>
      </c>
      <c r="C12" s="79"/>
      <c r="D12" s="79"/>
      <c r="E12" s="2" t="s">
        <v>4</v>
      </c>
      <c r="F12" s="3">
        <v>1</v>
      </c>
      <c r="G12" s="5">
        <f>SUM(H13:H13)</f>
        <v>198.00000000000003</v>
      </c>
      <c r="H12" s="54">
        <f>F12*G12</f>
        <v>198.00000000000003</v>
      </c>
    </row>
    <row r="13" spans="1:39" ht="15" customHeight="1">
      <c r="A13" s="2" t="s">
        <v>274</v>
      </c>
      <c r="B13" s="88" t="s">
        <v>304</v>
      </c>
      <c r="C13" s="89"/>
      <c r="D13" s="90"/>
      <c r="E13" s="2" t="s">
        <v>6</v>
      </c>
      <c r="F13" s="3">
        <v>0.5</v>
      </c>
      <c r="G13" s="43">
        <f>$K$2*$K$4*90*4</f>
        <v>396.00000000000006</v>
      </c>
      <c r="H13" s="53">
        <f>G13*F13</f>
        <v>198.00000000000003</v>
      </c>
    </row>
    <row r="14" spans="1:39" s="9" customFormat="1" ht="24.95" customHeight="1">
      <c r="A14" s="1" t="s">
        <v>14</v>
      </c>
      <c r="B14" s="84" t="s">
        <v>276</v>
      </c>
      <c r="C14" s="85"/>
      <c r="D14" s="85"/>
      <c r="E14" s="85"/>
      <c r="F14" s="85"/>
      <c r="G14" s="85"/>
      <c r="H14" s="86"/>
    </row>
    <row r="15" spans="1:39" ht="156" customHeight="1">
      <c r="A15" s="6" t="s">
        <v>15</v>
      </c>
      <c r="B15" s="75" t="s">
        <v>347</v>
      </c>
      <c r="C15" s="87"/>
      <c r="D15" s="87"/>
      <c r="E15" s="6" t="s">
        <v>4</v>
      </c>
      <c r="F15" s="7">
        <v>1</v>
      </c>
      <c r="G15" s="8">
        <f>SUM(H16:H16)</f>
        <v>396.00000000000006</v>
      </c>
      <c r="H15" s="56">
        <f>F15*G15</f>
        <v>396.00000000000006</v>
      </c>
    </row>
    <row r="16" spans="1:39" ht="15" customHeight="1">
      <c r="A16" s="6" t="s">
        <v>275</v>
      </c>
      <c r="B16" s="88" t="s">
        <v>304</v>
      </c>
      <c r="C16" s="89"/>
      <c r="D16" s="90"/>
      <c r="E16" s="2" t="s">
        <v>6</v>
      </c>
      <c r="F16" s="3">
        <v>1</v>
      </c>
      <c r="G16" s="43">
        <f>$K$2*$K$4*90*4</f>
        <v>396.00000000000006</v>
      </c>
      <c r="H16" s="53">
        <f>G16*F16</f>
        <v>396.00000000000006</v>
      </c>
    </row>
    <row r="17" spans="1:12" ht="24.95" customHeight="1">
      <c r="A17" s="1" t="s">
        <v>18</v>
      </c>
      <c r="B17" s="81" t="s">
        <v>63</v>
      </c>
      <c r="C17" s="82"/>
      <c r="D17" s="82"/>
      <c r="E17" s="82"/>
      <c r="F17" s="82"/>
      <c r="G17" s="82"/>
      <c r="H17" s="83"/>
    </row>
    <row r="18" spans="1:12" ht="134.25" customHeight="1">
      <c r="A18" s="2" t="s">
        <v>19</v>
      </c>
      <c r="B18" s="78" t="s">
        <v>303</v>
      </c>
      <c r="C18" s="79"/>
      <c r="D18" s="79"/>
      <c r="E18" s="2" t="s">
        <v>4</v>
      </c>
      <c r="F18" s="3">
        <v>1</v>
      </c>
      <c r="G18" s="4">
        <f>SUM(H19:H28)</f>
        <v>713.55508474576277</v>
      </c>
      <c r="H18" s="52">
        <f>F18*G18</f>
        <v>713.55508474576277</v>
      </c>
    </row>
    <row r="19" spans="1:12" ht="15" customHeight="1">
      <c r="A19" s="2" t="s">
        <v>277</v>
      </c>
      <c r="B19" s="78" t="s">
        <v>283</v>
      </c>
      <c r="C19" s="79"/>
      <c r="D19" s="79"/>
      <c r="E19" s="42" t="s">
        <v>5</v>
      </c>
      <c r="F19" s="41">
        <v>1</v>
      </c>
      <c r="G19" s="44">
        <f>$K$2*$K$4*15/1.18</f>
        <v>13.983050847457628</v>
      </c>
      <c r="H19" s="57">
        <f>F19*G19</f>
        <v>13.983050847457628</v>
      </c>
    </row>
    <row r="20" spans="1:12" ht="15" customHeight="1">
      <c r="A20" s="2" t="s">
        <v>308</v>
      </c>
      <c r="B20" s="78" t="s">
        <v>281</v>
      </c>
      <c r="C20" s="79"/>
      <c r="D20" s="79"/>
      <c r="E20" s="42" t="s">
        <v>5</v>
      </c>
      <c r="F20" s="41">
        <v>1</v>
      </c>
      <c r="G20" s="44">
        <f>$K$2*$K$4*23/1.18</f>
        <v>21.440677966101696</v>
      </c>
      <c r="H20" s="57">
        <f t="shared" ref="H20:H28" si="0">F20*G20</f>
        <v>21.440677966101696</v>
      </c>
    </row>
    <row r="21" spans="1:12" ht="15" customHeight="1">
      <c r="A21" s="2" t="s">
        <v>309</v>
      </c>
      <c r="B21" s="78" t="s">
        <v>282</v>
      </c>
      <c r="C21" s="79"/>
      <c r="D21" s="79"/>
      <c r="E21" s="42" t="s">
        <v>5</v>
      </c>
      <c r="F21" s="41">
        <v>1</v>
      </c>
      <c r="G21" s="44">
        <f>$K$2*$K$4*12/1.18</f>
        <v>11.186440677966104</v>
      </c>
      <c r="H21" s="57">
        <f t="shared" si="0"/>
        <v>11.186440677966104</v>
      </c>
    </row>
    <row r="22" spans="1:12" ht="15" customHeight="1">
      <c r="A22" s="2" t="s">
        <v>310</v>
      </c>
      <c r="B22" s="78" t="s">
        <v>307</v>
      </c>
      <c r="C22" s="79"/>
      <c r="D22" s="79"/>
      <c r="E22" s="42" t="s">
        <v>280</v>
      </c>
      <c r="F22" s="41">
        <v>1</v>
      </c>
      <c r="G22" s="44">
        <f>$K$2*$K$4*(10+8+4)*4/1.18</f>
        <v>82.033898305084762</v>
      </c>
      <c r="H22" s="57">
        <f t="shared" si="0"/>
        <v>82.033898305084762</v>
      </c>
    </row>
    <row r="23" spans="1:12" ht="15" customHeight="1">
      <c r="A23" s="2" t="s">
        <v>311</v>
      </c>
      <c r="B23" s="78" t="s">
        <v>279</v>
      </c>
      <c r="C23" s="79"/>
      <c r="D23" s="79"/>
      <c r="E23" s="42" t="s">
        <v>5</v>
      </c>
      <c r="F23" s="41">
        <v>1</v>
      </c>
      <c r="G23" s="44">
        <f>$K$2*$K$4*50*4/1.18</f>
        <v>186.44067796610173</v>
      </c>
      <c r="H23" s="57">
        <f t="shared" si="0"/>
        <v>186.44067796610173</v>
      </c>
    </row>
    <row r="24" spans="1:12" ht="15" customHeight="1">
      <c r="A24" s="2" t="s">
        <v>312</v>
      </c>
      <c r="B24" s="78" t="s">
        <v>278</v>
      </c>
      <c r="C24" s="79"/>
      <c r="D24" s="79"/>
      <c r="E24" s="42" t="s">
        <v>5</v>
      </c>
      <c r="F24" s="41">
        <v>5</v>
      </c>
      <c r="G24" s="44">
        <f>$K$2*$K$4*(5.2)*2*4/1.18</f>
        <v>38.779661016949156</v>
      </c>
      <c r="H24" s="57">
        <f t="shared" si="0"/>
        <v>193.89830508474577</v>
      </c>
    </row>
    <row r="25" spans="1:12" ht="15" customHeight="1">
      <c r="A25" s="2" t="s">
        <v>313</v>
      </c>
      <c r="B25" s="78" t="s">
        <v>247</v>
      </c>
      <c r="C25" s="79"/>
      <c r="D25" s="79"/>
      <c r="E25" s="42" t="s">
        <v>6</v>
      </c>
      <c r="F25" s="41">
        <v>0</v>
      </c>
      <c r="G25" s="44">
        <f>$K$2*$K$4*50*4/1.18</f>
        <v>186.44067796610173</v>
      </c>
      <c r="H25" s="57">
        <f t="shared" si="0"/>
        <v>0</v>
      </c>
    </row>
    <row r="26" spans="1:12" ht="15" customHeight="1">
      <c r="A26" s="2" t="s">
        <v>314</v>
      </c>
      <c r="B26" s="78" t="s">
        <v>284</v>
      </c>
      <c r="C26" s="79"/>
      <c r="D26" s="79"/>
      <c r="E26" s="42" t="s">
        <v>6</v>
      </c>
      <c r="F26" s="41">
        <v>3</v>
      </c>
      <c r="G26" s="44">
        <f>$K$2*$K$4*12*3/1.18</f>
        <v>33.559322033898312</v>
      </c>
      <c r="H26" s="57">
        <f t="shared" si="0"/>
        <v>100.67796610169493</v>
      </c>
    </row>
    <row r="27" spans="1:12" ht="15" customHeight="1">
      <c r="A27" s="2" t="s">
        <v>315</v>
      </c>
      <c r="B27" s="78" t="s">
        <v>270</v>
      </c>
      <c r="C27" s="79"/>
      <c r="D27" s="79"/>
      <c r="E27" s="42" t="s">
        <v>5</v>
      </c>
      <c r="F27" s="41">
        <v>3</v>
      </c>
      <c r="G27" s="44">
        <f>$K$2*$K$4*25/1.18</f>
        <v>23.305084745762716</v>
      </c>
      <c r="H27" s="57">
        <f t="shared" si="0"/>
        <v>69.915254237288153</v>
      </c>
    </row>
    <row r="28" spans="1:12" ht="15" customHeight="1">
      <c r="A28" s="2" t="s">
        <v>316</v>
      </c>
      <c r="B28" s="78" t="s">
        <v>105</v>
      </c>
      <c r="C28" s="79"/>
      <c r="D28" s="79"/>
      <c r="E28" s="42" t="s">
        <v>280</v>
      </c>
      <c r="F28" s="41">
        <v>1</v>
      </c>
      <c r="G28" s="45">
        <f>SUM(H19:H27)*0.05</f>
        <v>33.978813559322042</v>
      </c>
      <c r="H28" s="57">
        <f t="shared" si="0"/>
        <v>33.978813559322042</v>
      </c>
    </row>
    <row r="29" spans="1:12" ht="12" customHeight="1">
      <c r="A29" s="40"/>
      <c r="B29" s="40"/>
      <c r="C29" s="40"/>
      <c r="D29" s="40"/>
      <c r="E29" s="40"/>
      <c r="F29" s="40"/>
      <c r="G29" s="40"/>
      <c r="H29" s="55"/>
    </row>
    <row r="30" spans="1:12" s="9" customFormat="1" ht="24.95" customHeight="1">
      <c r="A30" s="17" t="s">
        <v>26</v>
      </c>
      <c r="B30" s="80" t="s">
        <v>41</v>
      </c>
      <c r="C30" s="80"/>
      <c r="D30" s="80"/>
      <c r="E30" s="80"/>
      <c r="F30" s="80"/>
      <c r="G30" s="80"/>
      <c r="H30" s="50">
        <f>H31+H40+H45+H50+H65+H72+H81</f>
        <v>5097.6643868644078</v>
      </c>
    </row>
    <row r="31" spans="1:12" s="9" customFormat="1" ht="20.100000000000001" customHeight="1">
      <c r="A31" s="1" t="s">
        <v>27</v>
      </c>
      <c r="B31" s="76" t="s">
        <v>64</v>
      </c>
      <c r="C31" s="76"/>
      <c r="D31" s="76"/>
      <c r="E31" s="76"/>
      <c r="F31" s="76"/>
      <c r="G31" s="76"/>
      <c r="H31" s="58">
        <f>SUM(H32:H39)</f>
        <v>533.13312203389842</v>
      </c>
      <c r="J31" s="37"/>
      <c r="K31" s="37"/>
      <c r="L31" s="11"/>
    </row>
    <row r="32" spans="1:12" ht="35.25" customHeight="1">
      <c r="A32" s="6" t="s">
        <v>28</v>
      </c>
      <c r="B32" s="75" t="s">
        <v>22</v>
      </c>
      <c r="C32" s="75"/>
      <c r="D32" s="75"/>
      <c r="E32" s="6" t="s">
        <v>5</v>
      </c>
      <c r="F32" s="7">
        <v>1</v>
      </c>
      <c r="G32" s="46">
        <f>VLOOKUP(B32,VALVULAS[],2,FALSE)</f>
        <v>140.53618644067799</v>
      </c>
      <c r="H32" s="59">
        <f t="shared" ref="H32:H39" si="1">F32*G32</f>
        <v>140.53618644067799</v>
      </c>
    </row>
    <row r="33" spans="1:55" ht="15" customHeight="1">
      <c r="A33" s="6" t="s">
        <v>69</v>
      </c>
      <c r="B33" s="75" t="s">
        <v>225</v>
      </c>
      <c r="C33" s="75"/>
      <c r="D33" s="75"/>
      <c r="E33" s="6" t="s">
        <v>5</v>
      </c>
      <c r="F33" s="7">
        <v>5</v>
      </c>
      <c r="G33" s="46">
        <f>VLOOKUP(B33,VALVULAS[],2,FALSE)</f>
        <v>23.379661016949154</v>
      </c>
      <c r="H33" s="59">
        <f t="shared" si="1"/>
        <v>116.89830508474577</v>
      </c>
    </row>
    <row r="34" spans="1:55" ht="15" customHeight="1">
      <c r="A34" s="6" t="s">
        <v>70</v>
      </c>
      <c r="B34" s="75" t="s">
        <v>224</v>
      </c>
      <c r="C34" s="75"/>
      <c r="D34" s="75"/>
      <c r="E34" s="6" t="s">
        <v>5</v>
      </c>
      <c r="F34" s="7">
        <v>20</v>
      </c>
      <c r="G34" s="46">
        <f>VLOOKUP(B34,VALVULAS[],2,FALSE)</f>
        <v>0.57796610169491536</v>
      </c>
      <c r="H34" s="59">
        <f t="shared" si="1"/>
        <v>11.559322033898308</v>
      </c>
    </row>
    <row r="35" spans="1:55" ht="15" customHeight="1">
      <c r="A35" s="6" t="s">
        <v>71</v>
      </c>
      <c r="B35" s="75" t="s">
        <v>110</v>
      </c>
      <c r="C35" s="75"/>
      <c r="D35" s="75"/>
      <c r="E35" s="6" t="s">
        <v>5</v>
      </c>
      <c r="F35" s="7">
        <v>16</v>
      </c>
      <c r="G35" s="46">
        <f>VLOOKUP(B35,VALVULAS[],2,FALSE)</f>
        <v>0.27033898305084747</v>
      </c>
      <c r="H35" s="59">
        <f t="shared" si="1"/>
        <v>4.3254237288135595</v>
      </c>
    </row>
    <row r="36" spans="1:55" ht="15" customHeight="1">
      <c r="A36" s="6" t="s">
        <v>72</v>
      </c>
      <c r="B36" s="75" t="s">
        <v>111</v>
      </c>
      <c r="C36" s="75"/>
      <c r="D36" s="75"/>
      <c r="E36" s="6" t="s">
        <v>5</v>
      </c>
      <c r="F36" s="7">
        <v>16</v>
      </c>
      <c r="G36" s="46">
        <f>VLOOKUP(B36,VALVULAS[],2,FALSE)</f>
        <v>0.15847457627118647</v>
      </c>
      <c r="H36" s="59">
        <f t="shared" si="1"/>
        <v>2.5355932203389835</v>
      </c>
    </row>
    <row r="37" spans="1:55" ht="15" customHeight="1">
      <c r="A37" s="6" t="s">
        <v>73</v>
      </c>
      <c r="B37" s="75" t="s">
        <v>59</v>
      </c>
      <c r="C37" s="75"/>
      <c r="D37" s="75"/>
      <c r="E37" s="6" t="s">
        <v>5</v>
      </c>
      <c r="F37" s="7">
        <v>1</v>
      </c>
      <c r="G37" s="46">
        <f>VLOOKUP(B37,VALVULAS[],2,FALSE)</f>
        <v>181.63200000000003</v>
      </c>
      <c r="H37" s="59">
        <f t="shared" si="1"/>
        <v>181.63200000000003</v>
      </c>
    </row>
    <row r="38" spans="1:55" ht="15" customHeight="1">
      <c r="A38" s="6" t="s">
        <v>74</v>
      </c>
      <c r="B38" s="75" t="s">
        <v>60</v>
      </c>
      <c r="C38" s="75"/>
      <c r="D38" s="75"/>
      <c r="E38" s="6" t="s">
        <v>5</v>
      </c>
      <c r="F38" s="7">
        <v>1</v>
      </c>
      <c r="G38" s="46">
        <f>VLOOKUP(B38,VALVULAS[],2,FALSE)</f>
        <v>50.259</v>
      </c>
      <c r="H38" s="59">
        <f t="shared" si="1"/>
        <v>50.259</v>
      </c>
    </row>
    <row r="39" spans="1:55" ht="15" customHeight="1">
      <c r="A39" s="6" t="s">
        <v>75</v>
      </c>
      <c r="B39" s="78" t="s">
        <v>105</v>
      </c>
      <c r="C39" s="79"/>
      <c r="D39" s="79"/>
      <c r="E39" s="42" t="s">
        <v>280</v>
      </c>
      <c r="F39" s="7">
        <v>1</v>
      </c>
      <c r="G39" s="47">
        <f>SUM(H32:H38)*0.05</f>
        <v>25.387291525423734</v>
      </c>
      <c r="H39" s="59">
        <f t="shared" si="1"/>
        <v>25.387291525423734</v>
      </c>
    </row>
    <row r="40" spans="1:55" s="9" customFormat="1" ht="20.100000000000001" customHeight="1">
      <c r="A40" s="1" t="s">
        <v>76</v>
      </c>
      <c r="B40" s="76" t="s">
        <v>115</v>
      </c>
      <c r="C40" s="76"/>
      <c r="D40" s="76"/>
      <c r="E40" s="76"/>
      <c r="F40" s="76"/>
      <c r="G40" s="76"/>
      <c r="H40" s="58">
        <f>SUM(H41:H44)</f>
        <v>180.43424682203391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</row>
    <row r="41" spans="1:55" ht="29.25" customHeight="1">
      <c r="A41" s="6" t="s">
        <v>77</v>
      </c>
      <c r="B41" s="77" t="s">
        <v>240</v>
      </c>
      <c r="C41" s="77"/>
      <c r="D41" s="77"/>
      <c r="E41" s="6" t="s">
        <v>5</v>
      </c>
      <c r="F41" s="7">
        <v>1</v>
      </c>
      <c r="G41" s="46">
        <f>VLOOKUP(B41,VALVULAS[],2,FALSE)</f>
        <v>150.97383474576273</v>
      </c>
      <c r="H41" s="59">
        <f>F41*G41</f>
        <v>150.97383474576273</v>
      </c>
      <c r="J41" s="66" t="s">
        <v>317</v>
      </c>
    </row>
    <row r="42" spans="1:55" ht="15" customHeight="1">
      <c r="A42" s="6" t="s">
        <v>78</v>
      </c>
      <c r="B42" s="75" t="s">
        <v>148</v>
      </c>
      <c r="C42" s="75"/>
      <c r="D42" s="75"/>
      <c r="E42" s="6" t="s">
        <v>5</v>
      </c>
      <c r="F42" s="7">
        <v>1</v>
      </c>
      <c r="G42" s="46">
        <f>VLOOKUP(B42,VALVULAS[],2,FALSE)</f>
        <v>8.2938135593220341</v>
      </c>
      <c r="H42" s="59">
        <f t="shared" ref="H42:H44" si="2">F42*G42</f>
        <v>8.2938135593220341</v>
      </c>
    </row>
    <row r="43" spans="1:55" ht="15" customHeight="1">
      <c r="A43" s="6" t="s">
        <v>79</v>
      </c>
      <c r="B43" s="75" t="s">
        <v>139</v>
      </c>
      <c r="C43" s="75"/>
      <c r="D43" s="75"/>
      <c r="E43" s="6" t="s">
        <v>5</v>
      </c>
      <c r="F43" s="7">
        <v>1</v>
      </c>
      <c r="G43" s="46">
        <f>VLOOKUP(B43,VALVULAS[],2,FALSE)</f>
        <v>12.574491525423729</v>
      </c>
      <c r="H43" s="59">
        <f t="shared" si="2"/>
        <v>12.574491525423729</v>
      </c>
    </row>
    <row r="44" spans="1:55" ht="15" customHeight="1">
      <c r="A44" s="6" t="s">
        <v>80</v>
      </c>
      <c r="B44" s="75" t="s">
        <v>105</v>
      </c>
      <c r="C44" s="75"/>
      <c r="D44" s="75"/>
      <c r="E44" s="42" t="s">
        <v>280</v>
      </c>
      <c r="F44" s="7">
        <v>1</v>
      </c>
      <c r="G44" s="45">
        <f>SUM(H41:H43)*0.05</f>
        <v>8.5921069915254247</v>
      </c>
      <c r="H44" s="59">
        <f t="shared" si="2"/>
        <v>8.5921069915254247</v>
      </c>
    </row>
    <row r="45" spans="1:55" ht="15" customHeight="1">
      <c r="A45" s="69" t="s">
        <v>81</v>
      </c>
      <c r="B45" s="74" t="s">
        <v>318</v>
      </c>
      <c r="C45" s="74"/>
      <c r="D45" s="74"/>
      <c r="E45" s="74"/>
      <c r="F45" s="74"/>
      <c r="G45" s="74"/>
      <c r="H45" s="70">
        <f>SUM(H46:H49)</f>
        <v>307.05846292372883</v>
      </c>
    </row>
    <row r="46" spans="1:55" ht="29.25" customHeight="1">
      <c r="A46" s="6" t="s">
        <v>82</v>
      </c>
      <c r="B46" s="77" t="s">
        <v>239</v>
      </c>
      <c r="C46" s="77"/>
      <c r="D46" s="77"/>
      <c r="E46" s="6" t="s">
        <v>5</v>
      </c>
      <c r="F46" s="7">
        <v>1</v>
      </c>
      <c r="G46" s="46">
        <f>VLOOKUP(B46,VALVULAS[],2,FALSE)</f>
        <v>253.41366525423729</v>
      </c>
      <c r="H46" s="59">
        <f>F46*G46</f>
        <v>253.41366525423729</v>
      </c>
      <c r="J46" s="66" t="s">
        <v>317</v>
      </c>
    </row>
    <row r="47" spans="1:55" ht="15" customHeight="1">
      <c r="A47" s="6" t="s">
        <v>83</v>
      </c>
      <c r="B47" s="75" t="s">
        <v>205</v>
      </c>
      <c r="C47" s="75"/>
      <c r="D47" s="75"/>
      <c r="E47" s="6" t="s">
        <v>5</v>
      </c>
      <c r="F47" s="7">
        <v>1</v>
      </c>
      <c r="G47" s="46">
        <f>VLOOKUP(B47,VALVULAS[],2,FALSE)</f>
        <v>11.886525423728814</v>
      </c>
      <c r="H47" s="59">
        <f t="shared" ref="H47:H49" si="3">F47*G47</f>
        <v>11.886525423728814</v>
      </c>
    </row>
    <row r="48" spans="1:55" ht="15" customHeight="1">
      <c r="A48" s="6" t="s">
        <v>84</v>
      </c>
      <c r="B48" s="75" t="s">
        <v>136</v>
      </c>
      <c r="C48" s="75"/>
      <c r="D48" s="75"/>
      <c r="E48" s="6" t="s">
        <v>5</v>
      </c>
      <c r="F48" s="7">
        <v>1</v>
      </c>
      <c r="G48" s="46">
        <f>VLOOKUP(B48,VALVULAS[],2,FALSE)</f>
        <v>27.136440677966096</v>
      </c>
      <c r="H48" s="59">
        <f t="shared" si="3"/>
        <v>27.136440677966096</v>
      </c>
    </row>
    <row r="49" spans="1:55" ht="15" customHeight="1">
      <c r="A49" s="6" t="s">
        <v>85</v>
      </c>
      <c r="B49" s="75" t="s">
        <v>105</v>
      </c>
      <c r="C49" s="75"/>
      <c r="D49" s="75"/>
      <c r="E49" s="42" t="s">
        <v>280</v>
      </c>
      <c r="F49" s="7">
        <v>1</v>
      </c>
      <c r="G49" s="45">
        <f>SUM(H46:H48)*0.05</f>
        <v>14.621831567796612</v>
      </c>
      <c r="H49" s="59">
        <f t="shared" si="3"/>
        <v>14.621831567796612</v>
      </c>
    </row>
    <row r="50" spans="1:55" s="9" customFormat="1" ht="20.100000000000001" customHeight="1">
      <c r="A50" s="69" t="s">
        <v>97</v>
      </c>
      <c r="B50" s="74" t="s">
        <v>126</v>
      </c>
      <c r="C50" s="74"/>
      <c r="D50" s="74"/>
      <c r="E50" s="74"/>
      <c r="F50" s="74"/>
      <c r="G50" s="74"/>
      <c r="H50" s="70">
        <f>SUM(H51:H64)</f>
        <v>1298.8879353813561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</row>
    <row r="51" spans="1:55" s="14" customFormat="1" ht="15" customHeight="1">
      <c r="A51" s="6" t="s">
        <v>98</v>
      </c>
      <c r="B51" s="75" t="s">
        <v>146</v>
      </c>
      <c r="C51" s="75"/>
      <c r="D51" s="75"/>
      <c r="E51" s="2" t="s">
        <v>5</v>
      </c>
      <c r="F51" s="3">
        <v>1</v>
      </c>
      <c r="G51" s="46">
        <f>VLOOKUP(B51,VALVULAS[],2,FALSE)</f>
        <v>333.12847457627117</v>
      </c>
      <c r="H51" s="59">
        <f>F51*G51</f>
        <v>333.12847457627117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</row>
    <row r="52" spans="1:55" s="14" customFormat="1" ht="15" customHeight="1">
      <c r="A52" s="6" t="s">
        <v>99</v>
      </c>
      <c r="B52" s="75" t="s">
        <v>191</v>
      </c>
      <c r="C52" s="75"/>
      <c r="D52" s="75"/>
      <c r="E52" s="2" t="s">
        <v>5</v>
      </c>
      <c r="F52" s="3">
        <v>1</v>
      </c>
      <c r="G52" s="46">
        <f>VLOOKUP(B52,VALVULAS[],2,FALSE)</f>
        <v>333.39601694915257</v>
      </c>
      <c r="H52" s="59">
        <f t="shared" ref="H52:H64" si="4">F52*G52</f>
        <v>333.39601694915257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</row>
    <row r="53" spans="1:55" s="14" customFormat="1" ht="15" customHeight="1">
      <c r="A53" s="6" t="s">
        <v>100</v>
      </c>
      <c r="B53" s="75" t="s">
        <v>48</v>
      </c>
      <c r="C53" s="75"/>
      <c r="D53" s="75"/>
      <c r="E53" s="2" t="s">
        <v>5</v>
      </c>
      <c r="F53" s="3">
        <v>1</v>
      </c>
      <c r="G53" s="46">
        <f>VLOOKUP(B53,VALVULAS[],2,FALSE)</f>
        <v>4.6628813559322033</v>
      </c>
      <c r="H53" s="59">
        <f t="shared" si="4"/>
        <v>4.6628813559322033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</row>
    <row r="54" spans="1:55" s="14" customFormat="1" ht="15" customHeight="1">
      <c r="A54" s="6" t="s">
        <v>101</v>
      </c>
      <c r="B54" s="75" t="s">
        <v>49</v>
      </c>
      <c r="C54" s="75"/>
      <c r="D54" s="75"/>
      <c r="E54" s="2" t="s">
        <v>5</v>
      </c>
      <c r="F54" s="3">
        <v>1</v>
      </c>
      <c r="G54" s="46">
        <f>VLOOKUP(B54,VALVULAS[],2,FALSE)</f>
        <v>7.0325423728813554</v>
      </c>
      <c r="H54" s="59">
        <f t="shared" si="4"/>
        <v>7.0325423728813554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</row>
    <row r="55" spans="1:55" s="14" customFormat="1" ht="15" customHeight="1">
      <c r="A55" s="6" t="s">
        <v>102</v>
      </c>
      <c r="B55" s="75" t="s">
        <v>187</v>
      </c>
      <c r="C55" s="75"/>
      <c r="D55" s="75"/>
      <c r="E55" s="2" t="s">
        <v>5</v>
      </c>
      <c r="F55" s="3">
        <v>1</v>
      </c>
      <c r="G55" s="46">
        <f>VLOOKUP(B55,VALVULAS[],2,FALSE)</f>
        <v>11.23677966101695</v>
      </c>
      <c r="H55" s="59">
        <f t="shared" si="4"/>
        <v>11.23677966101695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</row>
    <row r="56" spans="1:55" s="14" customFormat="1" ht="15" customHeight="1">
      <c r="A56" s="6" t="s">
        <v>103</v>
      </c>
      <c r="B56" s="75" t="s">
        <v>183</v>
      </c>
      <c r="C56" s="75"/>
      <c r="D56" s="75"/>
      <c r="E56" s="2" t="s">
        <v>5</v>
      </c>
      <c r="F56" s="3">
        <v>1</v>
      </c>
      <c r="G56" s="46">
        <f>VLOOKUP(B56,VALVULAS[],2,FALSE)</f>
        <v>6.6885593220338988</v>
      </c>
      <c r="H56" s="59">
        <f t="shared" si="4"/>
        <v>6.6885593220338988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</row>
    <row r="57" spans="1:55" s="14" customFormat="1" ht="15" customHeight="1">
      <c r="A57" s="6" t="s">
        <v>104</v>
      </c>
      <c r="B57" s="75" t="s">
        <v>173</v>
      </c>
      <c r="C57" s="75"/>
      <c r="D57" s="75"/>
      <c r="E57" s="2" t="s">
        <v>5</v>
      </c>
      <c r="F57" s="3">
        <v>1</v>
      </c>
      <c r="G57" s="46">
        <f>VLOOKUP(B57,VALVULAS[],2,FALSE)</f>
        <v>5.3890677966101697</v>
      </c>
      <c r="H57" s="59">
        <f t="shared" si="4"/>
        <v>5.3890677966101697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</row>
    <row r="58" spans="1:55" s="14" customFormat="1" ht="15" customHeight="1">
      <c r="A58" s="6" t="s">
        <v>107</v>
      </c>
      <c r="B58" s="75" t="s">
        <v>25</v>
      </c>
      <c r="C58" s="75"/>
      <c r="D58" s="75"/>
      <c r="E58" s="2" t="s">
        <v>5</v>
      </c>
      <c r="F58" s="3">
        <v>1</v>
      </c>
      <c r="G58" s="46">
        <f>VLOOKUP(B58,VALVULAS[],2,FALSE)</f>
        <v>4.2042372881355936</v>
      </c>
      <c r="H58" s="59">
        <f t="shared" si="4"/>
        <v>4.2042372881355936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</row>
    <row r="59" spans="1:55" s="14" customFormat="1" ht="15" customHeight="1">
      <c r="A59" s="6" t="s">
        <v>108</v>
      </c>
      <c r="B59" s="75" t="s">
        <v>46</v>
      </c>
      <c r="C59" s="75"/>
      <c r="D59" s="75"/>
      <c r="E59" s="2" t="s">
        <v>5</v>
      </c>
      <c r="F59" s="3">
        <v>1</v>
      </c>
      <c r="G59" s="46">
        <f>VLOOKUP(B59,VALVULAS[],2,FALSE)</f>
        <v>2.7900847457627118</v>
      </c>
      <c r="H59" s="59">
        <f t="shared" si="4"/>
        <v>2.7900847457627118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</row>
    <row r="60" spans="1:55" s="14" customFormat="1" ht="15" customHeight="1">
      <c r="A60" s="6" t="s">
        <v>268</v>
      </c>
      <c r="B60" s="75" t="s">
        <v>117</v>
      </c>
      <c r="C60" s="75"/>
      <c r="D60" s="75"/>
      <c r="E60" s="2" t="s">
        <v>5</v>
      </c>
      <c r="F60" s="3">
        <v>1</v>
      </c>
      <c r="G60" s="46">
        <f>VLOOKUP(B60,VALVULAS[],2,FALSE)</f>
        <v>2.5225423728813561</v>
      </c>
      <c r="H60" s="59">
        <f t="shared" si="4"/>
        <v>2.5225423728813561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</row>
    <row r="61" spans="1:55" s="14" customFormat="1" ht="31.5" customHeight="1">
      <c r="A61" s="6" t="s">
        <v>287</v>
      </c>
      <c r="B61" s="75" t="s">
        <v>237</v>
      </c>
      <c r="C61" s="75"/>
      <c r="D61" s="75"/>
      <c r="E61" s="2" t="s">
        <v>5</v>
      </c>
      <c r="F61" s="3">
        <v>1</v>
      </c>
      <c r="G61" s="46">
        <f>VLOOKUP(B61,VALVULAS[],2,FALSE)</f>
        <v>417.32997881355942</v>
      </c>
      <c r="H61" s="59">
        <f t="shared" si="4"/>
        <v>417.32997881355942</v>
      </c>
      <c r="I61" s="13"/>
      <c r="J61" s="66" t="s">
        <v>317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</row>
    <row r="62" spans="1:55" s="14" customFormat="1" ht="15" customHeight="1">
      <c r="A62" s="6" t="s">
        <v>288</v>
      </c>
      <c r="B62" s="75" t="s">
        <v>113</v>
      </c>
      <c r="C62" s="75"/>
      <c r="D62" s="75"/>
      <c r="E62" s="2" t="s">
        <v>5</v>
      </c>
      <c r="F62" s="3">
        <v>2</v>
      </c>
      <c r="G62" s="46">
        <f>VLOOKUP(B62,VALVULAS[],2,FALSE)</f>
        <v>45.711525423728816</v>
      </c>
      <c r="H62" s="59">
        <f t="shared" ref="H62:H63" si="5">F62*G62</f>
        <v>91.423050847457631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</row>
    <row r="63" spans="1:55" s="14" customFormat="1" ht="15" customHeight="1">
      <c r="A63" s="6" t="s">
        <v>320</v>
      </c>
      <c r="B63" s="75" t="s">
        <v>179</v>
      </c>
      <c r="C63" s="75"/>
      <c r="D63" s="75"/>
      <c r="E63" s="2" t="s">
        <v>5</v>
      </c>
      <c r="F63" s="3">
        <v>1</v>
      </c>
      <c r="G63" s="46">
        <f>VLOOKUP(B63,VALVULAS[],2,FALSE)</f>
        <v>22.664661016949154</v>
      </c>
      <c r="H63" s="59">
        <f t="shared" si="5"/>
        <v>22.664661016949154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</row>
    <row r="64" spans="1:55" s="14" customFormat="1" ht="15" customHeight="1">
      <c r="A64" s="6" t="s">
        <v>321</v>
      </c>
      <c r="B64" s="75" t="s">
        <v>105</v>
      </c>
      <c r="C64" s="75"/>
      <c r="D64" s="75"/>
      <c r="E64" s="42" t="s">
        <v>280</v>
      </c>
      <c r="F64" s="7">
        <v>1</v>
      </c>
      <c r="G64" s="45">
        <f>SUM(H51:H61)*0.05</f>
        <v>56.419058262711872</v>
      </c>
      <c r="H64" s="59">
        <f t="shared" si="4"/>
        <v>56.419058262711872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</row>
    <row r="65" spans="1:55" s="9" customFormat="1" ht="20.100000000000001" customHeight="1">
      <c r="A65" s="69" t="s">
        <v>86</v>
      </c>
      <c r="B65" s="74" t="s">
        <v>127</v>
      </c>
      <c r="C65" s="74"/>
      <c r="D65" s="74"/>
      <c r="E65" s="74"/>
      <c r="F65" s="74"/>
      <c r="G65" s="74"/>
      <c r="H65" s="70">
        <f>SUM(H66:H71)</f>
        <v>194.53307733050849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</row>
    <row r="66" spans="1:55" s="14" customFormat="1" ht="28.5" customHeight="1">
      <c r="A66" s="6" t="s">
        <v>87</v>
      </c>
      <c r="B66" s="77" t="s">
        <v>319</v>
      </c>
      <c r="C66" s="77"/>
      <c r="D66" s="77"/>
      <c r="E66" s="2" t="s">
        <v>5</v>
      </c>
      <c r="F66" s="3">
        <v>1</v>
      </c>
      <c r="G66" s="46">
        <f>VLOOKUP(B66,VALVULAS[],2,FALSE)</f>
        <v>150.97383474576273</v>
      </c>
      <c r="H66" s="59">
        <f>F66*G66</f>
        <v>150.97383474576273</v>
      </c>
      <c r="I66" s="13"/>
      <c r="J66" s="66" t="s">
        <v>317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</row>
    <row r="67" spans="1:55" s="14" customFormat="1" ht="15" customHeight="1">
      <c r="A67" s="6" t="s">
        <v>88</v>
      </c>
      <c r="B67" s="71" t="s">
        <v>139</v>
      </c>
      <c r="C67" s="72"/>
      <c r="D67" s="73"/>
      <c r="E67" s="2" t="s">
        <v>5</v>
      </c>
      <c r="F67" s="3">
        <v>1</v>
      </c>
      <c r="G67" s="46">
        <f>VLOOKUP(B67,VALVULAS[],2,FALSE)</f>
        <v>12.574491525423729</v>
      </c>
      <c r="H67" s="59">
        <f t="shared" ref="H67:H70" si="6">F67*G67</f>
        <v>12.574491525423729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</row>
    <row r="68" spans="1:55" s="14" customFormat="1" ht="15" customHeight="1">
      <c r="A68" s="6" t="s">
        <v>89</v>
      </c>
      <c r="B68" s="75" t="s">
        <v>206</v>
      </c>
      <c r="C68" s="75"/>
      <c r="D68" s="75"/>
      <c r="E68" s="2" t="s">
        <v>5</v>
      </c>
      <c r="F68" s="3">
        <v>1</v>
      </c>
      <c r="G68" s="46">
        <f>VLOOKUP(B68,VALVULAS[],2,FALSE)</f>
        <v>5.4655084745762705</v>
      </c>
      <c r="H68" s="59">
        <f t="shared" si="6"/>
        <v>5.4655084745762705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</row>
    <row r="69" spans="1:55" s="14" customFormat="1" ht="15" customHeight="1">
      <c r="A69" s="6" t="s">
        <v>90</v>
      </c>
      <c r="B69" s="75" t="s">
        <v>232</v>
      </c>
      <c r="C69" s="75"/>
      <c r="D69" s="75"/>
      <c r="E69" s="2" t="s">
        <v>5</v>
      </c>
      <c r="F69" s="3">
        <v>1</v>
      </c>
      <c r="G69" s="46">
        <f>VLOOKUP(B69,VALVULAS[],2,FALSE)</f>
        <v>12.892372881355934</v>
      </c>
      <c r="H69" s="59">
        <f t="shared" si="6"/>
        <v>12.892372881355934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</row>
    <row r="70" spans="1:55" s="14" customFormat="1" ht="15" customHeight="1">
      <c r="A70" s="6" t="s">
        <v>91</v>
      </c>
      <c r="B70" s="75" t="s">
        <v>129</v>
      </c>
      <c r="C70" s="75"/>
      <c r="D70" s="75"/>
      <c r="E70" s="2" t="s">
        <v>5</v>
      </c>
      <c r="F70" s="3">
        <v>1</v>
      </c>
      <c r="G70" s="46">
        <f>VLOOKUP(B70,VALVULAS[],2,FALSE)</f>
        <v>3.3633898305084746</v>
      </c>
      <c r="H70" s="59">
        <f t="shared" si="6"/>
        <v>3.3633898305084746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</row>
    <row r="71" spans="1:55" s="14" customFormat="1" ht="15" customHeight="1">
      <c r="A71" s="6" t="s">
        <v>92</v>
      </c>
      <c r="B71" s="75" t="s">
        <v>105</v>
      </c>
      <c r="C71" s="75"/>
      <c r="D71" s="75"/>
      <c r="E71" s="42" t="s">
        <v>280</v>
      </c>
      <c r="F71" s="7">
        <v>1</v>
      </c>
      <c r="G71" s="45">
        <f>SUM(H66:H70)*0.05</f>
        <v>9.2634798728813568</v>
      </c>
      <c r="H71" s="59">
        <f t="shared" ref="H71" si="7">F71*G71</f>
        <v>9.2634798728813568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</row>
    <row r="72" spans="1:55" s="9" customFormat="1" ht="20.100000000000001" customHeight="1">
      <c r="A72" s="1" t="s">
        <v>323</v>
      </c>
      <c r="B72" s="76" t="s">
        <v>52</v>
      </c>
      <c r="C72" s="76"/>
      <c r="D72" s="76"/>
      <c r="E72" s="76"/>
      <c r="F72" s="76"/>
      <c r="G72" s="76"/>
      <c r="H72" s="58">
        <f>SUM(H73:H80)</f>
        <v>1961.6402542372884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</row>
    <row r="73" spans="1:55" ht="15" customHeight="1">
      <c r="A73" s="6" t="s">
        <v>324</v>
      </c>
      <c r="B73" s="75" t="s">
        <v>16</v>
      </c>
      <c r="C73" s="75"/>
      <c r="D73" s="75"/>
      <c r="E73" s="6" t="s">
        <v>6</v>
      </c>
      <c r="F73" s="7">
        <v>1</v>
      </c>
      <c r="G73" s="12">
        <f>VLOOKUP(B73,VALVULAS[],2,FALSE)</f>
        <v>385.00000000000006</v>
      </c>
      <c r="H73" s="59">
        <f>F73*G73</f>
        <v>385.00000000000006</v>
      </c>
    </row>
    <row r="74" spans="1:55" ht="15" customHeight="1">
      <c r="A74" s="6" t="s">
        <v>325</v>
      </c>
      <c r="B74" s="75" t="s">
        <v>266</v>
      </c>
      <c r="C74" s="75"/>
      <c r="D74" s="75"/>
      <c r="E74" s="6" t="s">
        <v>6</v>
      </c>
      <c r="F74" s="7">
        <v>1</v>
      </c>
      <c r="G74" s="12">
        <f>VLOOKUP(B74,VALVULAS[],2,FALSE)*1.15</f>
        <v>379.49999999999994</v>
      </c>
      <c r="H74" s="59">
        <f t="shared" ref="H74:H80" si="8">F74*G74</f>
        <v>379.49999999999994</v>
      </c>
    </row>
    <row r="75" spans="1:55" ht="15" customHeight="1">
      <c r="A75" s="6" t="s">
        <v>326</v>
      </c>
      <c r="B75" s="75" t="s">
        <v>33</v>
      </c>
      <c r="C75" s="75"/>
      <c r="D75" s="75"/>
      <c r="E75" s="6" t="s">
        <v>4</v>
      </c>
      <c r="F75" s="7">
        <v>1</v>
      </c>
      <c r="G75" s="12">
        <f>VLOOKUP(B75,VALVULAS[],2,FALSE)</f>
        <v>55.000000000000007</v>
      </c>
      <c r="H75" s="59">
        <f t="shared" si="8"/>
        <v>55.000000000000007</v>
      </c>
    </row>
    <row r="76" spans="1:55" ht="15" customHeight="1">
      <c r="A76" s="6" t="s">
        <v>327</v>
      </c>
      <c r="B76" s="75" t="s">
        <v>245</v>
      </c>
      <c r="C76" s="75"/>
      <c r="D76" s="75"/>
      <c r="E76" s="6" t="s">
        <v>4</v>
      </c>
      <c r="F76" s="7">
        <v>1</v>
      </c>
      <c r="G76" s="12">
        <f>VLOOKUP(B76,VALVULAS[],2,FALSE)</f>
        <v>419.49152542372889</v>
      </c>
      <c r="H76" s="59">
        <f t="shared" si="8"/>
        <v>419.49152542372889</v>
      </c>
    </row>
    <row r="77" spans="1:55" ht="15" customHeight="1">
      <c r="A77" s="6" t="s">
        <v>328</v>
      </c>
      <c r="B77" s="75" t="s">
        <v>244</v>
      </c>
      <c r="C77" s="75"/>
      <c r="D77" s="75"/>
      <c r="E77" s="6" t="s">
        <v>4</v>
      </c>
      <c r="F77" s="7">
        <v>1</v>
      </c>
      <c r="G77" s="12">
        <f>VLOOKUP(B77,VALVULAS[],2,FALSE)</f>
        <v>419.49152542372889</v>
      </c>
      <c r="H77" s="59">
        <f t="shared" si="8"/>
        <v>419.49152542372889</v>
      </c>
    </row>
    <row r="78" spans="1:55" ht="30" customHeight="1">
      <c r="A78" s="6" t="s">
        <v>329</v>
      </c>
      <c r="B78" s="75" t="s">
        <v>128</v>
      </c>
      <c r="C78" s="75"/>
      <c r="D78" s="75"/>
      <c r="E78" s="6" t="s">
        <v>4</v>
      </c>
      <c r="F78" s="7">
        <v>0</v>
      </c>
      <c r="G78" s="12">
        <f>VLOOKUP(B78,VALVULAS[],2,FALSE)</f>
        <v>0</v>
      </c>
      <c r="H78" s="59">
        <f t="shared" si="8"/>
        <v>0</v>
      </c>
    </row>
    <row r="79" spans="1:55" ht="15" customHeight="1">
      <c r="A79" s="6" t="s">
        <v>330</v>
      </c>
      <c r="B79" s="75" t="s">
        <v>246</v>
      </c>
      <c r="C79" s="75"/>
      <c r="D79" s="75"/>
      <c r="E79" s="6" t="s">
        <v>17</v>
      </c>
      <c r="F79" s="7">
        <v>5</v>
      </c>
      <c r="G79" s="12">
        <f>VLOOKUP(B79,VALVULAS[],2,FALSE)</f>
        <v>41.949152542372893</v>
      </c>
      <c r="H79" s="59">
        <f t="shared" si="8"/>
        <v>209.74576271186447</v>
      </c>
    </row>
    <row r="80" spans="1:55" ht="15" customHeight="1">
      <c r="A80" s="6" t="s">
        <v>331</v>
      </c>
      <c r="B80" s="75" t="s">
        <v>105</v>
      </c>
      <c r="C80" s="75"/>
      <c r="D80" s="75"/>
      <c r="E80" s="42" t="s">
        <v>280</v>
      </c>
      <c r="F80" s="7">
        <v>1</v>
      </c>
      <c r="G80" s="45">
        <f>SUM(H73:H79)*0.05</f>
        <v>93.411440677966127</v>
      </c>
      <c r="H80" s="59">
        <f t="shared" si="8"/>
        <v>93.411440677966127</v>
      </c>
    </row>
    <row r="81" spans="1:55" s="9" customFormat="1" ht="20.100000000000001" customHeight="1">
      <c r="A81" s="1" t="s">
        <v>93</v>
      </c>
      <c r="B81" s="76" t="s">
        <v>51</v>
      </c>
      <c r="C81" s="76"/>
      <c r="D81" s="76"/>
      <c r="E81" s="76"/>
      <c r="F81" s="76"/>
      <c r="G81" s="76"/>
      <c r="H81" s="58">
        <f>SUM(H82:H101)</f>
        <v>621.97728813559331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</row>
    <row r="82" spans="1:55" ht="15" customHeight="1">
      <c r="A82" s="6" t="s">
        <v>94</v>
      </c>
      <c r="B82" s="71" t="s">
        <v>62</v>
      </c>
      <c r="C82" s="72"/>
      <c r="D82" s="73"/>
      <c r="E82" s="6" t="s">
        <v>7</v>
      </c>
      <c r="F82" s="7">
        <v>0.25</v>
      </c>
      <c r="G82" s="12">
        <f>VLOOKUP(B82,VALVULAS[],2,FALSE)</f>
        <v>205.08474576271189</v>
      </c>
      <c r="H82" s="59">
        <f>F82*G82</f>
        <v>51.271186440677972</v>
      </c>
    </row>
    <row r="83" spans="1:55" ht="15" customHeight="1">
      <c r="A83" s="6" t="s">
        <v>95</v>
      </c>
      <c r="B83" s="71" t="s">
        <v>346</v>
      </c>
      <c r="C83" s="72"/>
      <c r="D83" s="73"/>
      <c r="E83" s="6" t="s">
        <v>7</v>
      </c>
      <c r="F83" s="7">
        <v>0.25</v>
      </c>
      <c r="G83" s="12">
        <f>VLOOKUP(B83,VALVULAS[],2,FALSE)</f>
        <v>205.08474576271189</v>
      </c>
      <c r="H83" s="59">
        <f t="shared" ref="H83:H101" si="9">F83*G83</f>
        <v>51.271186440677972</v>
      </c>
    </row>
    <row r="84" spans="1:55" ht="15" customHeight="1">
      <c r="A84" s="6" t="s">
        <v>96</v>
      </c>
      <c r="B84" s="71" t="s">
        <v>61</v>
      </c>
      <c r="C84" s="72"/>
      <c r="D84" s="73"/>
      <c r="E84" s="6" t="s">
        <v>7</v>
      </c>
      <c r="F84" s="7">
        <v>1</v>
      </c>
      <c r="G84" s="12">
        <f>VLOOKUP(B84,VALVULAS[],2,FALSE)</f>
        <v>15.847457627118647</v>
      </c>
      <c r="H84" s="59">
        <f t="shared" si="9"/>
        <v>15.847457627118647</v>
      </c>
    </row>
    <row r="85" spans="1:55" ht="15" customHeight="1">
      <c r="A85" s="6" t="s">
        <v>124</v>
      </c>
      <c r="B85" s="71" t="s">
        <v>35</v>
      </c>
      <c r="C85" s="72"/>
      <c r="D85" s="73"/>
      <c r="E85" s="6" t="s">
        <v>5</v>
      </c>
      <c r="F85" s="7">
        <v>1</v>
      </c>
      <c r="G85" s="12">
        <f>VLOOKUP(B85,VALVULAS[],2,FALSE)</f>
        <v>51.271186440677972</v>
      </c>
      <c r="H85" s="59">
        <f t="shared" si="9"/>
        <v>51.271186440677972</v>
      </c>
    </row>
    <row r="86" spans="1:55" ht="15" customHeight="1">
      <c r="A86" s="6" t="s">
        <v>269</v>
      </c>
      <c r="B86" s="71" t="s">
        <v>40</v>
      </c>
      <c r="C86" s="72"/>
      <c r="D86" s="73"/>
      <c r="E86" s="6" t="s">
        <v>5</v>
      </c>
      <c r="F86" s="7">
        <v>50</v>
      </c>
      <c r="G86" s="12">
        <f>VLOOKUP(B86,VALVULAS[],2,FALSE)</f>
        <v>2.796610169491526</v>
      </c>
      <c r="H86" s="59">
        <f t="shared" si="9"/>
        <v>139.83050847457631</v>
      </c>
    </row>
    <row r="87" spans="1:55" ht="15" customHeight="1">
      <c r="A87" s="6" t="s">
        <v>125</v>
      </c>
      <c r="B87" s="71" t="s">
        <v>45</v>
      </c>
      <c r="C87" s="72"/>
      <c r="D87" s="73"/>
      <c r="E87" s="6" t="s">
        <v>5</v>
      </c>
      <c r="F87" s="7">
        <v>0.5</v>
      </c>
      <c r="G87" s="12">
        <f>VLOOKUP(B87,VALVULAS[],2,FALSE)</f>
        <v>11.186440677966104</v>
      </c>
      <c r="H87" s="59">
        <f t="shared" si="9"/>
        <v>5.5932203389830519</v>
      </c>
    </row>
    <row r="88" spans="1:55" ht="15" customHeight="1">
      <c r="A88" s="6" t="s">
        <v>332</v>
      </c>
      <c r="B88" s="71" t="s">
        <v>54</v>
      </c>
      <c r="C88" s="72"/>
      <c r="D88" s="73"/>
      <c r="E88" s="6" t="s">
        <v>5</v>
      </c>
      <c r="F88" s="7">
        <v>1</v>
      </c>
      <c r="G88" s="12">
        <f>VLOOKUP(B88,VALVULAS[],2,FALSE)</f>
        <v>42.881355932203391</v>
      </c>
      <c r="H88" s="59">
        <f t="shared" si="9"/>
        <v>42.881355932203391</v>
      </c>
    </row>
    <row r="89" spans="1:55" ht="15" customHeight="1">
      <c r="A89" s="6" t="s">
        <v>333</v>
      </c>
      <c r="B89" s="71" t="s">
        <v>55</v>
      </c>
      <c r="C89" s="72"/>
      <c r="D89" s="73"/>
      <c r="E89" s="6" t="s">
        <v>5</v>
      </c>
      <c r="F89" s="7">
        <v>0.5</v>
      </c>
      <c r="G89" s="12">
        <f>VLOOKUP(B89,VALVULAS[],2,FALSE)</f>
        <v>79.237288135593232</v>
      </c>
      <c r="H89" s="59">
        <f t="shared" si="9"/>
        <v>39.618644067796616</v>
      </c>
    </row>
    <row r="90" spans="1:55" ht="15" customHeight="1">
      <c r="A90" s="6" t="s">
        <v>334</v>
      </c>
      <c r="B90" s="71" t="s">
        <v>36</v>
      </c>
      <c r="C90" s="72"/>
      <c r="D90" s="73"/>
      <c r="E90" s="6" t="s">
        <v>8</v>
      </c>
      <c r="F90" s="7">
        <v>10</v>
      </c>
      <c r="G90" s="12">
        <f>VLOOKUP(B90,VALVULAS[],2,FALSE)</f>
        <v>2.796610169491526</v>
      </c>
      <c r="H90" s="59">
        <f t="shared" si="9"/>
        <v>27.96610169491526</v>
      </c>
    </row>
    <row r="91" spans="1:55" ht="15" customHeight="1">
      <c r="A91" s="6" t="s">
        <v>335</v>
      </c>
      <c r="B91" s="71" t="s">
        <v>37</v>
      </c>
      <c r="C91" s="72"/>
      <c r="D91" s="73"/>
      <c r="E91" s="6" t="s">
        <v>5</v>
      </c>
      <c r="F91" s="7">
        <v>1</v>
      </c>
      <c r="G91" s="12">
        <f>VLOOKUP(B91,VALVULAS[],2,FALSE)</f>
        <v>11.186440677966104</v>
      </c>
      <c r="H91" s="59">
        <f t="shared" si="9"/>
        <v>11.186440677966104</v>
      </c>
    </row>
    <row r="92" spans="1:55" ht="15" customHeight="1">
      <c r="A92" s="6" t="s">
        <v>336</v>
      </c>
      <c r="B92" s="71" t="s">
        <v>31</v>
      </c>
      <c r="C92" s="72"/>
      <c r="D92" s="73"/>
      <c r="E92" s="6" t="s">
        <v>5</v>
      </c>
      <c r="F92" s="7">
        <v>2</v>
      </c>
      <c r="G92" s="12">
        <f>VLOOKUP(B92,VALVULAS[],2,FALSE)</f>
        <v>9.3220338983050848</v>
      </c>
      <c r="H92" s="59">
        <f t="shared" si="9"/>
        <v>18.64406779661017</v>
      </c>
    </row>
    <row r="93" spans="1:55" ht="15" customHeight="1">
      <c r="A93" s="6" t="s">
        <v>337</v>
      </c>
      <c r="B93" s="71" t="s">
        <v>38</v>
      </c>
      <c r="C93" s="72"/>
      <c r="D93" s="73"/>
      <c r="E93" s="6" t="s">
        <v>5</v>
      </c>
      <c r="F93" s="7">
        <v>1</v>
      </c>
      <c r="G93" s="12">
        <f>VLOOKUP(B93,VALVULAS[],2,FALSE)</f>
        <v>16.5</v>
      </c>
      <c r="H93" s="59">
        <f t="shared" si="9"/>
        <v>16.5</v>
      </c>
    </row>
    <row r="94" spans="1:55" ht="15" customHeight="1">
      <c r="A94" s="6" t="s">
        <v>338</v>
      </c>
      <c r="B94" s="71" t="s">
        <v>32</v>
      </c>
      <c r="C94" s="72"/>
      <c r="D94" s="73"/>
      <c r="E94" s="6" t="s">
        <v>5</v>
      </c>
      <c r="F94" s="7">
        <v>1</v>
      </c>
      <c r="G94" s="12">
        <f>VLOOKUP(B94,VALVULAS[],2,FALSE)</f>
        <v>13.200000000000001</v>
      </c>
      <c r="H94" s="59">
        <f t="shared" si="9"/>
        <v>13.200000000000001</v>
      </c>
    </row>
    <row r="95" spans="1:55" ht="15" customHeight="1">
      <c r="A95" s="6" t="s">
        <v>339</v>
      </c>
      <c r="B95" s="71" t="s">
        <v>53</v>
      </c>
      <c r="C95" s="72"/>
      <c r="D95" s="73"/>
      <c r="E95" s="6" t="s">
        <v>5</v>
      </c>
      <c r="F95" s="7">
        <v>1</v>
      </c>
      <c r="G95" s="12">
        <f>VLOOKUP(B95,VALVULAS[],2,FALSE)</f>
        <v>6.6000000000000005</v>
      </c>
      <c r="H95" s="59">
        <f t="shared" si="9"/>
        <v>6.6000000000000005</v>
      </c>
    </row>
    <row r="96" spans="1:55" ht="15" customHeight="1">
      <c r="A96" s="6" t="s">
        <v>340</v>
      </c>
      <c r="B96" s="71" t="s">
        <v>44</v>
      </c>
      <c r="C96" s="72"/>
      <c r="D96" s="73"/>
      <c r="E96" s="6" t="s">
        <v>5</v>
      </c>
      <c r="F96" s="7">
        <v>1</v>
      </c>
      <c r="G96" s="12">
        <f>VLOOKUP(B96,VALVULAS[],2,FALSE)</f>
        <v>27.966101694915256</v>
      </c>
      <c r="H96" s="59">
        <f t="shared" si="9"/>
        <v>27.966101694915256</v>
      </c>
    </row>
    <row r="97" spans="1:8" ht="15" customHeight="1">
      <c r="A97" s="6" t="s">
        <v>341</v>
      </c>
      <c r="B97" s="71" t="s">
        <v>292</v>
      </c>
      <c r="C97" s="72"/>
      <c r="D97" s="73"/>
      <c r="E97" s="6" t="s">
        <v>5</v>
      </c>
      <c r="F97" s="7">
        <v>1</v>
      </c>
      <c r="G97" s="12">
        <f>VLOOKUP(B97,VALVULAS[],2,FALSE)</f>
        <v>6.5254237288135606</v>
      </c>
      <c r="H97" s="59">
        <f t="shared" si="9"/>
        <v>6.5254237288135606</v>
      </c>
    </row>
    <row r="98" spans="1:8" ht="15" customHeight="1">
      <c r="A98" s="6" t="s">
        <v>342</v>
      </c>
      <c r="B98" s="71" t="s">
        <v>290</v>
      </c>
      <c r="C98" s="72"/>
      <c r="D98" s="73"/>
      <c r="E98" s="6" t="s">
        <v>5</v>
      </c>
      <c r="F98" s="7">
        <v>0</v>
      </c>
      <c r="G98" s="12">
        <f>VLOOKUP(B98,VALVULAS[],2,FALSE)</f>
        <v>16.779661016949156</v>
      </c>
      <c r="H98" s="59">
        <f t="shared" si="9"/>
        <v>0</v>
      </c>
    </row>
    <row r="99" spans="1:8" ht="15" customHeight="1">
      <c r="A99" s="6" t="s">
        <v>343</v>
      </c>
      <c r="B99" s="71" t="s">
        <v>267</v>
      </c>
      <c r="C99" s="72"/>
      <c r="D99" s="73"/>
      <c r="E99" s="6" t="s">
        <v>5</v>
      </c>
      <c r="F99" s="7">
        <v>2</v>
      </c>
      <c r="G99" s="12">
        <f>VLOOKUP(B99,VALVULAS[],2,FALSE)</f>
        <v>2.796610169491526</v>
      </c>
      <c r="H99" s="59">
        <f t="shared" si="9"/>
        <v>5.5932203389830519</v>
      </c>
    </row>
    <row r="100" spans="1:8" ht="15" customHeight="1">
      <c r="A100" s="6" t="s">
        <v>344</v>
      </c>
      <c r="B100" s="71" t="s">
        <v>291</v>
      </c>
      <c r="C100" s="72"/>
      <c r="D100" s="73"/>
      <c r="E100" s="6" t="s">
        <v>5</v>
      </c>
      <c r="F100" s="7">
        <v>1</v>
      </c>
      <c r="G100" s="12">
        <f>VLOOKUP(B100,VALVULAS[],2,FALSE)</f>
        <v>60.593220338983052</v>
      </c>
      <c r="H100" s="59">
        <f t="shared" si="9"/>
        <v>60.593220338983052</v>
      </c>
    </row>
    <row r="101" spans="1:8" ht="15" customHeight="1">
      <c r="A101" s="6" t="s">
        <v>345</v>
      </c>
      <c r="B101" s="71" t="s">
        <v>261</v>
      </c>
      <c r="C101" s="72"/>
      <c r="D101" s="73"/>
      <c r="E101" s="6" t="s">
        <v>4</v>
      </c>
      <c r="F101" s="7">
        <v>1</v>
      </c>
      <c r="G101" s="48">
        <f>SUM(H82:H100)*0.05</f>
        <v>29.617966101694918</v>
      </c>
      <c r="H101" s="59">
        <f t="shared" si="9"/>
        <v>29.617966101694918</v>
      </c>
    </row>
    <row r="107" spans="1:8">
      <c r="A107" s="10"/>
      <c r="B107" s="10"/>
      <c r="C107" s="10"/>
      <c r="D107" s="10"/>
      <c r="E107" s="10"/>
      <c r="F107" s="10"/>
      <c r="G107" s="10"/>
      <c r="H107" s="60"/>
    </row>
    <row r="108" spans="1:8">
      <c r="A108" s="10"/>
      <c r="B108" s="10"/>
      <c r="C108" s="10"/>
      <c r="D108" s="10"/>
      <c r="E108" s="10"/>
      <c r="F108" s="10"/>
      <c r="G108" s="10"/>
      <c r="H108" s="60"/>
    </row>
    <row r="109" spans="1:8">
      <c r="A109" s="10"/>
      <c r="B109" s="10"/>
      <c r="C109" s="10"/>
      <c r="D109" s="10"/>
      <c r="E109" s="10"/>
      <c r="F109" s="10"/>
      <c r="G109" s="10"/>
      <c r="H109" s="60"/>
    </row>
    <row r="110" spans="1:8" customFormat="1" ht="15">
      <c r="H110" s="61"/>
    </row>
    <row r="111" spans="1:8" customFormat="1" ht="15">
      <c r="H111" s="61"/>
    </row>
    <row r="112" spans="1:8" customFormat="1" ht="15">
      <c r="H112" s="61"/>
    </row>
    <row r="113" spans="8:8" customFormat="1" ht="15">
      <c r="H113" s="61"/>
    </row>
    <row r="114" spans="8:8" customFormat="1" ht="15">
      <c r="H114" s="61"/>
    </row>
    <row r="115" spans="8:8" customFormat="1" ht="15">
      <c r="H115" s="61"/>
    </row>
    <row r="116" spans="8:8" customFormat="1" ht="15">
      <c r="H116" s="61"/>
    </row>
    <row r="117" spans="8:8" customFormat="1" ht="15">
      <c r="H117" s="61"/>
    </row>
    <row r="118" spans="8:8" customFormat="1" ht="15">
      <c r="H118" s="61"/>
    </row>
    <row r="119" spans="8:8" customFormat="1" ht="15">
      <c r="H119" s="61"/>
    </row>
    <row r="120" spans="8:8" customFormat="1" ht="15">
      <c r="H120" s="61"/>
    </row>
  </sheetData>
  <mergeCells count="99">
    <mergeCell ref="B23:D23"/>
    <mergeCell ref="B24:D24"/>
    <mergeCell ref="B25:D25"/>
    <mergeCell ref="B2:G2"/>
    <mergeCell ref="A3:G3"/>
    <mergeCell ref="B4:G4"/>
    <mergeCell ref="B5:H5"/>
    <mergeCell ref="B6:D6"/>
    <mergeCell ref="B7:D7"/>
    <mergeCell ref="B11:H11"/>
    <mergeCell ref="B12:D12"/>
    <mergeCell ref="B13:D13"/>
    <mergeCell ref="B22:D22"/>
    <mergeCell ref="B14:H14"/>
    <mergeCell ref="B15:D15"/>
    <mergeCell ref="B16:D16"/>
    <mergeCell ref="B8:H8"/>
    <mergeCell ref="B9:D9"/>
    <mergeCell ref="B10:D10"/>
    <mergeCell ref="B17:H17"/>
    <mergeCell ref="B18:D18"/>
    <mergeCell ref="B19:D19"/>
    <mergeCell ref="B20:D20"/>
    <mergeCell ref="B21:D21"/>
    <mergeCell ref="B32:D32"/>
    <mergeCell ref="B30:G30"/>
    <mergeCell ref="B31:G31"/>
    <mergeCell ref="B26:D26"/>
    <mergeCell ref="B27:D27"/>
    <mergeCell ref="B28:D28"/>
    <mergeCell ref="B33:D33"/>
    <mergeCell ref="B34:D34"/>
    <mergeCell ref="B35:D35"/>
    <mergeCell ref="B36:D36"/>
    <mergeCell ref="B37:D37"/>
    <mergeCell ref="B41:D41"/>
    <mergeCell ref="B46:D46"/>
    <mergeCell ref="B40:G40"/>
    <mergeCell ref="B38:D38"/>
    <mergeCell ref="B39:D39"/>
    <mergeCell ref="B47:D47"/>
    <mergeCell ref="B48:D48"/>
    <mergeCell ref="B49:D49"/>
    <mergeCell ref="B42:D42"/>
    <mergeCell ref="B43:D43"/>
    <mergeCell ref="B44:D44"/>
    <mergeCell ref="B59:D59"/>
    <mergeCell ref="B50:G50"/>
    <mergeCell ref="B51:D51"/>
    <mergeCell ref="B52:D52"/>
    <mergeCell ref="B53:D53"/>
    <mergeCell ref="B54:D54"/>
    <mergeCell ref="B55:D55"/>
    <mergeCell ref="B56:D56"/>
    <mergeCell ref="B57:D57"/>
    <mergeCell ref="B58:D58"/>
    <mergeCell ref="B68:D68"/>
    <mergeCell ref="B69:D69"/>
    <mergeCell ref="B70:D70"/>
    <mergeCell ref="B60:D60"/>
    <mergeCell ref="B61:D61"/>
    <mergeCell ref="B64:D64"/>
    <mergeCell ref="B65:G65"/>
    <mergeCell ref="B66:D66"/>
    <mergeCell ref="B67:D67"/>
    <mergeCell ref="B79:D79"/>
    <mergeCell ref="B80:D80"/>
    <mergeCell ref="B81:G81"/>
    <mergeCell ref="B71:D71"/>
    <mergeCell ref="B72:G72"/>
    <mergeCell ref="B73:D73"/>
    <mergeCell ref="B74:D74"/>
    <mergeCell ref="B75:D75"/>
    <mergeCell ref="B76:D76"/>
    <mergeCell ref="B45:G45"/>
    <mergeCell ref="B62:D62"/>
    <mergeCell ref="B63:D63"/>
    <mergeCell ref="B93:D93"/>
    <mergeCell ref="B94:D94"/>
    <mergeCell ref="B87:D87"/>
    <mergeCell ref="B88:D88"/>
    <mergeCell ref="B89:D89"/>
    <mergeCell ref="B90:D90"/>
    <mergeCell ref="B91:D91"/>
    <mergeCell ref="B92:D92"/>
    <mergeCell ref="B84:D84"/>
    <mergeCell ref="B85:D85"/>
    <mergeCell ref="B86:D86"/>
    <mergeCell ref="B77:D77"/>
    <mergeCell ref="B78:D78"/>
    <mergeCell ref="B83:D83"/>
    <mergeCell ref="B82:D82"/>
    <mergeCell ref="B99:D99"/>
    <mergeCell ref="B100:D100"/>
    <mergeCell ref="B101:D101"/>
    <mergeCell ref="B95:D95"/>
    <mergeCell ref="B96:D96"/>
    <mergeCell ref="B97:D97"/>
    <mergeCell ref="B98:D98"/>
  </mergeCells>
  <phoneticPr fontId="2" type="noConversion"/>
  <pageMargins left="0.7" right="0.7" top="0.75" bottom="0.75" header="0.3" footer="0.3"/>
  <pageSetup paperSize="9" orientation="portrait" r:id="rId1"/>
  <headerFooter>
    <oddHeader>&amp;C&amp;"-,Negrita"&amp;K002060</oddHeader>
    <oddFooter>&amp;C&amp;"-,Negrita"&amp;K002060&amp;R&amp;"-,Negrita"&amp;K002060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A1:J195"/>
  <sheetViews>
    <sheetView topLeftCell="A160" workbookViewId="0">
      <selection activeCell="B167" sqref="B167"/>
    </sheetView>
  </sheetViews>
  <sheetFormatPr baseColWidth="10" defaultRowHeight="12.75"/>
  <cols>
    <col min="1" max="1" width="4.7109375" style="25" bestFit="1" customWidth="1"/>
    <col min="2" max="2" width="105.5703125" style="10" customWidth="1"/>
    <col min="3" max="3" width="12.42578125" style="26" bestFit="1" customWidth="1"/>
    <col min="4" max="4" width="11.42578125" style="10"/>
    <col min="5" max="5" width="10.28515625" style="18" bestFit="1" customWidth="1"/>
    <col min="6" max="7" width="14.7109375" style="18" customWidth="1"/>
    <col min="8" max="8" width="31.28515625" style="10" bestFit="1" customWidth="1"/>
    <col min="9" max="9" width="9.42578125" style="10" bestFit="1" customWidth="1"/>
    <col min="10" max="16384" width="11.42578125" style="10"/>
  </cols>
  <sheetData>
    <row r="1" spans="1:9" ht="28.5" customHeight="1">
      <c r="A1" s="17" t="s">
        <v>189</v>
      </c>
      <c r="B1" s="17" t="s">
        <v>67</v>
      </c>
      <c r="C1" s="17" t="s">
        <v>68</v>
      </c>
      <c r="E1" s="17" t="s">
        <v>68</v>
      </c>
      <c r="F1" s="17" t="s">
        <v>293</v>
      </c>
      <c r="G1" s="37"/>
    </row>
    <row r="2" spans="1:9" s="23" customFormat="1" ht="21" customHeight="1">
      <c r="A2" s="19">
        <v>1</v>
      </c>
      <c r="B2" s="31" t="s">
        <v>42</v>
      </c>
      <c r="C2" s="28">
        <f>E2</f>
        <v>1320.5891525423729</v>
      </c>
      <c r="E2" s="29">
        <f>$I$2*$I$3*$I$4*345.52/1.18</f>
        <v>1320.5891525423729</v>
      </c>
      <c r="F2" s="16" t="s">
        <v>248</v>
      </c>
      <c r="H2" s="20" t="s">
        <v>56</v>
      </c>
      <c r="I2" s="21">
        <v>1.1000000000000001</v>
      </c>
    </row>
    <row r="3" spans="1:9" s="23" customFormat="1" ht="21" customHeight="1">
      <c r="A3" s="19">
        <v>2</v>
      </c>
      <c r="B3" s="31" t="s">
        <v>43</v>
      </c>
      <c r="C3" s="28">
        <f t="shared" ref="C3:C69" si="0">E3</f>
        <v>386.86627118644066</v>
      </c>
      <c r="E3" s="29">
        <f>$I$2*$I$3*$I$4*101.22/1.18</f>
        <v>386.86627118644066</v>
      </c>
      <c r="F3" s="16" t="s">
        <v>248</v>
      </c>
      <c r="H3" s="20" t="s">
        <v>57</v>
      </c>
      <c r="I3" s="22">
        <v>4.0999999999999996</v>
      </c>
    </row>
    <row r="4" spans="1:9" s="23" customFormat="1" ht="21" customHeight="1">
      <c r="A4" s="19">
        <v>3</v>
      </c>
      <c r="B4" s="31" t="s">
        <v>130</v>
      </c>
      <c r="C4" s="28">
        <f t="shared" si="0"/>
        <v>773.46500000000003</v>
      </c>
      <c r="E4" s="29">
        <f>$I$2*$I$3*$I$4*202.37/1.18</f>
        <v>773.46500000000003</v>
      </c>
      <c r="F4" s="16" t="s">
        <v>248</v>
      </c>
      <c r="H4" s="20" t="s">
        <v>58</v>
      </c>
      <c r="I4" s="38">
        <v>1</v>
      </c>
    </row>
    <row r="5" spans="1:9" s="23" customFormat="1" ht="21" customHeight="1">
      <c r="A5" s="19">
        <v>4</v>
      </c>
      <c r="B5" s="31" t="s">
        <v>131</v>
      </c>
      <c r="C5" s="28">
        <f t="shared" si="0"/>
        <v>151.35254237288137</v>
      </c>
      <c r="E5" s="29">
        <f>$I$2*$I$3*$I$4*39.6/1.18</f>
        <v>151.35254237288137</v>
      </c>
      <c r="F5" s="16" t="s">
        <v>248</v>
      </c>
    </row>
    <row r="6" spans="1:9" s="23" customFormat="1" ht="21" customHeight="1">
      <c r="A6" s="19">
        <v>5</v>
      </c>
      <c r="B6" s="31" t="s">
        <v>23</v>
      </c>
      <c r="C6" s="28">
        <f t="shared" si="0"/>
        <v>384.22906779661014</v>
      </c>
      <c r="E6" s="29">
        <f>$I$2*$I$3*$I$4*100.53/1.18</f>
        <v>384.22906779661014</v>
      </c>
      <c r="F6" s="16" t="s">
        <v>248</v>
      </c>
    </row>
    <row r="7" spans="1:9" s="23" customFormat="1" ht="21" customHeight="1">
      <c r="A7" s="19">
        <v>6</v>
      </c>
      <c r="B7" s="31" t="s">
        <v>65</v>
      </c>
      <c r="C7" s="28">
        <f t="shared" si="0"/>
        <v>19.110169491525422</v>
      </c>
      <c r="E7" s="29">
        <f>$I$2*$I$3*$I$4*5/1.18</f>
        <v>19.110169491525422</v>
      </c>
      <c r="F7" s="16" t="s">
        <v>248</v>
      </c>
    </row>
    <row r="8" spans="1:9" s="23" customFormat="1" ht="21" customHeight="1">
      <c r="A8" s="19">
        <v>7</v>
      </c>
      <c r="B8" s="31" t="s">
        <v>22</v>
      </c>
      <c r="C8" s="28">
        <f t="shared" si="0"/>
        <v>140.53618644067799</v>
      </c>
      <c r="E8" s="29">
        <f>$I$2*$I$3*$I$4*36.77/1.18</f>
        <v>140.53618644067799</v>
      </c>
      <c r="F8" s="16" t="s">
        <v>248</v>
      </c>
    </row>
    <row r="9" spans="1:9" s="23" customFormat="1" ht="21" customHeight="1">
      <c r="A9" s="19">
        <v>8</v>
      </c>
      <c r="B9" s="31" t="s">
        <v>235</v>
      </c>
      <c r="C9" s="28">
        <f t="shared" si="0"/>
        <v>137.59322033898306</v>
      </c>
      <c r="E9" s="29">
        <f>$I$2*$I$3*$I$4*36/1.18</f>
        <v>137.59322033898306</v>
      </c>
      <c r="F9" s="16" t="s">
        <v>248</v>
      </c>
    </row>
    <row r="10" spans="1:9" s="23" customFormat="1" ht="21" customHeight="1">
      <c r="A10" s="19">
        <v>9</v>
      </c>
      <c r="B10" s="31" t="s">
        <v>264</v>
      </c>
      <c r="C10" s="28">
        <f t="shared" si="0"/>
        <v>1665.9481355932203</v>
      </c>
      <c r="D10" s="24"/>
      <c r="E10" s="29">
        <f>$I$2*$I$3*$I$4*435.88/1.18</f>
        <v>1665.9481355932203</v>
      </c>
      <c r="F10" s="27" t="s">
        <v>249</v>
      </c>
      <c r="G10" s="24"/>
    </row>
    <row r="11" spans="1:9" s="23" customFormat="1" ht="21" customHeight="1">
      <c r="A11" s="19">
        <v>10</v>
      </c>
      <c r="B11" s="31" t="s">
        <v>262</v>
      </c>
      <c r="C11" s="28">
        <f t="shared" si="0"/>
        <v>1665.9481355932203</v>
      </c>
      <c r="E11" s="29">
        <f>$I$2*$I$3*$I$4*435.88/1.18</f>
        <v>1665.9481355932203</v>
      </c>
      <c r="F11" s="16" t="s">
        <v>248</v>
      </c>
    </row>
    <row r="12" spans="1:9" s="23" customFormat="1" ht="21" customHeight="1">
      <c r="A12" s="19">
        <v>11</v>
      </c>
      <c r="B12" s="31" t="s">
        <v>263</v>
      </c>
      <c r="C12" s="28">
        <f t="shared" si="0"/>
        <v>1665.9481355932203</v>
      </c>
      <c r="D12" s="24"/>
      <c r="E12" s="29">
        <f>$I$2*$I$3*$I$4*435.88/1.18</f>
        <v>1665.9481355932203</v>
      </c>
      <c r="F12" s="27" t="s">
        <v>249</v>
      </c>
      <c r="G12" s="24"/>
    </row>
    <row r="13" spans="1:9" s="23" customFormat="1" ht="21" customHeight="1">
      <c r="A13" s="19"/>
      <c r="B13" s="31" t="s">
        <v>265</v>
      </c>
      <c r="C13" s="28">
        <f t="shared" ref="C13" si="1">E13</f>
        <v>55.000000000000007</v>
      </c>
      <c r="E13" s="29">
        <f>$I$2*$I$4*50</f>
        <v>55.000000000000007</v>
      </c>
      <c r="F13" s="16" t="s">
        <v>250</v>
      </c>
    </row>
    <row r="14" spans="1:9" s="23" customFormat="1" ht="21" customHeight="1">
      <c r="A14" s="19">
        <v>12</v>
      </c>
      <c r="B14" s="31" t="s">
        <v>236</v>
      </c>
      <c r="C14" s="28">
        <f t="shared" si="0"/>
        <v>165</v>
      </c>
      <c r="E14" s="29">
        <f>$I$2*$I$4*150</f>
        <v>165</v>
      </c>
      <c r="F14" s="16" t="s">
        <v>250</v>
      </c>
    </row>
    <row r="15" spans="1:9" s="23" customFormat="1" ht="21" customHeight="1">
      <c r="A15" s="19"/>
      <c r="B15" s="31" t="s">
        <v>271</v>
      </c>
      <c r="C15" s="28">
        <f t="shared" ref="C15" si="2">E15</f>
        <v>60.500000000000007</v>
      </c>
      <c r="E15" s="29">
        <f>$I$2*$I$4*55</f>
        <v>60.500000000000007</v>
      </c>
      <c r="F15" s="16" t="s">
        <v>250</v>
      </c>
    </row>
    <row r="16" spans="1:9" s="23" customFormat="1" ht="21" customHeight="1">
      <c r="A16" s="19">
        <v>13</v>
      </c>
      <c r="B16" s="31" t="s">
        <v>112</v>
      </c>
      <c r="C16" s="28">
        <f t="shared" si="0"/>
        <v>374.5593220338983</v>
      </c>
      <c r="E16" s="29">
        <f>$I$2*$I$3*$I$4*98/1.18</f>
        <v>374.5593220338983</v>
      </c>
      <c r="F16" s="16" t="s">
        <v>248</v>
      </c>
    </row>
    <row r="17" spans="1:6" s="23" customFormat="1" ht="21" customHeight="1">
      <c r="A17" s="19">
        <v>14</v>
      </c>
      <c r="B17" s="31" t="s">
        <v>24</v>
      </c>
      <c r="C17" s="28">
        <f t="shared" si="0"/>
        <v>213.07838983050846</v>
      </c>
      <c r="E17" s="29">
        <f>$I$2*$I$3*$I$4*55.75/1.18</f>
        <v>213.07838983050846</v>
      </c>
      <c r="F17" s="16" t="s">
        <v>248</v>
      </c>
    </row>
    <row r="18" spans="1:6" s="23" customFormat="1" ht="21" customHeight="1">
      <c r="A18" s="19"/>
      <c r="B18" s="31" t="s">
        <v>289</v>
      </c>
      <c r="C18" s="28">
        <f t="shared" ref="C18" si="3">E18</f>
        <v>213.07838983050846</v>
      </c>
      <c r="E18" s="29">
        <f>$I$2*$I$3*$I$4*55.75/1.18</f>
        <v>213.07838983050846</v>
      </c>
      <c r="F18" s="16" t="s">
        <v>248</v>
      </c>
    </row>
    <row r="19" spans="1:6" s="23" customFormat="1" ht="21" customHeight="1">
      <c r="A19" s="19">
        <v>15</v>
      </c>
      <c r="B19" s="31" t="s">
        <v>152</v>
      </c>
      <c r="C19" s="28">
        <f t="shared" si="0"/>
        <v>76.173135593220337</v>
      </c>
      <c r="E19" s="29">
        <f>$I$2*$I$3*$I$4*19.93/1.18</f>
        <v>76.173135593220337</v>
      </c>
      <c r="F19" s="16" t="s">
        <v>248</v>
      </c>
    </row>
    <row r="20" spans="1:6" s="23" customFormat="1" ht="21" customHeight="1">
      <c r="A20" s="19">
        <v>16</v>
      </c>
      <c r="B20" s="31" t="s">
        <v>146</v>
      </c>
      <c r="C20" s="28">
        <f t="shared" si="0"/>
        <v>333.12847457627117</v>
      </c>
      <c r="E20" s="29">
        <f>$I$2*$I$3*$I$4*87.16/1.18</f>
        <v>333.12847457627117</v>
      </c>
      <c r="F20" s="16" t="s">
        <v>248</v>
      </c>
    </row>
    <row r="21" spans="1:6" s="23" customFormat="1" ht="21" customHeight="1">
      <c r="A21" s="19">
        <v>17</v>
      </c>
      <c r="B21" s="31" t="s">
        <v>154</v>
      </c>
      <c r="C21" s="28">
        <f t="shared" si="0"/>
        <v>131.36330508474575</v>
      </c>
      <c r="E21" s="29">
        <f>$I$2*$I$3*$I$4*34.37/1.18</f>
        <v>131.36330508474575</v>
      </c>
      <c r="F21" s="16" t="s">
        <v>249</v>
      </c>
    </row>
    <row r="22" spans="1:6" s="23" customFormat="1" ht="21" customHeight="1">
      <c r="A22" s="19">
        <v>18</v>
      </c>
      <c r="B22" s="31" t="s">
        <v>190</v>
      </c>
      <c r="C22" s="28">
        <f t="shared" si="0"/>
        <v>2281.4866949152542</v>
      </c>
      <c r="E22" s="29">
        <f>$I$2*$I$3*$I$4*596.93/1.18</f>
        <v>2281.4866949152542</v>
      </c>
      <c r="F22" s="16" t="s">
        <v>248</v>
      </c>
    </row>
    <row r="23" spans="1:6" s="23" customFormat="1" ht="21" customHeight="1">
      <c r="A23" s="19">
        <v>19</v>
      </c>
      <c r="B23" s="31" t="s">
        <v>116</v>
      </c>
      <c r="C23" s="28">
        <f t="shared" si="0"/>
        <v>103.27135593220339</v>
      </c>
      <c r="E23" s="29">
        <f>$I$2*$I$3*$I$4*27.02/1.18</f>
        <v>103.27135593220339</v>
      </c>
      <c r="F23" s="16" t="s">
        <v>248</v>
      </c>
    </row>
    <row r="24" spans="1:6" s="23" customFormat="1" ht="21" customHeight="1">
      <c r="A24" s="19">
        <v>20</v>
      </c>
      <c r="B24" s="31" t="s">
        <v>114</v>
      </c>
      <c r="C24" s="28">
        <f t="shared" si="0"/>
        <v>67.841101694915253</v>
      </c>
      <c r="E24" s="29">
        <f>$I$2*$I$3*$I$4*17.75/1.18</f>
        <v>67.841101694915253</v>
      </c>
      <c r="F24" s="16" t="s">
        <v>249</v>
      </c>
    </row>
    <row r="25" spans="1:6" s="23" customFormat="1" ht="21" customHeight="1">
      <c r="A25" s="19">
        <v>21</v>
      </c>
      <c r="B25" s="31" t="s">
        <v>153</v>
      </c>
      <c r="C25" s="28">
        <f t="shared" si="0"/>
        <v>8.2173728813559315</v>
      </c>
      <c r="E25" s="29">
        <f>$I$2*$I$3*$I$4*2.15/1.18</f>
        <v>8.2173728813559315</v>
      </c>
      <c r="F25" s="16" t="s">
        <v>248</v>
      </c>
    </row>
    <row r="26" spans="1:6" s="23" customFormat="1" ht="21" customHeight="1">
      <c r="A26" s="19">
        <v>22</v>
      </c>
      <c r="B26" s="31" t="s">
        <v>243</v>
      </c>
      <c r="C26" s="28">
        <f t="shared" si="0"/>
        <v>1461.24</v>
      </c>
      <c r="E26" s="29">
        <f>$I$2*$I$3*$I$4*382.32/1.18</f>
        <v>1461.24</v>
      </c>
      <c r="F26" s="16" t="s">
        <v>248</v>
      </c>
    </row>
    <row r="27" spans="1:6" s="23" customFormat="1" ht="21" customHeight="1">
      <c r="A27" s="19">
        <v>23</v>
      </c>
      <c r="B27" s="31" t="s">
        <v>241</v>
      </c>
      <c r="C27" s="28">
        <f t="shared" si="0"/>
        <v>1130.0989830508474</v>
      </c>
      <c r="E27" s="29">
        <f>$I$2*$I$3*$I$4*295.68/1.18</f>
        <v>1130.0989830508474</v>
      </c>
      <c r="F27" s="16" t="s">
        <v>248</v>
      </c>
    </row>
    <row r="28" spans="1:6" s="23" customFormat="1" ht="21" customHeight="1">
      <c r="A28" s="19">
        <v>24</v>
      </c>
      <c r="B28" s="31" t="s">
        <v>242</v>
      </c>
      <c r="C28" s="28">
        <f t="shared" si="0"/>
        <v>1103.9180508474576</v>
      </c>
      <c r="E28" s="29">
        <f>$I$2*$I$3*$I$4*288.83/1.18</f>
        <v>1103.9180508474576</v>
      </c>
      <c r="F28" s="16" t="s">
        <v>249</v>
      </c>
    </row>
    <row r="29" spans="1:6" s="23" customFormat="1" ht="21" customHeight="1">
      <c r="A29" s="19">
        <v>25</v>
      </c>
      <c r="B29" s="31" t="s">
        <v>237</v>
      </c>
      <c r="C29" s="28">
        <f>E29*1.25</f>
        <v>417.32997881355942</v>
      </c>
      <c r="E29" s="29">
        <f>($I$2*$I$3*$I$4*43.45/1.18)+($I$2*$I$4*180/1.18)</f>
        <v>333.86398305084754</v>
      </c>
      <c r="F29" s="16" t="s">
        <v>251</v>
      </c>
    </row>
    <row r="30" spans="1:6" s="23" customFormat="1" ht="21" customHeight="1">
      <c r="A30" s="19">
        <v>26</v>
      </c>
      <c r="B30" s="31" t="s">
        <v>238</v>
      </c>
      <c r="C30" s="28">
        <f>E30*1.25</f>
        <v>299.00423728813558</v>
      </c>
      <c r="E30" s="29">
        <f>($I$2*$I$3*$I$4*26/1.18)+($I$2*$I$4*150/1.18)</f>
        <v>239.20338983050848</v>
      </c>
      <c r="F30" s="16" t="s">
        <v>251</v>
      </c>
    </row>
    <row r="31" spans="1:6" s="23" customFormat="1" ht="21" customHeight="1">
      <c r="A31" s="19">
        <v>27</v>
      </c>
      <c r="B31" s="31" t="s">
        <v>239</v>
      </c>
      <c r="C31" s="28">
        <f>E31*1.25</f>
        <v>253.41366525423729</v>
      </c>
      <c r="E31" s="29">
        <f>($I$2*$I$3*$I$4*24.75/1.18)+($I$2*$I$4*116/1.18)</f>
        <v>202.73093220338984</v>
      </c>
      <c r="F31" s="16" t="s">
        <v>251</v>
      </c>
    </row>
    <row r="32" spans="1:6" s="23" customFormat="1" ht="21" customHeight="1">
      <c r="A32" s="19">
        <v>28</v>
      </c>
      <c r="B32" s="31" t="s">
        <v>240</v>
      </c>
      <c r="C32" s="28">
        <f>E32*1.25</f>
        <v>150.97383474576273</v>
      </c>
      <c r="E32" s="29">
        <f>($I$2*$I$3*$I$4*18.43/1.18)+($I$2*$I$4*54/1.18)</f>
        <v>120.77906779661018</v>
      </c>
      <c r="F32" s="16" t="s">
        <v>251</v>
      </c>
    </row>
    <row r="33" spans="1:6" s="23" customFormat="1" ht="21" customHeight="1">
      <c r="A33" s="19"/>
      <c r="B33" s="65" t="s">
        <v>319</v>
      </c>
      <c r="C33" s="28">
        <f>E33*1.25</f>
        <v>150.97383474576273</v>
      </c>
      <c r="E33" s="29">
        <f>($I$2*$I$3*$I$4*18.43/1.18)+($I$2*$I$4*54/1.18)</f>
        <v>120.77906779661018</v>
      </c>
      <c r="F33" s="16" t="s">
        <v>251</v>
      </c>
    </row>
    <row r="34" spans="1:6" s="23" customFormat="1" ht="21" customHeight="1">
      <c r="A34" s="19">
        <v>29</v>
      </c>
      <c r="B34" s="31" t="s">
        <v>191</v>
      </c>
      <c r="C34" s="28">
        <f t="shared" si="0"/>
        <v>333.39601694915257</v>
      </c>
      <c r="E34" s="29">
        <f>$I$2*$I$3*$I$4*87.23/1.18</f>
        <v>333.39601694915257</v>
      </c>
      <c r="F34" s="16" t="s">
        <v>252</v>
      </c>
    </row>
    <row r="35" spans="1:6" s="23" customFormat="1" ht="21" customHeight="1">
      <c r="A35" s="19">
        <v>30</v>
      </c>
      <c r="B35" s="31" t="s">
        <v>192</v>
      </c>
      <c r="C35" s="28">
        <f t="shared" si="0"/>
        <v>225.68039999999999</v>
      </c>
      <c r="E35" s="29">
        <f>$I$2*$I$3*$I$4*50.04</f>
        <v>225.68039999999999</v>
      </c>
      <c r="F35" s="16" t="s">
        <v>252</v>
      </c>
    </row>
    <row r="36" spans="1:6" s="23" customFormat="1" ht="21" customHeight="1">
      <c r="A36" s="19">
        <v>31</v>
      </c>
      <c r="B36" s="31" t="s">
        <v>193</v>
      </c>
      <c r="C36" s="28">
        <f t="shared" si="0"/>
        <v>225.80576271186439</v>
      </c>
      <c r="E36" s="29">
        <f>$I$2*$I$3*$I$4*59.08/1.18</f>
        <v>225.80576271186439</v>
      </c>
      <c r="F36" s="16" t="s">
        <v>252</v>
      </c>
    </row>
    <row r="37" spans="1:6" s="23" customFormat="1" ht="21" customHeight="1">
      <c r="A37" s="19">
        <v>32</v>
      </c>
      <c r="B37" s="31" t="s">
        <v>194</v>
      </c>
      <c r="C37" s="28">
        <f t="shared" si="0"/>
        <v>138.16652542372881</v>
      </c>
      <c r="E37" s="29">
        <f>$I$2*$I$3*$I$4*36.15/1.18</f>
        <v>138.16652542372881</v>
      </c>
      <c r="F37" s="16" t="s">
        <v>252</v>
      </c>
    </row>
    <row r="38" spans="1:6" s="23" customFormat="1" ht="21" customHeight="1">
      <c r="A38" s="19">
        <v>33</v>
      </c>
      <c r="B38" s="31" t="s">
        <v>195</v>
      </c>
      <c r="C38" s="28">
        <f t="shared" si="0"/>
        <v>99.525762711864402</v>
      </c>
      <c r="E38" s="29">
        <f>$I$2*$I$3*$I$4*26.04/1.18</f>
        <v>99.525762711864402</v>
      </c>
      <c r="F38" s="16" t="s">
        <v>252</v>
      </c>
    </row>
    <row r="39" spans="1:6" s="23" customFormat="1" ht="21" customHeight="1">
      <c r="A39" s="19">
        <v>34</v>
      </c>
      <c r="B39" s="31" t="s">
        <v>196</v>
      </c>
      <c r="C39" s="28">
        <f t="shared" si="0"/>
        <v>53.172899999999991</v>
      </c>
      <c r="E39" s="29">
        <f>$I$2*$I$3*$I$4*11.79</f>
        <v>53.172899999999991</v>
      </c>
      <c r="F39" s="16" t="s">
        <v>252</v>
      </c>
    </row>
    <row r="40" spans="1:6" s="23" customFormat="1" ht="21" customHeight="1">
      <c r="A40" s="19">
        <v>35</v>
      </c>
      <c r="B40" s="31" t="s">
        <v>197</v>
      </c>
      <c r="C40" s="28">
        <f t="shared" si="0"/>
        <v>70.325423728813561</v>
      </c>
      <c r="E40" s="29">
        <f>$I$2*$I$3*$I$4*18.4/1.18</f>
        <v>70.325423728813561</v>
      </c>
      <c r="F40" s="16" t="s">
        <v>252</v>
      </c>
    </row>
    <row r="41" spans="1:6" s="23" customFormat="1" ht="21" customHeight="1">
      <c r="A41" s="19">
        <v>36</v>
      </c>
      <c r="B41" s="31" t="s">
        <v>198</v>
      </c>
      <c r="C41" s="28">
        <f t="shared" si="0"/>
        <v>45.138220338983054</v>
      </c>
      <c r="E41" s="29">
        <f>$I$2*$I$3*$I$4*11.81/1.18</f>
        <v>45.138220338983054</v>
      </c>
      <c r="F41" s="16" t="s">
        <v>253</v>
      </c>
    </row>
    <row r="42" spans="1:6" s="23" customFormat="1" ht="21" customHeight="1">
      <c r="A42" s="19">
        <v>37</v>
      </c>
      <c r="B42" s="31" t="s">
        <v>199</v>
      </c>
      <c r="C42" s="28">
        <f t="shared" si="0"/>
        <v>35.69779661016949</v>
      </c>
      <c r="E42" s="29">
        <f>$I$2*$I$3*$I$4*9.34/1.18</f>
        <v>35.69779661016949</v>
      </c>
      <c r="F42" s="16" t="s">
        <v>253</v>
      </c>
    </row>
    <row r="43" spans="1:6" s="23" customFormat="1" ht="21" customHeight="1">
      <c r="A43" s="19">
        <v>38</v>
      </c>
      <c r="B43" s="31" t="s">
        <v>200</v>
      </c>
      <c r="C43" s="28">
        <f t="shared" si="0"/>
        <v>21.747372881355933</v>
      </c>
      <c r="E43" s="29">
        <f>$I$2*$I$3*$I$4*5.69/1.18</f>
        <v>21.747372881355933</v>
      </c>
      <c r="F43" s="16" t="s">
        <v>253</v>
      </c>
    </row>
    <row r="44" spans="1:6" s="23" customFormat="1" ht="21" customHeight="1">
      <c r="A44" s="19">
        <v>39</v>
      </c>
      <c r="B44" s="31" t="s">
        <v>201</v>
      </c>
      <c r="C44" s="28">
        <f t="shared" si="0"/>
        <v>7.6440677966101696</v>
      </c>
      <c r="E44" s="29">
        <f>$I$2*$I$3*$I$4*2/1.18</f>
        <v>7.6440677966101696</v>
      </c>
      <c r="F44" s="16" t="s">
        <v>254</v>
      </c>
    </row>
    <row r="45" spans="1:6" s="23" customFormat="1" ht="21" customHeight="1">
      <c r="A45" s="19">
        <v>40</v>
      </c>
      <c r="B45" s="31" t="s">
        <v>202</v>
      </c>
      <c r="C45" s="28">
        <f t="shared" si="0"/>
        <v>9.4786440677966102</v>
      </c>
      <c r="E45" s="29">
        <f>$I$2*$I$3*$I$4*2.48/1.18</f>
        <v>9.4786440677966102</v>
      </c>
      <c r="F45" s="16" t="s">
        <v>253</v>
      </c>
    </row>
    <row r="46" spans="1:6" s="23" customFormat="1" ht="21" customHeight="1">
      <c r="A46" s="19">
        <v>41</v>
      </c>
      <c r="B46" s="31" t="s">
        <v>203</v>
      </c>
      <c r="C46" s="28">
        <f t="shared" si="0"/>
        <v>8.4466949152542359</v>
      </c>
      <c r="E46" s="29">
        <f>$I$2*$I$3*$I$4*2.21/1.18</f>
        <v>8.4466949152542359</v>
      </c>
      <c r="F46" s="16" t="s">
        <v>253</v>
      </c>
    </row>
    <row r="47" spans="1:6" s="23" customFormat="1" ht="21" customHeight="1">
      <c r="A47" s="19">
        <v>42</v>
      </c>
      <c r="B47" s="31" t="s">
        <v>149</v>
      </c>
      <c r="C47" s="28">
        <f t="shared" si="0"/>
        <v>58.859322033898302</v>
      </c>
      <c r="E47" s="29">
        <f>$I$2*$I$3*$I$4*15.4/1.18</f>
        <v>58.859322033898302</v>
      </c>
      <c r="F47" s="16" t="s">
        <v>253</v>
      </c>
    </row>
    <row r="48" spans="1:6" s="23" customFormat="1" ht="21" customHeight="1">
      <c r="A48" s="19">
        <v>43</v>
      </c>
      <c r="B48" s="31" t="s">
        <v>229</v>
      </c>
      <c r="C48" s="28">
        <f t="shared" si="0"/>
        <v>37.316101694915261</v>
      </c>
      <c r="E48" s="29">
        <f>$I$2*$I$4*40.03/1.18</f>
        <v>37.316101694915261</v>
      </c>
      <c r="F48" s="16" t="s">
        <v>253</v>
      </c>
    </row>
    <row r="49" spans="1:6" s="23" customFormat="1" ht="21" customHeight="1">
      <c r="A49" s="19">
        <v>44</v>
      </c>
      <c r="B49" s="31" t="s">
        <v>230</v>
      </c>
      <c r="C49" s="28">
        <f t="shared" si="0"/>
        <v>24.7406779661017</v>
      </c>
      <c r="E49" s="29">
        <f>$I$2*$I$4*26.54/1.18</f>
        <v>24.7406779661017</v>
      </c>
      <c r="F49" s="16" t="s">
        <v>253</v>
      </c>
    </row>
    <row r="50" spans="1:6" s="23" customFormat="1" ht="21" customHeight="1">
      <c r="A50" s="19">
        <v>45</v>
      </c>
      <c r="B50" s="31" t="s">
        <v>231</v>
      </c>
      <c r="C50" s="28">
        <f t="shared" si="0"/>
        <v>17.09661016949153</v>
      </c>
      <c r="E50" s="29">
        <f>$I$2*$I$4*18.34/1.18</f>
        <v>17.09661016949153</v>
      </c>
      <c r="F50" s="16" t="s">
        <v>253</v>
      </c>
    </row>
    <row r="51" spans="1:6" s="23" customFormat="1" ht="21" customHeight="1">
      <c r="A51" s="19">
        <v>46</v>
      </c>
      <c r="B51" s="31" t="s">
        <v>232</v>
      </c>
      <c r="C51" s="28">
        <f t="shared" si="0"/>
        <v>12.892372881355934</v>
      </c>
      <c r="E51" s="29">
        <f>$I$2*$I$4*13.83/1.18</f>
        <v>12.892372881355934</v>
      </c>
      <c r="F51" s="16" t="s">
        <v>253</v>
      </c>
    </row>
    <row r="52" spans="1:6" s="23" customFormat="1" ht="21" customHeight="1">
      <c r="A52" s="19">
        <v>47</v>
      </c>
      <c r="B52" s="31" t="s">
        <v>233</v>
      </c>
      <c r="C52" s="28">
        <f t="shared" si="0"/>
        <v>10.095762711864408</v>
      </c>
      <c r="E52" s="29">
        <f>$I$2*$I$4*10.83/1.18</f>
        <v>10.095762711864408</v>
      </c>
      <c r="F52" s="16" t="s">
        <v>253</v>
      </c>
    </row>
    <row r="53" spans="1:6" s="23" customFormat="1" ht="21" customHeight="1">
      <c r="A53" s="19">
        <v>48</v>
      </c>
      <c r="B53" s="31" t="s">
        <v>234</v>
      </c>
      <c r="C53" s="28">
        <f t="shared" si="0"/>
        <v>6.6000000000000014</v>
      </c>
      <c r="E53" s="29">
        <f>$I$2*$I$4*7.08/1.18</f>
        <v>6.6000000000000014</v>
      </c>
      <c r="F53" s="16" t="s">
        <v>253</v>
      </c>
    </row>
    <row r="54" spans="1:6" s="23" customFormat="1" ht="21" customHeight="1">
      <c r="A54" s="19">
        <v>49</v>
      </c>
      <c r="B54" s="31" t="s">
        <v>113</v>
      </c>
      <c r="C54" s="28">
        <f t="shared" si="0"/>
        <v>45.711525423728816</v>
      </c>
      <c r="E54" s="29">
        <f>$I$2*$I$3*$I$4*11.96/1.18</f>
        <v>45.711525423728816</v>
      </c>
      <c r="F54" s="16" t="s">
        <v>253</v>
      </c>
    </row>
    <row r="55" spans="1:6" s="23" customFormat="1" ht="21" customHeight="1">
      <c r="A55" s="19">
        <v>50</v>
      </c>
      <c r="B55" s="31" t="s">
        <v>163</v>
      </c>
      <c r="C55" s="28">
        <f t="shared" si="0"/>
        <v>33.022372881355935</v>
      </c>
      <c r="E55" s="29">
        <f>$I$2*$I$3*$I$4*8.64/1.18</f>
        <v>33.022372881355935</v>
      </c>
      <c r="F55" s="16" t="s">
        <v>253</v>
      </c>
    </row>
    <row r="56" spans="1:6" s="23" customFormat="1" ht="21" customHeight="1">
      <c r="A56" s="19">
        <v>51</v>
      </c>
      <c r="B56" s="31" t="s">
        <v>136</v>
      </c>
      <c r="C56" s="28">
        <f t="shared" si="0"/>
        <v>27.136440677966096</v>
      </c>
      <c r="E56" s="29">
        <f>$I$2*$I$3*$I$4*7.1/1.18</f>
        <v>27.136440677966096</v>
      </c>
      <c r="F56" s="16" t="s">
        <v>253</v>
      </c>
    </row>
    <row r="57" spans="1:6" s="23" customFormat="1" ht="21" customHeight="1">
      <c r="A57" s="19">
        <v>52</v>
      </c>
      <c r="B57" s="31" t="s">
        <v>106</v>
      </c>
      <c r="C57" s="28">
        <f t="shared" si="0"/>
        <v>17.696016949152543</v>
      </c>
      <c r="E57" s="29">
        <f>$I$2*$I$3*$I$4*4.63/1.18</f>
        <v>17.696016949152543</v>
      </c>
      <c r="F57" s="16" t="s">
        <v>253</v>
      </c>
    </row>
    <row r="58" spans="1:6" s="23" customFormat="1" ht="21" customHeight="1">
      <c r="A58" s="19">
        <v>53</v>
      </c>
      <c r="B58" s="31" t="s">
        <v>139</v>
      </c>
      <c r="C58" s="28">
        <f t="shared" si="0"/>
        <v>12.574491525423729</v>
      </c>
      <c r="E58" s="29">
        <f>$I$2*$I$3*$I$4*3.29/1.18</f>
        <v>12.574491525423729</v>
      </c>
      <c r="F58" s="16" t="s">
        <v>253</v>
      </c>
    </row>
    <row r="59" spans="1:6" s="23" customFormat="1" ht="21" customHeight="1">
      <c r="A59" s="19">
        <v>54</v>
      </c>
      <c r="B59" s="31" t="s">
        <v>179</v>
      </c>
      <c r="C59" s="28">
        <f t="shared" si="0"/>
        <v>22.664661016949154</v>
      </c>
      <c r="E59" s="29">
        <f>$I$2*$I$3*$I$4*5.93/1.18</f>
        <v>22.664661016949154</v>
      </c>
      <c r="F59" s="16" t="s">
        <v>253</v>
      </c>
    </row>
    <row r="60" spans="1:6" s="23" customFormat="1" ht="21" customHeight="1">
      <c r="A60" s="19">
        <v>55</v>
      </c>
      <c r="B60" s="31" t="s">
        <v>204</v>
      </c>
      <c r="C60" s="28">
        <f t="shared" si="0"/>
        <v>14.141525423728815</v>
      </c>
      <c r="E60" s="29">
        <f>$I$2*$I$3*$I$4*3.7/1.18</f>
        <v>14.141525423728815</v>
      </c>
      <c r="F60" s="16" t="s">
        <v>253</v>
      </c>
    </row>
    <row r="61" spans="1:6" s="23" customFormat="1" ht="21" customHeight="1">
      <c r="A61" s="19">
        <v>56</v>
      </c>
      <c r="B61" s="31" t="s">
        <v>205</v>
      </c>
      <c r="C61" s="28">
        <f t="shared" si="0"/>
        <v>11.886525423728814</v>
      </c>
      <c r="E61" s="29">
        <f>$I$2*$I$3*$I$4*3.11/1.18</f>
        <v>11.886525423728814</v>
      </c>
      <c r="F61" s="16" t="s">
        <v>253</v>
      </c>
    </row>
    <row r="62" spans="1:6" s="23" customFormat="1" ht="21" customHeight="1">
      <c r="A62" s="19">
        <v>57</v>
      </c>
      <c r="B62" s="31" t="s">
        <v>148</v>
      </c>
      <c r="C62" s="28">
        <f t="shared" si="0"/>
        <v>8.2938135593220341</v>
      </c>
      <c r="E62" s="29">
        <f>$I$2*$I$3*$I$4*2.17/1.18</f>
        <v>8.2938135593220341</v>
      </c>
      <c r="F62" s="16" t="s">
        <v>253</v>
      </c>
    </row>
    <row r="63" spans="1:6" s="23" customFormat="1" ht="21" customHeight="1">
      <c r="A63" s="19">
        <v>58</v>
      </c>
      <c r="B63" s="31" t="s">
        <v>206</v>
      </c>
      <c r="C63" s="28">
        <f t="shared" si="0"/>
        <v>5.4655084745762705</v>
      </c>
      <c r="E63" s="29">
        <f>$I$2*$I$3*$I$4*1.43/1.18</f>
        <v>5.4655084745762705</v>
      </c>
      <c r="F63" s="16" t="s">
        <v>253</v>
      </c>
    </row>
    <row r="64" spans="1:6" s="23" customFormat="1" ht="21" customHeight="1">
      <c r="A64" s="19">
        <v>59</v>
      </c>
      <c r="B64" s="31" t="s">
        <v>207</v>
      </c>
      <c r="C64" s="28">
        <f t="shared" si="0"/>
        <v>3.745593220338983</v>
      </c>
      <c r="E64" s="29">
        <f>$I$2*$I$3*$I$4*0.98/1.18</f>
        <v>3.745593220338983</v>
      </c>
      <c r="F64" s="16" t="s">
        <v>253</v>
      </c>
    </row>
    <row r="65" spans="1:6" s="23" customFormat="1" ht="21" customHeight="1">
      <c r="A65" s="19">
        <v>60</v>
      </c>
      <c r="B65" s="31" t="s">
        <v>208</v>
      </c>
      <c r="C65" s="28">
        <f t="shared" si="0"/>
        <v>3.1722881355932202</v>
      </c>
      <c r="E65" s="29">
        <f>$I$2*$I$3*$I$4*0.83/1.18</f>
        <v>3.1722881355932202</v>
      </c>
      <c r="F65" s="16" t="s">
        <v>253</v>
      </c>
    </row>
    <row r="66" spans="1:6" s="23" customFormat="1" ht="21" customHeight="1">
      <c r="A66" s="19">
        <v>61</v>
      </c>
      <c r="B66" s="31" t="s">
        <v>209</v>
      </c>
      <c r="C66" s="28">
        <f t="shared" si="0"/>
        <v>3.1722881355932202</v>
      </c>
      <c r="E66" s="29">
        <f>$I$2*$I$3*$I$4*0.83/1.18</f>
        <v>3.1722881355932202</v>
      </c>
      <c r="F66" s="16" t="s">
        <v>253</v>
      </c>
    </row>
    <row r="67" spans="1:6" s="23" customFormat="1" ht="21" customHeight="1">
      <c r="A67" s="19">
        <v>62</v>
      </c>
      <c r="B67" s="31" t="s">
        <v>178</v>
      </c>
      <c r="C67" s="28">
        <f t="shared" si="0"/>
        <v>20.856000000000002</v>
      </c>
      <c r="E67" s="29">
        <f>$I$2*$I$4*18.96</f>
        <v>20.856000000000002</v>
      </c>
      <c r="F67" s="16" t="s">
        <v>255</v>
      </c>
    </row>
    <row r="68" spans="1:6" s="23" customFormat="1" ht="21" customHeight="1">
      <c r="A68" s="19">
        <v>63</v>
      </c>
      <c r="B68" s="31" t="s">
        <v>210</v>
      </c>
      <c r="C68" s="28">
        <f t="shared" si="0"/>
        <v>18.348000000000003</v>
      </c>
      <c r="E68" s="29">
        <f>$I$2*$I$4*16.68</f>
        <v>18.348000000000003</v>
      </c>
      <c r="F68" s="16" t="s">
        <v>255</v>
      </c>
    </row>
    <row r="69" spans="1:6" s="23" customFormat="1" ht="21" customHeight="1">
      <c r="A69" s="19">
        <v>64</v>
      </c>
      <c r="B69" s="31" t="s">
        <v>211</v>
      </c>
      <c r="C69" s="28">
        <f t="shared" si="0"/>
        <v>94.71</v>
      </c>
      <c r="E69" s="29">
        <f>$I$2*$I$3*$I$4*21</f>
        <v>94.71</v>
      </c>
      <c r="F69" s="16" t="s">
        <v>259</v>
      </c>
    </row>
    <row r="70" spans="1:6" s="23" customFormat="1" ht="21" customHeight="1">
      <c r="A70" s="19">
        <v>65</v>
      </c>
      <c r="B70" s="31" t="s">
        <v>212</v>
      </c>
      <c r="C70" s="28">
        <f t="shared" ref="C70:C138" si="4">E70</f>
        <v>11.154000000000002</v>
      </c>
      <c r="E70" s="29">
        <f>$I$2*$I$4*10.14</f>
        <v>11.154000000000002</v>
      </c>
      <c r="F70" s="16" t="s">
        <v>255</v>
      </c>
    </row>
    <row r="71" spans="1:6" s="23" customFormat="1" ht="21" customHeight="1">
      <c r="A71" s="19">
        <v>66</v>
      </c>
      <c r="B71" s="31" t="s">
        <v>150</v>
      </c>
      <c r="C71" s="28">
        <f t="shared" si="4"/>
        <v>11.286000000000001</v>
      </c>
      <c r="E71" s="29">
        <f>$I$2*$I$4*10.26</f>
        <v>11.286000000000001</v>
      </c>
      <c r="F71" s="16" t="s">
        <v>255</v>
      </c>
    </row>
    <row r="72" spans="1:6" s="23" customFormat="1" ht="21" customHeight="1">
      <c r="A72" s="19">
        <v>67</v>
      </c>
      <c r="B72" s="31" t="s">
        <v>132</v>
      </c>
      <c r="C72" s="28">
        <f t="shared" si="4"/>
        <v>17.810677966101697</v>
      </c>
      <c r="E72" s="29">
        <f>$I$2*$I$3*$I$4*4.66/1.18</f>
        <v>17.810677966101697</v>
      </c>
      <c r="F72" s="16" t="s">
        <v>253</v>
      </c>
    </row>
    <row r="73" spans="1:6" s="23" customFormat="1" ht="21" customHeight="1">
      <c r="A73" s="19">
        <v>68</v>
      </c>
      <c r="B73" s="31" t="s">
        <v>213</v>
      </c>
      <c r="C73" s="28">
        <f t="shared" si="4"/>
        <v>13.300677966101695</v>
      </c>
      <c r="E73" s="29">
        <f>$I$2*$I$3*$I$4*3.48/1.18</f>
        <v>13.300677966101695</v>
      </c>
      <c r="F73" s="16" t="s">
        <v>253</v>
      </c>
    </row>
    <row r="74" spans="1:6" s="23" customFormat="1" ht="21" customHeight="1">
      <c r="A74" s="19">
        <v>69</v>
      </c>
      <c r="B74" s="31" t="s">
        <v>133</v>
      </c>
      <c r="C74" s="28">
        <f t="shared" si="4"/>
        <v>10.81635593220339</v>
      </c>
      <c r="E74" s="29">
        <f>$I$2*$I$3*$I$4*2.83/1.18</f>
        <v>10.81635593220339</v>
      </c>
      <c r="F74" s="16" t="s">
        <v>253</v>
      </c>
    </row>
    <row r="75" spans="1:6" s="23" customFormat="1" ht="21" customHeight="1">
      <c r="A75" s="19">
        <v>70</v>
      </c>
      <c r="B75" s="31" t="s">
        <v>123</v>
      </c>
      <c r="C75" s="28">
        <f t="shared" si="4"/>
        <v>6.0005932203389838</v>
      </c>
      <c r="E75" s="29">
        <f>$I$2*$I$3*$I$4*1.57/1.18</f>
        <v>6.0005932203389838</v>
      </c>
      <c r="F75" s="16" t="s">
        <v>253</v>
      </c>
    </row>
    <row r="76" spans="1:6" s="23" customFormat="1" ht="21" customHeight="1">
      <c r="A76" s="19">
        <v>71</v>
      </c>
      <c r="B76" s="31" t="s">
        <v>129</v>
      </c>
      <c r="C76" s="28">
        <f t="shared" si="4"/>
        <v>3.3633898305084746</v>
      </c>
      <c r="E76" s="29">
        <f>$I$2*$I$3*$I$4*0.88/1.18</f>
        <v>3.3633898305084746</v>
      </c>
      <c r="F76" s="16" t="s">
        <v>253</v>
      </c>
    </row>
    <row r="77" spans="1:6" s="23" customFormat="1" ht="21" customHeight="1">
      <c r="A77" s="19">
        <v>72</v>
      </c>
      <c r="B77" s="31" t="s">
        <v>214</v>
      </c>
      <c r="C77" s="28">
        <f t="shared" si="4"/>
        <v>3.248728813559322</v>
      </c>
      <c r="E77" s="29">
        <f>$I$2*$I$3*$I$4*0.85/1.18</f>
        <v>3.248728813559322</v>
      </c>
      <c r="F77" s="16" t="s">
        <v>253</v>
      </c>
    </row>
    <row r="78" spans="1:6" s="23" customFormat="1" ht="21" customHeight="1">
      <c r="A78" s="19">
        <v>73</v>
      </c>
      <c r="B78" s="31" t="s">
        <v>185</v>
      </c>
      <c r="C78" s="28">
        <f t="shared" si="4"/>
        <v>3.057627118644068</v>
      </c>
      <c r="E78" s="29">
        <f>$I$2*$I$3*$I$4*0.8/1.18</f>
        <v>3.057627118644068</v>
      </c>
      <c r="F78" s="16" t="s">
        <v>253</v>
      </c>
    </row>
    <row r="79" spans="1:6" s="23" customFormat="1" ht="21" customHeight="1">
      <c r="A79" s="19">
        <v>74</v>
      </c>
      <c r="B79" s="31" t="s">
        <v>167</v>
      </c>
      <c r="C79" s="28">
        <f t="shared" si="4"/>
        <v>14.447288135593221</v>
      </c>
      <c r="E79" s="29">
        <f>$I$2*$I$3*$I$4*3.78/1.18</f>
        <v>14.447288135593221</v>
      </c>
      <c r="F79" s="16" t="s">
        <v>253</v>
      </c>
    </row>
    <row r="80" spans="1:6" s="23" customFormat="1" ht="21" customHeight="1">
      <c r="A80" s="19">
        <v>75</v>
      </c>
      <c r="B80" s="31" t="s">
        <v>215</v>
      </c>
      <c r="C80" s="28">
        <f t="shared" si="4"/>
        <v>13.6064406779661</v>
      </c>
      <c r="E80" s="29">
        <f>$I$2*$I$3*$I$4*3.56/1.18</f>
        <v>13.6064406779661</v>
      </c>
      <c r="F80" s="16" t="s">
        <v>253</v>
      </c>
    </row>
    <row r="81" spans="1:6" s="23" customFormat="1" ht="21" customHeight="1">
      <c r="A81" s="19">
        <v>76</v>
      </c>
      <c r="B81" s="31" t="s">
        <v>216</v>
      </c>
      <c r="C81" s="28">
        <f t="shared" si="4"/>
        <v>13.6064406779661</v>
      </c>
      <c r="E81" s="29">
        <f>$I$2*$I$3*$I$4*3.56/1.18</f>
        <v>13.6064406779661</v>
      </c>
      <c r="F81" s="16" t="s">
        <v>253</v>
      </c>
    </row>
    <row r="82" spans="1:6" s="23" customFormat="1" ht="21" customHeight="1">
      <c r="A82" s="19">
        <v>77</v>
      </c>
      <c r="B82" s="31" t="s">
        <v>171</v>
      </c>
      <c r="C82" s="28">
        <f t="shared" si="4"/>
        <v>13.950423728813558</v>
      </c>
      <c r="E82" s="29">
        <f>$I$2*$I$3*$I$4*3.65/1.18</f>
        <v>13.950423728813558</v>
      </c>
      <c r="F82" s="16" t="s">
        <v>253</v>
      </c>
    </row>
    <row r="83" spans="1:6" s="23" customFormat="1" ht="21" customHeight="1">
      <c r="A83" s="19">
        <v>78</v>
      </c>
      <c r="B83" s="31" t="s">
        <v>217</v>
      </c>
      <c r="C83" s="28">
        <f t="shared" si="4"/>
        <v>8.2938135593220341</v>
      </c>
      <c r="E83" s="29">
        <f>$I$2*$I$3*$I$4*2.17/1.18</f>
        <v>8.2938135593220341</v>
      </c>
      <c r="F83" s="16" t="s">
        <v>253</v>
      </c>
    </row>
    <row r="84" spans="1:6" s="23" customFormat="1" ht="21" customHeight="1">
      <c r="A84" s="19">
        <v>79</v>
      </c>
      <c r="B84" s="31" t="s">
        <v>175</v>
      </c>
      <c r="C84" s="28">
        <f t="shared" si="4"/>
        <v>7.8733898305084749</v>
      </c>
      <c r="E84" s="29">
        <f>$I$2*$I$3*$I$4*2.06/1.18</f>
        <v>7.8733898305084749</v>
      </c>
      <c r="F84" s="16" t="s">
        <v>253</v>
      </c>
    </row>
    <row r="85" spans="1:6" s="23" customFormat="1" ht="21" customHeight="1">
      <c r="A85" s="19">
        <v>80</v>
      </c>
      <c r="B85" s="31" t="s">
        <v>218</v>
      </c>
      <c r="C85" s="28">
        <f t="shared" si="4"/>
        <v>8.1409322033898306</v>
      </c>
      <c r="E85" s="29">
        <f>$I$2*$I$3*$I$4*2.13/1.18</f>
        <v>8.1409322033898306</v>
      </c>
      <c r="F85" s="16" t="s">
        <v>253</v>
      </c>
    </row>
    <row r="86" spans="1:6" s="23" customFormat="1" ht="21" customHeight="1">
      <c r="A86" s="19">
        <v>81</v>
      </c>
      <c r="B86" s="31" t="s">
        <v>219</v>
      </c>
      <c r="C86" s="28">
        <f t="shared" si="4"/>
        <v>5.5419491525423723</v>
      </c>
      <c r="E86" s="29">
        <f>$I$2*$I$3*$I$4*1.45/1.18</f>
        <v>5.5419491525423723</v>
      </c>
      <c r="F86" s="16" t="s">
        <v>253</v>
      </c>
    </row>
    <row r="87" spans="1:6" s="23" customFormat="1" ht="21" customHeight="1">
      <c r="A87" s="19">
        <v>82</v>
      </c>
      <c r="B87" s="31" t="s">
        <v>220</v>
      </c>
      <c r="C87" s="28">
        <f t="shared" si="4"/>
        <v>5.5419491525423723</v>
      </c>
      <c r="E87" s="29">
        <f>$I$2*$I$3*$I$4*1.45/1.18</f>
        <v>5.5419491525423723</v>
      </c>
      <c r="F87" s="16" t="s">
        <v>253</v>
      </c>
    </row>
    <row r="88" spans="1:6" s="23" customFormat="1" ht="21" customHeight="1">
      <c r="A88" s="19">
        <v>83</v>
      </c>
      <c r="B88" s="31" t="s">
        <v>221</v>
      </c>
      <c r="C88" s="28">
        <f t="shared" si="4"/>
        <v>5.4655084745762705</v>
      </c>
      <c r="E88" s="29">
        <f>$I$2*$I$3*$I$4*1.43/1.18</f>
        <v>5.4655084745762705</v>
      </c>
      <c r="F88" s="16" t="s">
        <v>253</v>
      </c>
    </row>
    <row r="89" spans="1:6" s="23" customFormat="1" ht="21" customHeight="1">
      <c r="A89" s="19">
        <v>84</v>
      </c>
      <c r="B89" s="31" t="s">
        <v>222</v>
      </c>
      <c r="C89" s="28">
        <f t="shared" si="4"/>
        <v>5.0068644067796617</v>
      </c>
      <c r="E89" s="29">
        <f>$I$2*$I$3*$I$4*1.31/1.18</f>
        <v>5.0068644067796617</v>
      </c>
      <c r="F89" s="16" t="s">
        <v>253</v>
      </c>
    </row>
    <row r="90" spans="1:6" s="23" customFormat="1" ht="21" customHeight="1">
      <c r="A90" s="19"/>
      <c r="B90" s="33" t="s">
        <v>298</v>
      </c>
      <c r="C90" s="30">
        <f t="shared" ref="C90:C91" si="5">E90</f>
        <v>167.79661016949157</v>
      </c>
      <c r="E90" s="29">
        <f>$I$2*$I$4*180/1.18</f>
        <v>167.79661016949157</v>
      </c>
      <c r="F90" s="16"/>
    </row>
    <row r="91" spans="1:6" s="23" customFormat="1" ht="21" customHeight="1">
      <c r="A91" s="19"/>
      <c r="B91" s="33" t="s">
        <v>299</v>
      </c>
      <c r="C91" s="30">
        <f t="shared" si="5"/>
        <v>0</v>
      </c>
      <c r="E91" s="29">
        <f>$I$2*$I$4*0/1.18</f>
        <v>0</v>
      </c>
      <c r="F91" s="16"/>
    </row>
    <row r="92" spans="1:6" s="23" customFormat="1" ht="21" customHeight="1">
      <c r="A92" s="19"/>
      <c r="B92" s="33" t="s">
        <v>300</v>
      </c>
      <c r="C92" s="30">
        <f>E92</f>
        <v>0</v>
      </c>
      <c r="E92" s="29">
        <f t="shared" ref="E92:E93" si="6">$I$2*$I$4*0/1.18</f>
        <v>0</v>
      </c>
      <c r="F92" s="16"/>
    </row>
    <row r="93" spans="1:6" s="23" customFormat="1" ht="21" customHeight="1">
      <c r="A93" s="19"/>
      <c r="B93" s="33" t="s">
        <v>301</v>
      </c>
      <c r="C93" s="30">
        <f>E93</f>
        <v>0</v>
      </c>
      <c r="E93" s="29">
        <f t="shared" si="6"/>
        <v>0</v>
      </c>
      <c r="F93" s="16"/>
    </row>
    <row r="94" spans="1:6" s="23" customFormat="1" ht="21" customHeight="1">
      <c r="A94" s="19">
        <v>85</v>
      </c>
      <c r="B94" s="31" t="s">
        <v>181</v>
      </c>
      <c r="C94" s="28">
        <f t="shared" si="4"/>
        <v>46.514152542372884</v>
      </c>
      <c r="E94" s="29">
        <f>$I$2*$I$3*$I$4*12.17/1.18</f>
        <v>46.514152542372884</v>
      </c>
      <c r="F94" s="16" t="s">
        <v>254</v>
      </c>
    </row>
    <row r="95" spans="1:6" s="23" customFormat="1" ht="21" customHeight="1">
      <c r="A95" s="19">
        <v>86</v>
      </c>
      <c r="B95" s="31" t="s">
        <v>176</v>
      </c>
      <c r="C95" s="28">
        <f t="shared" si="4"/>
        <v>23.237966101694916</v>
      </c>
      <c r="E95" s="29">
        <f>$I$2*$I$3*$I$4*6.08/1.18</f>
        <v>23.237966101694916</v>
      </c>
      <c r="F95" s="16" t="s">
        <v>253</v>
      </c>
    </row>
    <row r="96" spans="1:6" s="23" customFormat="1" ht="21" customHeight="1">
      <c r="A96" s="19">
        <v>87</v>
      </c>
      <c r="B96" s="31" t="s">
        <v>187</v>
      </c>
      <c r="C96" s="28">
        <f t="shared" si="4"/>
        <v>11.23677966101695</v>
      </c>
      <c r="E96" s="29">
        <f>$I$2*$I$3*$I$4*2.94/1.18</f>
        <v>11.23677966101695</v>
      </c>
      <c r="F96" s="16" t="s">
        <v>253</v>
      </c>
    </row>
    <row r="97" spans="1:6" s="23" customFormat="1" ht="21" customHeight="1">
      <c r="A97" s="19">
        <v>88</v>
      </c>
      <c r="B97" s="31" t="s">
        <v>186</v>
      </c>
      <c r="C97" s="28">
        <f t="shared" si="4"/>
        <v>8.9817796610169491</v>
      </c>
      <c r="E97" s="29">
        <f>$I$2*$I$3*$I$4*2.35/1.18</f>
        <v>8.9817796610169491</v>
      </c>
      <c r="F97" s="16" t="s">
        <v>253</v>
      </c>
    </row>
    <row r="98" spans="1:6" s="23" customFormat="1" ht="21" customHeight="1">
      <c r="A98" s="19">
        <v>89</v>
      </c>
      <c r="B98" s="31" t="s">
        <v>49</v>
      </c>
      <c r="C98" s="28">
        <f t="shared" si="4"/>
        <v>7.0325423728813554</v>
      </c>
      <c r="E98" s="29">
        <f>$I$2*$I$3*$I$4*1.84/1.18</f>
        <v>7.0325423728813554</v>
      </c>
      <c r="F98" s="16" t="s">
        <v>253</v>
      </c>
    </row>
    <row r="99" spans="1:6" s="23" customFormat="1" ht="21" customHeight="1">
      <c r="A99" s="19">
        <v>90</v>
      </c>
      <c r="B99" s="31" t="s">
        <v>48</v>
      </c>
      <c r="C99" s="28">
        <f t="shared" si="4"/>
        <v>4.6628813559322033</v>
      </c>
      <c r="E99" s="29">
        <f>$I$2*$I$3*$I$4*1.22/1.18</f>
        <v>4.6628813559322033</v>
      </c>
      <c r="F99" s="16" t="s">
        <v>253</v>
      </c>
    </row>
    <row r="100" spans="1:6" s="23" customFormat="1" ht="21" customHeight="1">
      <c r="A100" s="19">
        <v>91</v>
      </c>
      <c r="B100" s="31" t="s">
        <v>47</v>
      </c>
      <c r="C100" s="28">
        <f t="shared" si="4"/>
        <v>4.2042372881355936</v>
      </c>
      <c r="E100" s="29">
        <f>$I$2*$I$3*$I$4*1.1/1.18</f>
        <v>4.2042372881355936</v>
      </c>
      <c r="F100" s="16" t="s">
        <v>253</v>
      </c>
    </row>
    <row r="101" spans="1:6" s="23" customFormat="1" ht="21" customHeight="1">
      <c r="A101" s="19">
        <v>92</v>
      </c>
      <c r="B101" s="31" t="s">
        <v>170</v>
      </c>
      <c r="C101" s="28">
        <f t="shared" si="4"/>
        <v>5.4272881355932201</v>
      </c>
      <c r="E101" s="29">
        <f>$I$2*$I$3*$I$4*1.42/1.18</f>
        <v>5.4272881355932201</v>
      </c>
      <c r="F101" s="16" t="s">
        <v>253</v>
      </c>
    </row>
    <row r="102" spans="1:6" s="23" customFormat="1" ht="21" customHeight="1">
      <c r="A102" s="19">
        <v>93</v>
      </c>
      <c r="B102" s="31" t="s">
        <v>169</v>
      </c>
      <c r="C102" s="28">
        <f t="shared" si="4"/>
        <v>3.5927118644067799</v>
      </c>
      <c r="E102" s="29">
        <f>$I$2*$I$3*$I$4*0.94/1.18</f>
        <v>3.5927118644067799</v>
      </c>
      <c r="F102" s="16" t="s">
        <v>253</v>
      </c>
    </row>
    <row r="103" spans="1:6" s="23" customFormat="1" ht="21" customHeight="1">
      <c r="A103" s="19">
        <v>94</v>
      </c>
      <c r="B103" s="31" t="s">
        <v>168</v>
      </c>
      <c r="C103" s="28">
        <f t="shared" si="4"/>
        <v>3.5889830508474581</v>
      </c>
      <c r="E103" s="29">
        <f>$I$2*$I$4*3.85/1.18</f>
        <v>3.5889830508474581</v>
      </c>
      <c r="F103" s="16" t="s">
        <v>253</v>
      </c>
    </row>
    <row r="104" spans="1:6" s="23" customFormat="1" ht="21" customHeight="1">
      <c r="A104" s="19">
        <v>95</v>
      </c>
      <c r="B104" s="31" t="s">
        <v>174</v>
      </c>
      <c r="C104" s="28">
        <f t="shared" si="4"/>
        <v>29.429661016949151</v>
      </c>
      <c r="E104" s="29">
        <f>$I$2*$I$3*$I$4*7.7/1.18</f>
        <v>29.429661016949151</v>
      </c>
      <c r="F104" s="16" t="s">
        <v>253</v>
      </c>
    </row>
    <row r="105" spans="1:6" s="23" customFormat="1" ht="21" customHeight="1">
      <c r="A105" s="19">
        <v>96</v>
      </c>
      <c r="B105" s="31" t="s">
        <v>184</v>
      </c>
      <c r="C105" s="28">
        <f t="shared" si="4"/>
        <v>14.714830508474575</v>
      </c>
      <c r="E105" s="29">
        <f>$I$2*$I$3*$I$4*3.85/1.18</f>
        <v>14.714830508474575</v>
      </c>
      <c r="F105" s="16" t="s">
        <v>253</v>
      </c>
    </row>
    <row r="106" spans="1:6" s="23" customFormat="1" ht="21" customHeight="1">
      <c r="A106" s="19">
        <v>97</v>
      </c>
      <c r="B106" s="31" t="s">
        <v>183</v>
      </c>
      <c r="C106" s="28">
        <f t="shared" si="4"/>
        <v>6.6885593220338988</v>
      </c>
      <c r="E106" s="29">
        <f>$I$2*$I$3*$I$4*1.75/1.18</f>
        <v>6.6885593220338988</v>
      </c>
      <c r="F106" s="16" t="s">
        <v>253</v>
      </c>
    </row>
    <row r="107" spans="1:6" s="23" customFormat="1" ht="21" customHeight="1">
      <c r="A107" s="19">
        <v>98</v>
      </c>
      <c r="B107" s="31" t="s">
        <v>173</v>
      </c>
      <c r="C107" s="28">
        <f t="shared" si="4"/>
        <v>5.3890677966101697</v>
      </c>
      <c r="E107" s="29">
        <f>$I$2*$I$3*$I$4*1.41/1.18</f>
        <v>5.3890677966101697</v>
      </c>
      <c r="F107" s="16" t="s">
        <v>253</v>
      </c>
    </row>
    <row r="108" spans="1:6" s="23" customFormat="1" ht="21" customHeight="1">
      <c r="A108" s="19">
        <v>99</v>
      </c>
      <c r="B108" s="31" t="s">
        <v>25</v>
      </c>
      <c r="C108" s="28">
        <f t="shared" si="4"/>
        <v>4.2042372881355936</v>
      </c>
      <c r="E108" s="29">
        <f>$I$2*$I$3*$I$4*1.1/1.18</f>
        <v>4.2042372881355936</v>
      </c>
      <c r="F108" s="16" t="s">
        <v>253</v>
      </c>
    </row>
    <row r="109" spans="1:6" s="23" customFormat="1" ht="21" customHeight="1">
      <c r="A109" s="19">
        <v>100</v>
      </c>
      <c r="B109" s="31" t="s">
        <v>46</v>
      </c>
      <c r="C109" s="28">
        <f t="shared" si="4"/>
        <v>2.7900847457627118</v>
      </c>
      <c r="E109" s="29">
        <f>$I$2*$I$3*$I$4*0.73/1.18</f>
        <v>2.7900847457627118</v>
      </c>
      <c r="F109" s="16" t="s">
        <v>253</v>
      </c>
    </row>
    <row r="110" spans="1:6" s="23" customFormat="1" ht="21" customHeight="1">
      <c r="A110" s="19">
        <v>101</v>
      </c>
      <c r="B110" s="31" t="s">
        <v>117</v>
      </c>
      <c r="C110" s="28">
        <f t="shared" si="4"/>
        <v>2.5225423728813561</v>
      </c>
      <c r="E110" s="29">
        <f>$I$2*$I$3*$I$4*0.66/1.18</f>
        <v>2.5225423728813561</v>
      </c>
      <c r="F110" s="16" t="s">
        <v>253</v>
      </c>
    </row>
    <row r="111" spans="1:6" s="23" customFormat="1" ht="21" customHeight="1">
      <c r="A111" s="19">
        <v>102</v>
      </c>
      <c r="B111" s="31" t="s">
        <v>182</v>
      </c>
      <c r="C111" s="28">
        <f t="shared" si="4"/>
        <v>4.8539830508474573</v>
      </c>
      <c r="E111" s="29">
        <f>$I$2*$I$3*$I$4*1.27/1.18</f>
        <v>4.8539830508474573</v>
      </c>
      <c r="F111" s="16" t="s">
        <v>253</v>
      </c>
    </row>
    <row r="112" spans="1:6" s="23" customFormat="1" ht="21" customHeight="1">
      <c r="A112" s="19">
        <v>103</v>
      </c>
      <c r="B112" s="31" t="s">
        <v>135</v>
      </c>
      <c r="C112" s="28">
        <f t="shared" si="4"/>
        <v>3.057627118644068</v>
      </c>
      <c r="E112" s="29">
        <f>$I$2*$I$3*$I$4*0.8/1.18</f>
        <v>3.057627118644068</v>
      </c>
      <c r="F112" s="16" t="s">
        <v>253</v>
      </c>
    </row>
    <row r="113" spans="1:6" s="23" customFormat="1" ht="21" customHeight="1">
      <c r="A113" s="19">
        <v>104</v>
      </c>
      <c r="B113" s="31" t="s">
        <v>134</v>
      </c>
      <c r="C113" s="28">
        <f t="shared" si="4"/>
        <v>2.1403389830508477</v>
      </c>
      <c r="E113" s="29">
        <f>$I$2*$I$3*$I$4*0.56/1.18</f>
        <v>2.1403389830508477</v>
      </c>
      <c r="F113" s="16" t="s">
        <v>253</v>
      </c>
    </row>
    <row r="114" spans="1:6" s="23" customFormat="1" ht="21" customHeight="1">
      <c r="A114" s="19">
        <v>105</v>
      </c>
      <c r="B114" s="31" t="s">
        <v>180</v>
      </c>
      <c r="C114" s="28">
        <f t="shared" si="4"/>
        <v>17.466694915254241</v>
      </c>
      <c r="E114" s="29">
        <f>$I$2*$I$3*$I$4*4.57/1.18</f>
        <v>17.466694915254241</v>
      </c>
      <c r="F114" s="16" t="s">
        <v>253</v>
      </c>
    </row>
    <row r="115" spans="1:6" s="23" customFormat="1" ht="21" customHeight="1">
      <c r="A115" s="19">
        <v>106</v>
      </c>
      <c r="B115" s="31" t="s">
        <v>177</v>
      </c>
      <c r="C115" s="28">
        <f t="shared" si="4"/>
        <v>8.7142372881355925</v>
      </c>
      <c r="E115" s="29">
        <f>$I$2*$I$3*$I$4*2.28/1.18</f>
        <v>8.7142372881355925</v>
      </c>
      <c r="F115" s="16" t="s">
        <v>253</v>
      </c>
    </row>
    <row r="116" spans="1:6" s="23" customFormat="1" ht="21" customHeight="1">
      <c r="A116" s="19">
        <v>107</v>
      </c>
      <c r="B116" s="31" t="s">
        <v>138</v>
      </c>
      <c r="C116" s="28">
        <f t="shared" si="4"/>
        <v>2.216779661016949</v>
      </c>
      <c r="E116" s="29">
        <f>$I$2*$I$3*$I$4*0.58/1.18</f>
        <v>2.216779661016949</v>
      </c>
      <c r="F116" s="16" t="s">
        <v>253</v>
      </c>
    </row>
    <row r="117" spans="1:6" s="23" customFormat="1" ht="21" customHeight="1">
      <c r="A117" s="19">
        <v>108</v>
      </c>
      <c r="B117" s="31" t="s">
        <v>137</v>
      </c>
      <c r="C117" s="28">
        <f t="shared" si="4"/>
        <v>1.4523728813559322</v>
      </c>
      <c r="E117" s="29">
        <f>$I$2*$I$3*$I$4*0.38/1.18</f>
        <v>1.4523728813559322</v>
      </c>
      <c r="F117" s="16" t="s">
        <v>253</v>
      </c>
    </row>
    <row r="118" spans="1:6" s="23" customFormat="1" ht="21" customHeight="1">
      <c r="A118" s="19">
        <v>109</v>
      </c>
      <c r="B118" s="31" t="s">
        <v>188</v>
      </c>
      <c r="C118" s="28">
        <f t="shared" si="4"/>
        <v>0.99372881355932219</v>
      </c>
      <c r="E118" s="29">
        <f>$I$2*$I$3*$I$4*0.26/1.18</f>
        <v>0.99372881355932219</v>
      </c>
      <c r="F118" s="16" t="s">
        <v>253</v>
      </c>
    </row>
    <row r="119" spans="1:6" s="23" customFormat="1" ht="21" customHeight="1">
      <c r="A119" s="19">
        <v>110</v>
      </c>
      <c r="B119" s="31" t="s">
        <v>172</v>
      </c>
      <c r="C119" s="28">
        <f t="shared" si="4"/>
        <v>0.68796610169491523</v>
      </c>
      <c r="E119" s="29">
        <f>$I$2*$I$3*$I$4*0.18/1.18</f>
        <v>0.68796610169491523</v>
      </c>
      <c r="F119" s="16" t="s">
        <v>253</v>
      </c>
    </row>
    <row r="120" spans="1:6" s="23" customFormat="1" ht="21" customHeight="1">
      <c r="A120" s="19"/>
      <c r="B120" s="31" t="s">
        <v>286</v>
      </c>
      <c r="C120" s="28">
        <f t="shared" ref="C120" si="7">E120</f>
        <v>4.6628813559322033</v>
      </c>
      <c r="E120" s="29">
        <f>$I$2*$I$3*$I$4*1.22/1.18</f>
        <v>4.6628813559322033</v>
      </c>
      <c r="F120" s="16"/>
    </row>
    <row r="121" spans="1:6" s="23" customFormat="1" ht="21" customHeight="1">
      <c r="A121" s="19">
        <v>111</v>
      </c>
      <c r="B121" s="31" t="s">
        <v>166</v>
      </c>
      <c r="C121" s="28">
        <f t="shared" si="4"/>
        <v>4.6628813559322033</v>
      </c>
      <c r="E121" s="29">
        <f>$I$2*$I$3*$I$4*1.22/1.18</f>
        <v>4.6628813559322033</v>
      </c>
      <c r="F121" s="16" t="s">
        <v>253</v>
      </c>
    </row>
    <row r="122" spans="1:6" s="23" customFormat="1" ht="21" customHeight="1">
      <c r="A122" s="19">
        <v>112</v>
      </c>
      <c r="B122" s="31" t="s">
        <v>164</v>
      </c>
      <c r="C122" s="28">
        <f t="shared" si="4"/>
        <v>3.0958474576271189</v>
      </c>
      <c r="E122" s="29">
        <f>$I$2*$I$3*$I$4*0.81/1.18</f>
        <v>3.0958474576271189</v>
      </c>
      <c r="F122" s="16" t="s">
        <v>253</v>
      </c>
    </row>
    <row r="123" spans="1:6" s="23" customFormat="1" ht="21" customHeight="1">
      <c r="A123" s="19">
        <v>113</v>
      </c>
      <c r="B123" s="31" t="s">
        <v>165</v>
      </c>
      <c r="C123" s="28">
        <f t="shared" si="4"/>
        <v>1.9110169491525424</v>
      </c>
      <c r="E123" s="29">
        <f>$I$2*$I$3*$I$4*0.5/1.18</f>
        <v>1.9110169491525424</v>
      </c>
      <c r="F123" s="16" t="s">
        <v>253</v>
      </c>
    </row>
    <row r="124" spans="1:6" s="23" customFormat="1" ht="21" customHeight="1">
      <c r="A124" s="19">
        <v>114</v>
      </c>
      <c r="B124" s="31" t="s">
        <v>162</v>
      </c>
      <c r="C124" s="28">
        <f t="shared" si="4"/>
        <v>25.141525423728815</v>
      </c>
      <c r="E124" s="29">
        <f>$I$2*$I$4*26.97/1.18</f>
        <v>25.141525423728815</v>
      </c>
      <c r="F124" s="16" t="s">
        <v>256</v>
      </c>
    </row>
    <row r="125" spans="1:6" s="23" customFormat="1" ht="21" customHeight="1">
      <c r="A125" s="19">
        <v>115</v>
      </c>
      <c r="B125" s="31" t="s">
        <v>159</v>
      </c>
      <c r="C125" s="28">
        <f t="shared" si="4"/>
        <v>1.0533898305084746</v>
      </c>
      <c r="E125" s="29">
        <f>$I$2*$I$4*1.13/1.18</f>
        <v>1.0533898305084746</v>
      </c>
      <c r="F125" s="16" t="s">
        <v>256</v>
      </c>
    </row>
    <row r="126" spans="1:6" s="23" customFormat="1" ht="21" customHeight="1">
      <c r="A126" s="19">
        <v>116</v>
      </c>
      <c r="B126" s="31" t="s">
        <v>160</v>
      </c>
      <c r="C126" s="28">
        <f t="shared" si="4"/>
        <v>3.0483050847457633</v>
      </c>
      <c r="E126" s="29">
        <f>$I$2*$I$4*3.27/1.18</f>
        <v>3.0483050847457633</v>
      </c>
      <c r="F126" s="16" t="s">
        <v>256</v>
      </c>
    </row>
    <row r="127" spans="1:6" s="23" customFormat="1" ht="21" customHeight="1">
      <c r="A127" s="19">
        <v>117</v>
      </c>
      <c r="B127" s="31" t="s">
        <v>161</v>
      </c>
      <c r="C127" s="28">
        <f t="shared" si="4"/>
        <v>3.4491525423728819</v>
      </c>
      <c r="E127" s="29">
        <f>$I$2*$I$4*3.7/1.18</f>
        <v>3.4491525423728819</v>
      </c>
      <c r="F127" s="16" t="s">
        <v>256</v>
      </c>
    </row>
    <row r="128" spans="1:6" s="23" customFormat="1" ht="21" customHeight="1">
      <c r="A128" s="19">
        <v>118</v>
      </c>
      <c r="B128" s="31" t="s">
        <v>140</v>
      </c>
      <c r="C128" s="28">
        <f t="shared" si="4"/>
        <v>10.804237288135594</v>
      </c>
      <c r="E128" s="29">
        <f>$I$2*$I$4*11.59/1.18</f>
        <v>10.804237288135594</v>
      </c>
      <c r="F128" s="16" t="s">
        <v>256</v>
      </c>
    </row>
    <row r="129" spans="1:6" s="23" customFormat="1" ht="21" customHeight="1">
      <c r="A129" s="19">
        <v>119</v>
      </c>
      <c r="B129" s="31" t="s">
        <v>223</v>
      </c>
      <c r="C129" s="28">
        <f t="shared" si="4"/>
        <v>1.4169491525423732</v>
      </c>
      <c r="E129" s="29">
        <f>$I$2*$I$4*1.52/1.18</f>
        <v>1.4169491525423732</v>
      </c>
      <c r="F129" s="16" t="s">
        <v>256</v>
      </c>
    </row>
    <row r="130" spans="1:6" s="23" customFormat="1" ht="21" customHeight="1">
      <c r="A130" s="19">
        <v>120</v>
      </c>
      <c r="B130" s="31" t="s">
        <v>141</v>
      </c>
      <c r="C130" s="28">
        <f t="shared" si="4"/>
        <v>0.64322033898305087</v>
      </c>
      <c r="E130" s="29">
        <f>$I$2*$I$4*0.69/1.18</f>
        <v>0.64322033898305087</v>
      </c>
      <c r="F130" s="16" t="s">
        <v>256</v>
      </c>
    </row>
    <row r="131" spans="1:6" s="23" customFormat="1" ht="21" customHeight="1">
      <c r="A131" s="19">
        <v>121</v>
      </c>
      <c r="B131" s="31" t="s">
        <v>142</v>
      </c>
      <c r="C131" s="28">
        <f t="shared" si="4"/>
        <v>0.55932203389830515</v>
      </c>
      <c r="E131" s="29">
        <f>$I$2*$I$4*0.6/1.18</f>
        <v>0.55932203389830515</v>
      </c>
      <c r="F131" s="16" t="s">
        <v>256</v>
      </c>
    </row>
    <row r="132" spans="1:6" s="23" customFormat="1" ht="21" customHeight="1">
      <c r="A132" s="19">
        <v>122</v>
      </c>
      <c r="B132" s="31" t="s">
        <v>109</v>
      </c>
      <c r="C132" s="28">
        <f t="shared" si="4"/>
        <v>4.5677966101694922</v>
      </c>
      <c r="E132" s="29">
        <f>$I$2*$I$4*4.9/1.18</f>
        <v>4.5677966101694922</v>
      </c>
      <c r="F132" s="16" t="s">
        <v>256</v>
      </c>
    </row>
    <row r="133" spans="1:6" s="23" customFormat="1" ht="21" customHeight="1">
      <c r="A133" s="19">
        <v>123</v>
      </c>
      <c r="B133" s="31" t="s">
        <v>224</v>
      </c>
      <c r="C133" s="28">
        <f t="shared" si="4"/>
        <v>0.57796610169491536</v>
      </c>
      <c r="E133" s="29">
        <f>$I$2*$I$4*0.62/1.18</f>
        <v>0.57796610169491536</v>
      </c>
      <c r="F133" s="16" t="s">
        <v>256</v>
      </c>
    </row>
    <row r="134" spans="1:6" s="23" customFormat="1" ht="21" customHeight="1">
      <c r="A134" s="19">
        <v>124</v>
      </c>
      <c r="B134" s="31" t="s">
        <v>110</v>
      </c>
      <c r="C134" s="28">
        <f t="shared" si="4"/>
        <v>0.27033898305084747</v>
      </c>
      <c r="E134" s="29">
        <f>$I$2*$I$4*0.29/1.18</f>
        <v>0.27033898305084747</v>
      </c>
      <c r="F134" s="16" t="s">
        <v>256</v>
      </c>
    </row>
    <row r="135" spans="1:6" s="23" customFormat="1" ht="21" customHeight="1">
      <c r="A135" s="19">
        <v>125</v>
      </c>
      <c r="B135" s="31" t="s">
        <v>111</v>
      </c>
      <c r="C135" s="28">
        <f t="shared" si="4"/>
        <v>0.15847457627118647</v>
      </c>
      <c r="E135" s="29">
        <f>$I$2*$I$4*0.17/1.18</f>
        <v>0.15847457627118647</v>
      </c>
      <c r="F135" s="16" t="s">
        <v>256</v>
      </c>
    </row>
    <row r="136" spans="1:6" s="23" customFormat="1" ht="21" customHeight="1">
      <c r="A136" s="19">
        <v>126</v>
      </c>
      <c r="B136" s="31" t="s">
        <v>225</v>
      </c>
      <c r="C136" s="28">
        <f t="shared" si="4"/>
        <v>23.379661016949154</v>
      </c>
      <c r="E136" s="29">
        <f>$I$2*$I$4*25.08/1.18</f>
        <v>23.379661016949154</v>
      </c>
      <c r="F136" s="16" t="s">
        <v>256</v>
      </c>
    </row>
    <row r="137" spans="1:6" s="23" customFormat="1" ht="21" customHeight="1">
      <c r="A137" s="19">
        <v>127</v>
      </c>
      <c r="B137" s="31" t="s">
        <v>226</v>
      </c>
      <c r="C137" s="28">
        <f t="shared" si="4"/>
        <v>6.9169491525423741</v>
      </c>
      <c r="E137" s="29">
        <f>$I$2*$I$4*7.42/1.18</f>
        <v>6.9169491525423741</v>
      </c>
      <c r="F137" s="16" t="s">
        <v>256</v>
      </c>
    </row>
    <row r="138" spans="1:6" s="23" customFormat="1" ht="21" customHeight="1">
      <c r="A138" s="19">
        <v>128</v>
      </c>
      <c r="B138" s="31" t="s">
        <v>156</v>
      </c>
      <c r="C138" s="28">
        <f t="shared" si="4"/>
        <v>1.1559322033898307</v>
      </c>
      <c r="E138" s="29">
        <f>$I$2*$I$4*1.24/1.18</f>
        <v>1.1559322033898307</v>
      </c>
      <c r="F138" s="16" t="s">
        <v>256</v>
      </c>
    </row>
    <row r="139" spans="1:6" s="23" customFormat="1" ht="21" customHeight="1">
      <c r="A139" s="19">
        <v>129</v>
      </c>
      <c r="B139" s="31" t="s">
        <v>155</v>
      </c>
      <c r="C139" s="28">
        <f t="shared" ref="C139:C190" si="8">E139</f>
        <v>0.41949152542372886</v>
      </c>
      <c r="E139" s="29">
        <f>$I$2*$I$4*0.45/1.18</f>
        <v>0.41949152542372886</v>
      </c>
      <c r="F139" s="16" t="s">
        <v>256</v>
      </c>
    </row>
    <row r="140" spans="1:6" s="23" customFormat="1" ht="21" customHeight="1">
      <c r="A140" s="19">
        <v>130</v>
      </c>
      <c r="B140" s="31" t="s">
        <v>157</v>
      </c>
      <c r="C140" s="28">
        <f t="shared" si="8"/>
        <v>0.37288135593220345</v>
      </c>
      <c r="E140" s="29">
        <f>$I$2*$I$4*0.4/1.18</f>
        <v>0.37288135593220345</v>
      </c>
      <c r="F140" s="16" t="s">
        <v>256</v>
      </c>
    </row>
    <row r="141" spans="1:6" s="23" customFormat="1" ht="21" customHeight="1">
      <c r="A141" s="19"/>
      <c r="B141" s="31" t="s">
        <v>285</v>
      </c>
      <c r="C141" s="28">
        <f t="shared" ref="C141" si="9">E141</f>
        <v>1.9669491525423732</v>
      </c>
      <c r="E141" s="29">
        <f>$I$2*$I$4*2.11/1.18</f>
        <v>1.9669491525423732</v>
      </c>
      <c r="F141" s="16"/>
    </row>
    <row r="142" spans="1:6" s="23" customFormat="1" ht="21" customHeight="1">
      <c r="A142" s="19">
        <v>131</v>
      </c>
      <c r="B142" s="31" t="s">
        <v>143</v>
      </c>
      <c r="C142" s="28">
        <f t="shared" si="8"/>
        <v>1.9669491525423732</v>
      </c>
      <c r="E142" s="29">
        <f>$I$2*$I$4*2.11/1.18</f>
        <v>1.9669491525423732</v>
      </c>
      <c r="F142" s="16" t="s">
        <v>256</v>
      </c>
    </row>
    <row r="143" spans="1:6" s="23" customFormat="1" ht="21" customHeight="1">
      <c r="A143" s="19">
        <v>132</v>
      </c>
      <c r="B143" s="31" t="s">
        <v>227</v>
      </c>
      <c r="C143" s="28">
        <f t="shared" si="8"/>
        <v>0.3822033898305085</v>
      </c>
      <c r="E143" s="29">
        <f>$I$2*$I$4*0.41/1.18</f>
        <v>0.3822033898305085</v>
      </c>
      <c r="F143" s="16" t="s">
        <v>256</v>
      </c>
    </row>
    <row r="144" spans="1:6" s="23" customFormat="1" ht="21" customHeight="1">
      <c r="A144" s="19">
        <v>133</v>
      </c>
      <c r="B144" s="31" t="s">
        <v>144</v>
      </c>
      <c r="C144" s="28">
        <f t="shared" si="8"/>
        <v>0.23305084745762714</v>
      </c>
      <c r="E144" s="29">
        <f>$I$2*$I$4*0.25/1.18</f>
        <v>0.23305084745762714</v>
      </c>
      <c r="F144" s="16" t="s">
        <v>256</v>
      </c>
    </row>
    <row r="145" spans="1:10" s="23" customFormat="1" ht="21" customHeight="1">
      <c r="A145" s="19">
        <v>134</v>
      </c>
      <c r="B145" s="31" t="s">
        <v>145</v>
      </c>
      <c r="C145" s="28">
        <f t="shared" si="8"/>
        <v>0.14915254237288139</v>
      </c>
      <c r="E145" s="29">
        <f>$I$2*$I$4*0.16/1.18</f>
        <v>0.14915254237288139</v>
      </c>
      <c r="F145" s="16" t="s">
        <v>256</v>
      </c>
    </row>
    <row r="146" spans="1:10" s="23" customFormat="1" ht="21" customHeight="1">
      <c r="A146" s="19">
        <v>135</v>
      </c>
      <c r="B146" s="31" t="s">
        <v>119</v>
      </c>
      <c r="C146" s="28">
        <f t="shared" si="8"/>
        <v>0.29830508474576278</v>
      </c>
      <c r="E146" s="29">
        <f>$I$2*$I$4*0.32/1.18</f>
        <v>0.29830508474576278</v>
      </c>
      <c r="F146" s="16" t="s">
        <v>256</v>
      </c>
    </row>
    <row r="147" spans="1:10" s="23" customFormat="1" ht="21" customHeight="1">
      <c r="A147" s="19">
        <v>136</v>
      </c>
      <c r="B147" s="31" t="s">
        <v>120</v>
      </c>
      <c r="C147" s="28">
        <f t="shared" si="8"/>
        <v>0.24237288135593224</v>
      </c>
      <c r="E147" s="29">
        <f>$I$2*$I$4*0.26/1.18</f>
        <v>0.24237288135593224</v>
      </c>
      <c r="F147" s="16" t="s">
        <v>256</v>
      </c>
    </row>
    <row r="148" spans="1:10" s="23" customFormat="1" ht="21" customHeight="1">
      <c r="A148" s="19">
        <v>137</v>
      </c>
      <c r="B148" s="31" t="s">
        <v>121</v>
      </c>
      <c r="C148" s="28">
        <f t="shared" si="8"/>
        <v>0.13983050847457629</v>
      </c>
      <c r="E148" s="29">
        <f>$I$2*$I$4*0.15/1.18</f>
        <v>0.13983050847457629</v>
      </c>
      <c r="F148" s="16" t="s">
        <v>256</v>
      </c>
    </row>
    <row r="149" spans="1:10" s="23" customFormat="1" ht="21" customHeight="1">
      <c r="A149" s="19">
        <v>138</v>
      </c>
      <c r="B149" s="31" t="s">
        <v>122</v>
      </c>
      <c r="C149" s="28">
        <f t="shared" si="8"/>
        <v>2.9084745762711868</v>
      </c>
      <c r="E149" s="29">
        <f>$I$2*$I$4*3.12/1.18</f>
        <v>2.9084745762711868</v>
      </c>
      <c r="F149" s="16" t="s">
        <v>256</v>
      </c>
    </row>
    <row r="150" spans="1:10" s="23" customFormat="1" ht="21" customHeight="1">
      <c r="A150" s="19">
        <v>139</v>
      </c>
      <c r="B150" s="31" t="s">
        <v>118</v>
      </c>
      <c r="C150" s="28">
        <f t="shared" si="8"/>
        <v>16.779661016949156</v>
      </c>
      <c r="E150" s="29">
        <f>$I$2*$I$4*18/1.18</f>
        <v>16.779661016949156</v>
      </c>
      <c r="F150" s="16" t="s">
        <v>256</v>
      </c>
    </row>
    <row r="151" spans="1:10" s="23" customFormat="1" ht="21" customHeight="1">
      <c r="A151" s="19">
        <v>140</v>
      </c>
      <c r="B151" s="31" t="s">
        <v>158</v>
      </c>
      <c r="C151" s="28">
        <f t="shared" si="8"/>
        <v>18.942</v>
      </c>
      <c r="E151" s="29">
        <f>$I$2*$I$3*$I$4*4.2</f>
        <v>18.942</v>
      </c>
      <c r="F151" s="16" t="s">
        <v>257</v>
      </c>
    </row>
    <row r="152" spans="1:10" s="23" customFormat="1" ht="21" customHeight="1">
      <c r="A152" s="19">
        <v>141</v>
      </c>
      <c r="B152" s="31" t="s">
        <v>66</v>
      </c>
      <c r="C152" s="28">
        <f t="shared" si="8"/>
        <v>17.588999999999999</v>
      </c>
      <c r="E152" s="29">
        <f>$I$2*$I$3*$I$4*3.9</f>
        <v>17.588999999999999</v>
      </c>
      <c r="F152" s="16" t="s">
        <v>257</v>
      </c>
    </row>
    <row r="153" spans="1:10" s="23" customFormat="1" ht="21" customHeight="1">
      <c r="A153" s="19">
        <v>142</v>
      </c>
      <c r="B153" s="31" t="s">
        <v>228</v>
      </c>
      <c r="C153" s="28">
        <f t="shared" si="8"/>
        <v>17.137999999999998</v>
      </c>
      <c r="E153" s="29">
        <f>$I$2*$I$3*$I$4*3.8</f>
        <v>17.137999999999998</v>
      </c>
      <c r="F153" s="16" t="s">
        <v>257</v>
      </c>
    </row>
    <row r="154" spans="1:10" s="23" customFormat="1" ht="21" customHeight="1">
      <c r="A154" s="19">
        <v>143</v>
      </c>
      <c r="B154" s="31" t="s">
        <v>147</v>
      </c>
      <c r="C154" s="28">
        <f t="shared" si="8"/>
        <v>12.177</v>
      </c>
      <c r="E154" s="29">
        <f>$I$2*$I$3*$I$4*2.7</f>
        <v>12.177</v>
      </c>
      <c r="F154" s="16" t="s">
        <v>257</v>
      </c>
    </row>
    <row r="155" spans="1:10" s="23" customFormat="1" ht="21" customHeight="1">
      <c r="A155" s="19">
        <v>144</v>
      </c>
      <c r="B155" s="31" t="s">
        <v>151</v>
      </c>
      <c r="C155" s="28">
        <f t="shared" si="8"/>
        <v>9.9220000000000006</v>
      </c>
      <c r="E155" s="29">
        <f>$I$2*$I$3*$I$4*2.2</f>
        <v>9.9220000000000006</v>
      </c>
      <c r="F155" s="16" t="s">
        <v>257</v>
      </c>
    </row>
    <row r="156" spans="1:10" s="23" customFormat="1" ht="21" customHeight="1">
      <c r="A156" s="19">
        <v>145</v>
      </c>
      <c r="B156" s="31" t="s">
        <v>59</v>
      </c>
      <c r="C156" s="28">
        <f t="shared" si="8"/>
        <v>181.63200000000003</v>
      </c>
      <c r="E156" s="29">
        <f>$I$2*$I$4*165.12</f>
        <v>181.63200000000003</v>
      </c>
      <c r="F156" s="16" t="s">
        <v>258</v>
      </c>
      <c r="H156" s="37"/>
      <c r="I156" s="37"/>
      <c r="J156" s="37"/>
    </row>
    <row r="157" spans="1:10" s="23" customFormat="1" ht="21" customHeight="1">
      <c r="A157" s="19">
        <v>146</v>
      </c>
      <c r="B157" s="31" t="s">
        <v>60</v>
      </c>
      <c r="C157" s="28">
        <f t="shared" si="8"/>
        <v>50.259</v>
      </c>
      <c r="E157" s="29">
        <f>$I$2*$I$4*45.69</f>
        <v>50.259</v>
      </c>
      <c r="F157" s="16" t="s">
        <v>258</v>
      </c>
      <c r="H157" s="37"/>
      <c r="I157" s="37"/>
      <c r="J157" s="37"/>
    </row>
    <row r="158" spans="1:10" s="23" customFormat="1" ht="21" customHeight="1">
      <c r="A158" s="19"/>
      <c r="B158" s="31" t="s">
        <v>16</v>
      </c>
      <c r="C158" s="28">
        <f t="shared" si="8"/>
        <v>385.00000000000006</v>
      </c>
      <c r="D158" s="31"/>
      <c r="E158" s="12">
        <f>$I$2*$I$4*350</f>
        <v>385.00000000000006</v>
      </c>
      <c r="F158" s="16"/>
      <c r="H158" s="37"/>
      <c r="I158" s="37"/>
      <c r="J158" s="37"/>
    </row>
    <row r="159" spans="1:10" s="23" customFormat="1" ht="21" customHeight="1">
      <c r="A159" s="19"/>
      <c r="B159" s="31" t="s">
        <v>266</v>
      </c>
      <c r="C159" s="28">
        <f t="shared" si="8"/>
        <v>330</v>
      </c>
      <c r="D159" s="31"/>
      <c r="E159" s="12">
        <f>$I$2*$I$4*300</f>
        <v>330</v>
      </c>
      <c r="F159" s="16"/>
      <c r="H159" s="37"/>
      <c r="I159" s="37"/>
      <c r="J159" s="37"/>
    </row>
    <row r="160" spans="1:10" s="23" customFormat="1" ht="21" customHeight="1">
      <c r="A160" s="19"/>
      <c r="B160" s="31" t="s">
        <v>33</v>
      </c>
      <c r="C160" s="28">
        <f t="shared" si="8"/>
        <v>55.000000000000007</v>
      </c>
      <c r="D160" s="31"/>
      <c r="E160" s="12">
        <f>$I$2*$I$4*50</f>
        <v>55.000000000000007</v>
      </c>
      <c r="F160" s="16"/>
      <c r="H160" s="37"/>
      <c r="I160" s="37"/>
      <c r="J160" s="37"/>
    </row>
    <row r="161" spans="1:10" s="23" customFormat="1" ht="21" customHeight="1">
      <c r="A161" s="19"/>
      <c r="B161" s="31" t="s">
        <v>245</v>
      </c>
      <c r="C161" s="28">
        <f t="shared" si="8"/>
        <v>419.49152542372889</v>
      </c>
      <c r="D161" s="31"/>
      <c r="E161" s="12">
        <f>$I$2*$I$4*450/1.18</f>
        <v>419.49152542372889</v>
      </c>
      <c r="F161" s="16"/>
      <c r="H161" s="37"/>
      <c r="I161" s="37"/>
      <c r="J161" s="37"/>
    </row>
    <row r="162" spans="1:10" s="23" customFormat="1" ht="21" customHeight="1">
      <c r="A162" s="19"/>
      <c r="B162" s="31" t="s">
        <v>244</v>
      </c>
      <c r="C162" s="28">
        <f t="shared" si="8"/>
        <v>419.49152542372889</v>
      </c>
      <c r="D162" s="31"/>
      <c r="E162" s="12">
        <f>$I$2*$I$4*450/1.18</f>
        <v>419.49152542372889</v>
      </c>
      <c r="F162" s="16"/>
      <c r="H162" s="37"/>
      <c r="I162" s="37"/>
      <c r="J162" s="37"/>
    </row>
    <row r="163" spans="1:10" s="23" customFormat="1" ht="21" customHeight="1">
      <c r="A163" s="19"/>
      <c r="B163" s="31" t="s">
        <v>128</v>
      </c>
      <c r="C163" s="28">
        <f t="shared" si="8"/>
        <v>0</v>
      </c>
      <c r="D163" s="31"/>
      <c r="E163" s="12">
        <f>$I$2*$I$4*0</f>
        <v>0</v>
      </c>
      <c r="F163" s="16"/>
      <c r="H163" s="37"/>
      <c r="I163" s="37"/>
      <c r="J163" s="37"/>
    </row>
    <row r="164" spans="1:10" s="23" customFormat="1" ht="21" customHeight="1">
      <c r="A164" s="19"/>
      <c r="B164" s="31" t="s">
        <v>246</v>
      </c>
      <c r="C164" s="28">
        <f t="shared" si="8"/>
        <v>41.949152542372893</v>
      </c>
      <c r="D164" s="31"/>
      <c r="E164" s="12">
        <f>$I$2*$I$4*45/1.18</f>
        <v>41.949152542372893</v>
      </c>
      <c r="F164" s="16"/>
      <c r="H164" s="37"/>
      <c r="I164" s="37"/>
      <c r="J164" s="37"/>
    </row>
    <row r="165" spans="1:10" s="23" customFormat="1" ht="21" customHeight="1">
      <c r="A165" s="19"/>
      <c r="B165" s="33" t="s">
        <v>294</v>
      </c>
      <c r="C165" s="30">
        <f>E165</f>
        <v>41.949152542372893</v>
      </c>
      <c r="D165" s="33"/>
      <c r="E165" s="12">
        <f>$I$2*$I$4*45/1.18</f>
        <v>41.949152542372893</v>
      </c>
      <c r="F165" s="16"/>
      <c r="H165" s="37"/>
      <c r="I165" s="37"/>
      <c r="J165" s="37"/>
    </row>
    <row r="166" spans="1:10" s="23" customFormat="1" ht="21" customHeight="1">
      <c r="A166" s="19"/>
      <c r="B166" s="32" t="s">
        <v>62</v>
      </c>
      <c r="C166" s="28">
        <f t="shared" si="8"/>
        <v>205.08474576271189</v>
      </c>
      <c r="D166" s="33"/>
      <c r="E166" s="12">
        <f>$I$2*$I$4*220/1.18</f>
        <v>205.08474576271189</v>
      </c>
      <c r="F166" s="16"/>
      <c r="H166" s="37"/>
      <c r="I166" s="37"/>
      <c r="J166" s="37"/>
    </row>
    <row r="167" spans="1:10" s="23" customFormat="1" ht="21" customHeight="1">
      <c r="A167" s="19"/>
      <c r="B167" s="67" t="s">
        <v>346</v>
      </c>
      <c r="C167" s="28">
        <f t="shared" ref="C167" si="10">E167</f>
        <v>205.08474576271189</v>
      </c>
      <c r="D167" s="68"/>
      <c r="E167" s="12">
        <f>$I$2*$I$4*220/1.18</f>
        <v>205.08474576271189</v>
      </c>
      <c r="F167" s="16"/>
      <c r="H167" s="37"/>
      <c r="I167" s="37"/>
      <c r="J167" s="37"/>
    </row>
    <row r="168" spans="1:10" s="23" customFormat="1" ht="21" customHeight="1">
      <c r="A168" s="19"/>
      <c r="B168" s="32" t="s">
        <v>50</v>
      </c>
      <c r="C168" s="28">
        <f t="shared" si="8"/>
        <v>205.08474576271189</v>
      </c>
      <c r="D168" s="33"/>
      <c r="E168" s="12">
        <f>$I$2*$I$4*220/1.18</f>
        <v>205.08474576271189</v>
      </c>
      <c r="F168" s="16"/>
      <c r="H168" s="37"/>
      <c r="I168" s="37"/>
      <c r="J168" s="37"/>
    </row>
    <row r="169" spans="1:10" s="23" customFormat="1" ht="21" customHeight="1">
      <c r="A169" s="19"/>
      <c r="B169" s="32" t="s">
        <v>39</v>
      </c>
      <c r="C169" s="28">
        <f t="shared" si="8"/>
        <v>41.949152542372893</v>
      </c>
      <c r="D169" s="33"/>
      <c r="E169" s="12">
        <f>$I$2*$I$4*45/1.18</f>
        <v>41.949152542372893</v>
      </c>
      <c r="F169" s="16"/>
      <c r="H169" s="37"/>
      <c r="I169" s="37"/>
      <c r="J169" s="37"/>
    </row>
    <row r="170" spans="1:10" s="23" customFormat="1" ht="21" customHeight="1">
      <c r="A170" s="19"/>
      <c r="B170" s="32" t="s">
        <v>61</v>
      </c>
      <c r="C170" s="28">
        <f t="shared" si="8"/>
        <v>15.847457627118647</v>
      </c>
      <c r="D170" s="33"/>
      <c r="E170" s="12">
        <f>$I$2*$I$4*17/1.18</f>
        <v>15.847457627118647</v>
      </c>
      <c r="F170" s="16"/>
      <c r="H170" s="37"/>
      <c r="I170" s="37"/>
      <c r="J170" s="37"/>
    </row>
    <row r="171" spans="1:10" s="23" customFormat="1" ht="21" customHeight="1">
      <c r="A171" s="19"/>
      <c r="B171" s="32" t="s">
        <v>34</v>
      </c>
      <c r="C171" s="28">
        <f t="shared" si="8"/>
        <v>9.3220338983050848</v>
      </c>
      <c r="D171" s="33"/>
      <c r="E171" s="12">
        <f>$I$2*$I$4*10/1.18</f>
        <v>9.3220338983050848</v>
      </c>
      <c r="F171" s="16"/>
      <c r="H171" s="37"/>
      <c r="I171" s="37"/>
      <c r="J171" s="37"/>
    </row>
    <row r="172" spans="1:10" s="23" customFormat="1" ht="21" customHeight="1">
      <c r="A172" s="19"/>
      <c r="B172" s="32" t="s">
        <v>35</v>
      </c>
      <c r="C172" s="28">
        <f t="shared" si="8"/>
        <v>51.271186440677972</v>
      </c>
      <c r="D172" s="33"/>
      <c r="E172" s="12">
        <f>$I$2*$I$4*55/1.18</f>
        <v>51.271186440677972</v>
      </c>
      <c r="F172" s="16"/>
      <c r="H172" s="37"/>
      <c r="I172" s="37"/>
      <c r="J172" s="37"/>
    </row>
    <row r="173" spans="1:10" s="23" customFormat="1" ht="21" customHeight="1">
      <c r="A173" s="19"/>
      <c r="B173" s="32" t="s">
        <v>40</v>
      </c>
      <c r="C173" s="28">
        <f t="shared" si="8"/>
        <v>2.796610169491526</v>
      </c>
      <c r="D173" s="33"/>
      <c r="E173" s="12">
        <f>$I$2*$I$4*3/1.18</f>
        <v>2.796610169491526</v>
      </c>
      <c r="F173" s="16"/>
      <c r="H173" s="37"/>
      <c r="I173" s="37"/>
      <c r="J173" s="37"/>
    </row>
    <row r="174" spans="1:10" s="23" customFormat="1" ht="21" customHeight="1">
      <c r="A174" s="19"/>
      <c r="B174" s="32" t="s">
        <v>45</v>
      </c>
      <c r="C174" s="28">
        <f t="shared" si="8"/>
        <v>11.186440677966104</v>
      </c>
      <c r="D174" s="33"/>
      <c r="E174" s="12">
        <f>$I$2*$I$4*12/1.18</f>
        <v>11.186440677966104</v>
      </c>
      <c r="F174" s="16"/>
      <c r="H174" s="37"/>
      <c r="I174" s="37"/>
      <c r="J174" s="37"/>
    </row>
    <row r="175" spans="1:10" s="23" customFormat="1" ht="21" customHeight="1">
      <c r="A175" s="19"/>
      <c r="B175" s="32" t="s">
        <v>54</v>
      </c>
      <c r="C175" s="28">
        <f t="shared" si="8"/>
        <v>42.881355932203391</v>
      </c>
      <c r="D175" s="33"/>
      <c r="E175" s="12">
        <f>$I$2*$I$4*46/1.18</f>
        <v>42.881355932203391</v>
      </c>
      <c r="F175" s="16"/>
      <c r="H175" s="37"/>
      <c r="I175" s="37"/>
      <c r="J175" s="37"/>
    </row>
    <row r="176" spans="1:10" s="23" customFormat="1" ht="21" customHeight="1">
      <c r="A176" s="19"/>
      <c r="B176" s="32" t="s">
        <v>55</v>
      </c>
      <c r="C176" s="28">
        <f t="shared" si="8"/>
        <v>79.237288135593232</v>
      </c>
      <c r="D176" s="33"/>
      <c r="E176" s="12">
        <f>$I$2*$I$4*85/1.18</f>
        <v>79.237288135593232</v>
      </c>
      <c r="F176" s="16"/>
      <c r="H176" s="37"/>
      <c r="I176" s="37"/>
      <c r="J176" s="37"/>
    </row>
    <row r="177" spans="1:10" s="23" customFormat="1" ht="21" customHeight="1">
      <c r="A177" s="19"/>
      <c r="B177" s="32" t="s">
        <v>36</v>
      </c>
      <c r="C177" s="28">
        <f t="shared" si="8"/>
        <v>2.796610169491526</v>
      </c>
      <c r="D177" s="33"/>
      <c r="E177" s="12">
        <f>$I$2*$I$4*3/1.18</f>
        <v>2.796610169491526</v>
      </c>
      <c r="F177" s="16"/>
      <c r="H177" s="37"/>
      <c r="I177" s="37"/>
      <c r="J177" s="37"/>
    </row>
    <row r="178" spans="1:10" s="23" customFormat="1" ht="21" customHeight="1">
      <c r="A178" s="19"/>
      <c r="B178" s="32" t="s">
        <v>37</v>
      </c>
      <c r="C178" s="28">
        <f t="shared" si="8"/>
        <v>11.186440677966104</v>
      </c>
      <c r="D178" s="33"/>
      <c r="E178" s="12">
        <f>$I$2*$I$4*12/1.18</f>
        <v>11.186440677966104</v>
      </c>
      <c r="F178" s="16"/>
      <c r="H178" s="37"/>
      <c r="I178" s="37"/>
      <c r="J178" s="37"/>
    </row>
    <row r="179" spans="1:10" s="23" customFormat="1" ht="21" customHeight="1">
      <c r="A179" s="19"/>
      <c r="B179" s="32" t="s">
        <v>31</v>
      </c>
      <c r="C179" s="28">
        <f t="shared" si="8"/>
        <v>9.3220338983050848</v>
      </c>
      <c r="D179" s="33"/>
      <c r="E179" s="12">
        <f>$I$2*$I$4*10/1.18</f>
        <v>9.3220338983050848</v>
      </c>
      <c r="F179" s="16"/>
      <c r="H179" s="37"/>
      <c r="I179" s="37"/>
      <c r="J179" s="37"/>
    </row>
    <row r="180" spans="1:10" s="23" customFormat="1" ht="21" customHeight="1">
      <c r="A180" s="19"/>
      <c r="B180" s="32" t="s">
        <v>38</v>
      </c>
      <c r="C180" s="28">
        <f t="shared" si="8"/>
        <v>16.5</v>
      </c>
      <c r="D180" s="33"/>
      <c r="E180" s="12">
        <f>$I$2*$I$4*15</f>
        <v>16.5</v>
      </c>
      <c r="F180" s="16"/>
      <c r="H180" s="37"/>
      <c r="I180" s="37"/>
      <c r="J180" s="37"/>
    </row>
    <row r="181" spans="1:10" s="23" customFormat="1" ht="21" customHeight="1">
      <c r="A181" s="19"/>
      <c r="B181" s="32" t="s">
        <v>32</v>
      </c>
      <c r="C181" s="28">
        <f t="shared" si="8"/>
        <v>13.200000000000001</v>
      </c>
      <c r="D181" s="33"/>
      <c r="E181" s="12">
        <f>$I$2*$I$4*12</f>
        <v>13.200000000000001</v>
      </c>
      <c r="F181" s="16"/>
      <c r="H181" s="37"/>
      <c r="I181" s="37"/>
      <c r="J181" s="37"/>
    </row>
    <row r="182" spans="1:10" s="23" customFormat="1" ht="21" customHeight="1">
      <c r="A182" s="19"/>
      <c r="B182" s="32" t="s">
        <v>53</v>
      </c>
      <c r="C182" s="28">
        <f t="shared" si="8"/>
        <v>6.6000000000000005</v>
      </c>
      <c r="D182" s="33"/>
      <c r="E182" s="12">
        <f>$I$2*$I$4*6</f>
        <v>6.6000000000000005</v>
      </c>
      <c r="F182" s="16"/>
      <c r="H182" s="37"/>
      <c r="I182" s="37"/>
      <c r="J182" s="37"/>
    </row>
    <row r="183" spans="1:10" s="23" customFormat="1" ht="21" customHeight="1">
      <c r="A183" s="19"/>
      <c r="B183" s="32" t="s">
        <v>44</v>
      </c>
      <c r="C183" s="28">
        <f t="shared" si="8"/>
        <v>27.966101694915256</v>
      </c>
      <c r="D183" s="33"/>
      <c r="E183" s="12">
        <f>$I$2*$I$4*30/1.18</f>
        <v>27.966101694915256</v>
      </c>
      <c r="F183" s="16"/>
      <c r="H183" s="37"/>
      <c r="I183" s="37"/>
      <c r="J183" s="37"/>
    </row>
    <row r="184" spans="1:10" s="23" customFormat="1" ht="21" customHeight="1">
      <c r="A184" s="19"/>
      <c r="B184" s="32" t="s">
        <v>292</v>
      </c>
      <c r="C184" s="28">
        <f t="shared" si="8"/>
        <v>6.5254237288135606</v>
      </c>
      <c r="D184" s="33"/>
      <c r="E184" s="12">
        <f>$I$2*$I$4*7/1.18</f>
        <v>6.5254237288135606</v>
      </c>
      <c r="F184" s="16"/>
      <c r="H184" s="37"/>
      <c r="I184" s="37"/>
      <c r="J184" s="37"/>
    </row>
    <row r="185" spans="1:10" s="23" customFormat="1" ht="21" customHeight="1">
      <c r="A185" s="19"/>
      <c r="B185" s="32" t="s">
        <v>290</v>
      </c>
      <c r="C185" s="28">
        <f t="shared" si="8"/>
        <v>16.779661016949156</v>
      </c>
      <c r="D185" s="33"/>
      <c r="E185" s="12">
        <f>$I$2*$I$4*18/1.18</f>
        <v>16.779661016949156</v>
      </c>
      <c r="F185" s="16"/>
      <c r="H185" s="37"/>
      <c r="I185" s="37"/>
      <c r="J185" s="37"/>
    </row>
    <row r="186" spans="1:10" s="23" customFormat="1" ht="21" customHeight="1">
      <c r="A186" s="19"/>
      <c r="B186" s="32" t="s">
        <v>267</v>
      </c>
      <c r="C186" s="28">
        <f t="shared" si="8"/>
        <v>2.796610169491526</v>
      </c>
      <c r="D186" s="33"/>
      <c r="E186" s="12">
        <f>$I$2*$I$4*3/1.18</f>
        <v>2.796610169491526</v>
      </c>
      <c r="F186" s="16"/>
      <c r="H186" s="37"/>
      <c r="I186" s="37"/>
      <c r="J186" s="37"/>
    </row>
    <row r="187" spans="1:10" s="23" customFormat="1" ht="21" customHeight="1">
      <c r="A187" s="19"/>
      <c r="B187" s="32" t="s">
        <v>291</v>
      </c>
      <c r="C187" s="28">
        <f t="shared" si="8"/>
        <v>60.593220338983052</v>
      </c>
      <c r="D187" s="33"/>
      <c r="E187" s="12">
        <f>$I$2*$I$4*65/1.18</f>
        <v>60.593220338983052</v>
      </c>
      <c r="F187" s="16"/>
      <c r="H187" s="37"/>
      <c r="I187" s="37"/>
      <c r="J187" s="37"/>
    </row>
    <row r="188" spans="1:10" s="23" customFormat="1" ht="21" customHeight="1">
      <c r="A188" s="19"/>
      <c r="B188" s="34" t="s">
        <v>295</v>
      </c>
      <c r="C188" s="28">
        <f t="shared" si="8"/>
        <v>6.5254237288135606</v>
      </c>
      <c r="D188" s="34"/>
      <c r="E188" s="12">
        <f>$I$2*$I$4*7/1.18</f>
        <v>6.5254237288135606</v>
      </c>
      <c r="F188" s="16"/>
      <c r="H188" s="37"/>
      <c r="I188" s="37"/>
      <c r="J188" s="37"/>
    </row>
    <row r="189" spans="1:10" s="23" customFormat="1" ht="21" customHeight="1">
      <c r="A189" s="19"/>
      <c r="B189" s="34" t="s">
        <v>296</v>
      </c>
      <c r="C189" s="28">
        <f t="shared" si="8"/>
        <v>46.610169491525433</v>
      </c>
      <c r="D189" s="34"/>
      <c r="E189" s="12">
        <f>$I$2*$I$4*50/1.18</f>
        <v>46.610169491525433</v>
      </c>
      <c r="F189" s="16"/>
      <c r="H189" s="37"/>
      <c r="I189" s="37"/>
      <c r="J189" s="37"/>
    </row>
    <row r="190" spans="1:10" s="23" customFormat="1" ht="21" customHeight="1">
      <c r="A190" s="19"/>
      <c r="B190" s="34" t="s">
        <v>297</v>
      </c>
      <c r="C190" s="28">
        <f t="shared" si="8"/>
        <v>186.44067796610173</v>
      </c>
      <c r="D190" s="34"/>
      <c r="E190" s="12">
        <f>$I$2*$I$4*200/1.18</f>
        <v>186.44067796610173</v>
      </c>
      <c r="F190" s="16"/>
      <c r="H190" s="37"/>
      <c r="I190" s="37"/>
      <c r="J190" s="37"/>
    </row>
    <row r="191" spans="1:10">
      <c r="H191" s="37"/>
      <c r="I191" s="37"/>
      <c r="J191" s="37"/>
    </row>
    <row r="192" spans="1:10">
      <c r="H192" s="37"/>
      <c r="I192" s="37"/>
      <c r="J192" s="37"/>
    </row>
    <row r="193" spans="8:10">
      <c r="H193" s="37"/>
      <c r="I193" s="37"/>
      <c r="J193" s="37"/>
    </row>
    <row r="194" spans="8:10">
      <c r="H194" s="37"/>
      <c r="I194" s="37"/>
      <c r="J194" s="37"/>
    </row>
    <row r="195" spans="8:10">
      <c r="H195" s="37"/>
      <c r="I195" s="37"/>
      <c r="J195" s="37"/>
    </row>
  </sheetData>
  <pageMargins left="0.7" right="0.7" top="0.75" bottom="0.75" header="0.3" footer="0.3"/>
  <pageSetup paperSize="9" scale="82" fitToHeight="0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CAMBIO DE VÁLVULAS</vt:lpstr>
      <vt:lpstr>ACCESORIOS</vt:lpstr>
      <vt:lpstr>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Malave José</cp:lastModifiedBy>
  <cp:lastPrinted>2021-05-15T21:51:09Z</cp:lastPrinted>
  <dcterms:created xsi:type="dcterms:W3CDTF">2017-09-08T22:24:48Z</dcterms:created>
  <dcterms:modified xsi:type="dcterms:W3CDTF">2022-06-19T17:21:38Z</dcterms:modified>
</cp:coreProperties>
</file>