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VALORIZACIONES\"/>
    </mc:Choice>
  </mc:AlternateContent>
  <bookViews>
    <workbookView xWindow="0" yWindow="0" windowWidth="20490" windowHeight="6150" activeTab="2"/>
  </bookViews>
  <sheets>
    <sheet name="HERCO LURIN" sheetId="1" r:id="rId1"/>
    <sheet name="HERCO 2da PROPUESTA" sheetId="2" r:id="rId2"/>
    <sheet name="HERCO 2da PROPUESTA (LA)" sheetId="4" r:id="rId3"/>
    <sheet name="Hoja1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1" i="4" l="1"/>
  <c r="I17" i="4"/>
  <c r="H29" i="4"/>
  <c r="I29" i="4" s="1"/>
  <c r="I28" i="4"/>
  <c r="H28" i="4"/>
  <c r="H27" i="4"/>
  <c r="H26" i="4"/>
  <c r="H25" i="4"/>
  <c r="H24" i="4"/>
  <c r="H23" i="4"/>
  <c r="H22" i="4"/>
  <c r="H21" i="4"/>
  <c r="H20" i="4"/>
  <c r="H19" i="4"/>
  <c r="H18" i="4"/>
  <c r="H13" i="4"/>
  <c r="I13" i="4" s="1"/>
  <c r="H12" i="4"/>
  <c r="I12" i="4" s="1"/>
  <c r="H11" i="4"/>
  <c r="H10" i="4"/>
  <c r="H9" i="4"/>
  <c r="H8" i="4"/>
  <c r="H7" i="4"/>
  <c r="H6" i="4"/>
  <c r="D4" i="3"/>
  <c r="I30" i="4" l="1"/>
  <c r="I16" i="4" s="1"/>
  <c r="H14" i="4"/>
  <c r="I14" i="4" s="1"/>
  <c r="I5" i="4"/>
  <c r="I4" i="4" l="1"/>
  <c r="J5" i="4"/>
  <c r="H29" i="2" l="1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H14" i="2" l="1"/>
  <c r="I14" i="2" s="1"/>
  <c r="H5" i="2" s="1"/>
  <c r="I5" i="2" s="1"/>
  <c r="I4" i="2" s="1"/>
  <c r="I30" i="2"/>
  <c r="H17" i="2" s="1"/>
  <c r="I17" i="2" s="1"/>
  <c r="I16" i="2" s="1"/>
  <c r="H35" i="1"/>
  <c r="H12" i="1"/>
  <c r="I3" i="2" l="1"/>
  <c r="I35" i="1"/>
  <c r="H28" i="1"/>
  <c r="H27" i="1"/>
  <c r="I27" i="1" s="1"/>
  <c r="H22" i="1"/>
  <c r="I22" i="1" s="1"/>
  <c r="H21" i="1"/>
  <c r="I21" i="1" s="1"/>
  <c r="H10" i="1"/>
  <c r="G4" i="3" l="1"/>
  <c r="G5" i="3" s="1"/>
  <c r="H4" i="3"/>
  <c r="H5" i="3" s="1"/>
  <c r="E4" i="3"/>
  <c r="E5" i="3" s="1"/>
  <c r="F4" i="3"/>
  <c r="F5" i="3" s="1"/>
  <c r="H38" i="1"/>
  <c r="I38" i="1" s="1"/>
  <c r="H37" i="1"/>
  <c r="I37" i="1" s="1"/>
  <c r="I36" i="1"/>
  <c r="H18" i="1"/>
  <c r="I18" i="1" s="1"/>
  <c r="H30" i="1"/>
  <c r="I30" i="1" s="1"/>
  <c r="H29" i="1"/>
  <c r="I29" i="1" s="1"/>
  <c r="I28" i="1"/>
  <c r="H26" i="1"/>
  <c r="I26" i="1" s="1"/>
  <c r="H25" i="1"/>
  <c r="I25" i="1" s="1"/>
  <c r="H24" i="1"/>
  <c r="I24" i="1" s="1"/>
  <c r="H23" i="1"/>
  <c r="I23" i="1" s="1"/>
  <c r="H20" i="1"/>
  <c r="I20" i="1" s="1"/>
  <c r="H19" i="1"/>
  <c r="I19" i="1" s="1"/>
  <c r="I39" i="1" l="1"/>
  <c r="H34" i="1" s="1"/>
  <c r="I31" i="1"/>
  <c r="I34" i="1" l="1"/>
  <c r="I33" i="1" s="1"/>
  <c r="H17" i="1"/>
  <c r="I17" i="1" s="1"/>
  <c r="I16" i="1" s="1"/>
  <c r="H13" i="1"/>
  <c r="I13" i="1" l="1"/>
  <c r="I12" i="1"/>
  <c r="H11" i="1" l="1"/>
  <c r="I11" i="1" s="1"/>
  <c r="I10" i="1"/>
  <c r="H9" i="1"/>
  <c r="I9" i="1" s="1"/>
  <c r="H8" i="1"/>
  <c r="I8" i="1" s="1"/>
  <c r="H7" i="1"/>
  <c r="I7" i="1" s="1"/>
  <c r="H6" i="1"/>
  <c r="I6" i="1" s="1"/>
  <c r="H14" i="1" l="1"/>
  <c r="I14" i="1" s="1"/>
  <c r="H5" i="1" l="1"/>
  <c r="I5" i="1" s="1"/>
  <c r="I4" i="1" s="1"/>
  <c r="I3" i="1" s="1"/>
</calcChain>
</file>

<file path=xl/sharedStrings.xml><?xml version="1.0" encoding="utf-8"?>
<sst xmlns="http://schemas.openxmlformats.org/spreadsheetml/2006/main" count="236" uniqueCount="70">
  <si>
    <t>ITEM</t>
  </si>
  <si>
    <t>DESCRIPCIÓN</t>
  </si>
  <si>
    <t>UDM</t>
  </si>
  <si>
    <t>CANT.</t>
  </si>
  <si>
    <t>P/UNITARIO</t>
  </si>
  <si>
    <t>PRECIO</t>
  </si>
  <si>
    <t>01.00.00</t>
  </si>
  <si>
    <t>Glb.</t>
  </si>
  <si>
    <t>FACTOR DE VARIACIÓN DE PRECIO</t>
  </si>
  <si>
    <t>FACTOR CONVERTIR A SOLES</t>
  </si>
  <si>
    <t>FACTOR UTILIDAD</t>
  </si>
  <si>
    <t>Dia</t>
  </si>
  <si>
    <t xml:space="preserve">Mano de obra  </t>
  </si>
  <si>
    <t>Otros (10%)</t>
  </si>
  <si>
    <t>COMBUSTIBLE</t>
  </si>
  <si>
    <t>Gal</t>
  </si>
  <si>
    <t>Un.</t>
  </si>
  <si>
    <t>TEFLON AMARILLO</t>
  </si>
  <si>
    <t>FORMADOR DE EMPAQUETADURA</t>
  </si>
  <si>
    <t>Spray color aluminio</t>
  </si>
  <si>
    <r>
      <t xml:space="preserve">Alquiler de andamios </t>
    </r>
    <r>
      <rPr>
        <b/>
        <i/>
        <sz val="11"/>
        <color rgb="FF7030A0"/>
        <rFont val="Arial Narrow"/>
        <family val="2"/>
      </rPr>
      <t>MARCA ACROW NO CERTIFICADO</t>
    </r>
  </si>
  <si>
    <r>
      <t xml:space="preserve">Valvula de venteo DB5 </t>
    </r>
    <r>
      <rPr>
        <b/>
        <i/>
        <sz val="11"/>
        <color theme="5" tint="-0.249977111117893"/>
        <rFont val="Arial Narrow"/>
        <family val="2"/>
      </rPr>
      <t>MARCA AILE</t>
    </r>
  </si>
  <si>
    <r>
      <t xml:space="preserve">Valvula de venteo presión y vacio "Gasohol" </t>
    </r>
    <r>
      <rPr>
        <b/>
        <i/>
        <sz val="11"/>
        <color theme="5" tint="-0.249977111117893"/>
        <rFont val="Arial Narrow"/>
        <family val="2"/>
      </rPr>
      <t>MARCA EMCO</t>
    </r>
  </si>
  <si>
    <t>MANTENIMIENTO Y SUMINISTRO DE ACCESORIOS PARA LAS TUBERIAS DE VENTEO CL</t>
  </si>
  <si>
    <t>METRADO INTERNO</t>
  </si>
  <si>
    <t>NIPLE 3"x4"</t>
  </si>
  <si>
    <t>NIPLE 3"x5"</t>
  </si>
  <si>
    <t>Cemento Sol T1 Sol</t>
  </si>
  <si>
    <t>Yeso 2 kg Martell</t>
  </si>
  <si>
    <t>Topex Concreto Fácil 40 kg</t>
  </si>
  <si>
    <t xml:space="preserve"> -</t>
  </si>
  <si>
    <r>
      <t xml:space="preserve">Tapa de Descarga. 4" </t>
    </r>
    <r>
      <rPr>
        <b/>
        <i/>
        <sz val="11"/>
        <color theme="5" tint="-0.249977111117893"/>
        <rFont val="Arial Narrow"/>
        <family val="2"/>
      </rPr>
      <t>MARCA EMCO</t>
    </r>
  </si>
  <si>
    <r>
      <t xml:space="preserve">Adaptador de  4" </t>
    </r>
    <r>
      <rPr>
        <b/>
        <i/>
        <sz val="11"/>
        <color theme="5" tint="-0.249977111117893"/>
        <rFont val="Arial Narrow"/>
        <family val="2"/>
      </rPr>
      <t>MARCA EMCO</t>
    </r>
  </si>
  <si>
    <r>
      <t xml:space="preserve">SPILL CONTINER. 4" </t>
    </r>
    <r>
      <rPr>
        <b/>
        <i/>
        <sz val="11"/>
        <color theme="5" tint="-0.249977111117893"/>
        <rFont val="Arial Narrow"/>
        <family val="2"/>
      </rPr>
      <t>MARCA EMCO</t>
    </r>
  </si>
  <si>
    <t>01.01.00</t>
  </si>
  <si>
    <t>01.01.01</t>
  </si>
  <si>
    <r>
      <t xml:space="preserve">Alquiler de calibrado </t>
    </r>
    <r>
      <rPr>
        <b/>
        <i/>
        <sz val="11"/>
        <color theme="5" tint="-0.249977111117893"/>
        <rFont val="Arial Narrow"/>
        <family val="2"/>
      </rPr>
      <t>MASICO GLP</t>
    </r>
  </si>
  <si>
    <t>Mano de obra</t>
  </si>
  <si>
    <t>Otros (5%)</t>
  </si>
  <si>
    <t>01.02.00</t>
  </si>
  <si>
    <t>01.02.01</t>
  </si>
  <si>
    <t>01.03.00</t>
  </si>
  <si>
    <t>01.03.01</t>
  </si>
  <si>
    <r>
      <rPr>
        <b/>
        <i/>
        <sz val="11"/>
        <rFont val="Arial Narrow"/>
        <family val="2"/>
      </rPr>
      <t xml:space="preserve">El servicio comprende lo siguiente:
</t>
    </r>
    <r>
      <rPr>
        <sz val="11"/>
        <rFont val="Arial Narrow"/>
        <family val="2"/>
      </rPr>
      <t xml:space="preserve">
- Se realizara excavación manual del concreto donde se encuentra la olla de </t>
    </r>
    <r>
      <rPr>
        <b/>
        <i/>
        <sz val="11"/>
        <rFont val="Arial Narrow"/>
        <family val="2"/>
      </rPr>
      <t>"DESCARGA DE CL G95"</t>
    </r>
    <r>
      <rPr>
        <sz val="11"/>
        <rFont val="Arial Narrow"/>
        <family val="2"/>
      </rPr>
      <t xml:space="preserve">  y se realizara el remplazo del "</t>
    </r>
    <r>
      <rPr>
        <b/>
        <i/>
        <sz val="11"/>
        <rFont val="Arial Narrow"/>
        <family val="2"/>
      </rPr>
      <t>SPILL CONTINER MARCA EMCO WHEATON RETAIL"</t>
    </r>
    <r>
      <rPr>
        <sz val="11"/>
        <rFont val="Arial Narrow"/>
        <family val="2"/>
      </rPr>
      <t>, así como el resane y encofrado de la zona.
- Se realizara pruebas de hermeticidad en tanques y lineas de CL. Producto G95.</t>
    </r>
  </si>
  <si>
    <t>Prueba de hermeticidad tanque y linea</t>
  </si>
  <si>
    <t>CALIBRACIÓN DE SURTIDOR DE GLP Y PRUEBA DE HERMETICIDAD DE LINEAS</t>
  </si>
  <si>
    <r>
      <rPr>
        <b/>
        <i/>
        <sz val="11"/>
        <rFont val="Arial Narrow"/>
        <family val="2"/>
      </rPr>
      <t xml:space="preserve">El servicio comprende lo siguiente:
</t>
    </r>
    <r>
      <rPr>
        <sz val="11"/>
        <rFont val="Arial Narrow"/>
        <family val="2"/>
      </rPr>
      <t xml:space="preserve">
- Servicio de calibración de dispensador de GLP.
- Servicio de hermeticidad de lineas de </t>
    </r>
    <r>
      <rPr>
        <b/>
        <i/>
        <sz val="11"/>
        <rFont val="Arial Narrow"/>
        <family val="2"/>
      </rPr>
      <t>"DESPACHO Y RETORNO DE VAPORES"</t>
    </r>
    <r>
      <rPr>
        <sz val="11"/>
        <rFont val="Arial Narrow"/>
        <family val="2"/>
      </rPr>
      <t xml:space="preserve"> y </t>
    </r>
    <r>
      <rPr>
        <b/>
        <i/>
        <sz val="11"/>
        <rFont val="Arial Narrow"/>
        <family val="2"/>
      </rPr>
      <t>"ZONA DESCARGA"</t>
    </r>
  </si>
  <si>
    <t xml:space="preserve">Prueba de hermeticidad de lineas </t>
  </si>
  <si>
    <t>LEVANTAMIENTO DE OBESERVACIONES EESS HERCO LURIN</t>
  </si>
  <si>
    <r>
      <rPr>
        <b/>
        <i/>
        <sz val="11"/>
        <rFont val="Arial Narrow"/>
        <family val="2"/>
      </rPr>
      <t>El servicio comprende lo siguiente:</t>
    </r>
    <r>
      <rPr>
        <sz val="11"/>
        <rFont val="Arial Narrow"/>
        <family val="2"/>
      </rPr>
      <t xml:space="preserve">
- Se realizara mantenimiento interno de las tuberias de ventilasion de GASOHOL y DB5.
- Suministro de 3 valvula de preción y vacio de 2" en la "</t>
    </r>
    <r>
      <rPr>
        <b/>
        <i/>
        <sz val="11"/>
        <rFont val="Arial Narrow"/>
        <family val="2"/>
      </rPr>
      <t>MARCA EMCO WHEATON RETAIL"</t>
    </r>
    <r>
      <rPr>
        <sz val="11"/>
        <rFont val="Arial Narrow"/>
        <family val="2"/>
      </rPr>
      <t xml:space="preserve"> para la tuberia de ventilacion de GASOHOL  y 1 valvulas de abiertas en la "</t>
    </r>
    <r>
      <rPr>
        <b/>
        <i/>
        <sz val="11"/>
        <rFont val="Arial Narrow"/>
        <family val="2"/>
      </rPr>
      <t>MARCA AILE "</t>
    </r>
    <r>
      <rPr>
        <sz val="11"/>
        <rFont val="Arial Narrow"/>
        <family val="2"/>
      </rPr>
      <t xml:space="preserve"> para las tuberias de ventilación del  producto DB5.
- Alquiler de andamios en la</t>
    </r>
    <r>
      <rPr>
        <b/>
        <i/>
        <sz val="11"/>
        <rFont val="Arial Narrow"/>
        <family val="2"/>
      </rPr>
      <t xml:space="preserve"> "MARCA ACROW</t>
    </r>
    <r>
      <rPr>
        <sz val="11"/>
        <rFont val="Arial Narrow"/>
        <family val="2"/>
      </rPr>
      <t>" (NO CERTIFICADO), de 5 niveles con sus respectivas bases para trabajos en altura.</t>
    </r>
  </si>
  <si>
    <t xml:space="preserve"> SUMINISTRO E INSTALACION DE SPILL CONTINER DE LA DESCARGA Y PRUEBAS DE HERMETICIDAD DE TANQUE Y LINEA DEL PRODUCTO G95</t>
  </si>
  <si>
    <t>VALORIZACIÓN</t>
  </si>
  <si>
    <t>UTILIDAD</t>
  </si>
  <si>
    <t>SUB TOTALES</t>
  </si>
  <si>
    <t>OPC 1</t>
  </si>
  <si>
    <t>OPC 2</t>
  </si>
  <si>
    <t>OPC 3</t>
  </si>
  <si>
    <t>OPC 4</t>
  </si>
  <si>
    <t>JD</t>
  </si>
  <si>
    <t xml:space="preserve"> SUMINISTRO E INSTALACION DE SPILL CONTINER DE LA DESCARGA</t>
  </si>
  <si>
    <r>
      <rPr>
        <b/>
        <i/>
        <sz val="11"/>
        <rFont val="Arial Narrow"/>
        <family val="2"/>
      </rPr>
      <t xml:space="preserve">El servicio comprende lo siguiente:
</t>
    </r>
    <r>
      <rPr>
        <sz val="11"/>
        <rFont val="Arial Narrow"/>
        <family val="2"/>
      </rPr>
      <t xml:space="preserve">
- Se realizara excavación manual del concreto donde se encuentra la olla de </t>
    </r>
    <r>
      <rPr>
        <b/>
        <i/>
        <sz val="11"/>
        <rFont val="Arial Narrow"/>
        <family val="2"/>
      </rPr>
      <t>"DESCARGA DE CL G95"</t>
    </r>
    <r>
      <rPr>
        <sz val="11"/>
        <rFont val="Arial Narrow"/>
        <family val="2"/>
      </rPr>
      <t xml:space="preserve">  y se realizara el remplazo del "</t>
    </r>
    <r>
      <rPr>
        <b/>
        <i/>
        <sz val="11"/>
        <rFont val="Arial Narrow"/>
        <family val="2"/>
      </rPr>
      <t>SPILL CONTINER MARCA EMCO WHEATON RETAIL"</t>
    </r>
    <r>
      <rPr>
        <sz val="11"/>
        <rFont val="Arial Narrow"/>
        <family val="2"/>
      </rPr>
      <t>, así como el resane y encofrado de la zona.</t>
    </r>
  </si>
  <si>
    <t>SPILL CONTINER. 4" MARCA EMCO</t>
  </si>
  <si>
    <t>Tapa de Descarga. 4" MARCA EMCO</t>
  </si>
  <si>
    <t>Adaptador de  4" MARCA EMCO</t>
  </si>
  <si>
    <t>Valvula de venteo presión y vacio "Gasohol" MARCA EMCO</t>
  </si>
  <si>
    <t>Valvula de venteo DB5 MARCA AILE</t>
  </si>
  <si>
    <t>Alquiler de andamios MARCA ACROW NO CERTIFICADO</t>
  </si>
  <si>
    <t>El servicio comprende lo siguiente:
- Se realizara excavación manual del concreto donde se encuentra la olla de "DESCARGA DE CL G95"  y se realizara el remplazo del "SPILL CONTINER MARCA EMCO WHEATON RETAIL", así como el resane y encofrado de la zona.
- Se realizara pruebas de hermeticidad en tanques y lineas de CL. Producto G95.</t>
  </si>
  <si>
    <t>El servicio comprende lo siguiente:
- Se realizara mantenimiento interno de las tuberias de ventilasion de GASOHOL y DB5.
- Suministro de 3 valvula de preción y vacio de 2" en la "MARCA EMCO WHEATON RETAIL" para la tuberia de ventilacion de GASOHOL  y 1 valvulas de abiertas en la "MARCA AILE " para las tuberias de ventilación del  producto DB5.
- Alquiler de andamios en la "MARCA ACROW" (NO CERTIFICADO), de 5 niveles con sus respectivas bases para trabajos en altura.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</si>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</sst>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S/&quot;* #,##0.00_-;\-&quot;S/&quot;* #,##0.00_-;_-&quot;S/&quot;* &quot;-&quot;??_-;_-@_-"/>
    <numFmt numFmtId="164" formatCode="_(&quot;S/&quot;* #,##0.00_);_(&quot;S/&quot;* \(#,##0.00\);_(&quot;S/&quot;* &quot;-&quot;??_);_(@_)"/>
    <numFmt numFmtId="165" formatCode="0.0"/>
    <numFmt numFmtId="166" formatCode="_ [$S/.-280A]\ * #,##0.00_ ;_ [$S/.-280A]\ * \-#,##0.00_ ;_ [$S/.-280A]\ * &quot;-&quot;??_ ;_ @_ "/>
  </numFmts>
  <fonts count="36" x14ac:knownFonts="1"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0"/>
      <color rgb="FFFF0000"/>
      <name val="Arial Narrow"/>
      <family val="2"/>
    </font>
    <font>
      <sz val="8"/>
      <name val="Calibri"/>
      <family val="2"/>
      <scheme val="minor"/>
    </font>
    <font>
      <sz val="11"/>
      <color theme="8" tint="-0.249977111117893"/>
      <name val="Arial Narrow"/>
      <family val="2"/>
    </font>
    <font>
      <sz val="11"/>
      <color rgb="FFFF0000"/>
      <name val="Arial Narrow"/>
      <family val="2"/>
    </font>
    <font>
      <sz val="11"/>
      <color theme="5" tint="-0.249977111117893"/>
      <name val="Arial Narrow"/>
      <family val="2"/>
    </font>
    <font>
      <sz val="11"/>
      <color theme="9" tint="-0.249977111117893"/>
      <name val="Arial Narrow"/>
      <family val="2"/>
    </font>
    <font>
      <sz val="11"/>
      <color rgb="FF7030A0"/>
      <name val="Arial Narrow"/>
      <family val="2"/>
    </font>
    <font>
      <b/>
      <i/>
      <sz val="11"/>
      <name val="Arial Narrow"/>
      <family val="2"/>
    </font>
    <font>
      <b/>
      <i/>
      <sz val="11"/>
      <color rgb="FF7030A0"/>
      <name val="Arial Narrow"/>
      <family val="2"/>
    </font>
    <font>
      <b/>
      <i/>
      <sz val="11"/>
      <color theme="5" tint="-0.249977111117893"/>
      <name val="Arial Narrow"/>
      <family val="2"/>
    </font>
    <font>
      <b/>
      <sz val="11"/>
      <color theme="9" tint="-0.499984740745262"/>
      <name val="Arial Narrow"/>
      <family val="2"/>
    </font>
    <font>
      <sz val="11"/>
      <color theme="9" tint="-0.499984740745262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name val="Arial Narrow"/>
      <family val="2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8" tint="-0.249977111117893"/>
      <name val="Calibri Light"/>
      <family val="2"/>
      <scheme val="major"/>
    </font>
    <font>
      <sz val="11"/>
      <color theme="5" tint="-0.249977111117893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4" fontId="18" fillId="0" borderId="0" applyFont="0" applyFill="0" applyBorder="0" applyAlignment="0" applyProtection="0"/>
  </cellStyleXfs>
  <cellXfs count="138">
    <xf numFmtId="0" fontId="0" fillId="0" borderId="0" xfId="0"/>
    <xf numFmtId="0" fontId="4" fillId="0" borderId="0" xfId="0" applyFont="1" applyProtection="1"/>
    <xf numFmtId="0" fontId="0" fillId="0" borderId="0" xfId="0" applyProtection="1"/>
    <xf numFmtId="0" fontId="3" fillId="0" borderId="0" xfId="0" applyFont="1" applyProtection="1"/>
    <xf numFmtId="0" fontId="1" fillId="2" borderId="1" xfId="0" applyFont="1" applyFill="1" applyBorder="1" applyAlignment="1" applyProtection="1">
      <alignment horizontal="center" vertical="center"/>
    </xf>
    <xf numFmtId="1" fontId="2" fillId="0" borderId="1" xfId="0" applyNumberFormat="1" applyFont="1" applyBorder="1" applyAlignment="1" applyProtection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/>
    </xf>
    <xf numFmtId="2" fontId="2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left" vertical="center"/>
    </xf>
    <xf numFmtId="2" fontId="5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Protection="1"/>
    <xf numFmtId="2" fontId="5" fillId="0" borderId="1" xfId="0" applyNumberFormat="1" applyFont="1" applyBorder="1" applyAlignment="1" applyProtection="1">
      <alignment horizontal="center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vertical="center" wrapText="1"/>
    </xf>
    <xf numFmtId="166" fontId="12" fillId="0" borderId="1" xfId="0" applyNumberFormat="1" applyFont="1" applyBorder="1" applyAlignment="1">
      <alignment vertical="center" wrapText="1"/>
    </xf>
    <xf numFmtId="166" fontId="10" fillId="0" borderId="1" xfId="0" applyNumberFormat="1" applyFont="1" applyBorder="1" applyAlignment="1">
      <alignment vertical="center" wrapText="1"/>
    </xf>
    <xf numFmtId="166" fontId="1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2" fontId="17" fillId="0" borderId="5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2" fontId="9" fillId="0" borderId="8" xfId="0" applyNumberFormat="1" applyFont="1" applyBorder="1" applyAlignment="1">
      <alignment horizontal="center" vertical="center" wrapText="1"/>
    </xf>
    <xf numFmtId="166" fontId="9" fillId="0" borderId="8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" fontId="2" fillId="0" borderId="1" xfId="0" applyNumberFormat="1" applyFont="1" applyBorder="1" applyAlignment="1" applyProtection="1">
      <alignment horizontal="center" vertical="center" wrapText="1"/>
    </xf>
    <xf numFmtId="0" fontId="6" fillId="0" borderId="0" xfId="0" applyFont="1" applyBorder="1" applyAlignment="1">
      <alignment vertical="center" wrapText="1"/>
    </xf>
    <xf numFmtId="1" fontId="1" fillId="3" borderId="9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65" fontId="10" fillId="0" borderId="3" xfId="0" applyNumberFormat="1" applyFont="1" applyBorder="1" applyAlignment="1">
      <alignment horizontal="left" vertical="center" wrapText="1"/>
    </xf>
    <xf numFmtId="165" fontId="10" fillId="0" borderId="4" xfId="0" applyNumberFormat="1" applyFont="1" applyBorder="1" applyAlignment="1">
      <alignment horizontal="left" vertical="center" wrapText="1"/>
    </xf>
    <xf numFmtId="165" fontId="16" fillId="0" borderId="3" xfId="0" applyNumberFormat="1" applyFont="1" applyBorder="1" applyAlignment="1">
      <alignment horizontal="left" vertical="center" wrapText="1"/>
    </xf>
    <xf numFmtId="165" fontId="16" fillId="0" borderId="4" xfId="0" applyNumberFormat="1" applyFont="1" applyBorder="1" applyAlignment="1">
      <alignment horizontal="left" vertical="center" wrapText="1"/>
    </xf>
    <xf numFmtId="165" fontId="10" fillId="0" borderId="6" xfId="0" applyNumberFormat="1" applyFont="1" applyBorder="1" applyAlignment="1">
      <alignment horizontal="left" vertical="center" wrapText="1"/>
    </xf>
    <xf numFmtId="165" fontId="10" fillId="0" borderId="1" xfId="0" applyNumberFormat="1" applyFont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/>
    </xf>
    <xf numFmtId="165" fontId="9" fillId="0" borderId="6" xfId="0" applyNumberFormat="1" applyFont="1" applyBorder="1" applyAlignment="1">
      <alignment horizontal="left" vertical="center" wrapText="1"/>
    </xf>
    <xf numFmtId="165" fontId="9" fillId="0" borderId="1" xfId="0" applyNumberFormat="1" applyFont="1" applyBorder="1" applyAlignment="1">
      <alignment horizontal="left" vertical="center" wrapText="1"/>
    </xf>
    <xf numFmtId="165" fontId="11" fillId="0" borderId="3" xfId="0" applyNumberFormat="1" applyFont="1" applyBorder="1" applyAlignment="1">
      <alignment horizontal="left" vertical="center" wrapText="1"/>
    </xf>
    <xf numFmtId="165" fontId="11" fillId="0" borderId="4" xfId="0" applyNumberFormat="1" applyFont="1" applyBorder="1" applyAlignment="1">
      <alignment horizontal="left" vertical="center" wrapText="1"/>
    </xf>
    <xf numFmtId="165" fontId="9" fillId="0" borderId="7" xfId="0" applyNumberFormat="1" applyFont="1" applyBorder="1" applyAlignment="1">
      <alignment horizontal="left" vertical="center" wrapText="1"/>
    </xf>
    <xf numFmtId="165" fontId="9" fillId="0" borderId="8" xfId="0" applyNumberFormat="1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" fontId="2" fillId="0" borderId="1" xfId="0" applyNumberFormat="1" applyFont="1" applyBorder="1" applyAlignment="1" applyProtection="1">
      <alignment horizontal="center" vertical="center" wrapText="1"/>
    </xf>
    <xf numFmtId="165" fontId="12" fillId="0" borderId="6" xfId="0" applyNumberFormat="1" applyFont="1" applyBorder="1" applyAlignment="1">
      <alignment horizontal="left" vertical="center" wrapText="1"/>
    </xf>
    <xf numFmtId="165" fontId="12" fillId="0" borderId="1" xfId="0" applyNumberFormat="1" applyFont="1" applyBorder="1" applyAlignment="1">
      <alignment horizontal="left" vertical="center" wrapText="1"/>
    </xf>
    <xf numFmtId="1" fontId="20" fillId="3" borderId="0" xfId="0" applyNumberFormat="1" applyFont="1" applyFill="1" applyBorder="1" applyAlignment="1">
      <alignment horizontal="center" wrapText="1"/>
    </xf>
    <xf numFmtId="0" fontId="20" fillId="3" borderId="0" xfId="0" applyFont="1" applyFill="1" applyBorder="1" applyAlignment="1">
      <alignment horizontal="center" wrapText="1"/>
    </xf>
    <xf numFmtId="0" fontId="21" fillId="4" borderId="1" xfId="0" applyFont="1" applyFill="1" applyBorder="1" applyAlignment="1">
      <alignment horizontal="center"/>
    </xf>
    <xf numFmtId="0" fontId="21" fillId="4" borderId="14" xfId="0" applyFont="1" applyFill="1" applyBorder="1" applyAlignment="1">
      <alignment horizontal="center"/>
    </xf>
    <xf numFmtId="0" fontId="21" fillId="4" borderId="15" xfId="0" applyFont="1" applyFill="1" applyBorder="1" applyAlignment="1">
      <alignment horizontal="center"/>
    </xf>
    <xf numFmtId="0" fontId="0" fillId="0" borderId="0" xfId="0" applyBorder="1"/>
    <xf numFmtId="0" fontId="19" fillId="0" borderId="0" xfId="0" applyFont="1" applyBorder="1" applyAlignment="1">
      <alignment wrapText="1"/>
    </xf>
    <xf numFmtId="9" fontId="19" fillId="5" borderId="16" xfId="0" applyNumberFormat="1" applyFont="1" applyFill="1" applyBorder="1" applyAlignment="1">
      <alignment horizontal="center" vertical="center"/>
    </xf>
    <xf numFmtId="9" fontId="19" fillId="5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44" fontId="2" fillId="6" borderId="1" xfId="1" applyFont="1" applyFill="1" applyBorder="1" applyAlignment="1">
      <alignment vertical="center" wrapText="1"/>
    </xf>
    <xf numFmtId="44" fontId="22" fillId="7" borderId="1" xfId="0" applyNumberFormat="1" applyFont="1" applyFill="1" applyBorder="1" applyAlignment="1">
      <alignment vertical="center"/>
    </xf>
    <xf numFmtId="44" fontId="23" fillId="4" borderId="1" xfId="1" applyFont="1" applyFill="1" applyBorder="1" applyAlignment="1">
      <alignment horizontal="center" vertical="center" wrapText="1"/>
    </xf>
    <xf numFmtId="44" fontId="19" fillId="0" borderId="1" xfId="0" applyNumberFormat="1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4" fillId="0" borderId="0" xfId="0" applyFont="1" applyProtection="1"/>
    <xf numFmtId="0" fontId="25" fillId="0" borderId="0" xfId="0" applyFont="1" applyProtection="1"/>
    <xf numFmtId="0" fontId="26" fillId="2" borderId="1" xfId="0" applyFont="1" applyFill="1" applyBorder="1" applyAlignment="1" applyProtection="1">
      <alignment horizontal="center" vertical="center" wrapText="1"/>
    </xf>
    <xf numFmtId="0" fontId="26" fillId="2" borderId="1" xfId="0" applyFont="1" applyFill="1" applyBorder="1" applyAlignment="1" applyProtection="1">
      <alignment horizontal="center" vertical="center" wrapText="1"/>
    </xf>
    <xf numFmtId="0" fontId="26" fillId="2" borderId="1" xfId="0" applyFont="1" applyFill="1" applyBorder="1" applyAlignment="1" applyProtection="1">
      <alignment horizontal="center" vertical="center"/>
    </xf>
    <xf numFmtId="0" fontId="24" fillId="0" borderId="0" xfId="0" applyFont="1"/>
    <xf numFmtId="1" fontId="27" fillId="0" borderId="1" xfId="0" applyNumberFormat="1" applyFont="1" applyBorder="1" applyAlignment="1" applyProtection="1">
      <alignment horizontal="center" vertical="center" wrapText="1"/>
    </xf>
    <xf numFmtId="1" fontId="26" fillId="3" borderId="1" xfId="0" applyNumberFormat="1" applyFont="1" applyFill="1" applyBorder="1" applyAlignment="1">
      <alignment horizontal="center" vertical="center" wrapText="1"/>
    </xf>
    <xf numFmtId="1" fontId="26" fillId="3" borderId="1" xfId="0" applyNumberFormat="1" applyFont="1" applyFill="1" applyBorder="1" applyAlignment="1">
      <alignment horizontal="left" vertical="center" wrapText="1"/>
    </xf>
    <xf numFmtId="164" fontId="26" fillId="3" borderId="1" xfId="0" applyNumberFormat="1" applyFont="1" applyFill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165" fontId="25" fillId="0" borderId="1" xfId="0" applyNumberFormat="1" applyFont="1" applyBorder="1" applyAlignment="1">
      <alignment horizontal="left" vertical="center" wrapText="1"/>
    </xf>
    <xf numFmtId="165" fontId="25" fillId="0" borderId="1" xfId="0" applyNumberFormat="1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 wrapText="1"/>
    </xf>
    <xf numFmtId="2" fontId="25" fillId="0" borderId="1" xfId="0" applyNumberFormat="1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horizontal="center" vertical="center" wrapText="1"/>
    </xf>
    <xf numFmtId="164" fontId="24" fillId="0" borderId="0" xfId="0" applyNumberFormat="1" applyFont="1" applyProtection="1"/>
    <xf numFmtId="0" fontId="28" fillId="0" borderId="1" xfId="0" applyFont="1" applyBorder="1" applyAlignment="1">
      <alignment horizontal="center" vertical="center" wrapText="1"/>
    </xf>
    <xf numFmtId="166" fontId="25" fillId="0" borderId="1" xfId="0" applyNumberFormat="1" applyFont="1" applyBorder="1" applyAlignment="1">
      <alignment vertical="center" wrapText="1"/>
    </xf>
    <xf numFmtId="164" fontId="25" fillId="0" borderId="2" xfId="0" applyNumberFormat="1" applyFont="1" applyBorder="1" applyAlignment="1">
      <alignment horizontal="center" vertical="center"/>
    </xf>
    <xf numFmtId="0" fontId="27" fillId="0" borderId="1" xfId="0" applyFont="1" applyBorder="1" applyAlignment="1" applyProtection="1">
      <alignment horizontal="left" vertical="center"/>
    </xf>
    <xf numFmtId="2" fontId="27" fillId="0" borderId="1" xfId="0" applyNumberFormat="1" applyFont="1" applyBorder="1" applyAlignment="1" applyProtection="1">
      <alignment horizontal="center" vertical="center"/>
    </xf>
    <xf numFmtId="164" fontId="25" fillId="0" borderId="9" xfId="0" applyNumberFormat="1" applyFont="1" applyBorder="1" applyAlignment="1">
      <alignment horizontal="center" vertical="center"/>
    </xf>
    <xf numFmtId="0" fontId="29" fillId="0" borderId="1" xfId="0" applyFont="1" applyBorder="1" applyAlignment="1" applyProtection="1">
      <alignment horizontal="left" vertical="center"/>
    </xf>
    <xf numFmtId="2" fontId="29" fillId="0" borderId="1" xfId="0" applyNumberFormat="1" applyFont="1" applyBorder="1" applyAlignment="1" applyProtection="1">
      <alignment horizontal="center" vertical="center"/>
    </xf>
    <xf numFmtId="0" fontId="29" fillId="0" borderId="1" xfId="0" applyFont="1" applyBorder="1" applyProtection="1"/>
    <xf numFmtId="2" fontId="29" fillId="0" borderId="1" xfId="0" applyNumberFormat="1" applyFont="1" applyBorder="1" applyAlignment="1" applyProtection="1">
      <alignment horizontal="center"/>
    </xf>
    <xf numFmtId="164" fontId="25" fillId="0" borderId="16" xfId="0" applyNumberFormat="1" applyFont="1" applyBorder="1" applyAlignment="1">
      <alignment horizontal="center" vertical="center"/>
    </xf>
    <xf numFmtId="165" fontId="30" fillId="0" borderId="1" xfId="0" applyNumberFormat="1" applyFont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 wrapText="1"/>
    </xf>
    <xf numFmtId="2" fontId="30" fillId="0" borderId="1" xfId="0" applyNumberFormat="1" applyFont="1" applyBorder="1" applyAlignment="1">
      <alignment horizontal="center" vertical="center" wrapText="1"/>
    </xf>
    <xf numFmtId="166" fontId="30" fillId="0" borderId="1" xfId="0" applyNumberFormat="1" applyFont="1" applyBorder="1" applyAlignment="1">
      <alignment vertical="center" wrapText="1"/>
    </xf>
    <xf numFmtId="164" fontId="31" fillId="0" borderId="1" xfId="0" applyNumberFormat="1" applyFont="1" applyBorder="1" applyAlignment="1">
      <alignment horizontal="center" vertical="center"/>
    </xf>
    <xf numFmtId="166" fontId="30" fillId="0" borderId="1" xfId="0" applyNumberFormat="1" applyFont="1" applyBorder="1" applyAlignment="1">
      <alignment horizontal="right" vertical="center" wrapText="1"/>
    </xf>
    <xf numFmtId="0" fontId="28" fillId="0" borderId="0" xfId="0" applyFont="1" applyBorder="1" applyAlignment="1">
      <alignment vertical="center" wrapText="1"/>
    </xf>
    <xf numFmtId="1" fontId="26" fillId="3" borderId="9" xfId="0" applyNumberFormat="1" applyFont="1" applyFill="1" applyBorder="1" applyAlignment="1">
      <alignment horizontal="center" vertical="center" wrapText="1"/>
    </xf>
    <xf numFmtId="1" fontId="26" fillId="3" borderId="2" xfId="0" applyNumberFormat="1" applyFont="1" applyFill="1" applyBorder="1" applyAlignment="1">
      <alignment horizontal="left" vertical="center" wrapText="1"/>
    </xf>
    <xf numFmtId="164" fontId="26" fillId="3" borderId="2" xfId="0" applyNumberFormat="1" applyFont="1" applyFill="1" applyBorder="1" applyAlignment="1">
      <alignment vertical="center" wrapText="1"/>
    </xf>
    <xf numFmtId="166" fontId="32" fillId="0" borderId="1" xfId="0" applyNumberFormat="1" applyFont="1" applyBorder="1" applyAlignment="1">
      <alignment vertical="center" wrapText="1"/>
    </xf>
    <xf numFmtId="164" fontId="31" fillId="0" borderId="1" xfId="0" applyNumberFormat="1" applyFont="1" applyBorder="1" applyAlignment="1">
      <alignment horizontal="center" vertical="center"/>
    </xf>
    <xf numFmtId="166" fontId="33" fillId="0" borderId="1" xfId="0" applyNumberFormat="1" applyFont="1" applyBorder="1" applyAlignment="1">
      <alignment vertical="center" wrapText="1"/>
    </xf>
    <xf numFmtId="166" fontId="34" fillId="0" borderId="1" xfId="0" applyNumberFormat="1" applyFont="1" applyBorder="1" applyAlignment="1">
      <alignment vertical="center" wrapText="1"/>
    </xf>
    <xf numFmtId="164" fontId="30" fillId="0" borderId="1" xfId="0" applyNumberFormat="1" applyFont="1" applyBorder="1" applyAlignment="1">
      <alignment horizontal="center" vertical="center"/>
    </xf>
    <xf numFmtId="0" fontId="24" fillId="0" borderId="17" xfId="0" applyFont="1" applyBorder="1" applyProtection="1"/>
    <xf numFmtId="0" fontId="26" fillId="3" borderId="17" xfId="0" applyFont="1" applyFill="1" applyBorder="1" applyAlignment="1" applyProtection="1">
      <alignment horizontal="right" vertical="center"/>
    </xf>
    <xf numFmtId="44" fontId="35" fillId="0" borderId="1" xfId="0" applyNumberFormat="1" applyFont="1" applyBorder="1" applyAlignment="1" applyProtection="1">
      <alignment vertical="center"/>
    </xf>
    <xf numFmtId="1" fontId="27" fillId="0" borderId="18" xfId="0" applyNumberFormat="1" applyFont="1" applyBorder="1" applyAlignment="1" applyProtection="1">
      <alignment horizontal="center" vertical="center" wrapText="1"/>
    </xf>
    <xf numFmtId="1" fontId="27" fillId="0" borderId="19" xfId="0" applyNumberFormat="1" applyFont="1" applyBorder="1" applyAlignment="1" applyProtection="1">
      <alignment horizontal="center" vertical="center" wrapText="1"/>
    </xf>
    <xf numFmtId="1" fontId="27" fillId="0" borderId="6" xfId="0" applyNumberFormat="1" applyFont="1" applyBorder="1" applyAlignment="1" applyProtection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19</xdr:row>
      <xdr:rowOff>1522852</xdr:rowOff>
    </xdr:from>
    <xdr:to>
      <xdr:col>13</xdr:col>
      <xdr:colOff>170779</xdr:colOff>
      <xdr:row>30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6A2397-93EA-4B06-BF7B-D87519B5D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8990452"/>
          <a:ext cx="3866479" cy="2134748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3</xdr:row>
      <xdr:rowOff>444273</xdr:rowOff>
    </xdr:from>
    <xdr:to>
      <xdr:col>10</xdr:col>
      <xdr:colOff>1780574</xdr:colOff>
      <xdr:row>4</xdr:row>
      <xdr:rowOff>2180517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84682AA-213A-4582-9ECF-F6DE5CB93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330098"/>
          <a:ext cx="1885349" cy="2222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19</xdr:row>
      <xdr:rowOff>1522852</xdr:rowOff>
    </xdr:from>
    <xdr:to>
      <xdr:col>13</xdr:col>
      <xdr:colOff>170779</xdr:colOff>
      <xdr:row>31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6E0E6B-7C00-43AC-AABA-87DCCEDF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8104627"/>
          <a:ext cx="3866479" cy="2134748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3</xdr:row>
      <xdr:rowOff>444273</xdr:rowOff>
    </xdr:from>
    <xdr:to>
      <xdr:col>10</xdr:col>
      <xdr:colOff>1780574</xdr:colOff>
      <xdr:row>15</xdr:row>
      <xdr:rowOff>123117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1B9FD-6C86-48BB-8101-6CA739F48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330098"/>
          <a:ext cx="1885349" cy="2222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19</xdr:row>
      <xdr:rowOff>1522852</xdr:rowOff>
    </xdr:from>
    <xdr:to>
      <xdr:col>13</xdr:col>
      <xdr:colOff>170779</xdr:colOff>
      <xdr:row>34</xdr:row>
      <xdr:rowOff>24494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6E0E6B-7C00-43AC-AABA-87DCCEDF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8104627"/>
          <a:ext cx="3866479" cy="2344298"/>
        </a:xfrm>
        <a:prstGeom prst="rect">
          <a:avLst/>
        </a:prstGeom>
      </xdr:spPr>
    </xdr:pic>
    <xdr:clientData/>
  </xdr:twoCellAnchor>
  <xdr:twoCellAnchor editAs="oneCell">
    <xdr:from>
      <xdr:col>11</xdr:col>
      <xdr:colOff>507546</xdr:colOff>
      <xdr:row>3</xdr:row>
      <xdr:rowOff>267380</xdr:rowOff>
    </xdr:from>
    <xdr:to>
      <xdr:col>14</xdr:col>
      <xdr:colOff>106895</xdr:colOff>
      <xdr:row>16</xdr:row>
      <xdr:rowOff>449688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1B9FD-6C86-48BB-8101-6CA739F48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1903" y="1151844"/>
          <a:ext cx="1885349" cy="4618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opLeftCell="A16" zoomScaleNormal="100" zoomScalePageLayoutView="90" workbookViewId="0">
      <selection activeCell="C18" sqref="C18:E18"/>
    </sheetView>
  </sheetViews>
  <sheetFormatPr baseColWidth="10" defaultRowHeight="15" x14ac:dyDescent="0.25"/>
  <cols>
    <col min="1" max="1" width="5" style="2" customWidth="1"/>
    <col min="2" max="2" width="11.42578125" style="2"/>
    <col min="3" max="4" width="30.85546875" style="2" customWidth="1"/>
    <col min="5" max="5" width="34.85546875" style="2" customWidth="1"/>
    <col min="6" max="6" width="5.140625" style="2" bestFit="1" customWidth="1"/>
    <col min="7" max="7" width="6.7109375" style="2" bestFit="1" customWidth="1"/>
    <col min="8" max="8" width="19.42578125" style="2" customWidth="1"/>
    <col min="9" max="9" width="16.140625" style="2" bestFit="1" customWidth="1"/>
    <col min="10" max="10" width="11.42578125" style="2"/>
    <col min="11" max="11" width="32.5703125" style="2" bestFit="1" customWidth="1"/>
    <col min="12" max="16384" width="11.42578125" style="2"/>
  </cols>
  <sheetData>
    <row r="1" spans="1:20" ht="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.5" customHeight="1" x14ac:dyDescent="0.3">
      <c r="A2" s="3"/>
      <c r="B2" s="25" t="s">
        <v>0</v>
      </c>
      <c r="C2" s="68" t="s">
        <v>1</v>
      </c>
      <c r="D2" s="68"/>
      <c r="E2" s="68"/>
      <c r="F2" s="25" t="s">
        <v>2</v>
      </c>
      <c r="G2" s="4" t="s">
        <v>3</v>
      </c>
      <c r="H2" s="4" t="s">
        <v>4</v>
      </c>
      <c r="I2" s="25" t="s">
        <v>5</v>
      </c>
      <c r="J2" s="3"/>
      <c r="K2" s="3"/>
      <c r="L2" s="3"/>
      <c r="M2"/>
      <c r="N2"/>
      <c r="O2"/>
      <c r="P2"/>
      <c r="Q2"/>
      <c r="R2"/>
      <c r="S2" s="3"/>
      <c r="T2" s="3"/>
    </row>
    <row r="3" spans="1:20" ht="35.25" customHeight="1" x14ac:dyDescent="0.3">
      <c r="A3" s="3"/>
      <c r="B3" s="5" t="s">
        <v>6</v>
      </c>
      <c r="C3" s="69" t="s">
        <v>48</v>
      </c>
      <c r="D3" s="69"/>
      <c r="E3" s="69"/>
      <c r="F3" s="69"/>
      <c r="G3" s="69"/>
      <c r="H3" s="69"/>
      <c r="I3" s="6">
        <f>I4+I16+I33</f>
        <v>6543.1585427118644</v>
      </c>
      <c r="J3" s="3"/>
      <c r="K3" s="3"/>
      <c r="L3" s="3"/>
      <c r="M3"/>
      <c r="N3"/>
      <c r="O3"/>
      <c r="P3"/>
      <c r="Q3"/>
      <c r="R3"/>
      <c r="S3" s="1"/>
      <c r="T3" s="1"/>
    </row>
    <row r="4" spans="1:20" ht="38.25" customHeight="1" x14ac:dyDescent="0.3">
      <c r="A4" s="3"/>
      <c r="B4" s="13" t="s">
        <v>34</v>
      </c>
      <c r="C4" s="58" t="s">
        <v>23</v>
      </c>
      <c r="D4" s="58"/>
      <c r="E4" s="58"/>
      <c r="F4" s="58"/>
      <c r="G4" s="58"/>
      <c r="H4" s="58"/>
      <c r="I4" s="14">
        <f>I5</f>
        <v>1898.357686779661</v>
      </c>
      <c r="J4" s="3"/>
      <c r="K4" s="3"/>
      <c r="L4" s="3"/>
      <c r="M4"/>
      <c r="N4"/>
      <c r="O4"/>
      <c r="P4"/>
      <c r="Q4"/>
      <c r="R4"/>
      <c r="S4" s="1"/>
      <c r="T4" s="1"/>
    </row>
    <row r="5" spans="1:20" ht="189.75" customHeight="1" x14ac:dyDescent="0.3">
      <c r="A5" s="1"/>
      <c r="B5" s="31" t="s">
        <v>35</v>
      </c>
      <c r="C5" s="59" t="s">
        <v>49</v>
      </c>
      <c r="D5" s="60"/>
      <c r="E5" s="60"/>
      <c r="F5" s="15" t="s">
        <v>7</v>
      </c>
      <c r="G5" s="16">
        <v>1</v>
      </c>
      <c r="H5" s="17">
        <f>SUM(I6:I14)</f>
        <v>1898.357686779661</v>
      </c>
      <c r="I5" s="17">
        <f>H5*G5</f>
        <v>1898.357686779661</v>
      </c>
      <c r="J5" s="1"/>
      <c r="K5" s="1"/>
      <c r="L5" s="1"/>
      <c r="M5"/>
      <c r="N5"/>
      <c r="O5"/>
      <c r="P5"/>
      <c r="Q5"/>
      <c r="R5"/>
      <c r="S5" s="1"/>
      <c r="T5" s="1"/>
    </row>
    <row r="6" spans="1:20" ht="16.5" customHeight="1" x14ac:dyDescent="0.3">
      <c r="A6" s="1"/>
      <c r="B6" s="49" t="s">
        <v>24</v>
      </c>
      <c r="C6" s="56" t="s">
        <v>22</v>
      </c>
      <c r="D6" s="57"/>
      <c r="E6" s="57"/>
      <c r="F6" s="26" t="s">
        <v>16</v>
      </c>
      <c r="G6" s="27">
        <v>3</v>
      </c>
      <c r="H6" s="23">
        <f>$L$6*$L$7*$L$8*90.69</f>
        <v>330.11160000000001</v>
      </c>
      <c r="I6" s="18">
        <f t="shared" ref="I6:I14" si="0">G6*H6</f>
        <v>990.33480000000009</v>
      </c>
      <c r="J6" s="1"/>
      <c r="K6" s="7" t="s">
        <v>8</v>
      </c>
      <c r="L6" s="8">
        <v>1</v>
      </c>
      <c r="M6" s="1"/>
      <c r="N6" s="1"/>
      <c r="O6" s="1"/>
      <c r="P6" s="1"/>
      <c r="Q6" s="1"/>
      <c r="R6" s="1"/>
      <c r="S6" s="1"/>
      <c r="T6" s="1"/>
    </row>
    <row r="7" spans="1:20" ht="16.5" x14ac:dyDescent="0.3">
      <c r="A7" s="1"/>
      <c r="B7" s="50"/>
      <c r="C7" s="56" t="s">
        <v>21</v>
      </c>
      <c r="D7" s="57"/>
      <c r="E7" s="57"/>
      <c r="F7" s="26" t="s">
        <v>16</v>
      </c>
      <c r="G7" s="27">
        <v>1</v>
      </c>
      <c r="H7" s="23">
        <f>$L$6*$L$7*$L$8*20/1.18</f>
        <v>61.694915254237287</v>
      </c>
      <c r="I7" s="18">
        <f t="shared" si="0"/>
        <v>61.694915254237287</v>
      </c>
      <c r="J7" s="1"/>
      <c r="K7" s="9" t="s">
        <v>9</v>
      </c>
      <c r="L7" s="10">
        <v>3.64</v>
      </c>
      <c r="M7" s="1"/>
      <c r="N7" s="1"/>
      <c r="O7" s="1"/>
      <c r="P7" s="1"/>
      <c r="Q7" s="1"/>
      <c r="R7" s="1"/>
      <c r="S7" s="1"/>
      <c r="T7" s="1"/>
    </row>
    <row r="8" spans="1:20" ht="16.5" x14ac:dyDescent="0.3">
      <c r="A8" s="1"/>
      <c r="B8" s="50"/>
      <c r="C8" s="56" t="s">
        <v>17</v>
      </c>
      <c r="D8" s="57"/>
      <c r="E8" s="57"/>
      <c r="F8" s="26" t="s">
        <v>16</v>
      </c>
      <c r="G8" s="27">
        <v>20</v>
      </c>
      <c r="H8" s="23">
        <f>$L$6*$L$8*1.9</f>
        <v>1.9</v>
      </c>
      <c r="I8" s="18">
        <f t="shared" si="0"/>
        <v>38</v>
      </c>
      <c r="J8" s="1"/>
      <c r="K8" s="11" t="s">
        <v>10</v>
      </c>
      <c r="L8" s="12">
        <v>1</v>
      </c>
      <c r="M8" s="1"/>
      <c r="N8" s="1"/>
      <c r="O8" s="1"/>
      <c r="P8" s="1"/>
      <c r="Q8" s="1"/>
      <c r="R8" s="1"/>
      <c r="S8" s="1"/>
      <c r="T8" s="1"/>
    </row>
    <row r="9" spans="1:20" ht="16.5" customHeight="1" x14ac:dyDescent="0.3">
      <c r="A9" s="1"/>
      <c r="B9" s="50"/>
      <c r="C9" s="56" t="s">
        <v>18</v>
      </c>
      <c r="D9" s="57"/>
      <c r="E9" s="57"/>
      <c r="F9" s="26" t="s">
        <v>16</v>
      </c>
      <c r="G9" s="27">
        <v>1</v>
      </c>
      <c r="H9" s="23">
        <f>$L$6*$L$8*10</f>
        <v>10</v>
      </c>
      <c r="I9" s="18">
        <f t="shared" si="0"/>
        <v>10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6.5" customHeight="1" x14ac:dyDescent="0.3">
      <c r="A10" s="1"/>
      <c r="B10" s="50"/>
      <c r="C10" s="70" t="s">
        <v>20</v>
      </c>
      <c r="D10" s="71"/>
      <c r="E10" s="71"/>
      <c r="F10" s="28" t="s">
        <v>16</v>
      </c>
      <c r="G10" s="29">
        <v>5</v>
      </c>
      <c r="H10" s="22">
        <f>$L$6*$L$8*25</f>
        <v>25</v>
      </c>
      <c r="I10" s="18">
        <f t="shared" si="0"/>
        <v>125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6.5" customHeight="1" x14ac:dyDescent="0.3">
      <c r="A11" s="1"/>
      <c r="B11" s="50"/>
      <c r="C11" s="70" t="s">
        <v>19</v>
      </c>
      <c r="D11" s="71"/>
      <c r="E11" s="71"/>
      <c r="F11" s="28" t="s">
        <v>16</v>
      </c>
      <c r="G11" s="29">
        <v>5</v>
      </c>
      <c r="H11" s="22">
        <f>$L$6*$L$8*7.63</f>
        <v>7.63</v>
      </c>
      <c r="I11" s="18">
        <f t="shared" si="0"/>
        <v>38.15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x14ac:dyDescent="0.3">
      <c r="A12" s="1"/>
      <c r="B12" s="50"/>
      <c r="C12" s="61" t="s">
        <v>12</v>
      </c>
      <c r="D12" s="62"/>
      <c r="E12" s="62"/>
      <c r="F12" s="19" t="s">
        <v>11</v>
      </c>
      <c r="G12" s="20">
        <v>2</v>
      </c>
      <c r="H12" s="21">
        <f>$L$6*$L$8*90*2</f>
        <v>180</v>
      </c>
      <c r="I12" s="18">
        <f t="shared" si="0"/>
        <v>360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.5" x14ac:dyDescent="0.3">
      <c r="A13" s="1"/>
      <c r="B13" s="50"/>
      <c r="C13" s="61" t="s">
        <v>14</v>
      </c>
      <c r="D13" s="62"/>
      <c r="E13" s="62"/>
      <c r="F13" s="19" t="s">
        <v>15</v>
      </c>
      <c r="G13" s="20">
        <v>10</v>
      </c>
      <c r="H13" s="21">
        <f>$L$6*$L$8*10.26</f>
        <v>10.26</v>
      </c>
      <c r="I13" s="18">
        <f t="shared" si="0"/>
        <v>102.6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6.5" x14ac:dyDescent="0.3">
      <c r="A14" s="1"/>
      <c r="B14" s="51"/>
      <c r="C14" s="61" t="s">
        <v>13</v>
      </c>
      <c r="D14" s="62"/>
      <c r="E14" s="62"/>
      <c r="F14" s="19" t="s">
        <v>7</v>
      </c>
      <c r="G14" s="20">
        <v>1</v>
      </c>
      <c r="H14" s="30">
        <f>0.1*SUM(I6:I13)</f>
        <v>172.57797152542375</v>
      </c>
      <c r="I14" s="18">
        <f t="shared" si="0"/>
        <v>172.57797152542375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.5" customHeight="1" x14ac:dyDescent="0.3">
      <c r="A15" s="1"/>
      <c r="B15" s="4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6.5" x14ac:dyDescent="0.3">
      <c r="A16" s="1"/>
      <c r="B16" s="47" t="s">
        <v>39</v>
      </c>
      <c r="C16" s="58" t="s">
        <v>50</v>
      </c>
      <c r="D16" s="58"/>
      <c r="E16" s="58"/>
      <c r="F16" s="58"/>
      <c r="G16" s="58"/>
      <c r="H16" s="58"/>
      <c r="I16" s="14">
        <f>I17</f>
        <v>3290.6211949152544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09.5" customHeight="1" x14ac:dyDescent="0.3">
      <c r="A17" s="1"/>
      <c r="B17" s="48" t="s">
        <v>40</v>
      </c>
      <c r="C17" s="67" t="s">
        <v>43</v>
      </c>
      <c r="D17" s="60"/>
      <c r="E17" s="60"/>
      <c r="F17" s="15" t="s">
        <v>7</v>
      </c>
      <c r="G17" s="16">
        <v>1</v>
      </c>
      <c r="H17" s="17">
        <f>SUM(I18:I31)</f>
        <v>3290.6211949152544</v>
      </c>
      <c r="I17" s="17">
        <f>H17*G17</f>
        <v>3290.6211949152544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6.5" x14ac:dyDescent="0.3">
      <c r="A18" s="1"/>
      <c r="B18" s="49" t="s">
        <v>24</v>
      </c>
      <c r="C18" s="52" t="s">
        <v>33</v>
      </c>
      <c r="D18" s="52"/>
      <c r="E18" s="53"/>
      <c r="F18" s="32" t="s">
        <v>16</v>
      </c>
      <c r="G18" s="33">
        <v>1</v>
      </c>
      <c r="H18" s="23">
        <f>$L$6*$L$7*$L$8*404.32</f>
        <v>1471.7248</v>
      </c>
      <c r="I18" s="18">
        <f t="shared" ref="I18" si="1">G18*H18</f>
        <v>1471.7248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6.5" x14ac:dyDescent="0.3">
      <c r="A19" s="1"/>
      <c r="B19" s="50"/>
      <c r="C19" s="52" t="s">
        <v>31</v>
      </c>
      <c r="D19" s="52"/>
      <c r="E19" s="53"/>
      <c r="F19" s="32" t="s">
        <v>16</v>
      </c>
      <c r="G19" s="33">
        <v>1</v>
      </c>
      <c r="H19" s="23">
        <f>$L$6*$L$7*$L$8*32.88</f>
        <v>119.68320000000001</v>
      </c>
      <c r="I19" s="18">
        <f t="shared" ref="I19:I28" si="2">G19*H19</f>
        <v>119.68320000000001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6.5" x14ac:dyDescent="0.25">
      <c r="B20" s="50"/>
      <c r="C20" s="52" t="s">
        <v>32</v>
      </c>
      <c r="D20" s="52"/>
      <c r="E20" s="53"/>
      <c r="F20" s="32" t="s">
        <v>16</v>
      </c>
      <c r="G20" s="33">
        <v>1</v>
      </c>
      <c r="H20" s="23">
        <f>$L$6*$L$7*$L$8*99.3</f>
        <v>361.452</v>
      </c>
      <c r="I20" s="18">
        <f t="shared" si="2"/>
        <v>361.452</v>
      </c>
    </row>
    <row r="21" spans="1:20" ht="16.5" x14ac:dyDescent="0.25">
      <c r="B21" s="50"/>
      <c r="C21" s="52" t="s">
        <v>25</v>
      </c>
      <c r="D21" s="52"/>
      <c r="E21" s="53"/>
      <c r="F21" s="32" t="s">
        <v>16</v>
      </c>
      <c r="G21" s="33">
        <v>3</v>
      </c>
      <c r="H21" s="23">
        <f>$L$6*$L$8*13</f>
        <v>13</v>
      </c>
      <c r="I21" s="18">
        <f t="shared" si="2"/>
        <v>39</v>
      </c>
    </row>
    <row r="22" spans="1:20" ht="16.5" x14ac:dyDescent="0.25">
      <c r="B22" s="50"/>
      <c r="C22" s="52" t="s">
        <v>26</v>
      </c>
      <c r="D22" s="52"/>
      <c r="E22" s="53"/>
      <c r="F22" s="32" t="s">
        <v>16</v>
      </c>
      <c r="G22" s="33">
        <v>3</v>
      </c>
      <c r="H22" s="23">
        <f>$L$6*$L$8*16</f>
        <v>16</v>
      </c>
      <c r="I22" s="18">
        <f t="shared" si="2"/>
        <v>48</v>
      </c>
    </row>
    <row r="23" spans="1:20" ht="16.5" x14ac:dyDescent="0.25">
      <c r="B23" s="50"/>
      <c r="C23" s="52" t="s">
        <v>17</v>
      </c>
      <c r="D23" s="52"/>
      <c r="E23" s="53"/>
      <c r="F23" s="32" t="s">
        <v>16</v>
      </c>
      <c r="G23" s="33">
        <v>20</v>
      </c>
      <c r="H23" s="23">
        <f>$L$6*$L$8*1.9</f>
        <v>1.9</v>
      </c>
      <c r="I23" s="18">
        <f t="shared" si="2"/>
        <v>38</v>
      </c>
    </row>
    <row r="24" spans="1:20" ht="16.5" x14ac:dyDescent="0.25">
      <c r="B24" s="50"/>
      <c r="C24" s="52" t="s">
        <v>18</v>
      </c>
      <c r="D24" s="52"/>
      <c r="E24" s="53"/>
      <c r="F24" s="32" t="s">
        <v>16</v>
      </c>
      <c r="G24" s="33">
        <v>1</v>
      </c>
      <c r="H24" s="23">
        <f>$L$6*$L$8*10</f>
        <v>10</v>
      </c>
      <c r="I24" s="18">
        <f t="shared" si="2"/>
        <v>10</v>
      </c>
    </row>
    <row r="25" spans="1:20" ht="16.5" x14ac:dyDescent="0.25">
      <c r="B25" s="50"/>
      <c r="C25" s="63" t="s">
        <v>27</v>
      </c>
      <c r="D25" s="63"/>
      <c r="E25" s="64"/>
      <c r="F25" s="34" t="s">
        <v>16</v>
      </c>
      <c r="G25" s="35">
        <v>0.5</v>
      </c>
      <c r="H25" s="24">
        <f>$L$6*$L$8*18.64</f>
        <v>18.64</v>
      </c>
      <c r="I25" s="18">
        <f t="shared" si="2"/>
        <v>9.32</v>
      </c>
    </row>
    <row r="26" spans="1:20" ht="16.5" x14ac:dyDescent="0.25">
      <c r="B26" s="50"/>
      <c r="C26" s="63" t="s">
        <v>28</v>
      </c>
      <c r="D26" s="63"/>
      <c r="E26" s="64"/>
      <c r="F26" s="34" t="s">
        <v>16</v>
      </c>
      <c r="G26" s="35">
        <v>0.5</v>
      </c>
      <c r="H26" s="24">
        <f>$L$6*$L$8*5.93</f>
        <v>5.93</v>
      </c>
      <c r="I26" s="18">
        <f t="shared" si="2"/>
        <v>2.9649999999999999</v>
      </c>
    </row>
    <row r="27" spans="1:20" ht="16.5" x14ac:dyDescent="0.25">
      <c r="B27" s="50"/>
      <c r="C27" s="54" t="s">
        <v>29</v>
      </c>
      <c r="D27" s="54"/>
      <c r="E27" s="55"/>
      <c r="F27" s="36" t="s">
        <v>16</v>
      </c>
      <c r="G27" s="37">
        <v>3</v>
      </c>
      <c r="H27" s="38">
        <f>$L$6*$L$8*11.3/1.18</f>
        <v>9.5762711864406782</v>
      </c>
      <c r="I27" s="18">
        <f t="shared" ref="I27" si="3">G27*H27</f>
        <v>28.728813559322035</v>
      </c>
    </row>
    <row r="28" spans="1:20" ht="16.5" x14ac:dyDescent="0.25">
      <c r="B28" s="50"/>
      <c r="C28" s="54" t="s">
        <v>44</v>
      </c>
      <c r="D28" s="54"/>
      <c r="E28" s="55"/>
      <c r="F28" s="36" t="s">
        <v>16</v>
      </c>
      <c r="G28" s="37">
        <v>1</v>
      </c>
      <c r="H28" s="38">
        <f>$L$6*$L$8*400</f>
        <v>400</v>
      </c>
      <c r="I28" s="18">
        <f t="shared" si="2"/>
        <v>400</v>
      </c>
    </row>
    <row r="29" spans="1:20" ht="16.5" x14ac:dyDescent="0.25">
      <c r="B29" s="50"/>
      <c r="C29" s="61" t="s">
        <v>12</v>
      </c>
      <c r="D29" s="62"/>
      <c r="E29" s="62"/>
      <c r="F29" s="19" t="s">
        <v>11</v>
      </c>
      <c r="G29" s="20">
        <v>2</v>
      </c>
      <c r="H29" s="21">
        <f>$L$6*$L$8*180</f>
        <v>180</v>
      </c>
      <c r="I29" s="39">
        <f>G29*H29</f>
        <v>360</v>
      </c>
    </row>
    <row r="30" spans="1:20" ht="16.5" x14ac:dyDescent="0.25">
      <c r="B30" s="50"/>
      <c r="C30" s="61" t="s">
        <v>14</v>
      </c>
      <c r="D30" s="62"/>
      <c r="E30" s="62"/>
      <c r="F30" s="19" t="s">
        <v>15</v>
      </c>
      <c r="G30" s="20">
        <v>10</v>
      </c>
      <c r="H30" s="21">
        <f>$L$6*$L$8*10.26</f>
        <v>10.26</v>
      </c>
      <c r="I30" s="39">
        <f>G30*H30</f>
        <v>102.6</v>
      </c>
    </row>
    <row r="31" spans="1:20" ht="16.5" x14ac:dyDescent="0.25">
      <c r="B31" s="51"/>
      <c r="C31" s="65" t="s">
        <v>13</v>
      </c>
      <c r="D31" s="66"/>
      <c r="E31" s="66"/>
      <c r="F31" s="40" t="s">
        <v>7</v>
      </c>
      <c r="G31" s="41" t="s">
        <v>30</v>
      </c>
      <c r="H31" s="42" t="s">
        <v>30</v>
      </c>
      <c r="I31" s="42">
        <f>0.1*SUM(I18:I30)</f>
        <v>299.14738135593223</v>
      </c>
    </row>
    <row r="32" spans="1:20" ht="16.5" customHeight="1" x14ac:dyDescent="0.25"/>
    <row r="33" spans="2:9" ht="16.5" x14ac:dyDescent="0.25">
      <c r="B33" s="13" t="s">
        <v>41</v>
      </c>
      <c r="C33" s="58" t="s">
        <v>45</v>
      </c>
      <c r="D33" s="58"/>
      <c r="E33" s="58"/>
      <c r="F33" s="58"/>
      <c r="G33" s="58"/>
      <c r="H33" s="58"/>
      <c r="I33" s="14">
        <f>I34</f>
        <v>1354.1796610169492</v>
      </c>
    </row>
    <row r="34" spans="2:9" ht="105.75" customHeight="1" x14ac:dyDescent="0.25">
      <c r="B34" s="31" t="s">
        <v>42</v>
      </c>
      <c r="C34" s="59" t="s">
        <v>46</v>
      </c>
      <c r="D34" s="60"/>
      <c r="E34" s="60"/>
      <c r="F34" s="15" t="s">
        <v>7</v>
      </c>
      <c r="G34" s="16">
        <v>1</v>
      </c>
      <c r="H34" s="17">
        <f>SUM(I35:I39)</f>
        <v>1354.1796610169492</v>
      </c>
      <c r="I34" s="17">
        <f>H34*G34</f>
        <v>1354.1796610169492</v>
      </c>
    </row>
    <row r="35" spans="2:9" ht="16.5" customHeight="1" x14ac:dyDescent="0.25">
      <c r="B35" s="49" t="s">
        <v>24</v>
      </c>
      <c r="C35" s="56" t="s">
        <v>36</v>
      </c>
      <c r="D35" s="57"/>
      <c r="E35" s="57"/>
      <c r="F35" s="26" t="s">
        <v>16</v>
      </c>
      <c r="G35" s="27">
        <v>1</v>
      </c>
      <c r="H35" s="43">
        <f>$L$6*$L$7*$L$8*60</f>
        <v>218.4</v>
      </c>
      <c r="I35" s="18">
        <f>G35*H35</f>
        <v>218.4</v>
      </c>
    </row>
    <row r="36" spans="2:9" ht="16.5" x14ac:dyDescent="0.25">
      <c r="B36" s="50"/>
      <c r="C36" s="56" t="s">
        <v>47</v>
      </c>
      <c r="D36" s="57"/>
      <c r="E36" s="57"/>
      <c r="F36" s="26" t="s">
        <v>16</v>
      </c>
      <c r="G36" s="27">
        <v>1</v>
      </c>
      <c r="H36" s="43">
        <v>800</v>
      </c>
      <c r="I36" s="18">
        <f>G36*H36</f>
        <v>800</v>
      </c>
    </row>
    <row r="37" spans="2:9" ht="16.5" x14ac:dyDescent="0.25">
      <c r="B37" s="50"/>
      <c r="C37" s="61" t="s">
        <v>37</v>
      </c>
      <c r="D37" s="62"/>
      <c r="E37" s="62"/>
      <c r="F37" s="19" t="s">
        <v>11</v>
      </c>
      <c r="G37" s="20">
        <v>2</v>
      </c>
      <c r="H37" s="21">
        <f>$L$6*$L$8*90</f>
        <v>90</v>
      </c>
      <c r="I37" s="39">
        <f>G37*H37</f>
        <v>180</v>
      </c>
    </row>
    <row r="38" spans="2:9" ht="16.5" x14ac:dyDescent="0.25">
      <c r="B38" s="50"/>
      <c r="C38" s="61" t="s">
        <v>14</v>
      </c>
      <c r="D38" s="62"/>
      <c r="E38" s="62"/>
      <c r="F38" s="19" t="s">
        <v>15</v>
      </c>
      <c r="G38" s="20">
        <v>10</v>
      </c>
      <c r="H38" s="21">
        <f>12/1.18</f>
        <v>10.16949152542373</v>
      </c>
      <c r="I38" s="39">
        <f>G38*H38</f>
        <v>101.6949152542373</v>
      </c>
    </row>
    <row r="39" spans="2:9" ht="16.5" customHeight="1" x14ac:dyDescent="0.25">
      <c r="B39" s="51"/>
      <c r="C39" s="61" t="s">
        <v>38</v>
      </c>
      <c r="D39" s="62"/>
      <c r="E39" s="62"/>
      <c r="F39" s="19" t="s">
        <v>7</v>
      </c>
      <c r="G39" s="20" t="s">
        <v>30</v>
      </c>
      <c r="H39" s="30" t="s">
        <v>30</v>
      </c>
      <c r="I39" s="30">
        <f>0.05*SUM(I36:I38)</f>
        <v>54.084745762711862</v>
      </c>
    </row>
    <row r="54" ht="180.75" customHeight="1" x14ac:dyDescent="0.25"/>
    <row r="74" ht="163.5" customHeight="1" x14ac:dyDescent="0.25"/>
  </sheetData>
  <mergeCells count="39">
    <mergeCell ref="B6:B14"/>
    <mergeCell ref="C17:E17"/>
    <mergeCell ref="C2:E2"/>
    <mergeCell ref="C3:H3"/>
    <mergeCell ref="C4:H4"/>
    <mergeCell ref="C5:E5"/>
    <mergeCell ref="C12:E12"/>
    <mergeCell ref="C6:E6"/>
    <mergeCell ref="C7:E7"/>
    <mergeCell ref="C8:E8"/>
    <mergeCell ref="C9:E9"/>
    <mergeCell ref="C10:E10"/>
    <mergeCell ref="C11:E11"/>
    <mergeCell ref="C31:E31"/>
    <mergeCell ref="C18:E18"/>
    <mergeCell ref="C13:E13"/>
    <mergeCell ref="C14:E14"/>
    <mergeCell ref="C16:H16"/>
    <mergeCell ref="C25:E25"/>
    <mergeCell ref="C26:E26"/>
    <mergeCell ref="C28:E28"/>
    <mergeCell ref="C29:E29"/>
    <mergeCell ref="C30:E30"/>
    <mergeCell ref="B35:B39"/>
    <mergeCell ref="C21:E21"/>
    <mergeCell ref="C22:E22"/>
    <mergeCell ref="C27:E27"/>
    <mergeCell ref="C35:E35"/>
    <mergeCell ref="C33:H33"/>
    <mergeCell ref="C34:E34"/>
    <mergeCell ref="C36:E36"/>
    <mergeCell ref="C37:E37"/>
    <mergeCell ref="C38:E38"/>
    <mergeCell ref="C39:E39"/>
    <mergeCell ref="B18:B31"/>
    <mergeCell ref="C19:E19"/>
    <mergeCell ref="C20:E20"/>
    <mergeCell ref="C23:E23"/>
    <mergeCell ref="C24:E24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opLeftCell="A13" zoomScale="70" zoomScaleNormal="70" workbookViewId="0">
      <selection activeCell="C21" sqref="C21:E21"/>
    </sheetView>
  </sheetViews>
  <sheetFormatPr baseColWidth="10" defaultRowHeight="15" x14ac:dyDescent="0.25"/>
  <cols>
    <col min="1" max="1" width="5" style="2" customWidth="1"/>
    <col min="2" max="2" width="11.42578125" style="2"/>
    <col min="3" max="4" width="30.85546875" style="2" customWidth="1"/>
    <col min="5" max="5" width="34.85546875" style="2" customWidth="1"/>
    <col min="6" max="6" width="5.140625" style="2" bestFit="1" customWidth="1"/>
    <col min="7" max="7" width="6.7109375" style="2" bestFit="1" customWidth="1"/>
    <col min="8" max="8" width="19.42578125" style="2" customWidth="1"/>
    <col min="9" max="9" width="16.140625" style="2" bestFit="1" customWidth="1"/>
    <col min="10" max="10" width="11.42578125" style="2"/>
    <col min="11" max="11" width="32.5703125" style="2" bestFit="1" customWidth="1"/>
    <col min="12" max="16384" width="11.42578125" style="2"/>
  </cols>
  <sheetData>
    <row r="1" spans="1:20" ht="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.5" customHeight="1" x14ac:dyDescent="0.3">
      <c r="A2" s="3"/>
      <c r="B2" s="44" t="s">
        <v>0</v>
      </c>
      <c r="C2" s="68" t="s">
        <v>1</v>
      </c>
      <c r="D2" s="68"/>
      <c r="E2" s="68"/>
      <c r="F2" s="44" t="s">
        <v>2</v>
      </c>
      <c r="G2" s="4" t="s">
        <v>3</v>
      </c>
      <c r="H2" s="4" t="s">
        <v>4</v>
      </c>
      <c r="I2" s="44" t="s">
        <v>5</v>
      </c>
      <c r="J2" s="3"/>
      <c r="K2" s="3"/>
      <c r="L2" s="3"/>
      <c r="M2"/>
      <c r="N2"/>
      <c r="O2"/>
      <c r="P2"/>
      <c r="Q2"/>
      <c r="R2"/>
      <c r="S2" s="3"/>
      <c r="T2" s="3"/>
    </row>
    <row r="3" spans="1:20" ht="35.25" customHeight="1" x14ac:dyDescent="0.3">
      <c r="A3" s="3"/>
      <c r="B3" s="45" t="s">
        <v>6</v>
      </c>
      <c r="C3" s="69" t="s">
        <v>48</v>
      </c>
      <c r="D3" s="69"/>
      <c r="E3" s="69"/>
      <c r="F3" s="69"/>
      <c r="G3" s="69"/>
      <c r="H3" s="69"/>
      <c r="I3" s="6">
        <f>I4+I16</f>
        <v>4776.4788816949149</v>
      </c>
      <c r="J3" s="3"/>
      <c r="K3" s="3"/>
      <c r="L3" s="3"/>
      <c r="M3"/>
      <c r="N3"/>
      <c r="O3"/>
      <c r="P3"/>
      <c r="Q3"/>
      <c r="R3"/>
      <c r="S3" s="1"/>
      <c r="T3" s="1"/>
    </row>
    <row r="4" spans="1:20" ht="38.25" customHeight="1" x14ac:dyDescent="0.3">
      <c r="A4" s="3"/>
      <c r="B4" s="13" t="s">
        <v>34</v>
      </c>
      <c r="C4" s="58" t="s">
        <v>23</v>
      </c>
      <c r="D4" s="58"/>
      <c r="E4" s="58"/>
      <c r="F4" s="58"/>
      <c r="G4" s="58"/>
      <c r="H4" s="58"/>
      <c r="I4" s="14">
        <f>I5</f>
        <v>1925.857686779661</v>
      </c>
      <c r="J4" s="3"/>
      <c r="K4" s="3"/>
      <c r="L4" s="3"/>
      <c r="M4"/>
      <c r="N4"/>
      <c r="O4"/>
      <c r="P4"/>
      <c r="Q4"/>
      <c r="R4"/>
      <c r="S4" s="1"/>
      <c r="T4" s="1"/>
    </row>
    <row r="5" spans="1:20" ht="189.75" customHeight="1" x14ac:dyDescent="0.3">
      <c r="A5" s="1"/>
      <c r="B5" s="31" t="s">
        <v>35</v>
      </c>
      <c r="C5" s="59" t="s">
        <v>49</v>
      </c>
      <c r="D5" s="60"/>
      <c r="E5" s="60"/>
      <c r="F5" s="15" t="s">
        <v>7</v>
      </c>
      <c r="G5" s="16">
        <v>1</v>
      </c>
      <c r="H5" s="17">
        <f>SUM(I6:I14)</f>
        <v>1925.857686779661</v>
      </c>
      <c r="I5" s="17">
        <f>H5*G5</f>
        <v>1925.857686779661</v>
      </c>
      <c r="J5" s="1"/>
      <c r="K5" s="1"/>
      <c r="L5" s="1"/>
      <c r="M5"/>
      <c r="N5"/>
      <c r="O5"/>
      <c r="P5"/>
      <c r="Q5"/>
      <c r="R5"/>
      <c r="S5" s="1"/>
      <c r="T5" s="1"/>
    </row>
    <row r="6" spans="1:20" ht="16.5" customHeight="1" x14ac:dyDescent="0.3">
      <c r="A6" s="1"/>
      <c r="B6" s="49" t="s">
        <v>24</v>
      </c>
      <c r="C6" s="56" t="s">
        <v>22</v>
      </c>
      <c r="D6" s="57"/>
      <c r="E6" s="57"/>
      <c r="F6" s="26" t="s">
        <v>16</v>
      </c>
      <c r="G6" s="27">
        <v>3</v>
      </c>
      <c r="H6" s="23">
        <f>$L$6*$L$7*$L$8*90.69</f>
        <v>330.11160000000001</v>
      </c>
      <c r="I6" s="18">
        <f t="shared" ref="I6:I14" si="0">G6*H6</f>
        <v>990.33480000000009</v>
      </c>
      <c r="J6" s="1"/>
      <c r="K6" s="7" t="s">
        <v>8</v>
      </c>
      <c r="L6" s="8">
        <v>1</v>
      </c>
      <c r="M6" s="1"/>
      <c r="N6" s="1"/>
      <c r="O6" s="1"/>
      <c r="P6" s="1"/>
      <c r="Q6" s="1"/>
      <c r="R6" s="1"/>
      <c r="S6" s="1"/>
      <c r="T6" s="1"/>
    </row>
    <row r="7" spans="1:20" ht="16.5" x14ac:dyDescent="0.3">
      <c r="A7" s="1"/>
      <c r="B7" s="50"/>
      <c r="C7" s="56" t="s">
        <v>21</v>
      </c>
      <c r="D7" s="57"/>
      <c r="E7" s="57"/>
      <c r="F7" s="26" t="s">
        <v>16</v>
      </c>
      <c r="G7" s="27">
        <v>1</v>
      </c>
      <c r="H7" s="23">
        <f>$L$6*$L$7*$L$8*20/1.18</f>
        <v>61.694915254237287</v>
      </c>
      <c r="I7" s="18">
        <f t="shared" si="0"/>
        <v>61.694915254237287</v>
      </c>
      <c r="J7" s="1"/>
      <c r="K7" s="9" t="s">
        <v>9</v>
      </c>
      <c r="L7" s="10">
        <v>3.64</v>
      </c>
      <c r="M7" s="1"/>
      <c r="N7" s="1"/>
      <c r="O7" s="1"/>
      <c r="P7" s="1"/>
      <c r="Q7" s="1"/>
      <c r="R7" s="1"/>
      <c r="S7" s="1"/>
      <c r="T7" s="1"/>
    </row>
    <row r="8" spans="1:20" ht="16.5" x14ac:dyDescent="0.3">
      <c r="A8" s="1"/>
      <c r="B8" s="50"/>
      <c r="C8" s="56" t="s">
        <v>17</v>
      </c>
      <c r="D8" s="57"/>
      <c r="E8" s="57"/>
      <c r="F8" s="26" t="s">
        <v>16</v>
      </c>
      <c r="G8" s="27">
        <v>20</v>
      </c>
      <c r="H8" s="23">
        <f>$L$6*$L$8*1.9</f>
        <v>1.9</v>
      </c>
      <c r="I8" s="18">
        <f t="shared" si="0"/>
        <v>38</v>
      </c>
      <c r="J8" s="1"/>
      <c r="K8" s="11" t="s">
        <v>10</v>
      </c>
      <c r="L8" s="12">
        <v>1</v>
      </c>
      <c r="M8" s="1"/>
      <c r="N8" s="1"/>
      <c r="O8" s="1"/>
      <c r="P8" s="1"/>
      <c r="Q8" s="1"/>
      <c r="R8" s="1"/>
      <c r="S8" s="1"/>
      <c r="T8" s="1"/>
    </row>
    <row r="9" spans="1:20" ht="16.5" customHeight="1" x14ac:dyDescent="0.3">
      <c r="A9" s="1"/>
      <c r="B9" s="50"/>
      <c r="C9" s="56" t="s">
        <v>18</v>
      </c>
      <c r="D9" s="57"/>
      <c r="E9" s="57"/>
      <c r="F9" s="26" t="s">
        <v>16</v>
      </c>
      <c r="G9" s="27">
        <v>1</v>
      </c>
      <c r="H9" s="23">
        <f>$L$6*$L$8*10</f>
        <v>10</v>
      </c>
      <c r="I9" s="18">
        <f t="shared" si="0"/>
        <v>10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6.5" customHeight="1" x14ac:dyDescent="0.3">
      <c r="A10" s="1"/>
      <c r="B10" s="50"/>
      <c r="C10" s="70" t="s">
        <v>20</v>
      </c>
      <c r="D10" s="71"/>
      <c r="E10" s="71"/>
      <c r="F10" s="28" t="s">
        <v>16</v>
      </c>
      <c r="G10" s="29">
        <v>6</v>
      </c>
      <c r="H10" s="22">
        <f>$L$6*$L$8*25</f>
        <v>25</v>
      </c>
      <c r="I10" s="18">
        <f t="shared" si="0"/>
        <v>150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6.5" customHeight="1" x14ac:dyDescent="0.3">
      <c r="A11" s="1"/>
      <c r="B11" s="50"/>
      <c r="C11" s="70" t="s">
        <v>19</v>
      </c>
      <c r="D11" s="71"/>
      <c r="E11" s="71"/>
      <c r="F11" s="28" t="s">
        <v>16</v>
      </c>
      <c r="G11" s="29">
        <v>5</v>
      </c>
      <c r="H11" s="22">
        <f>$L$6*$L$8*7.63</f>
        <v>7.63</v>
      </c>
      <c r="I11" s="18">
        <f t="shared" si="0"/>
        <v>38.15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x14ac:dyDescent="0.3">
      <c r="A12" s="1"/>
      <c r="B12" s="50"/>
      <c r="C12" s="61" t="s">
        <v>12</v>
      </c>
      <c r="D12" s="62"/>
      <c r="E12" s="62"/>
      <c r="F12" s="19" t="s">
        <v>11</v>
      </c>
      <c r="G12" s="20">
        <v>2</v>
      </c>
      <c r="H12" s="21">
        <f>$L$6*$L$8*90*2</f>
        <v>180</v>
      </c>
      <c r="I12" s="18">
        <f t="shared" si="0"/>
        <v>360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.5" x14ac:dyDescent="0.3">
      <c r="A13" s="1"/>
      <c r="B13" s="50"/>
      <c r="C13" s="61" t="s">
        <v>14</v>
      </c>
      <c r="D13" s="62"/>
      <c r="E13" s="62"/>
      <c r="F13" s="19" t="s">
        <v>15</v>
      </c>
      <c r="G13" s="20">
        <v>10</v>
      </c>
      <c r="H13" s="21">
        <f>$L$6*$L$8*10.26</f>
        <v>10.26</v>
      </c>
      <c r="I13" s="18">
        <f t="shared" si="0"/>
        <v>102.6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6.5" x14ac:dyDescent="0.3">
      <c r="A14" s="1"/>
      <c r="B14" s="51"/>
      <c r="C14" s="61" t="s">
        <v>13</v>
      </c>
      <c r="D14" s="62"/>
      <c r="E14" s="62"/>
      <c r="F14" s="19" t="s">
        <v>7</v>
      </c>
      <c r="G14" s="20">
        <v>1</v>
      </c>
      <c r="H14" s="30">
        <f>0.1*SUM(I6:I13)</f>
        <v>175.07797152542375</v>
      </c>
      <c r="I14" s="18">
        <f t="shared" si="0"/>
        <v>175.07797152542375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.5" customHeight="1" x14ac:dyDescent="0.3">
      <c r="A15" s="1"/>
      <c r="B15" s="4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6.5" x14ac:dyDescent="0.3">
      <c r="A16" s="1"/>
      <c r="B16" s="47" t="s">
        <v>39</v>
      </c>
      <c r="C16" s="58" t="s">
        <v>59</v>
      </c>
      <c r="D16" s="58"/>
      <c r="E16" s="58"/>
      <c r="F16" s="58"/>
      <c r="G16" s="58"/>
      <c r="H16" s="58"/>
      <c r="I16" s="14">
        <f>I17</f>
        <v>2850.6211949152544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09.5" customHeight="1" x14ac:dyDescent="0.3">
      <c r="A17" s="1"/>
      <c r="B17" s="48" t="s">
        <v>40</v>
      </c>
      <c r="C17" s="67" t="s">
        <v>60</v>
      </c>
      <c r="D17" s="60"/>
      <c r="E17" s="60"/>
      <c r="F17" s="15" t="s">
        <v>7</v>
      </c>
      <c r="G17" s="16">
        <v>1</v>
      </c>
      <c r="H17" s="17">
        <f>SUM(I18:I30)</f>
        <v>2850.6211949152544</v>
      </c>
      <c r="I17" s="17">
        <f>H17*G17</f>
        <v>2850.6211949152544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6.5" customHeight="1" x14ac:dyDescent="0.3">
      <c r="A18" s="1"/>
      <c r="B18" s="49" t="s">
        <v>24</v>
      </c>
      <c r="C18" s="52" t="s">
        <v>33</v>
      </c>
      <c r="D18" s="52"/>
      <c r="E18" s="53"/>
      <c r="F18" s="32" t="s">
        <v>16</v>
      </c>
      <c r="G18" s="33">
        <v>1</v>
      </c>
      <c r="H18" s="23">
        <f>$L$6*$L$7*$L$8*404.32</f>
        <v>1471.7248</v>
      </c>
      <c r="I18" s="18">
        <f t="shared" ref="I18:I27" si="1">G18*H18</f>
        <v>1471.7248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6.5" x14ac:dyDescent="0.3">
      <c r="A19" s="1"/>
      <c r="B19" s="50"/>
      <c r="C19" s="52" t="s">
        <v>31</v>
      </c>
      <c r="D19" s="52"/>
      <c r="E19" s="53"/>
      <c r="F19" s="32" t="s">
        <v>16</v>
      </c>
      <c r="G19" s="33">
        <v>1</v>
      </c>
      <c r="H19" s="23">
        <f>$L$6*$L$7*$L$8*32.88</f>
        <v>119.68320000000001</v>
      </c>
      <c r="I19" s="18">
        <f t="shared" si="1"/>
        <v>119.68320000000001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6.5" x14ac:dyDescent="0.25">
      <c r="B20" s="50"/>
      <c r="C20" s="52" t="s">
        <v>32</v>
      </c>
      <c r="D20" s="52"/>
      <c r="E20" s="53"/>
      <c r="F20" s="32" t="s">
        <v>16</v>
      </c>
      <c r="G20" s="33">
        <v>1</v>
      </c>
      <c r="H20" s="23">
        <f>$L$6*$L$7*$L$8*99.3</f>
        <v>361.452</v>
      </c>
      <c r="I20" s="18">
        <f t="shared" si="1"/>
        <v>361.452</v>
      </c>
    </row>
    <row r="21" spans="1:20" ht="16.5" x14ac:dyDescent="0.25">
      <c r="B21" s="50"/>
      <c r="C21" s="52" t="s">
        <v>25</v>
      </c>
      <c r="D21" s="52"/>
      <c r="E21" s="53"/>
      <c r="F21" s="32" t="s">
        <v>16</v>
      </c>
      <c r="G21" s="33">
        <v>3</v>
      </c>
      <c r="H21" s="23">
        <f>$L$6*$L$8*13</f>
        <v>13</v>
      </c>
      <c r="I21" s="18">
        <f t="shared" si="1"/>
        <v>39</v>
      </c>
    </row>
    <row r="22" spans="1:20" ht="16.5" x14ac:dyDescent="0.25">
      <c r="B22" s="50"/>
      <c r="C22" s="52" t="s">
        <v>26</v>
      </c>
      <c r="D22" s="52"/>
      <c r="E22" s="53"/>
      <c r="F22" s="32" t="s">
        <v>16</v>
      </c>
      <c r="G22" s="33">
        <v>3</v>
      </c>
      <c r="H22" s="23">
        <f>$L$6*$L$8*16</f>
        <v>16</v>
      </c>
      <c r="I22" s="18">
        <f t="shared" si="1"/>
        <v>48</v>
      </c>
    </row>
    <row r="23" spans="1:20" ht="16.5" x14ac:dyDescent="0.25">
      <c r="B23" s="50"/>
      <c r="C23" s="52" t="s">
        <v>17</v>
      </c>
      <c r="D23" s="52"/>
      <c r="E23" s="53"/>
      <c r="F23" s="32" t="s">
        <v>16</v>
      </c>
      <c r="G23" s="33">
        <v>20</v>
      </c>
      <c r="H23" s="23">
        <f>$L$6*$L$8*1.9</f>
        <v>1.9</v>
      </c>
      <c r="I23" s="18">
        <f t="shared" si="1"/>
        <v>38</v>
      </c>
    </row>
    <row r="24" spans="1:20" ht="16.5" x14ac:dyDescent="0.25">
      <c r="B24" s="50"/>
      <c r="C24" s="52" t="s">
        <v>18</v>
      </c>
      <c r="D24" s="52"/>
      <c r="E24" s="53"/>
      <c r="F24" s="32" t="s">
        <v>16</v>
      </c>
      <c r="G24" s="33">
        <v>1</v>
      </c>
      <c r="H24" s="23">
        <f>$L$6*$L$8*10</f>
        <v>10</v>
      </c>
      <c r="I24" s="18">
        <f t="shared" si="1"/>
        <v>10</v>
      </c>
    </row>
    <row r="25" spans="1:20" ht="16.5" x14ac:dyDescent="0.25">
      <c r="B25" s="50"/>
      <c r="C25" s="63" t="s">
        <v>27</v>
      </c>
      <c r="D25" s="63"/>
      <c r="E25" s="64"/>
      <c r="F25" s="34" t="s">
        <v>16</v>
      </c>
      <c r="G25" s="35">
        <v>0.5</v>
      </c>
      <c r="H25" s="24">
        <f>$L$6*$L$8*18.64</f>
        <v>18.64</v>
      </c>
      <c r="I25" s="18">
        <f t="shared" si="1"/>
        <v>9.32</v>
      </c>
    </row>
    <row r="26" spans="1:20" ht="16.5" x14ac:dyDescent="0.25">
      <c r="B26" s="50"/>
      <c r="C26" s="63" t="s">
        <v>28</v>
      </c>
      <c r="D26" s="63"/>
      <c r="E26" s="64"/>
      <c r="F26" s="34" t="s">
        <v>16</v>
      </c>
      <c r="G26" s="35">
        <v>0.5</v>
      </c>
      <c r="H26" s="24">
        <f>$L$6*$L$8*5.93</f>
        <v>5.93</v>
      </c>
      <c r="I26" s="18">
        <f t="shared" si="1"/>
        <v>2.9649999999999999</v>
      </c>
    </row>
    <row r="27" spans="1:20" ht="16.5" x14ac:dyDescent="0.25">
      <c r="B27" s="50"/>
      <c r="C27" s="54" t="s">
        <v>29</v>
      </c>
      <c r="D27" s="54"/>
      <c r="E27" s="55"/>
      <c r="F27" s="36" t="s">
        <v>16</v>
      </c>
      <c r="G27" s="37">
        <v>3</v>
      </c>
      <c r="H27" s="38">
        <f>$L$6*$L$8*11.3/1.18</f>
        <v>9.5762711864406782</v>
      </c>
      <c r="I27" s="18">
        <f t="shared" si="1"/>
        <v>28.728813559322035</v>
      </c>
    </row>
    <row r="28" spans="1:20" ht="16.5" x14ac:dyDescent="0.25">
      <c r="B28" s="50"/>
      <c r="C28" s="61" t="s">
        <v>12</v>
      </c>
      <c r="D28" s="62"/>
      <c r="E28" s="62"/>
      <c r="F28" s="19" t="s">
        <v>11</v>
      </c>
      <c r="G28" s="20">
        <v>2</v>
      </c>
      <c r="H28" s="21">
        <f>$L$6*$L$8*180</f>
        <v>180</v>
      </c>
      <c r="I28" s="39">
        <f>G28*H28</f>
        <v>360</v>
      </c>
    </row>
    <row r="29" spans="1:20" ht="16.5" x14ac:dyDescent="0.25">
      <c r="B29" s="50"/>
      <c r="C29" s="61" t="s">
        <v>14</v>
      </c>
      <c r="D29" s="62"/>
      <c r="E29" s="62"/>
      <c r="F29" s="19" t="s">
        <v>15</v>
      </c>
      <c r="G29" s="20">
        <v>10</v>
      </c>
      <c r="H29" s="21">
        <f>$L$6*$L$8*10.26</f>
        <v>10.26</v>
      </c>
      <c r="I29" s="39">
        <f>G29*H29</f>
        <v>102.6</v>
      </c>
    </row>
    <row r="30" spans="1:20" ht="16.5" x14ac:dyDescent="0.25">
      <c r="B30" s="51"/>
      <c r="C30" s="65" t="s">
        <v>13</v>
      </c>
      <c r="D30" s="66"/>
      <c r="E30" s="66"/>
      <c r="F30" s="40" t="s">
        <v>7</v>
      </c>
      <c r="G30" s="41" t="s">
        <v>30</v>
      </c>
      <c r="H30" s="42" t="s">
        <v>30</v>
      </c>
      <c r="I30" s="42">
        <f>0.1*SUM(I18:I29)</f>
        <v>259.14738135593223</v>
      </c>
    </row>
    <row r="32" spans="1:20" ht="16.5" customHeight="1" x14ac:dyDescent="0.25"/>
    <row r="46" ht="180.75" customHeight="1" x14ac:dyDescent="0.25"/>
    <row r="66" ht="163.5" customHeight="1" x14ac:dyDescent="0.25"/>
  </sheetData>
  <mergeCells count="30">
    <mergeCell ref="B6:B14"/>
    <mergeCell ref="C6:E6"/>
    <mergeCell ref="C7:E7"/>
    <mergeCell ref="C8:E8"/>
    <mergeCell ref="C9:E9"/>
    <mergeCell ref="C10:E10"/>
    <mergeCell ref="C17:E17"/>
    <mergeCell ref="C2:E2"/>
    <mergeCell ref="C3:H3"/>
    <mergeCell ref="C4:H4"/>
    <mergeCell ref="C5:E5"/>
    <mergeCell ref="C11:E11"/>
    <mergeCell ref="C12:E12"/>
    <mergeCell ref="C13:E13"/>
    <mergeCell ref="C14:E14"/>
    <mergeCell ref="C16:H16"/>
    <mergeCell ref="B18:B30"/>
    <mergeCell ref="C27:E27"/>
    <mergeCell ref="C28:E28"/>
    <mergeCell ref="C29:E29"/>
    <mergeCell ref="C30:E30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showGridLines="0" tabSelected="1" zoomScale="85" zoomScaleNormal="85" workbookViewId="0">
      <selection activeCell="I31" sqref="B2:I31"/>
    </sheetView>
  </sheetViews>
  <sheetFormatPr baseColWidth="10" defaultRowHeight="15" x14ac:dyDescent="0.25"/>
  <cols>
    <col min="1" max="1" width="5" style="89" customWidth="1"/>
    <col min="2" max="2" width="10.28515625" style="89" customWidth="1"/>
    <col min="3" max="4" width="30.85546875" style="89" customWidth="1"/>
    <col min="5" max="5" width="34.85546875" style="89" customWidth="1"/>
    <col min="6" max="6" width="5.7109375" style="89" customWidth="1"/>
    <col min="7" max="7" width="6.7109375" style="89" bestFit="1" customWidth="1"/>
    <col min="8" max="8" width="19.42578125" style="89" hidden="1" customWidth="1"/>
    <col min="9" max="9" width="16.140625" style="89" bestFit="1" customWidth="1"/>
    <col min="10" max="10" width="43.42578125" style="89" customWidth="1"/>
    <col min="11" max="11" width="32.5703125" style="89" bestFit="1" customWidth="1"/>
    <col min="12" max="16384" width="11.42578125" style="89"/>
  </cols>
  <sheetData>
    <row r="1" spans="1:20" ht="9" customHeight="1" x14ac:dyDescent="0.25"/>
    <row r="2" spans="1:20" ht="25.5" customHeight="1" x14ac:dyDescent="0.25">
      <c r="A2" s="90"/>
      <c r="B2" s="91" t="s">
        <v>0</v>
      </c>
      <c r="C2" s="92" t="s">
        <v>1</v>
      </c>
      <c r="D2" s="92"/>
      <c r="E2" s="92"/>
      <c r="F2" s="91" t="s">
        <v>2</v>
      </c>
      <c r="G2" s="93" t="s">
        <v>3</v>
      </c>
      <c r="H2" s="93" t="s">
        <v>4</v>
      </c>
      <c r="I2" s="91" t="s">
        <v>5</v>
      </c>
      <c r="J2" s="90"/>
      <c r="K2" s="90"/>
      <c r="L2" s="90"/>
      <c r="M2" s="94"/>
      <c r="N2" s="94"/>
      <c r="O2" s="94"/>
      <c r="P2" s="94"/>
      <c r="Q2" s="94"/>
      <c r="R2" s="94"/>
      <c r="S2" s="90"/>
      <c r="T2" s="90"/>
    </row>
    <row r="3" spans="1:20" ht="35.25" customHeight="1" x14ac:dyDescent="0.25">
      <c r="A3" s="90"/>
      <c r="B3" s="95" t="s">
        <v>6</v>
      </c>
      <c r="C3" s="135" t="s">
        <v>48</v>
      </c>
      <c r="D3" s="136"/>
      <c r="E3" s="136"/>
      <c r="F3" s="136"/>
      <c r="G3" s="136"/>
      <c r="H3" s="136"/>
      <c r="I3" s="137"/>
      <c r="J3" s="90"/>
      <c r="K3" s="90"/>
      <c r="L3" s="90"/>
      <c r="M3" s="94"/>
      <c r="N3" s="94"/>
      <c r="O3" s="94"/>
      <c r="P3" s="94"/>
      <c r="Q3" s="94"/>
      <c r="R3" s="94"/>
    </row>
    <row r="4" spans="1:20" ht="38.25" customHeight="1" x14ac:dyDescent="0.25">
      <c r="A4" s="90"/>
      <c r="B4" s="96" t="s">
        <v>34</v>
      </c>
      <c r="C4" s="97" t="s">
        <v>23</v>
      </c>
      <c r="D4" s="97"/>
      <c r="E4" s="97"/>
      <c r="F4" s="97"/>
      <c r="G4" s="97"/>
      <c r="H4" s="97"/>
      <c r="I4" s="98">
        <f>I5</f>
        <v>2599.91</v>
      </c>
      <c r="J4" s="90"/>
      <c r="K4" s="90"/>
      <c r="L4" s="90"/>
      <c r="M4" s="94"/>
      <c r="N4" s="94"/>
      <c r="O4" s="94"/>
      <c r="P4" s="94"/>
      <c r="Q4" s="94"/>
      <c r="R4" s="94"/>
    </row>
    <row r="5" spans="1:20" ht="189.75" customHeight="1" x14ac:dyDescent="0.25">
      <c r="B5" s="99" t="s">
        <v>35</v>
      </c>
      <c r="C5" s="100" t="s">
        <v>68</v>
      </c>
      <c r="D5" s="101"/>
      <c r="E5" s="101"/>
      <c r="F5" s="102" t="s">
        <v>7</v>
      </c>
      <c r="G5" s="103">
        <v>1</v>
      </c>
      <c r="H5" s="104">
        <v>2599.91</v>
      </c>
      <c r="I5" s="104">
        <f>H5*G5</f>
        <v>2599.91</v>
      </c>
      <c r="J5" s="105">
        <f>+I5-2472</f>
        <v>127.90999999999985</v>
      </c>
      <c r="M5" s="94"/>
      <c r="N5" s="94"/>
      <c r="O5" s="94"/>
      <c r="P5" s="94"/>
      <c r="Q5" s="94"/>
      <c r="R5" s="94"/>
    </row>
    <row r="6" spans="1:20" ht="16.5" customHeight="1" x14ac:dyDescent="0.25">
      <c r="B6" s="106"/>
      <c r="C6" s="100" t="s">
        <v>64</v>
      </c>
      <c r="D6" s="100"/>
      <c r="E6" s="100"/>
      <c r="F6" s="102" t="s">
        <v>16</v>
      </c>
      <c r="G6" s="103">
        <v>3</v>
      </c>
      <c r="H6" s="107">
        <f>$L$6*$L$7*$L$8*90.69</f>
        <v>445.65066000000002</v>
      </c>
      <c r="I6" s="108"/>
      <c r="K6" s="109" t="s">
        <v>8</v>
      </c>
      <c r="L6" s="110">
        <v>1</v>
      </c>
    </row>
    <row r="7" spans="1:20" x14ac:dyDescent="0.25">
      <c r="B7" s="106"/>
      <c r="C7" s="100" t="s">
        <v>65</v>
      </c>
      <c r="D7" s="100"/>
      <c r="E7" s="100"/>
      <c r="F7" s="102" t="s">
        <v>16</v>
      </c>
      <c r="G7" s="103">
        <v>1</v>
      </c>
      <c r="H7" s="107">
        <f>$L$6*$L$7*$L$8*20/1.18</f>
        <v>83.28813559322036</v>
      </c>
      <c r="I7" s="111"/>
      <c r="K7" s="112" t="s">
        <v>9</v>
      </c>
      <c r="L7" s="113">
        <v>3.64</v>
      </c>
    </row>
    <row r="8" spans="1:20" x14ac:dyDescent="0.25">
      <c r="B8" s="106"/>
      <c r="C8" s="100" t="s">
        <v>17</v>
      </c>
      <c r="D8" s="100"/>
      <c r="E8" s="100"/>
      <c r="F8" s="102" t="s">
        <v>16</v>
      </c>
      <c r="G8" s="103">
        <v>20</v>
      </c>
      <c r="H8" s="107">
        <f>$L$6*$L$8*1.9</f>
        <v>2.5649999999999999</v>
      </c>
      <c r="I8" s="111"/>
      <c r="K8" s="114" t="s">
        <v>10</v>
      </c>
      <c r="L8" s="115">
        <v>1.35</v>
      </c>
    </row>
    <row r="9" spans="1:20" ht="16.5" customHeight="1" x14ac:dyDescent="0.25">
      <c r="B9" s="106"/>
      <c r="C9" s="100" t="s">
        <v>18</v>
      </c>
      <c r="D9" s="100"/>
      <c r="E9" s="100"/>
      <c r="F9" s="102" t="s">
        <v>16</v>
      </c>
      <c r="G9" s="103">
        <v>1</v>
      </c>
      <c r="H9" s="107">
        <f>$L$6*$L$8*10</f>
        <v>13.5</v>
      </c>
      <c r="I9" s="111"/>
    </row>
    <row r="10" spans="1:20" ht="16.5" customHeight="1" x14ac:dyDescent="0.25">
      <c r="B10" s="106"/>
      <c r="C10" s="100" t="s">
        <v>66</v>
      </c>
      <c r="D10" s="100"/>
      <c r="E10" s="100"/>
      <c r="F10" s="102" t="s">
        <v>16</v>
      </c>
      <c r="G10" s="103">
        <v>6</v>
      </c>
      <c r="H10" s="107">
        <f>$L$6*$L$8*25</f>
        <v>33.75</v>
      </c>
      <c r="I10" s="111"/>
    </row>
    <row r="11" spans="1:20" ht="16.5" customHeight="1" x14ac:dyDescent="0.25">
      <c r="B11" s="106"/>
      <c r="C11" s="100" t="s">
        <v>19</v>
      </c>
      <c r="D11" s="100"/>
      <c r="E11" s="100"/>
      <c r="F11" s="102" t="s">
        <v>16</v>
      </c>
      <c r="G11" s="103">
        <v>5</v>
      </c>
      <c r="H11" s="107">
        <f>$L$6*$L$8*7.63</f>
        <v>10.300500000000001</v>
      </c>
      <c r="I11" s="116"/>
    </row>
    <row r="12" spans="1:20" hidden="1" x14ac:dyDescent="0.25">
      <c r="B12" s="106"/>
      <c r="C12" s="117" t="s">
        <v>12</v>
      </c>
      <c r="D12" s="117"/>
      <c r="E12" s="117"/>
      <c r="F12" s="118" t="s">
        <v>11</v>
      </c>
      <c r="G12" s="119">
        <v>2</v>
      </c>
      <c r="H12" s="120">
        <f>$L$6*$L$8*90*2</f>
        <v>243.00000000000003</v>
      </c>
      <c r="I12" s="121">
        <f t="shared" ref="I6:I14" si="0">G12*H12</f>
        <v>486.00000000000006</v>
      </c>
    </row>
    <row r="13" spans="1:20" hidden="1" x14ac:dyDescent="0.25">
      <c r="B13" s="106"/>
      <c r="C13" s="117" t="s">
        <v>14</v>
      </c>
      <c r="D13" s="117"/>
      <c r="E13" s="117"/>
      <c r="F13" s="118" t="s">
        <v>15</v>
      </c>
      <c r="G13" s="119">
        <v>10</v>
      </c>
      <c r="H13" s="120">
        <f>$L$6*$L$8*10.26</f>
        <v>13.851000000000001</v>
      </c>
      <c r="I13" s="121">
        <f t="shared" si="0"/>
        <v>138.51000000000002</v>
      </c>
    </row>
    <row r="14" spans="1:20" hidden="1" x14ac:dyDescent="0.25">
      <c r="B14" s="106"/>
      <c r="C14" s="117" t="s">
        <v>13</v>
      </c>
      <c r="D14" s="117"/>
      <c r="E14" s="117"/>
      <c r="F14" s="118" t="s">
        <v>7</v>
      </c>
      <c r="G14" s="119">
        <v>1</v>
      </c>
      <c r="H14" s="122">
        <f>0.1*SUM(I6:I13)</f>
        <v>62.451000000000015</v>
      </c>
      <c r="I14" s="121">
        <f t="shared" si="0"/>
        <v>62.451000000000015</v>
      </c>
    </row>
    <row r="15" spans="1:20" ht="16.5" hidden="1" customHeight="1" x14ac:dyDescent="0.25">
      <c r="B15" s="123"/>
    </row>
    <row r="16" spans="1:20" ht="27.75" customHeight="1" x14ac:dyDescent="0.25">
      <c r="B16" s="124" t="s">
        <v>39</v>
      </c>
      <c r="C16" s="125" t="s">
        <v>59</v>
      </c>
      <c r="D16" s="125"/>
      <c r="E16" s="125"/>
      <c r="F16" s="125"/>
      <c r="G16" s="125"/>
      <c r="H16" s="125"/>
      <c r="I16" s="126">
        <f>I17</f>
        <v>3848.34</v>
      </c>
    </row>
    <row r="17" spans="2:9" ht="109.5" customHeight="1" x14ac:dyDescent="0.25">
      <c r="B17" s="99" t="s">
        <v>40</v>
      </c>
      <c r="C17" s="100" t="s">
        <v>67</v>
      </c>
      <c r="D17" s="101"/>
      <c r="E17" s="101"/>
      <c r="F17" s="102" t="s">
        <v>7</v>
      </c>
      <c r="G17" s="103">
        <v>1</v>
      </c>
      <c r="H17" s="104">
        <v>3848.34</v>
      </c>
      <c r="I17" s="104">
        <f>H17*G17</f>
        <v>3848.34</v>
      </c>
    </row>
    <row r="18" spans="2:9" ht="16.5" customHeight="1" x14ac:dyDescent="0.25">
      <c r="B18" s="106"/>
      <c r="C18" s="100" t="s">
        <v>61</v>
      </c>
      <c r="D18" s="100"/>
      <c r="E18" s="100"/>
      <c r="F18" s="102" t="s">
        <v>16</v>
      </c>
      <c r="G18" s="103">
        <v>1</v>
      </c>
      <c r="H18" s="127">
        <f>$L$6*$L$7*$L$8*404.32</f>
        <v>1986.8284800000001</v>
      </c>
      <c r="I18" s="128"/>
    </row>
    <row r="19" spans="2:9" x14ac:dyDescent="0.25">
      <c r="B19" s="106"/>
      <c r="C19" s="100" t="s">
        <v>62</v>
      </c>
      <c r="D19" s="100"/>
      <c r="E19" s="100"/>
      <c r="F19" s="102" t="s">
        <v>16</v>
      </c>
      <c r="G19" s="103">
        <v>1</v>
      </c>
      <c r="H19" s="127">
        <f>$L$6*$L$7*$L$8*32.88</f>
        <v>161.57232000000002</v>
      </c>
      <c r="I19" s="128"/>
    </row>
    <row r="20" spans="2:9" x14ac:dyDescent="0.25">
      <c r="B20" s="106"/>
      <c r="C20" s="100" t="s">
        <v>63</v>
      </c>
      <c r="D20" s="100"/>
      <c r="E20" s="100"/>
      <c r="F20" s="102" t="s">
        <v>16</v>
      </c>
      <c r="G20" s="103">
        <v>1</v>
      </c>
      <c r="H20" s="127">
        <f>$L$6*$L$7*$L$8*99.3</f>
        <v>487.96020000000004</v>
      </c>
      <c r="I20" s="128"/>
    </row>
    <row r="21" spans="2:9" x14ac:dyDescent="0.25">
      <c r="B21" s="106"/>
      <c r="C21" s="100" t="s">
        <v>25</v>
      </c>
      <c r="D21" s="100"/>
      <c r="E21" s="100"/>
      <c r="F21" s="102" t="s">
        <v>16</v>
      </c>
      <c r="G21" s="103">
        <v>3</v>
      </c>
      <c r="H21" s="127">
        <f>$L$6*$L$8*13</f>
        <v>17.55</v>
      </c>
      <c r="I21" s="128"/>
    </row>
    <row r="22" spans="2:9" x14ac:dyDescent="0.25">
      <c r="B22" s="106"/>
      <c r="C22" s="100" t="s">
        <v>26</v>
      </c>
      <c r="D22" s="100"/>
      <c r="E22" s="100"/>
      <c r="F22" s="102" t="s">
        <v>16</v>
      </c>
      <c r="G22" s="103">
        <v>3</v>
      </c>
      <c r="H22" s="127">
        <f>$L$6*$L$8*16</f>
        <v>21.6</v>
      </c>
      <c r="I22" s="128"/>
    </row>
    <row r="23" spans="2:9" x14ac:dyDescent="0.25">
      <c r="B23" s="106"/>
      <c r="C23" s="100" t="s">
        <v>17</v>
      </c>
      <c r="D23" s="100"/>
      <c r="E23" s="100"/>
      <c r="F23" s="102" t="s">
        <v>16</v>
      </c>
      <c r="G23" s="103">
        <v>20</v>
      </c>
      <c r="H23" s="127">
        <f>$L$6*$L$8*1.9</f>
        <v>2.5649999999999999</v>
      </c>
      <c r="I23" s="128"/>
    </row>
    <row r="24" spans="2:9" x14ac:dyDescent="0.25">
      <c r="B24" s="106"/>
      <c r="C24" s="100" t="s">
        <v>18</v>
      </c>
      <c r="D24" s="100"/>
      <c r="E24" s="100"/>
      <c r="F24" s="102" t="s">
        <v>16</v>
      </c>
      <c r="G24" s="103">
        <v>1</v>
      </c>
      <c r="H24" s="127">
        <f>$L$6*$L$8*10</f>
        <v>13.5</v>
      </c>
      <c r="I24" s="128"/>
    </row>
    <row r="25" spans="2:9" x14ac:dyDescent="0.25">
      <c r="B25" s="106"/>
      <c r="C25" s="100" t="s">
        <v>27</v>
      </c>
      <c r="D25" s="100"/>
      <c r="E25" s="100"/>
      <c r="F25" s="102" t="s">
        <v>16</v>
      </c>
      <c r="G25" s="103">
        <v>0.5</v>
      </c>
      <c r="H25" s="129">
        <f>$L$6*$L$8*18.64</f>
        <v>25.164000000000001</v>
      </c>
      <c r="I25" s="128"/>
    </row>
    <row r="26" spans="2:9" x14ac:dyDescent="0.25">
      <c r="B26" s="106"/>
      <c r="C26" s="100" t="s">
        <v>28</v>
      </c>
      <c r="D26" s="100"/>
      <c r="E26" s="100"/>
      <c r="F26" s="102" t="s">
        <v>16</v>
      </c>
      <c r="G26" s="103">
        <v>0.5</v>
      </c>
      <c r="H26" s="129">
        <f>$L$6*$L$8*5.93</f>
        <v>8.0054999999999996</v>
      </c>
      <c r="I26" s="128"/>
    </row>
    <row r="27" spans="2:9" x14ac:dyDescent="0.25">
      <c r="B27" s="106"/>
      <c r="C27" s="100" t="s">
        <v>29</v>
      </c>
      <c r="D27" s="100"/>
      <c r="E27" s="100"/>
      <c r="F27" s="102" t="s">
        <v>16</v>
      </c>
      <c r="G27" s="103">
        <v>3</v>
      </c>
      <c r="H27" s="130">
        <f>$L$6*$L$8*11.3/1.18</f>
        <v>12.927966101694919</v>
      </c>
      <c r="I27" s="128"/>
    </row>
    <row r="28" spans="2:9" hidden="1" x14ac:dyDescent="0.25">
      <c r="B28" s="106"/>
      <c r="C28" s="117" t="s">
        <v>12</v>
      </c>
      <c r="D28" s="117"/>
      <c r="E28" s="117"/>
      <c r="F28" s="118" t="s">
        <v>11</v>
      </c>
      <c r="G28" s="119">
        <v>2</v>
      </c>
      <c r="H28" s="120">
        <f>$L$6*$L$8*180</f>
        <v>243.00000000000003</v>
      </c>
      <c r="I28" s="131">
        <f>G28*H28</f>
        <v>486.00000000000006</v>
      </c>
    </row>
    <row r="29" spans="2:9" hidden="1" x14ac:dyDescent="0.25">
      <c r="B29" s="106"/>
      <c r="C29" s="117" t="s">
        <v>14</v>
      </c>
      <c r="D29" s="117"/>
      <c r="E29" s="117"/>
      <c r="F29" s="118" t="s">
        <v>15</v>
      </c>
      <c r="G29" s="119">
        <v>10</v>
      </c>
      <c r="H29" s="120">
        <f>$L$6*$L$8*10.26</f>
        <v>13.851000000000001</v>
      </c>
      <c r="I29" s="131">
        <f>G29*H29</f>
        <v>138.51000000000002</v>
      </c>
    </row>
    <row r="30" spans="2:9" hidden="1" x14ac:dyDescent="0.25">
      <c r="B30" s="106"/>
      <c r="C30" s="117" t="s">
        <v>13</v>
      </c>
      <c r="D30" s="117"/>
      <c r="E30" s="117"/>
      <c r="F30" s="118" t="s">
        <v>7</v>
      </c>
      <c r="G30" s="119" t="s">
        <v>30</v>
      </c>
      <c r="H30" s="122" t="s">
        <v>30</v>
      </c>
      <c r="I30" s="122">
        <f>0.1*SUM(I18:I29)</f>
        <v>62.451000000000015</v>
      </c>
    </row>
    <row r="31" spans="2:9" ht="26.25" customHeight="1" x14ac:dyDescent="0.25">
      <c r="B31" s="132"/>
      <c r="E31" s="133" t="s">
        <v>69</v>
      </c>
      <c r="F31" s="133"/>
      <c r="G31" s="133"/>
      <c r="I31" s="134">
        <f>+I4+I16</f>
        <v>6448.25</v>
      </c>
    </row>
    <row r="32" spans="2:9" ht="16.5" customHeight="1" x14ac:dyDescent="0.25"/>
    <row r="46" ht="180.75" customHeight="1" x14ac:dyDescent="0.25"/>
    <row r="66" ht="163.5" customHeight="1" x14ac:dyDescent="0.25"/>
  </sheetData>
  <mergeCells count="33">
    <mergeCell ref="E31:G31"/>
    <mergeCell ref="C3:I3"/>
    <mergeCell ref="C27:E27"/>
    <mergeCell ref="C28:E28"/>
    <mergeCell ref="C29:E29"/>
    <mergeCell ref="C30:E30"/>
    <mergeCell ref="I18:I27"/>
    <mergeCell ref="I6:I11"/>
    <mergeCell ref="B18:B30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11:E11"/>
    <mergeCell ref="C12:E12"/>
    <mergeCell ref="C13:E13"/>
    <mergeCell ref="C14:E14"/>
    <mergeCell ref="C16:H16"/>
    <mergeCell ref="C17:E17"/>
    <mergeCell ref="C2:E2"/>
    <mergeCell ref="C4:H4"/>
    <mergeCell ref="C5:E5"/>
    <mergeCell ref="B6:B14"/>
    <mergeCell ref="C6:E6"/>
    <mergeCell ref="C7:E7"/>
    <mergeCell ref="C8:E8"/>
    <mergeCell ref="C9:E9"/>
    <mergeCell ref="C10:E10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:D6"/>
    </sheetView>
  </sheetViews>
  <sheetFormatPr baseColWidth="10" defaultRowHeight="15" x14ac:dyDescent="0.25"/>
  <sheetData>
    <row r="1" spans="1:8" ht="18.75" x14ac:dyDescent="0.3">
      <c r="A1" s="72" t="s">
        <v>48</v>
      </c>
      <c r="B1" s="73"/>
      <c r="C1" s="73"/>
      <c r="D1" s="73"/>
      <c r="E1" s="73"/>
      <c r="F1" s="73"/>
      <c r="G1" s="73"/>
      <c r="H1" s="73"/>
    </row>
    <row r="2" spans="1:8" ht="18.75" x14ac:dyDescent="0.3">
      <c r="A2" s="74" t="s">
        <v>51</v>
      </c>
      <c r="B2" s="74"/>
      <c r="C2" s="74"/>
      <c r="D2" s="74"/>
      <c r="E2" s="75" t="s">
        <v>52</v>
      </c>
      <c r="F2" s="76"/>
      <c r="G2" s="76"/>
      <c r="H2" s="76"/>
    </row>
    <row r="3" spans="1:8" x14ac:dyDescent="0.25">
      <c r="A3" s="77"/>
      <c r="B3" s="77"/>
      <c r="C3" s="77"/>
      <c r="D3" s="78"/>
      <c r="E3" s="79">
        <v>0.35</v>
      </c>
      <c r="F3" s="80">
        <v>0.4</v>
      </c>
      <c r="G3" s="80">
        <v>0.45</v>
      </c>
      <c r="H3" s="80">
        <v>0.5</v>
      </c>
    </row>
    <row r="4" spans="1:8" ht="16.5" x14ac:dyDescent="0.25">
      <c r="A4" s="81" t="s">
        <v>51</v>
      </c>
      <c r="B4" s="81"/>
      <c r="C4" s="81"/>
      <c r="D4" s="82">
        <f>D9</f>
        <v>4776.4788816949149</v>
      </c>
      <c r="E4" s="83">
        <f>$D$4*E3</f>
        <v>1671.7676085932201</v>
      </c>
      <c r="F4" s="83">
        <f>$D$4*F3</f>
        <v>1910.5915526779661</v>
      </c>
      <c r="G4" s="83">
        <f>$D$4*G3</f>
        <v>2149.4154967627119</v>
      </c>
      <c r="H4" s="83">
        <f>$D$4*H3</f>
        <v>2388.2394408474574</v>
      </c>
    </row>
    <row r="5" spans="1:8" x14ac:dyDescent="0.25">
      <c r="A5" s="81"/>
      <c r="B5" s="81"/>
      <c r="C5" s="81"/>
      <c r="D5" s="84" t="s">
        <v>53</v>
      </c>
      <c r="E5" s="85">
        <f>$D$4+E4</f>
        <v>6448.2464902881347</v>
      </c>
      <c r="F5" s="85">
        <f t="shared" ref="F5:H5" si="0">$D$4+F4</f>
        <v>6687.0704343728812</v>
      </c>
      <c r="G5" s="85">
        <f t="shared" si="0"/>
        <v>6925.8943784576268</v>
      </c>
      <c r="H5" s="85">
        <f t="shared" si="0"/>
        <v>7164.7183225423723</v>
      </c>
    </row>
    <row r="6" spans="1:8" x14ac:dyDescent="0.25">
      <c r="A6" s="81"/>
      <c r="B6" s="81"/>
      <c r="C6" s="81"/>
      <c r="D6" s="84"/>
      <c r="E6" s="85"/>
      <c r="F6" s="85"/>
      <c r="G6" s="85"/>
      <c r="H6" s="85"/>
    </row>
    <row r="7" spans="1:8" x14ac:dyDescent="0.25">
      <c r="E7" s="86" t="s">
        <v>54</v>
      </c>
      <c r="F7" s="87" t="s">
        <v>55</v>
      </c>
      <c r="G7" s="87" t="s">
        <v>56</v>
      </c>
      <c r="H7" s="87" t="s">
        <v>57</v>
      </c>
    </row>
    <row r="8" spans="1:8" x14ac:dyDescent="0.25">
      <c r="E8" s="88" t="s">
        <v>58</v>
      </c>
    </row>
    <row r="9" spans="1:8" x14ac:dyDescent="0.25">
      <c r="D9">
        <v>4776.4788816949149</v>
      </c>
    </row>
  </sheetData>
  <mergeCells count="9">
    <mergeCell ref="A1:H1"/>
    <mergeCell ref="A2:D2"/>
    <mergeCell ref="E2:H2"/>
    <mergeCell ref="A4:C6"/>
    <mergeCell ref="D5:D6"/>
    <mergeCell ref="E5:E6"/>
    <mergeCell ref="F5:F6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HERCO LURIN</vt:lpstr>
      <vt:lpstr>HERCO 2da PROPUESTA</vt:lpstr>
      <vt:lpstr>HERCO 2da PROPUESTA (LA)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Juarez A</dc:creator>
  <cp:lastModifiedBy>PC</cp:lastModifiedBy>
  <dcterms:created xsi:type="dcterms:W3CDTF">2020-07-16T05:01:11Z</dcterms:created>
  <dcterms:modified xsi:type="dcterms:W3CDTF">2021-01-28T18:23:35Z</dcterms:modified>
</cp:coreProperties>
</file>