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ALORIZACIONES\"/>
    </mc:Choice>
  </mc:AlternateContent>
  <bookViews>
    <workbookView minimized="1" xWindow="0" yWindow="0" windowWidth="20490" windowHeight="6450"/>
  </bookViews>
  <sheets>
    <sheet name="HERCO LURIN (LA)" sheetId="3" r:id="rId1"/>
    <sheet name="HERCO LURIN" sheetId="1" r:id="rId2"/>
    <sheet name="Hoja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0" i="3" l="1"/>
  <c r="I34" i="3"/>
  <c r="I17" i="3"/>
  <c r="I5" i="3"/>
  <c r="J41" i="1"/>
  <c r="J33" i="1"/>
  <c r="J16" i="1"/>
  <c r="J4" i="1"/>
  <c r="E5" i="2"/>
  <c r="I36" i="1"/>
  <c r="I38" i="1"/>
  <c r="H6" i="1"/>
  <c r="D4" i="2"/>
  <c r="E4" i="2" s="1"/>
  <c r="H11" i="1"/>
  <c r="H12" i="1"/>
  <c r="H13" i="1"/>
  <c r="H7" i="3"/>
  <c r="H6" i="3"/>
  <c r="H38" i="3"/>
  <c r="I38" i="3" s="1"/>
  <c r="H37" i="3"/>
  <c r="I37" i="3" s="1"/>
  <c r="I39" i="3" s="1"/>
  <c r="H35" i="3"/>
  <c r="H30" i="3"/>
  <c r="I30" i="3" s="1"/>
  <c r="H29" i="3"/>
  <c r="I29" i="3" s="1"/>
  <c r="H28" i="3"/>
  <c r="H27" i="3"/>
  <c r="H26" i="3"/>
  <c r="H25" i="3"/>
  <c r="H24" i="3"/>
  <c r="H23" i="3"/>
  <c r="H22" i="3"/>
  <c r="H21" i="3"/>
  <c r="H20" i="3"/>
  <c r="H19" i="3"/>
  <c r="H18" i="3"/>
  <c r="H13" i="3"/>
  <c r="I13" i="3" s="1"/>
  <c r="H12" i="3"/>
  <c r="I12" i="3" s="1"/>
  <c r="H11" i="3"/>
  <c r="H10" i="3"/>
  <c r="H9" i="3"/>
  <c r="H8" i="3"/>
  <c r="H14" i="3" l="1"/>
  <c r="I14" i="3"/>
  <c r="H5" i="3" s="1"/>
  <c r="I4" i="3" s="1"/>
  <c r="H34" i="3"/>
  <c r="I33" i="3" s="1"/>
  <c r="I31" i="3"/>
  <c r="H17" i="3" s="1"/>
  <c r="I16" i="3" s="1"/>
  <c r="H35" i="1" l="1"/>
  <c r="I35" i="1" l="1"/>
  <c r="H28" i="1"/>
  <c r="H27" i="1"/>
  <c r="I27" i="1" s="1"/>
  <c r="H22" i="1"/>
  <c r="I22" i="1" s="1"/>
  <c r="H21" i="1"/>
  <c r="I21" i="1" s="1"/>
  <c r="H10" i="1"/>
  <c r="H38" i="1" l="1"/>
  <c r="H37" i="1"/>
  <c r="I37" i="1" s="1"/>
  <c r="I39" i="1" s="1"/>
  <c r="H18" i="1"/>
  <c r="I18" i="1" s="1"/>
  <c r="H30" i="1"/>
  <c r="I30" i="1" s="1"/>
  <c r="H29" i="1"/>
  <c r="I29" i="1" s="1"/>
  <c r="I28" i="1"/>
  <c r="H26" i="1"/>
  <c r="I26" i="1" s="1"/>
  <c r="H25" i="1"/>
  <c r="I25" i="1" s="1"/>
  <c r="H24" i="1"/>
  <c r="I24" i="1" s="1"/>
  <c r="H23" i="1"/>
  <c r="I23" i="1" s="1"/>
  <c r="H20" i="1"/>
  <c r="I20" i="1" s="1"/>
  <c r="H19" i="1"/>
  <c r="I19" i="1" s="1"/>
  <c r="H34" i="1" l="1"/>
  <c r="I31" i="1"/>
  <c r="I34" i="1" l="1"/>
  <c r="I33" i="1" s="1"/>
  <c r="H17" i="1"/>
  <c r="I17" i="1" s="1"/>
  <c r="I16" i="1" s="1"/>
  <c r="I13" i="1" l="1"/>
  <c r="I12" i="1"/>
  <c r="I11" i="1" l="1"/>
  <c r="I10" i="1"/>
  <c r="H9" i="1"/>
  <c r="I9" i="1" s="1"/>
  <c r="H8" i="1"/>
  <c r="I8" i="1" s="1"/>
  <c r="H7" i="1"/>
  <c r="I7" i="1" s="1"/>
  <c r="I6" i="1"/>
  <c r="H14" i="1" l="1"/>
  <c r="I14" i="1" s="1"/>
  <c r="H5" i="1"/>
  <c r="I5" i="1" s="1"/>
  <c r="I4" i="1" s="1"/>
  <c r="I3" i="1" s="1"/>
  <c r="E10" i="2" s="1"/>
  <c r="F4" i="2" l="1"/>
  <c r="F5" i="2" s="1"/>
  <c r="H4" i="2"/>
  <c r="H5" i="2" s="1"/>
  <c r="G4" i="2"/>
  <c r="G5" i="2" s="1"/>
</calcChain>
</file>

<file path=xl/sharedStrings.xml><?xml version="1.0" encoding="utf-8"?>
<sst xmlns="http://schemas.openxmlformats.org/spreadsheetml/2006/main" count="185" uniqueCount="75">
  <si>
    <t>ITEM</t>
  </si>
  <si>
    <t>DESCRIPCIÓN</t>
  </si>
  <si>
    <t>UDM</t>
  </si>
  <si>
    <t>CANT.</t>
  </si>
  <si>
    <t>P/UNITARIO</t>
  </si>
  <si>
    <t>PRECIO</t>
  </si>
  <si>
    <t>01.00.00</t>
  </si>
  <si>
    <t>Glb.</t>
  </si>
  <si>
    <t>FACTOR DE VARIACIÓN DE PRECIO</t>
  </si>
  <si>
    <t>FACTOR CONVERTIR A SOLES</t>
  </si>
  <si>
    <t>FACTOR UTILIDAD</t>
  </si>
  <si>
    <t>Dia</t>
  </si>
  <si>
    <t xml:space="preserve">Mano de obra  </t>
  </si>
  <si>
    <t>Otros (10%)</t>
  </si>
  <si>
    <t>COMBUSTIBLE</t>
  </si>
  <si>
    <t>Gal</t>
  </si>
  <si>
    <t>Un.</t>
  </si>
  <si>
    <t>TEFLON AMARILLO</t>
  </si>
  <si>
    <t>FORMADOR DE EMPAQUETADURA</t>
  </si>
  <si>
    <t>Spray color aluminio</t>
  </si>
  <si>
    <r>
      <t xml:space="preserve">Alquiler de andamios </t>
    </r>
    <r>
      <rPr>
        <b/>
        <i/>
        <sz val="11"/>
        <color rgb="FF7030A0"/>
        <rFont val="Arial Narrow"/>
        <family val="2"/>
      </rPr>
      <t>MARCA ACROW NO CERTIFICADO</t>
    </r>
  </si>
  <si>
    <r>
      <t xml:space="preserve">Valvula de venteo DB5 </t>
    </r>
    <r>
      <rPr>
        <b/>
        <i/>
        <sz val="11"/>
        <color theme="5" tint="-0.249977111117893"/>
        <rFont val="Arial Narrow"/>
        <family val="2"/>
      </rPr>
      <t>MARCA AILE</t>
    </r>
  </si>
  <si>
    <r>
      <t xml:space="preserve">Valvula de venteo presión y vacio "Gasohol" </t>
    </r>
    <r>
      <rPr>
        <b/>
        <i/>
        <sz val="11"/>
        <color theme="5" tint="-0.249977111117893"/>
        <rFont val="Arial Narrow"/>
        <family val="2"/>
      </rPr>
      <t>MARCA EMCO</t>
    </r>
  </si>
  <si>
    <t>MANTENIMIENTO Y SUMINISTRO DE ACCESORIOS PARA LAS TUBERIAS DE VENTEO CL</t>
  </si>
  <si>
    <t>METRADO INTERNO</t>
  </si>
  <si>
    <t>NIPLE 3"x4"</t>
  </si>
  <si>
    <t>NIPLE 3"x5"</t>
  </si>
  <si>
    <t>Cemento Sol T1 Sol</t>
  </si>
  <si>
    <t>Yeso 2 kg Martell</t>
  </si>
  <si>
    <t>Topex Concreto Fácil 40 kg</t>
  </si>
  <si>
    <t xml:space="preserve"> -</t>
  </si>
  <si>
    <r>
      <t xml:space="preserve">Tapa de Descarga. 4" </t>
    </r>
    <r>
      <rPr>
        <b/>
        <i/>
        <sz val="11"/>
        <color theme="5" tint="-0.249977111117893"/>
        <rFont val="Arial Narrow"/>
        <family val="2"/>
      </rPr>
      <t>MARCA EMCO</t>
    </r>
  </si>
  <si>
    <r>
      <t xml:space="preserve">Adaptador de  4" </t>
    </r>
    <r>
      <rPr>
        <b/>
        <i/>
        <sz val="11"/>
        <color theme="5" tint="-0.249977111117893"/>
        <rFont val="Arial Narrow"/>
        <family val="2"/>
      </rPr>
      <t>MARCA EMCO</t>
    </r>
  </si>
  <si>
    <r>
      <t xml:space="preserve">SPILL CONTINER. 4" </t>
    </r>
    <r>
      <rPr>
        <b/>
        <i/>
        <sz val="11"/>
        <color theme="5" tint="-0.249977111117893"/>
        <rFont val="Arial Narrow"/>
        <family val="2"/>
      </rPr>
      <t>MARCA EMCO</t>
    </r>
  </si>
  <si>
    <t>01.01.00</t>
  </si>
  <si>
    <t>01.01.01</t>
  </si>
  <si>
    <r>
      <t xml:space="preserve">Alquiler de calibrado </t>
    </r>
    <r>
      <rPr>
        <b/>
        <i/>
        <sz val="11"/>
        <color theme="5" tint="-0.249977111117893"/>
        <rFont val="Arial Narrow"/>
        <family val="2"/>
      </rPr>
      <t>MASICO GLP</t>
    </r>
  </si>
  <si>
    <t>Mano de obra</t>
  </si>
  <si>
    <t>Otros (5%)</t>
  </si>
  <si>
    <t>01.02.00</t>
  </si>
  <si>
    <t>01.02.01</t>
  </si>
  <si>
    <t>01.03.00</t>
  </si>
  <si>
    <t>01.03.01</t>
  </si>
  <si>
    <r>
      <rPr>
        <b/>
        <i/>
        <sz val="11"/>
        <rFont val="Arial Narrow"/>
        <family val="2"/>
      </rPr>
      <t xml:space="preserve">El servicio comprende lo siguiente:
</t>
    </r>
    <r>
      <rPr>
        <sz val="11"/>
        <rFont val="Arial Narrow"/>
        <family val="2"/>
      </rPr>
      <t xml:space="preserve">
- Se realizara excavación manual del concreto donde se encuentra la olla de </t>
    </r>
    <r>
      <rPr>
        <b/>
        <i/>
        <sz val="11"/>
        <rFont val="Arial Narrow"/>
        <family val="2"/>
      </rPr>
      <t>"DESCARGA DE CL G95"</t>
    </r>
    <r>
      <rPr>
        <sz val="11"/>
        <rFont val="Arial Narrow"/>
        <family val="2"/>
      </rPr>
      <t xml:space="preserve">  y se realizara el remplazo del "</t>
    </r>
    <r>
      <rPr>
        <b/>
        <i/>
        <sz val="11"/>
        <rFont val="Arial Narrow"/>
        <family val="2"/>
      </rPr>
      <t>SPILL CONTINER MARCA EMCO WHEATON RETAIL"</t>
    </r>
    <r>
      <rPr>
        <sz val="11"/>
        <rFont val="Arial Narrow"/>
        <family val="2"/>
      </rPr>
      <t>, así como el resane y encofrado de la zona.
- Se realizara pruebas de hermeticidad en tanques y lineas de CL. Producto G95.</t>
    </r>
  </si>
  <si>
    <t>Prueba de hermeticidad tanque y linea</t>
  </si>
  <si>
    <t>CALIBRACIÓN DE SURTIDOR DE GLP Y PRUEBA DE HERMETICIDAD DE LINEAS</t>
  </si>
  <si>
    <r>
      <rPr>
        <b/>
        <i/>
        <sz val="11"/>
        <rFont val="Arial Narrow"/>
        <family val="2"/>
      </rPr>
      <t xml:space="preserve">El servicio comprende lo siguiente:
</t>
    </r>
    <r>
      <rPr>
        <sz val="11"/>
        <rFont val="Arial Narrow"/>
        <family val="2"/>
      </rPr>
      <t xml:space="preserve">
- Servicio de calibración de dispensador de GLP.
- Servicio de hermeticidad de lineas de </t>
    </r>
    <r>
      <rPr>
        <b/>
        <i/>
        <sz val="11"/>
        <rFont val="Arial Narrow"/>
        <family val="2"/>
      </rPr>
      <t>"DESPACHO Y RETORNO DE VAPORES"</t>
    </r>
    <r>
      <rPr>
        <sz val="11"/>
        <rFont val="Arial Narrow"/>
        <family val="2"/>
      </rPr>
      <t xml:space="preserve"> y </t>
    </r>
    <r>
      <rPr>
        <b/>
        <i/>
        <sz val="11"/>
        <rFont val="Arial Narrow"/>
        <family val="2"/>
      </rPr>
      <t>"ZONA DESCARGA"</t>
    </r>
  </si>
  <si>
    <t xml:space="preserve">Prueba de hermeticidad de lineas </t>
  </si>
  <si>
    <t>LEVANTAMIENTO DE OBESERVACIONES EESS HERCO LURIN</t>
  </si>
  <si>
    <r>
      <rPr>
        <b/>
        <i/>
        <sz val="11"/>
        <rFont val="Arial Narrow"/>
        <family val="2"/>
      </rPr>
      <t>El servicio comprende lo siguiente:</t>
    </r>
    <r>
      <rPr>
        <sz val="11"/>
        <rFont val="Arial Narrow"/>
        <family val="2"/>
      </rPr>
      <t xml:space="preserve">
- Se realizara mantenimiento interno de las tuberias de ventilasion de GASOHOL y DB5.
- Suministro de 3 valvula de preción y vacio de 2" en la "</t>
    </r>
    <r>
      <rPr>
        <b/>
        <i/>
        <sz val="11"/>
        <rFont val="Arial Narrow"/>
        <family val="2"/>
      </rPr>
      <t>MARCA EMCO WHEATON RETAIL"</t>
    </r>
    <r>
      <rPr>
        <sz val="11"/>
        <rFont val="Arial Narrow"/>
        <family val="2"/>
      </rPr>
      <t xml:space="preserve"> para la tuberia de ventilacion de GASOHOL  y 1 valvulas de abiertas en la "</t>
    </r>
    <r>
      <rPr>
        <b/>
        <i/>
        <sz val="11"/>
        <rFont val="Arial Narrow"/>
        <family val="2"/>
      </rPr>
      <t>MARCA AILE "</t>
    </r>
    <r>
      <rPr>
        <sz val="11"/>
        <rFont val="Arial Narrow"/>
        <family val="2"/>
      </rPr>
      <t xml:space="preserve"> para las tuberias de ventilación del  producto DB5.
- Alquiler de andamios en la</t>
    </r>
    <r>
      <rPr>
        <b/>
        <i/>
        <sz val="11"/>
        <rFont val="Arial Narrow"/>
        <family val="2"/>
      </rPr>
      <t xml:space="preserve"> "MARCA ACROW</t>
    </r>
    <r>
      <rPr>
        <sz val="11"/>
        <rFont val="Arial Narrow"/>
        <family val="2"/>
      </rPr>
      <t>" (NO CERTIFICADO), de 5 niveles con sus respectivas bases para trabajos en altura.</t>
    </r>
  </si>
  <si>
    <t xml:space="preserve"> SUMINISTRO E INSTALACION DE SPILL CONTINER DE LA DESCARGA Y PRUEBAS DE HERMETICIDAD DE TANQUE Y LINEA DEL PRODUCTO G95</t>
  </si>
  <si>
    <t>VALORIZACIÓN</t>
  </si>
  <si>
    <t>UTILIDAD</t>
  </si>
  <si>
    <t>OPC 1</t>
  </si>
  <si>
    <t>OPC 2</t>
  </si>
  <si>
    <t>OPC 3</t>
  </si>
  <si>
    <t>OPC 4</t>
  </si>
  <si>
    <t>SUB TOTALES</t>
  </si>
  <si>
    <t>El servicio comprende lo siguiente:
- Se realizara excavación manual del concreto donde se encuentra la olla de "DESCARGA DE CL G95"  y se realizara el remplazo del "SPILL CONTINER MARCA EMCO WHEATON RETAIL", así como el resane y encofrado de la zona.
- Se realizara pruebas de hermeticidad en tanques y lineas de CL. Producto G95.</t>
  </si>
  <si>
    <t>Formador de empaquetadura</t>
  </si>
  <si>
    <t>Teflón Amarillo</t>
  </si>
  <si>
    <t xml:space="preserve">Prueba de hermeticidad de líneas </t>
  </si>
  <si>
    <t>SUMINISTRO E INSTALACIÓN DE SPILL CONTINER DE LA DESCARGA Y PRUEBAS DE HERMETICIDAD DE TANQUE Y LINEA DEL PRODUCTO G95</t>
  </si>
  <si>
    <t>JD</t>
  </si>
  <si>
    <t>TOTAL GENERAL</t>
  </si>
  <si>
    <r>
      <rPr>
        <i/>
        <sz val="11"/>
        <rFont val="Calibri"/>
        <family val="2"/>
        <scheme val="minor"/>
      </rPr>
      <t>El servicio comprende lo siguiente:</t>
    </r>
    <r>
      <rPr>
        <sz val="11"/>
        <rFont val="Calibri"/>
        <family val="2"/>
        <scheme val="minor"/>
      </rPr>
      <t xml:space="preserve">
- Se realizar mantenimiento interno de las tuberias de ventilasion de GASOHOL y DB5.
- Suministro de 3 valvula de preción y vacio de 2" en la "</t>
    </r>
    <r>
      <rPr>
        <i/>
        <sz val="11"/>
        <rFont val="Calibri"/>
        <family val="2"/>
        <scheme val="minor"/>
      </rPr>
      <t>MARCA EMCO WHEATON RETAIL"</t>
    </r>
    <r>
      <rPr>
        <sz val="11"/>
        <rFont val="Calibri"/>
        <family val="2"/>
        <scheme val="minor"/>
      </rPr>
      <t xml:space="preserve"> para la tuberia de ventilacion de GASOHOL  y 1 valvulas de abiertas en la "</t>
    </r>
    <r>
      <rPr>
        <i/>
        <sz val="11"/>
        <rFont val="Calibri"/>
        <family val="2"/>
        <scheme val="minor"/>
      </rPr>
      <t>MARCA AILE "</t>
    </r>
    <r>
      <rPr>
        <sz val="11"/>
        <rFont val="Calibri"/>
        <family val="2"/>
        <scheme val="minor"/>
      </rPr>
      <t xml:space="preserve"> para las tuberias de ventilación del  producto DB5.
- Alquiler de andamios en la</t>
    </r>
    <r>
      <rPr>
        <i/>
        <sz val="11"/>
        <rFont val="Calibri"/>
        <family val="2"/>
        <scheme val="minor"/>
      </rPr>
      <t xml:space="preserve"> "MARCA ACROW</t>
    </r>
    <r>
      <rPr>
        <sz val="11"/>
        <rFont val="Calibri"/>
        <family val="2"/>
        <scheme val="minor"/>
      </rPr>
      <t>" (NO CERTIFICADO), de 5 niveles con sus respectivas bases para trabajos en altura.</t>
    </r>
  </si>
  <si>
    <r>
      <t xml:space="preserve">Valvula de venteo presión y vacio "Gasohol" </t>
    </r>
    <r>
      <rPr>
        <i/>
        <sz val="11"/>
        <rFont val="Calibri"/>
        <family val="2"/>
        <scheme val="minor"/>
      </rPr>
      <t>MARCA EMCO</t>
    </r>
  </si>
  <si>
    <r>
      <t xml:space="preserve">Valvula de venteo DB5 </t>
    </r>
    <r>
      <rPr>
        <i/>
        <sz val="11"/>
        <rFont val="Calibri"/>
        <family val="2"/>
        <scheme val="minor"/>
      </rPr>
      <t>MARCA AILE</t>
    </r>
  </si>
  <si>
    <r>
      <t xml:space="preserve">Alquiler de andamios </t>
    </r>
    <r>
      <rPr>
        <i/>
        <sz val="11"/>
        <rFont val="Calibri"/>
        <family val="2"/>
        <scheme val="minor"/>
      </rPr>
      <t>MARCA ACROW NO CERTIFICADO</t>
    </r>
  </si>
  <si>
    <r>
      <t xml:space="preserve">SPILL CONTINER. 4" </t>
    </r>
    <r>
      <rPr>
        <i/>
        <sz val="11"/>
        <rFont val="Calibri"/>
        <family val="2"/>
        <scheme val="minor"/>
      </rPr>
      <t>MARCA EMCO</t>
    </r>
  </si>
  <si>
    <r>
      <t xml:space="preserve">Tapa de Descarga. 4" </t>
    </r>
    <r>
      <rPr>
        <i/>
        <sz val="11"/>
        <rFont val="Calibri"/>
        <family val="2"/>
        <scheme val="minor"/>
      </rPr>
      <t>MARCA EMCO</t>
    </r>
  </si>
  <si>
    <r>
      <t xml:space="preserve">Adaptador de  4" </t>
    </r>
    <r>
      <rPr>
        <i/>
        <sz val="11"/>
        <rFont val="Calibri"/>
        <family val="2"/>
        <scheme val="minor"/>
      </rPr>
      <t>MARCA EMCO</t>
    </r>
  </si>
  <si>
    <r>
      <rPr>
        <i/>
        <sz val="11"/>
        <rFont val="Calibri"/>
        <family val="2"/>
        <scheme val="minor"/>
      </rPr>
      <t xml:space="preserve">El servicio comprende lo siguiente:
</t>
    </r>
    <r>
      <rPr>
        <sz val="11"/>
        <rFont val="Calibri"/>
        <family val="2"/>
        <scheme val="minor"/>
      </rPr>
      <t xml:space="preserve">
- Servicio de calibración de dispensador de GLP.
- Servicio de hermeticidad de lineas de </t>
    </r>
    <r>
      <rPr>
        <i/>
        <sz val="11"/>
        <rFont val="Calibri"/>
        <family val="2"/>
        <scheme val="minor"/>
      </rPr>
      <t>"DESPACHO Y RETORNO DE VAPORES"</t>
    </r>
    <r>
      <rPr>
        <sz val="11"/>
        <rFont val="Calibri"/>
        <family val="2"/>
        <scheme val="minor"/>
      </rPr>
      <t xml:space="preserve"> y </t>
    </r>
    <r>
      <rPr>
        <i/>
        <sz val="11"/>
        <rFont val="Calibri"/>
        <family val="2"/>
        <scheme val="minor"/>
      </rPr>
      <t>"ZONA DESCARGA"</t>
    </r>
  </si>
  <si>
    <r>
      <t xml:space="preserve">Alquiler de calibrado </t>
    </r>
    <r>
      <rPr>
        <i/>
        <sz val="11"/>
        <rFont val="Calibri"/>
        <family val="2"/>
        <scheme val="minor"/>
      </rPr>
      <t>MASICO GLP</t>
    </r>
  </si>
  <si>
    <t>Prueba de hermeticidad tanque y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</si>
</sst>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S/&quot;* #,##0.00_-;\-&quot;S/&quot;* #,##0.00_-;_-&quot;S/&quot;* &quot;-&quot;??_-;_-@_-"/>
    <numFmt numFmtId="164" formatCode="_(&quot;S/&quot;* #,##0.00_);_(&quot;S/&quot;* \(#,##0.00\);_(&quot;S/&quot;* &quot;-&quot;??_);_(@_)"/>
    <numFmt numFmtId="165" formatCode="0.0"/>
    <numFmt numFmtId="166" formatCode="_ [$S/.-280A]\ * #,##0.00_ ;_ [$S/.-280A]\ * \-#,##0.00_ ;_ [$S/.-280A]\ * &quot;-&quot;??_ ;_ @_ 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0"/>
      <color rgb="FFFF0000"/>
      <name val="Arial Narrow"/>
      <family val="2"/>
    </font>
    <font>
      <sz val="8"/>
      <name val="Calibri"/>
      <family val="2"/>
      <scheme val="minor"/>
    </font>
    <font>
      <sz val="11"/>
      <color theme="8" tint="-0.249977111117893"/>
      <name val="Arial Narrow"/>
      <family val="2"/>
    </font>
    <font>
      <sz val="11"/>
      <color rgb="FFFF0000"/>
      <name val="Arial Narrow"/>
      <family val="2"/>
    </font>
    <font>
      <sz val="11"/>
      <color theme="5" tint="-0.249977111117893"/>
      <name val="Arial Narrow"/>
      <family val="2"/>
    </font>
    <font>
      <sz val="11"/>
      <color theme="9" tint="-0.249977111117893"/>
      <name val="Arial Narrow"/>
      <family val="2"/>
    </font>
    <font>
      <sz val="11"/>
      <color rgb="FF7030A0"/>
      <name val="Arial Narrow"/>
      <family val="2"/>
    </font>
    <font>
      <b/>
      <i/>
      <sz val="11"/>
      <name val="Arial Narrow"/>
      <family val="2"/>
    </font>
    <font>
      <b/>
      <i/>
      <sz val="11"/>
      <color rgb="FF7030A0"/>
      <name val="Arial Narrow"/>
      <family val="2"/>
    </font>
    <font>
      <b/>
      <i/>
      <sz val="11"/>
      <color theme="5" tint="-0.249977111117893"/>
      <name val="Arial Narrow"/>
      <family val="2"/>
    </font>
    <font>
      <b/>
      <sz val="11"/>
      <color theme="9" tint="-0.499984740745262"/>
      <name val="Arial Narrow"/>
      <family val="2"/>
    </font>
    <font>
      <sz val="11"/>
      <color theme="9" tint="-0.499984740745262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133">
    <xf numFmtId="0" fontId="0" fillId="0" borderId="0" xfId="0"/>
    <xf numFmtId="0" fontId="4" fillId="0" borderId="0" xfId="0" applyFont="1" applyProtection="1"/>
    <xf numFmtId="0" fontId="0" fillId="0" borderId="0" xfId="0" applyProtection="1"/>
    <xf numFmtId="0" fontId="3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/>
    </xf>
    <xf numFmtId="2" fontId="2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left" vertical="center"/>
    </xf>
    <xf numFmtId="2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Protection="1"/>
    <xf numFmtId="2" fontId="5" fillId="0" borderId="1" xfId="0" applyNumberFormat="1" applyFont="1" applyBorder="1" applyAlignment="1" applyProtection="1">
      <alignment horizont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vertical="center" wrapText="1"/>
    </xf>
    <xf numFmtId="166" fontId="12" fillId="0" borderId="1" xfId="0" applyNumberFormat="1" applyFont="1" applyBorder="1" applyAlignment="1">
      <alignment vertical="center" wrapText="1"/>
    </xf>
    <xf numFmtId="166" fontId="10" fillId="0" borderId="1" xfId="0" applyNumberFormat="1" applyFont="1" applyBorder="1" applyAlignment="1">
      <alignment vertical="center" wrapText="1"/>
    </xf>
    <xf numFmtId="166" fontId="1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2" fontId="17" fillId="0" borderId="5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166" fontId="9" fillId="0" borderId="8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" fontId="1" fillId="3" borderId="9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Border="1" applyAlignment="1" applyProtection="1">
      <alignment horizontal="center" vertical="center" wrapText="1"/>
    </xf>
    <xf numFmtId="1" fontId="1" fillId="3" borderId="1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/>
    </xf>
    <xf numFmtId="165" fontId="9" fillId="0" borderId="6" xfId="0" applyNumberFormat="1" applyFont="1" applyBorder="1" applyAlignment="1">
      <alignment horizontal="left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165" fontId="10" fillId="0" borderId="6" xfId="0" applyNumberFormat="1" applyFont="1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165" fontId="12" fillId="0" borderId="6" xfId="0" applyNumberFormat="1" applyFont="1" applyBorder="1" applyAlignment="1">
      <alignment horizontal="left" vertical="center" wrapText="1"/>
    </xf>
    <xf numFmtId="165" fontId="12" fillId="0" borderId="1" xfId="0" applyNumberFormat="1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left" vertical="center" wrapText="1"/>
    </xf>
    <xf numFmtId="165" fontId="10" fillId="0" borderId="3" xfId="0" applyNumberFormat="1" applyFont="1" applyBorder="1" applyAlignment="1">
      <alignment horizontal="left" vertical="center" wrapText="1"/>
    </xf>
    <xf numFmtId="165" fontId="10" fillId="0" borderId="4" xfId="0" applyNumberFormat="1" applyFont="1" applyBorder="1" applyAlignment="1">
      <alignment horizontal="left" vertical="center" wrapText="1"/>
    </xf>
    <xf numFmtId="165" fontId="11" fillId="0" borderId="3" xfId="0" applyNumberFormat="1" applyFont="1" applyBorder="1" applyAlignment="1">
      <alignment horizontal="left" vertical="center" wrapText="1"/>
    </xf>
    <xf numFmtId="165" fontId="11" fillId="0" borderId="4" xfId="0" applyNumberFormat="1" applyFont="1" applyBorder="1" applyAlignment="1">
      <alignment horizontal="left" vertical="center" wrapText="1"/>
    </xf>
    <xf numFmtId="165" fontId="16" fillId="0" borderId="3" xfId="0" applyNumberFormat="1" applyFont="1" applyBorder="1" applyAlignment="1">
      <alignment horizontal="left" vertical="center" wrapText="1"/>
    </xf>
    <xf numFmtId="165" fontId="16" fillId="0" borderId="4" xfId="0" applyNumberFormat="1" applyFont="1" applyBorder="1" applyAlignment="1">
      <alignment horizontal="left" vertical="center" wrapText="1"/>
    </xf>
    <xf numFmtId="165" fontId="9" fillId="0" borderId="7" xfId="0" applyNumberFormat="1" applyFont="1" applyBorder="1" applyAlignment="1">
      <alignment horizontal="left" vertical="center" wrapText="1"/>
    </xf>
    <xf numFmtId="165" fontId="9" fillId="0" borderId="8" xfId="0" applyNumberFormat="1" applyFont="1" applyBorder="1" applyAlignment="1">
      <alignment horizontal="left" vertical="center" wrapText="1"/>
    </xf>
    <xf numFmtId="0" fontId="22" fillId="3" borderId="0" xfId="0" applyFont="1" applyFill="1" applyBorder="1" applyAlignment="1">
      <alignment horizontal="center" wrapText="1"/>
    </xf>
    <xf numFmtId="0" fontId="23" fillId="4" borderId="1" xfId="0" applyFont="1" applyFill="1" applyBorder="1" applyAlignment="1">
      <alignment horizontal="center"/>
    </xf>
    <xf numFmtId="0" fontId="23" fillId="4" borderId="14" xfId="0" applyFont="1" applyFill="1" applyBorder="1" applyAlignment="1">
      <alignment horizontal="center"/>
    </xf>
    <xf numFmtId="0" fontId="23" fillId="4" borderId="15" xfId="0" applyFont="1" applyFill="1" applyBorder="1" applyAlignment="1">
      <alignment horizontal="center"/>
    </xf>
    <xf numFmtId="0" fontId="0" fillId="0" borderId="0" xfId="0" applyBorder="1"/>
    <xf numFmtId="0" fontId="20" fillId="0" borderId="0" xfId="0" applyFont="1" applyBorder="1" applyAlignment="1">
      <alignment wrapText="1"/>
    </xf>
    <xf numFmtId="9" fontId="20" fillId="5" borderId="16" xfId="0" applyNumberFormat="1" applyFont="1" applyFill="1" applyBorder="1" applyAlignment="1">
      <alignment horizontal="center" vertical="center"/>
    </xf>
    <xf numFmtId="9" fontId="20" fillId="5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44" fontId="2" fillId="6" borderId="1" xfId="1" applyFont="1" applyFill="1" applyBorder="1" applyAlignment="1">
      <alignment vertical="center" wrapText="1"/>
    </xf>
    <xf numFmtId="44" fontId="24" fillId="7" borderId="1" xfId="0" applyNumberFormat="1" applyFont="1" applyFill="1" applyBorder="1" applyAlignment="1">
      <alignment vertical="center"/>
    </xf>
    <xf numFmtId="44" fontId="25" fillId="4" borderId="1" xfId="1" applyFont="1" applyFill="1" applyBorder="1" applyAlignment="1">
      <alignment horizontal="center" vertical="center" wrapText="1"/>
    </xf>
    <xf numFmtId="44" fontId="20" fillId="0" borderId="1" xfId="0" applyNumberFormat="1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1" fontId="22" fillId="3" borderId="0" xfId="0" applyNumberFormat="1" applyFont="1" applyFill="1" applyBorder="1" applyAlignment="1">
      <alignment horizontal="center" wrapText="1"/>
    </xf>
    <xf numFmtId="0" fontId="26" fillId="0" borderId="1" xfId="0" applyFont="1" applyBorder="1" applyProtection="1"/>
    <xf numFmtId="0" fontId="21" fillId="0" borderId="1" xfId="0" applyFont="1" applyBorder="1"/>
    <xf numFmtId="0" fontId="21" fillId="0" borderId="1" xfId="0" applyFont="1" applyBorder="1" applyProtection="1"/>
    <xf numFmtId="0" fontId="26" fillId="0" borderId="1" xfId="0" applyFont="1" applyBorder="1"/>
    <xf numFmtId="0" fontId="20" fillId="0" borderId="0" xfId="0" applyFont="1" applyAlignment="1">
      <alignment horizontal="center"/>
    </xf>
    <xf numFmtId="0" fontId="0" fillId="0" borderId="0" xfId="0" applyFont="1"/>
    <xf numFmtId="0" fontId="19" fillId="2" borderId="1" xfId="0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 applyProtection="1">
      <alignment horizontal="center" vertical="center"/>
    </xf>
    <xf numFmtId="1" fontId="27" fillId="0" borderId="1" xfId="0" applyNumberFormat="1" applyFont="1" applyBorder="1" applyAlignment="1" applyProtection="1">
      <alignment horizontal="center" vertical="center" wrapText="1"/>
    </xf>
    <xf numFmtId="1" fontId="27" fillId="0" borderId="17" xfId="0" applyNumberFormat="1" applyFont="1" applyBorder="1" applyAlignment="1" applyProtection="1">
      <alignment horizontal="center" vertical="center" wrapText="1"/>
    </xf>
    <xf numFmtId="1" fontId="27" fillId="0" borderId="18" xfId="0" applyNumberFormat="1" applyFont="1" applyBorder="1" applyAlignment="1" applyProtection="1">
      <alignment horizontal="center" vertical="center" wrapText="1"/>
    </xf>
    <xf numFmtId="1" fontId="27" fillId="0" borderId="6" xfId="0" applyNumberFormat="1" applyFont="1" applyBorder="1" applyAlignment="1" applyProtection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left" vertical="center" wrapText="1"/>
    </xf>
    <xf numFmtId="164" fontId="19" fillId="3" borderId="1" xfId="0" applyNumberFormat="1" applyFont="1" applyFill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165" fontId="26" fillId="0" borderId="1" xfId="0" applyNumberFormat="1" applyFont="1" applyBorder="1" applyAlignment="1">
      <alignment horizontal="left" vertical="center" wrapText="1"/>
    </xf>
    <xf numFmtId="165" fontId="26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2" fontId="26" fillId="0" borderId="1" xfId="0" applyNumberFormat="1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166" fontId="26" fillId="0" borderId="17" xfId="0" applyNumberFormat="1" applyFont="1" applyBorder="1" applyAlignment="1">
      <alignment vertical="center" wrapText="1"/>
    </xf>
    <xf numFmtId="164" fontId="26" fillId="0" borderId="2" xfId="0" applyNumberFormat="1" applyFont="1" applyBorder="1" applyAlignment="1">
      <alignment horizontal="center" vertical="center"/>
    </xf>
    <xf numFmtId="0" fontId="27" fillId="0" borderId="1" xfId="0" applyFont="1" applyBorder="1" applyAlignment="1" applyProtection="1">
      <alignment horizontal="left" vertical="center"/>
    </xf>
    <xf numFmtId="2" fontId="27" fillId="0" borderId="1" xfId="0" applyNumberFormat="1" applyFont="1" applyBorder="1" applyAlignment="1" applyProtection="1">
      <alignment horizontal="center" vertical="center"/>
    </xf>
    <xf numFmtId="164" fontId="26" fillId="0" borderId="9" xfId="0" applyNumberFormat="1" applyFont="1" applyBorder="1" applyAlignment="1">
      <alignment horizontal="center" vertical="center"/>
    </xf>
    <xf numFmtId="0" fontId="27" fillId="0" borderId="1" xfId="0" applyFont="1" applyBorder="1" applyProtection="1"/>
    <xf numFmtId="2" fontId="27" fillId="0" borderId="1" xfId="0" applyNumberFormat="1" applyFont="1" applyBorder="1" applyAlignment="1" applyProtection="1">
      <alignment horizontal="center"/>
    </xf>
    <xf numFmtId="164" fontId="26" fillId="0" borderId="16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vertical="center" wrapText="1"/>
    </xf>
    <xf numFmtId="164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right" vertical="center" wrapText="1"/>
    </xf>
    <xf numFmtId="0" fontId="29" fillId="0" borderId="1" xfId="0" applyFont="1" applyBorder="1" applyAlignment="1">
      <alignment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9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44" fontId="27" fillId="0" borderId="1" xfId="0" applyNumberFormat="1" applyFont="1" applyBorder="1" applyProtection="1"/>
    <xf numFmtId="1" fontId="19" fillId="3" borderId="17" xfId="0" applyNumberFormat="1" applyFont="1" applyFill="1" applyBorder="1" applyAlignment="1">
      <alignment horizontal="right" vertical="center" wrapText="1"/>
    </xf>
    <xf numFmtId="1" fontId="19" fillId="3" borderId="18" xfId="0" applyNumberFormat="1" applyFont="1" applyFill="1" applyBorder="1" applyAlignment="1">
      <alignment horizontal="right" vertical="center" wrapText="1"/>
    </xf>
    <xf numFmtId="1" fontId="19" fillId="3" borderId="6" xfId="0" applyNumberFormat="1" applyFont="1" applyFill="1" applyBorder="1" applyAlignment="1">
      <alignment horizontal="right" vertical="center" wrapText="1"/>
    </xf>
    <xf numFmtId="0" fontId="27" fillId="0" borderId="16" xfId="0" applyFont="1" applyBorder="1" applyAlignment="1">
      <alignment horizontal="center" vertical="center" wrapText="1"/>
    </xf>
    <xf numFmtId="44" fontId="0" fillId="0" borderId="0" xfId="0" applyNumberFormat="1"/>
    <xf numFmtId="44" fontId="4" fillId="0" borderId="0" xfId="0" applyNumberFormat="1" applyFont="1" applyProtection="1"/>
    <xf numFmtId="44" fontId="0" fillId="0" borderId="0" xfId="0" applyNumberForma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1522852</xdr:rowOff>
    </xdr:from>
    <xdr:to>
      <xdr:col>13</xdr:col>
      <xdr:colOff>170779</xdr:colOff>
      <xdr:row>33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A2397-93EA-4B06-BF7B-D87519B5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8104627"/>
          <a:ext cx="3866479" cy="2134748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</xdr:row>
      <xdr:rowOff>444273</xdr:rowOff>
    </xdr:from>
    <xdr:to>
      <xdr:col>10</xdr:col>
      <xdr:colOff>1780574</xdr:colOff>
      <xdr:row>6</xdr:row>
      <xdr:rowOff>8817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682AA-213A-4582-9ECF-F6DE5CB9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330098"/>
          <a:ext cx="1885349" cy="2222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1522852</xdr:rowOff>
    </xdr:from>
    <xdr:to>
      <xdr:col>13</xdr:col>
      <xdr:colOff>170779</xdr:colOff>
      <xdr:row>30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A2397-93EA-4B06-BF7B-D87519B5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8990452"/>
          <a:ext cx="3866479" cy="2134748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</xdr:row>
      <xdr:rowOff>444273</xdr:rowOff>
    </xdr:from>
    <xdr:to>
      <xdr:col>10</xdr:col>
      <xdr:colOff>1780574</xdr:colOff>
      <xdr:row>4</xdr:row>
      <xdr:rowOff>2180517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4682AA-213A-4582-9ECF-F6DE5CB9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330098"/>
          <a:ext cx="1885349" cy="222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showGridLines="0" tabSelected="1" topLeftCell="A33" zoomScaleNormal="100" zoomScalePageLayoutView="90" workbookViewId="0">
      <selection activeCell="I41" sqref="I41"/>
    </sheetView>
  </sheetViews>
  <sheetFormatPr baseColWidth="10" defaultRowHeight="15" x14ac:dyDescent="0.25"/>
  <cols>
    <col min="1" max="1" width="27.7109375" style="91" customWidth="1"/>
    <col min="2" max="2" width="11.42578125" style="86"/>
    <col min="3" max="3" width="30.85546875" style="86" customWidth="1"/>
    <col min="4" max="4" width="27.28515625" style="86" customWidth="1"/>
    <col min="5" max="5" width="26.28515625" style="86" customWidth="1"/>
    <col min="6" max="7" width="6.5703125" style="86" customWidth="1"/>
    <col min="8" max="8" width="19.42578125" style="86" hidden="1" customWidth="1"/>
    <col min="9" max="9" width="16.140625" style="86" bestFit="1" customWidth="1"/>
    <col min="10" max="10" width="11.42578125" style="86"/>
    <col min="11" max="11" width="32.5703125" style="86" bestFit="1" customWidth="1"/>
    <col min="12" max="16384" width="11.42578125" style="86"/>
  </cols>
  <sheetData>
    <row r="1" spans="1:18" ht="9" customHeight="1" x14ac:dyDescent="0.25">
      <c r="J1"/>
    </row>
    <row r="2" spans="1:18" s="88" customFormat="1" ht="25.5" customHeight="1" x14ac:dyDescent="0.25">
      <c r="A2" s="91"/>
      <c r="B2" s="92" t="s">
        <v>0</v>
      </c>
      <c r="C2" s="93" t="s">
        <v>1</v>
      </c>
      <c r="D2" s="93"/>
      <c r="E2" s="93"/>
      <c r="F2" s="92" t="s">
        <v>2</v>
      </c>
      <c r="G2" s="94" t="s">
        <v>3</v>
      </c>
      <c r="H2" s="94" t="s">
        <v>4</v>
      </c>
      <c r="I2" s="92" t="s">
        <v>5</v>
      </c>
      <c r="J2"/>
      <c r="M2" s="87"/>
      <c r="N2" s="87"/>
      <c r="O2" s="87"/>
      <c r="P2" s="87"/>
      <c r="Q2" s="87"/>
      <c r="R2" s="87"/>
    </row>
    <row r="3" spans="1:18" ht="35.25" customHeight="1" x14ac:dyDescent="0.25">
      <c r="B3" s="95" t="s">
        <v>6</v>
      </c>
      <c r="C3" s="96" t="s">
        <v>48</v>
      </c>
      <c r="D3" s="97"/>
      <c r="E3" s="97"/>
      <c r="F3" s="97"/>
      <c r="G3" s="97"/>
      <c r="H3" s="97"/>
      <c r="I3" s="98"/>
      <c r="J3"/>
      <c r="M3" s="89"/>
      <c r="N3" s="89"/>
      <c r="O3" s="89"/>
      <c r="P3" s="89"/>
      <c r="Q3" s="89"/>
      <c r="R3" s="89"/>
    </row>
    <row r="4" spans="1:18" s="88" customFormat="1" ht="23.25" customHeight="1" x14ac:dyDescent="0.25">
      <c r="A4" s="91"/>
      <c r="B4" s="99" t="s">
        <v>34</v>
      </c>
      <c r="C4" s="100" t="s">
        <v>23</v>
      </c>
      <c r="D4" s="100"/>
      <c r="E4" s="100"/>
      <c r="F4" s="100"/>
      <c r="G4" s="100"/>
      <c r="H4" s="100"/>
      <c r="I4" s="101">
        <f>I5</f>
        <v>2471.9979666949152</v>
      </c>
      <c r="J4"/>
      <c r="M4" s="87"/>
      <c r="N4" s="87"/>
      <c r="O4" s="87"/>
      <c r="P4" s="87"/>
      <c r="Q4" s="87"/>
      <c r="R4" s="87"/>
    </row>
    <row r="5" spans="1:18" ht="157.5" customHeight="1" x14ac:dyDescent="0.25">
      <c r="B5" s="102" t="s">
        <v>35</v>
      </c>
      <c r="C5" s="103" t="s">
        <v>65</v>
      </c>
      <c r="D5" s="104"/>
      <c r="E5" s="104"/>
      <c r="F5" s="105" t="s">
        <v>7</v>
      </c>
      <c r="G5" s="106">
        <v>1</v>
      </c>
      <c r="H5" s="107">
        <f>SUM(I6:I14)</f>
        <v>661.51800000000003</v>
      </c>
      <c r="I5" s="108">
        <f>'HERCO LURIN'!J4</f>
        <v>2471.9979666949152</v>
      </c>
      <c r="J5"/>
      <c r="M5" s="89"/>
      <c r="N5" s="89"/>
      <c r="O5" s="89"/>
      <c r="P5" s="89"/>
      <c r="Q5" s="89"/>
      <c r="R5" s="89"/>
    </row>
    <row r="6" spans="1:18" ht="16.5" customHeight="1" x14ac:dyDescent="0.25">
      <c r="B6" s="109"/>
      <c r="C6" s="103" t="s">
        <v>66</v>
      </c>
      <c r="D6" s="103"/>
      <c r="E6" s="103"/>
      <c r="F6" s="105" t="s">
        <v>16</v>
      </c>
      <c r="G6" s="106">
        <v>3</v>
      </c>
      <c r="H6" s="110">
        <f>$L$6*$L$7*$L$8*90.69</f>
        <v>430.32405</v>
      </c>
      <c r="I6" s="111"/>
      <c r="J6"/>
      <c r="K6" s="112" t="s">
        <v>8</v>
      </c>
      <c r="L6" s="113">
        <v>1</v>
      </c>
    </row>
    <row r="7" spans="1:18" x14ac:dyDescent="0.25">
      <c r="B7" s="109"/>
      <c r="C7" s="103" t="s">
        <v>67</v>
      </c>
      <c r="D7" s="103"/>
      <c r="E7" s="103"/>
      <c r="F7" s="105" t="s">
        <v>16</v>
      </c>
      <c r="G7" s="106">
        <v>1</v>
      </c>
      <c r="H7" s="110">
        <f>$L$6*$L$7*$L$8*20/1.18</f>
        <v>80.423728813559336</v>
      </c>
      <c r="I7" s="114"/>
      <c r="J7"/>
      <c r="K7" s="112" t="s">
        <v>9</v>
      </c>
      <c r="L7" s="113">
        <v>3.65</v>
      </c>
    </row>
    <row r="8" spans="1:18" x14ac:dyDescent="0.25">
      <c r="B8" s="109"/>
      <c r="C8" s="103" t="s">
        <v>17</v>
      </c>
      <c r="D8" s="103"/>
      <c r="E8" s="103"/>
      <c r="F8" s="105" t="s">
        <v>16</v>
      </c>
      <c r="G8" s="106">
        <v>20</v>
      </c>
      <c r="H8" s="110">
        <f>$L$6*$L$8*1.9</f>
        <v>2.4699999999999998</v>
      </c>
      <c r="I8" s="114"/>
      <c r="J8"/>
      <c r="K8" s="115" t="s">
        <v>10</v>
      </c>
      <c r="L8" s="116">
        <v>1.3</v>
      </c>
    </row>
    <row r="9" spans="1:18" ht="16.5" customHeight="1" x14ac:dyDescent="0.25">
      <c r="B9" s="109"/>
      <c r="C9" s="103" t="s">
        <v>18</v>
      </c>
      <c r="D9" s="103"/>
      <c r="E9" s="103"/>
      <c r="F9" s="105" t="s">
        <v>16</v>
      </c>
      <c r="G9" s="106">
        <v>1</v>
      </c>
      <c r="H9" s="110">
        <f>$L$6*$L$8*10</f>
        <v>13</v>
      </c>
      <c r="I9" s="114"/>
      <c r="J9"/>
    </row>
    <row r="10" spans="1:18" ht="16.5" customHeight="1" x14ac:dyDescent="0.25">
      <c r="B10" s="109"/>
      <c r="C10" s="103" t="s">
        <v>68</v>
      </c>
      <c r="D10" s="103"/>
      <c r="E10" s="103"/>
      <c r="F10" s="105" t="s">
        <v>16</v>
      </c>
      <c r="G10" s="106">
        <v>5</v>
      </c>
      <c r="H10" s="110">
        <f>$L$6*$L$8*25</f>
        <v>32.5</v>
      </c>
      <c r="I10" s="114"/>
      <c r="J10"/>
    </row>
    <row r="11" spans="1:18" ht="16.5" customHeight="1" x14ac:dyDescent="0.25">
      <c r="B11" s="109"/>
      <c r="C11" s="103" t="s">
        <v>19</v>
      </c>
      <c r="D11" s="103"/>
      <c r="E11" s="103"/>
      <c r="F11" s="105" t="s">
        <v>16</v>
      </c>
      <c r="G11" s="106">
        <v>5</v>
      </c>
      <c r="H11" s="110">
        <f>$L$6*$L$8*7.63</f>
        <v>9.9190000000000005</v>
      </c>
      <c r="I11" s="117"/>
      <c r="J11"/>
    </row>
    <row r="12" spans="1:18" hidden="1" x14ac:dyDescent="0.25">
      <c r="B12" s="109"/>
      <c r="C12" s="103" t="s">
        <v>12</v>
      </c>
      <c r="D12" s="103"/>
      <c r="E12" s="103"/>
      <c r="F12" s="105" t="s">
        <v>11</v>
      </c>
      <c r="G12" s="106">
        <v>2</v>
      </c>
      <c r="H12" s="118">
        <f>$L$6*$L$8*90*2</f>
        <v>234</v>
      </c>
      <c r="I12" s="117">
        <f t="shared" ref="I12:I14" si="0">G12*H12</f>
        <v>468</v>
      </c>
      <c r="J12"/>
    </row>
    <row r="13" spans="1:18" hidden="1" x14ac:dyDescent="0.25">
      <c r="B13" s="109"/>
      <c r="C13" s="103" t="s">
        <v>14</v>
      </c>
      <c r="D13" s="103"/>
      <c r="E13" s="103"/>
      <c r="F13" s="105" t="s">
        <v>15</v>
      </c>
      <c r="G13" s="106">
        <v>10</v>
      </c>
      <c r="H13" s="118">
        <f>$L$6*$L$8*10.26</f>
        <v>13.338000000000001</v>
      </c>
      <c r="I13" s="119">
        <f t="shared" si="0"/>
        <v>133.38</v>
      </c>
      <c r="J13"/>
    </row>
    <row r="14" spans="1:18" hidden="1" x14ac:dyDescent="0.25">
      <c r="B14" s="109"/>
      <c r="C14" s="103" t="s">
        <v>13</v>
      </c>
      <c r="D14" s="103"/>
      <c r="E14" s="103"/>
      <c r="F14" s="105" t="s">
        <v>7</v>
      </c>
      <c r="G14" s="106">
        <v>1</v>
      </c>
      <c r="H14" s="120">
        <f>0.1*SUM(I6:I13)</f>
        <v>60.138000000000005</v>
      </c>
      <c r="I14" s="119">
        <f t="shared" si="0"/>
        <v>60.138000000000005</v>
      </c>
      <c r="J14"/>
    </row>
    <row r="15" spans="1:18" ht="16.5" hidden="1" customHeight="1" x14ac:dyDescent="0.25">
      <c r="B15" s="121"/>
      <c r="J15"/>
    </row>
    <row r="16" spans="1:18" s="88" customFormat="1" ht="35.25" customHeight="1" x14ac:dyDescent="0.25">
      <c r="A16" s="91"/>
      <c r="B16" s="99" t="s">
        <v>39</v>
      </c>
      <c r="C16" s="100" t="s">
        <v>62</v>
      </c>
      <c r="D16" s="100"/>
      <c r="E16" s="100"/>
      <c r="F16" s="100"/>
      <c r="G16" s="100"/>
      <c r="H16" s="100"/>
      <c r="I16" s="101">
        <f>I17</f>
        <v>4285.4795033898308</v>
      </c>
      <c r="J16"/>
    </row>
    <row r="17" spans="2:10" ht="109.5" customHeight="1" x14ac:dyDescent="0.25">
      <c r="B17" s="102" t="s">
        <v>40</v>
      </c>
      <c r="C17" s="103" t="s">
        <v>58</v>
      </c>
      <c r="D17" s="104"/>
      <c r="E17" s="104"/>
      <c r="F17" s="105" t="s">
        <v>7</v>
      </c>
      <c r="G17" s="106">
        <v>1</v>
      </c>
      <c r="H17" s="107">
        <f>SUM(I18:I31)</f>
        <v>661.51800000000003</v>
      </c>
      <c r="I17" s="108">
        <f>'HERCO LURIN'!J16</f>
        <v>4285.4795033898308</v>
      </c>
      <c r="J17"/>
    </row>
    <row r="18" spans="2:10" x14ac:dyDescent="0.25">
      <c r="B18" s="109"/>
      <c r="C18" s="103" t="s">
        <v>69</v>
      </c>
      <c r="D18" s="103"/>
      <c r="E18" s="103"/>
      <c r="F18" s="105" t="s">
        <v>16</v>
      </c>
      <c r="G18" s="106">
        <v>1</v>
      </c>
      <c r="H18" s="110">
        <f>$L$6*$L$7*$L$8*404.32</f>
        <v>1918.4983999999999</v>
      </c>
      <c r="I18" s="111"/>
      <c r="J18"/>
    </row>
    <row r="19" spans="2:10" x14ac:dyDescent="0.25">
      <c r="B19" s="109"/>
      <c r="C19" s="103" t="s">
        <v>70</v>
      </c>
      <c r="D19" s="103"/>
      <c r="E19" s="103"/>
      <c r="F19" s="105" t="s">
        <v>16</v>
      </c>
      <c r="G19" s="106">
        <v>1</v>
      </c>
      <c r="H19" s="110">
        <f>$L$6*$L$7*$L$8*32.88</f>
        <v>156.01560000000001</v>
      </c>
      <c r="I19" s="114"/>
      <c r="J19"/>
    </row>
    <row r="20" spans="2:10" x14ac:dyDescent="0.25">
      <c r="B20" s="109"/>
      <c r="C20" s="103" t="s">
        <v>71</v>
      </c>
      <c r="D20" s="103"/>
      <c r="E20" s="103"/>
      <c r="F20" s="105" t="s">
        <v>16</v>
      </c>
      <c r="G20" s="106">
        <v>1</v>
      </c>
      <c r="H20" s="110">
        <f>$L$6*$L$7*$L$8*99.3</f>
        <v>471.17849999999999</v>
      </c>
      <c r="I20" s="114"/>
      <c r="J20"/>
    </row>
    <row r="21" spans="2:10" x14ac:dyDescent="0.25">
      <c r="B21" s="109"/>
      <c r="C21" s="103" t="s">
        <v>25</v>
      </c>
      <c r="D21" s="103"/>
      <c r="E21" s="103"/>
      <c r="F21" s="105" t="s">
        <v>16</v>
      </c>
      <c r="G21" s="106">
        <v>3</v>
      </c>
      <c r="H21" s="110">
        <f>$L$6*$L$8*13</f>
        <v>16.900000000000002</v>
      </c>
      <c r="I21" s="114"/>
      <c r="J21"/>
    </row>
    <row r="22" spans="2:10" x14ac:dyDescent="0.25">
      <c r="B22" s="109"/>
      <c r="C22" s="103" t="s">
        <v>26</v>
      </c>
      <c r="D22" s="103"/>
      <c r="E22" s="103"/>
      <c r="F22" s="105" t="s">
        <v>16</v>
      </c>
      <c r="G22" s="106">
        <v>3</v>
      </c>
      <c r="H22" s="110">
        <f>$L$6*$L$8*16</f>
        <v>20.8</v>
      </c>
      <c r="I22" s="114"/>
      <c r="J22"/>
    </row>
    <row r="23" spans="2:10" x14ac:dyDescent="0.25">
      <c r="B23" s="109"/>
      <c r="C23" s="103" t="s">
        <v>60</v>
      </c>
      <c r="D23" s="103"/>
      <c r="E23" s="103"/>
      <c r="F23" s="105" t="s">
        <v>16</v>
      </c>
      <c r="G23" s="106">
        <v>20</v>
      </c>
      <c r="H23" s="110">
        <f>$L$6*$L$8*1.9</f>
        <v>2.4699999999999998</v>
      </c>
      <c r="I23" s="114"/>
      <c r="J23"/>
    </row>
    <row r="24" spans="2:10" x14ac:dyDescent="0.25">
      <c r="B24" s="109"/>
      <c r="C24" s="103" t="s">
        <v>59</v>
      </c>
      <c r="D24" s="103"/>
      <c r="E24" s="103"/>
      <c r="F24" s="105" t="s">
        <v>16</v>
      </c>
      <c r="G24" s="106">
        <v>1</v>
      </c>
      <c r="H24" s="110">
        <f>$L$6*$L$8*10</f>
        <v>13</v>
      </c>
      <c r="I24" s="114"/>
      <c r="J24"/>
    </row>
    <row r="25" spans="2:10" x14ac:dyDescent="0.25">
      <c r="B25" s="109"/>
      <c r="C25" s="103" t="s">
        <v>27</v>
      </c>
      <c r="D25" s="103"/>
      <c r="E25" s="103"/>
      <c r="F25" s="105" t="s">
        <v>16</v>
      </c>
      <c r="G25" s="106">
        <v>0.5</v>
      </c>
      <c r="H25" s="110">
        <f>$L$6*$L$8*18.64</f>
        <v>24.232000000000003</v>
      </c>
      <c r="I25" s="114"/>
      <c r="J25"/>
    </row>
    <row r="26" spans="2:10" x14ac:dyDescent="0.25">
      <c r="B26" s="109"/>
      <c r="C26" s="103" t="s">
        <v>28</v>
      </c>
      <c r="D26" s="103"/>
      <c r="E26" s="103"/>
      <c r="F26" s="105" t="s">
        <v>16</v>
      </c>
      <c r="G26" s="106">
        <v>0.5</v>
      </c>
      <c r="H26" s="110">
        <f>$L$6*$L$8*5.93</f>
        <v>7.7089999999999996</v>
      </c>
      <c r="I26" s="114"/>
      <c r="J26"/>
    </row>
    <row r="27" spans="2:10" x14ac:dyDescent="0.25">
      <c r="B27" s="109"/>
      <c r="C27" s="103" t="s">
        <v>29</v>
      </c>
      <c r="D27" s="103"/>
      <c r="E27" s="103"/>
      <c r="F27" s="105" t="s">
        <v>16</v>
      </c>
      <c r="G27" s="106">
        <v>3</v>
      </c>
      <c r="H27" s="110">
        <f>$L$6*$L$8*11.3/1.18</f>
        <v>12.449152542372882</v>
      </c>
      <c r="I27" s="114"/>
      <c r="J27"/>
    </row>
    <row r="28" spans="2:10" x14ac:dyDescent="0.25">
      <c r="B28" s="109"/>
      <c r="C28" s="103" t="s">
        <v>74</v>
      </c>
      <c r="D28" s="103"/>
      <c r="E28" s="103"/>
      <c r="F28" s="105" t="s">
        <v>16</v>
      </c>
      <c r="G28" s="106">
        <v>1</v>
      </c>
      <c r="H28" s="110">
        <f>$L$6*$L$8*400</f>
        <v>520</v>
      </c>
      <c r="I28" s="117"/>
      <c r="J28"/>
    </row>
    <row r="29" spans="2:10" hidden="1" x14ac:dyDescent="0.25">
      <c r="B29" s="109"/>
      <c r="C29" s="103" t="s">
        <v>12</v>
      </c>
      <c r="D29" s="103"/>
      <c r="E29" s="103"/>
      <c r="F29" s="105" t="s">
        <v>11</v>
      </c>
      <c r="G29" s="106">
        <v>2</v>
      </c>
      <c r="H29" s="118">
        <f>$L$6*$L$8*180</f>
        <v>234</v>
      </c>
      <c r="I29" s="117">
        <f>G29*H29</f>
        <v>468</v>
      </c>
      <c r="J29"/>
    </row>
    <row r="30" spans="2:10" hidden="1" x14ac:dyDescent="0.25">
      <c r="B30" s="109"/>
      <c r="C30" s="103" t="s">
        <v>14</v>
      </c>
      <c r="D30" s="103"/>
      <c r="E30" s="103"/>
      <c r="F30" s="105" t="s">
        <v>15</v>
      </c>
      <c r="G30" s="106">
        <v>10</v>
      </c>
      <c r="H30" s="118">
        <f>$L$6*$L$8*10.26</f>
        <v>13.338000000000001</v>
      </c>
      <c r="I30" s="119">
        <f>G30*H30</f>
        <v>133.38</v>
      </c>
      <c r="J30"/>
    </row>
    <row r="31" spans="2:10" hidden="1" x14ac:dyDescent="0.25">
      <c r="B31" s="109"/>
      <c r="C31" s="103" t="s">
        <v>13</v>
      </c>
      <c r="D31" s="103"/>
      <c r="E31" s="103"/>
      <c r="F31" s="105" t="s">
        <v>7</v>
      </c>
      <c r="G31" s="106" t="s">
        <v>30</v>
      </c>
      <c r="H31" s="120" t="s">
        <v>30</v>
      </c>
      <c r="I31" s="120">
        <f>0.1*SUM(I18:I30)</f>
        <v>60.138000000000005</v>
      </c>
      <c r="J31"/>
    </row>
    <row r="32" spans="2:10" ht="16.5" hidden="1" customHeight="1" x14ac:dyDescent="0.25">
      <c r="J32"/>
    </row>
    <row r="33" spans="1:10" s="88" customFormat="1" ht="23.25" customHeight="1" x14ac:dyDescent="0.25">
      <c r="A33" s="91"/>
      <c r="B33" s="99" t="s">
        <v>41</v>
      </c>
      <c r="C33" s="100" t="s">
        <v>45</v>
      </c>
      <c r="D33" s="100"/>
      <c r="E33" s="100"/>
      <c r="F33" s="100"/>
      <c r="G33" s="100"/>
      <c r="H33" s="100"/>
      <c r="I33" s="101">
        <f>I34</f>
        <v>1761.2135593220339</v>
      </c>
      <c r="J33"/>
    </row>
    <row r="34" spans="1:10" ht="105.75" customHeight="1" x14ac:dyDescent="0.25">
      <c r="C34" s="103" t="s">
        <v>72</v>
      </c>
      <c r="D34" s="104"/>
      <c r="E34" s="104"/>
      <c r="F34" s="105" t="s">
        <v>7</v>
      </c>
      <c r="G34" s="106">
        <v>1</v>
      </c>
      <c r="H34" s="107">
        <f>SUM(I35:I39)</f>
        <v>352.47966101694914</v>
      </c>
      <c r="I34" s="108">
        <f>'HERCO LURIN'!J33</f>
        <v>1761.2135593220339</v>
      </c>
      <c r="J34"/>
    </row>
    <row r="35" spans="1:10" ht="16.5" hidden="1" customHeight="1" x14ac:dyDescent="0.25">
      <c r="B35" s="122"/>
      <c r="C35" s="103" t="s">
        <v>73</v>
      </c>
      <c r="D35" s="103"/>
      <c r="E35" s="103"/>
      <c r="F35" s="105" t="s">
        <v>16</v>
      </c>
      <c r="G35" s="106">
        <v>1</v>
      </c>
      <c r="H35" s="110">
        <f>$L$6*$L$7*$L$8*60</f>
        <v>284.7</v>
      </c>
      <c r="I35" s="111"/>
      <c r="J35"/>
    </row>
    <row r="36" spans="1:10" hidden="1" x14ac:dyDescent="0.25">
      <c r="B36" s="129"/>
      <c r="C36" s="103" t="s">
        <v>61</v>
      </c>
      <c r="D36" s="103"/>
      <c r="E36" s="103"/>
      <c r="F36" s="105" t="s">
        <v>16</v>
      </c>
      <c r="G36" s="106">
        <v>1</v>
      </c>
      <c r="H36" s="110">
        <v>800</v>
      </c>
      <c r="I36" s="117"/>
      <c r="J36"/>
    </row>
    <row r="37" spans="1:10" ht="16.5" hidden="1" customHeight="1" x14ac:dyDescent="0.25">
      <c r="B37" s="123"/>
      <c r="C37" s="103" t="s">
        <v>37</v>
      </c>
      <c r="D37" s="103"/>
      <c r="E37" s="103"/>
      <c r="F37" s="105" t="s">
        <v>11</v>
      </c>
      <c r="G37" s="106">
        <v>2</v>
      </c>
      <c r="H37" s="118">
        <f>$L$6*$L$8*90</f>
        <v>117</v>
      </c>
      <c r="I37" s="117">
        <f>G37*H37</f>
        <v>234</v>
      </c>
      <c r="J37"/>
    </row>
    <row r="38" spans="1:10" ht="16.5" hidden="1" customHeight="1" x14ac:dyDescent="0.25">
      <c r="B38" s="123"/>
      <c r="C38" s="103" t="s">
        <v>14</v>
      </c>
      <c r="D38" s="103"/>
      <c r="E38" s="103"/>
      <c r="F38" s="105" t="s">
        <v>15</v>
      </c>
      <c r="G38" s="106">
        <v>10</v>
      </c>
      <c r="H38" s="118">
        <f>12/1.18</f>
        <v>10.16949152542373</v>
      </c>
      <c r="I38" s="119">
        <f>G38*H38</f>
        <v>101.6949152542373</v>
      </c>
      <c r="J38"/>
    </row>
    <row r="39" spans="1:10" ht="16.5" hidden="1" customHeight="1" x14ac:dyDescent="0.25">
      <c r="B39" s="124"/>
      <c r="C39" s="103" t="s">
        <v>38</v>
      </c>
      <c r="D39" s="103"/>
      <c r="E39" s="103"/>
      <c r="F39" s="105" t="s">
        <v>7</v>
      </c>
      <c r="G39" s="106" t="s">
        <v>30</v>
      </c>
      <c r="H39" s="120" t="s">
        <v>30</v>
      </c>
      <c r="I39" s="120">
        <f>0.05*SUM(I36:I38)</f>
        <v>16.784745762711864</v>
      </c>
      <c r="J39"/>
    </row>
    <row r="40" spans="1:10" x14ac:dyDescent="0.25">
      <c r="B40"/>
      <c r="C40"/>
      <c r="D40"/>
      <c r="E40" s="126" t="s">
        <v>64</v>
      </c>
      <c r="F40" s="127"/>
      <c r="G40" s="128"/>
      <c r="H40" s="115"/>
      <c r="I40" s="125">
        <f>I33+I16+I4</f>
        <v>8518.6910294067802</v>
      </c>
      <c r="J40"/>
    </row>
    <row r="41" spans="1:10" x14ac:dyDescent="0.25">
      <c r="B41"/>
      <c r="C41"/>
      <c r="D41"/>
      <c r="E41"/>
      <c r="F41"/>
      <c r="G41"/>
      <c r="H41"/>
      <c r="I41"/>
      <c r="J41"/>
    </row>
    <row r="42" spans="1:10" x14ac:dyDescent="0.25">
      <c r="B42"/>
      <c r="C42"/>
      <c r="D42"/>
      <c r="E42"/>
      <c r="F42"/>
      <c r="G42"/>
      <c r="H42"/>
      <c r="I42"/>
      <c r="J42"/>
    </row>
    <row r="43" spans="1:10" x14ac:dyDescent="0.25">
      <c r="B43"/>
      <c r="C43"/>
      <c r="D43"/>
      <c r="E43"/>
      <c r="F43"/>
      <c r="G43"/>
      <c r="H43"/>
      <c r="I43"/>
      <c r="J43"/>
    </row>
    <row r="44" spans="1:10" x14ac:dyDescent="0.25">
      <c r="B44"/>
      <c r="C44"/>
      <c r="D44"/>
      <c r="E44"/>
      <c r="F44"/>
      <c r="G44"/>
      <c r="H44"/>
      <c r="I44"/>
      <c r="J44"/>
    </row>
    <row r="45" spans="1:10" x14ac:dyDescent="0.25">
      <c r="B45"/>
      <c r="C45"/>
      <c r="D45"/>
      <c r="E45"/>
      <c r="F45"/>
      <c r="G45"/>
      <c r="H45"/>
      <c r="I45"/>
      <c r="J45"/>
    </row>
    <row r="46" spans="1:10" x14ac:dyDescent="0.25">
      <c r="B46"/>
      <c r="C46"/>
      <c r="D46"/>
      <c r="E46"/>
      <c r="F46"/>
      <c r="G46"/>
      <c r="H46"/>
      <c r="I46"/>
      <c r="J46"/>
    </row>
    <row r="47" spans="1:10" x14ac:dyDescent="0.25">
      <c r="E47"/>
      <c r="F47"/>
      <c r="G47"/>
      <c r="H47"/>
      <c r="I47"/>
      <c r="J47"/>
    </row>
    <row r="48" spans="1:10" x14ac:dyDescent="0.25">
      <c r="E48"/>
      <c r="F48"/>
      <c r="G48"/>
      <c r="H48"/>
      <c r="I48"/>
      <c r="J48"/>
    </row>
    <row r="49" spans="5:10" x14ac:dyDescent="0.25">
      <c r="E49"/>
      <c r="F49"/>
      <c r="G49"/>
      <c r="H49"/>
      <c r="I49"/>
      <c r="J49"/>
    </row>
    <row r="50" spans="5:10" x14ac:dyDescent="0.25">
      <c r="E50"/>
      <c r="F50"/>
      <c r="G50"/>
      <c r="H50"/>
      <c r="I50"/>
      <c r="J50"/>
    </row>
    <row r="51" spans="5:10" x14ac:dyDescent="0.25">
      <c r="E51"/>
      <c r="F51"/>
      <c r="G51"/>
      <c r="H51"/>
      <c r="I51"/>
      <c r="J51"/>
    </row>
    <row r="52" spans="5:10" x14ac:dyDescent="0.25">
      <c r="E52"/>
      <c r="F52"/>
      <c r="G52"/>
      <c r="H52"/>
      <c r="I52"/>
      <c r="J52"/>
    </row>
    <row r="53" spans="5:10" x14ac:dyDescent="0.25">
      <c r="E53"/>
      <c r="F53"/>
      <c r="G53"/>
      <c r="H53"/>
      <c r="I53"/>
      <c r="J53"/>
    </row>
    <row r="54" spans="5:10" ht="180.75" customHeight="1" x14ac:dyDescent="0.25">
      <c r="E54"/>
      <c r="F54"/>
      <c r="G54"/>
      <c r="H54"/>
      <c r="I54"/>
      <c r="J54"/>
    </row>
    <row r="55" spans="5:10" x14ac:dyDescent="0.25">
      <c r="E55"/>
      <c r="F55"/>
      <c r="G55"/>
      <c r="H55"/>
      <c r="I55"/>
      <c r="J55"/>
    </row>
    <row r="74" ht="163.5" customHeight="1" x14ac:dyDescent="0.25"/>
  </sheetData>
  <mergeCells count="40">
    <mergeCell ref="E40:G40"/>
    <mergeCell ref="C3:I3"/>
    <mergeCell ref="B35:B36"/>
    <mergeCell ref="C34:E34"/>
    <mergeCell ref="C35:E35"/>
    <mergeCell ref="C36:E36"/>
    <mergeCell ref="C37:E37"/>
    <mergeCell ref="C38:E38"/>
    <mergeCell ref="C39:E39"/>
    <mergeCell ref="C27:E27"/>
    <mergeCell ref="C28:E28"/>
    <mergeCell ref="C29:E29"/>
    <mergeCell ref="C30:E30"/>
    <mergeCell ref="C31:E31"/>
    <mergeCell ref="C33:H33"/>
    <mergeCell ref="B18:B31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11:E11"/>
    <mergeCell ref="C12:E12"/>
    <mergeCell ref="C13:E13"/>
    <mergeCell ref="C14:E14"/>
    <mergeCell ref="C16:H16"/>
    <mergeCell ref="C17:E17"/>
    <mergeCell ref="C2:E2"/>
    <mergeCell ref="C4:H4"/>
    <mergeCell ref="C5:E5"/>
    <mergeCell ref="B6:B14"/>
    <mergeCell ref="C6:E6"/>
    <mergeCell ref="C7:E7"/>
    <mergeCell ref="C8:E8"/>
    <mergeCell ref="C9:E9"/>
    <mergeCell ref="C10:E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opLeftCell="D22" zoomScaleNormal="100" zoomScalePageLayoutView="90" workbookViewId="0">
      <selection activeCell="J42" sqref="J42"/>
    </sheetView>
  </sheetViews>
  <sheetFormatPr baseColWidth="10" defaultRowHeight="15" x14ac:dyDescent="0.25"/>
  <cols>
    <col min="1" max="1" width="5" style="2" customWidth="1"/>
    <col min="2" max="2" width="11.42578125" style="2"/>
    <col min="3" max="4" width="30.85546875" style="2" customWidth="1"/>
    <col min="5" max="5" width="34.85546875" style="2" customWidth="1"/>
    <col min="6" max="6" width="5.140625" style="2" bestFit="1" customWidth="1"/>
    <col min="7" max="7" width="6.7109375" style="2" bestFit="1" customWidth="1"/>
    <col min="8" max="8" width="19.42578125" style="2" customWidth="1"/>
    <col min="9" max="9" width="16.140625" style="2" bestFit="1" customWidth="1"/>
    <col min="10" max="10" width="11.42578125" style="2"/>
    <col min="11" max="11" width="32.5703125" style="2" bestFit="1" customWidth="1"/>
    <col min="12" max="16384" width="11.42578125" style="2"/>
  </cols>
  <sheetData>
    <row r="1" spans="1:20" ht="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.5" customHeight="1" x14ac:dyDescent="0.3">
      <c r="A2" s="3"/>
      <c r="B2" s="25" t="s">
        <v>0</v>
      </c>
      <c r="C2" s="47" t="s">
        <v>1</v>
      </c>
      <c r="D2" s="47"/>
      <c r="E2" s="47"/>
      <c r="F2" s="25" t="s">
        <v>2</v>
      </c>
      <c r="G2" s="4" t="s">
        <v>3</v>
      </c>
      <c r="H2" s="4" t="s">
        <v>4</v>
      </c>
      <c r="I2" s="25" t="s">
        <v>5</v>
      </c>
      <c r="J2" s="3"/>
      <c r="K2" s="3"/>
      <c r="L2" s="3"/>
      <c r="M2"/>
      <c r="N2"/>
      <c r="O2"/>
      <c r="P2"/>
      <c r="Q2"/>
      <c r="R2"/>
      <c r="S2" s="3"/>
      <c r="T2" s="3"/>
    </row>
    <row r="3" spans="1:20" ht="35.25" customHeight="1" x14ac:dyDescent="0.3">
      <c r="A3" s="3"/>
      <c r="B3" s="5" t="s">
        <v>6</v>
      </c>
      <c r="C3" s="48" t="s">
        <v>48</v>
      </c>
      <c r="D3" s="48"/>
      <c r="E3" s="48"/>
      <c r="F3" s="48"/>
      <c r="G3" s="48"/>
      <c r="H3" s="48"/>
      <c r="I3" s="6">
        <f>I4+I16+I33</f>
        <v>6552.8392533898304</v>
      </c>
      <c r="J3" s="3"/>
      <c r="K3" s="3"/>
      <c r="L3" s="3"/>
      <c r="M3"/>
      <c r="N3"/>
      <c r="O3"/>
      <c r="P3"/>
      <c r="Q3"/>
      <c r="R3"/>
      <c r="S3" s="1"/>
      <c r="T3" s="1"/>
    </row>
    <row r="4" spans="1:20" ht="38.25" customHeight="1" x14ac:dyDescent="0.3">
      <c r="A4" s="3"/>
      <c r="B4" s="13" t="s">
        <v>34</v>
      </c>
      <c r="C4" s="49" t="s">
        <v>23</v>
      </c>
      <c r="D4" s="49"/>
      <c r="E4" s="49"/>
      <c r="F4" s="49"/>
      <c r="G4" s="49"/>
      <c r="H4" s="49"/>
      <c r="I4" s="14">
        <f>I5</f>
        <v>1901.5368974576272</v>
      </c>
      <c r="J4" s="3">
        <f>+I4*1.3</f>
        <v>2471.9979666949152</v>
      </c>
      <c r="K4" s="3"/>
      <c r="L4" s="3"/>
      <c r="M4"/>
      <c r="N4"/>
      <c r="O4"/>
      <c r="P4"/>
      <c r="Q4"/>
      <c r="R4"/>
      <c r="S4" s="1"/>
      <c r="T4" s="1"/>
    </row>
    <row r="5" spans="1:20" ht="189.75" customHeight="1" x14ac:dyDescent="0.3">
      <c r="A5" s="1"/>
      <c r="B5" s="31" t="s">
        <v>35</v>
      </c>
      <c r="C5" s="50" t="s">
        <v>49</v>
      </c>
      <c r="D5" s="51"/>
      <c r="E5" s="51"/>
      <c r="F5" s="15" t="s">
        <v>7</v>
      </c>
      <c r="G5" s="16">
        <v>1</v>
      </c>
      <c r="H5" s="17">
        <f>SUM(I6:I14)</f>
        <v>1901.5368974576272</v>
      </c>
      <c r="I5" s="17">
        <f>H5*G5</f>
        <v>1901.5368974576272</v>
      </c>
      <c r="J5" s="1"/>
      <c r="K5" s="1"/>
      <c r="L5" s="1"/>
      <c r="M5"/>
      <c r="N5"/>
      <c r="O5"/>
      <c r="P5"/>
      <c r="Q5"/>
      <c r="R5"/>
      <c r="S5" s="1"/>
      <c r="T5" s="1"/>
    </row>
    <row r="6" spans="1:20" ht="16.5" customHeight="1" x14ac:dyDescent="0.3">
      <c r="A6" s="1"/>
      <c r="B6" s="58" t="s">
        <v>24</v>
      </c>
      <c r="C6" s="54" t="s">
        <v>22</v>
      </c>
      <c r="D6" s="55"/>
      <c r="E6" s="55"/>
      <c r="F6" s="26" t="s">
        <v>16</v>
      </c>
      <c r="G6" s="27">
        <v>3</v>
      </c>
      <c r="H6" s="23">
        <f>$L$6*$L$7*$L$8*90.69</f>
        <v>331.01849999999996</v>
      </c>
      <c r="I6" s="18">
        <f t="shared" ref="I6:I14" si="0">G6*H6</f>
        <v>993.05549999999994</v>
      </c>
      <c r="J6" s="1"/>
      <c r="K6" s="7" t="s">
        <v>8</v>
      </c>
      <c r="L6" s="8">
        <v>1</v>
      </c>
      <c r="M6" s="1"/>
      <c r="N6" s="1"/>
      <c r="O6" s="1"/>
      <c r="P6" s="1"/>
      <c r="Q6" s="1"/>
      <c r="R6" s="1"/>
      <c r="S6" s="1"/>
      <c r="T6" s="1"/>
    </row>
    <row r="7" spans="1:20" ht="16.5" x14ac:dyDescent="0.3">
      <c r="A7" s="1"/>
      <c r="B7" s="59"/>
      <c r="C7" s="54" t="s">
        <v>21</v>
      </c>
      <c r="D7" s="55"/>
      <c r="E7" s="55"/>
      <c r="F7" s="26" t="s">
        <v>16</v>
      </c>
      <c r="G7" s="27">
        <v>1</v>
      </c>
      <c r="H7" s="23">
        <f>$L$6*$L$7*$L$8*20/1.18</f>
        <v>61.864406779661017</v>
      </c>
      <c r="I7" s="18">
        <f t="shared" si="0"/>
        <v>61.864406779661017</v>
      </c>
      <c r="J7" s="1"/>
      <c r="K7" s="9" t="s">
        <v>9</v>
      </c>
      <c r="L7" s="10">
        <v>3.65</v>
      </c>
      <c r="M7" s="1"/>
      <c r="N7" s="1"/>
      <c r="O7" s="1"/>
      <c r="P7" s="1"/>
      <c r="Q7" s="1"/>
      <c r="R7" s="1"/>
      <c r="S7" s="1"/>
      <c r="T7" s="1"/>
    </row>
    <row r="8" spans="1:20" ht="16.5" x14ac:dyDescent="0.3">
      <c r="A8" s="1"/>
      <c r="B8" s="59"/>
      <c r="C8" s="54" t="s">
        <v>17</v>
      </c>
      <c r="D8" s="55"/>
      <c r="E8" s="55"/>
      <c r="F8" s="26" t="s">
        <v>16</v>
      </c>
      <c r="G8" s="27">
        <v>20</v>
      </c>
      <c r="H8" s="23">
        <f>$L$6*$L$8*1.9</f>
        <v>1.9</v>
      </c>
      <c r="I8" s="18">
        <f t="shared" si="0"/>
        <v>38</v>
      </c>
      <c r="J8" s="1"/>
      <c r="K8" s="11" t="s">
        <v>10</v>
      </c>
      <c r="L8" s="12">
        <v>1</v>
      </c>
      <c r="M8" s="1"/>
      <c r="N8" s="1"/>
      <c r="O8" s="1"/>
      <c r="P8" s="1"/>
      <c r="Q8" s="1"/>
      <c r="R8" s="1"/>
      <c r="S8" s="1"/>
      <c r="T8" s="1"/>
    </row>
    <row r="9" spans="1:20" ht="16.5" customHeight="1" x14ac:dyDescent="0.3">
      <c r="A9" s="1"/>
      <c r="B9" s="59"/>
      <c r="C9" s="54" t="s">
        <v>18</v>
      </c>
      <c r="D9" s="55"/>
      <c r="E9" s="55"/>
      <c r="F9" s="26" t="s">
        <v>16</v>
      </c>
      <c r="G9" s="27">
        <v>1</v>
      </c>
      <c r="H9" s="23">
        <f>$L$6*$L$8*10</f>
        <v>10</v>
      </c>
      <c r="I9" s="18">
        <f t="shared" si="0"/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5" customHeight="1" x14ac:dyDescent="0.3">
      <c r="A10" s="1"/>
      <c r="B10" s="59"/>
      <c r="C10" s="56" t="s">
        <v>20</v>
      </c>
      <c r="D10" s="57"/>
      <c r="E10" s="57"/>
      <c r="F10" s="28" t="s">
        <v>16</v>
      </c>
      <c r="G10" s="29">
        <v>5</v>
      </c>
      <c r="H10" s="22">
        <f>$L$6*$L$8*25</f>
        <v>25</v>
      </c>
      <c r="I10" s="18">
        <f t="shared" si="0"/>
        <v>125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.5" customHeight="1" x14ac:dyDescent="0.3">
      <c r="A11" s="1"/>
      <c r="B11" s="59"/>
      <c r="C11" s="56" t="s">
        <v>19</v>
      </c>
      <c r="D11" s="57"/>
      <c r="E11" s="57"/>
      <c r="F11" s="28" t="s">
        <v>16</v>
      </c>
      <c r="G11" s="29">
        <v>5</v>
      </c>
      <c r="H11" s="22">
        <f>$L$6*$L$8*7.63</f>
        <v>7.63</v>
      </c>
      <c r="I11" s="18">
        <f t="shared" si="0"/>
        <v>38.15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x14ac:dyDescent="0.3">
      <c r="A12" s="1"/>
      <c r="B12" s="59"/>
      <c r="C12" s="52" t="s">
        <v>12</v>
      </c>
      <c r="D12" s="53"/>
      <c r="E12" s="53"/>
      <c r="F12" s="19" t="s">
        <v>11</v>
      </c>
      <c r="G12" s="20">
        <v>2</v>
      </c>
      <c r="H12" s="21">
        <f>$L$6*$L$8*90*2</f>
        <v>180</v>
      </c>
      <c r="I12" s="18">
        <f t="shared" si="0"/>
        <v>360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x14ac:dyDescent="0.3">
      <c r="A13" s="1"/>
      <c r="B13" s="59"/>
      <c r="C13" s="52" t="s">
        <v>14</v>
      </c>
      <c r="D13" s="53"/>
      <c r="E13" s="53"/>
      <c r="F13" s="19" t="s">
        <v>15</v>
      </c>
      <c r="G13" s="20">
        <v>10</v>
      </c>
      <c r="H13" s="21">
        <f>$L$6*$L$8*10.26</f>
        <v>10.26</v>
      </c>
      <c r="I13" s="18">
        <f t="shared" si="0"/>
        <v>102.6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x14ac:dyDescent="0.3">
      <c r="A14" s="1"/>
      <c r="B14" s="60"/>
      <c r="C14" s="52" t="s">
        <v>13</v>
      </c>
      <c r="D14" s="53"/>
      <c r="E14" s="53"/>
      <c r="F14" s="19" t="s">
        <v>7</v>
      </c>
      <c r="G14" s="20">
        <v>1</v>
      </c>
      <c r="H14" s="30">
        <f>0.1*SUM(I6:I13)</f>
        <v>172.8669906779661</v>
      </c>
      <c r="I14" s="18">
        <f>(G14*H14)*L8</f>
        <v>172.8669906779661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customHeight="1" x14ac:dyDescent="0.3">
      <c r="A15" s="1"/>
      <c r="B15" s="4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5" x14ac:dyDescent="0.3">
      <c r="A16" s="1"/>
      <c r="B16" s="45" t="s">
        <v>39</v>
      </c>
      <c r="C16" s="49" t="s">
        <v>50</v>
      </c>
      <c r="D16" s="49"/>
      <c r="E16" s="49"/>
      <c r="F16" s="49"/>
      <c r="G16" s="49"/>
      <c r="H16" s="49"/>
      <c r="I16" s="14">
        <f>I17</f>
        <v>3296.5226949152543</v>
      </c>
      <c r="J16" s="131">
        <f>I16*1.3</f>
        <v>4285.4795033898308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09.5" customHeight="1" x14ac:dyDescent="0.3">
      <c r="A17" s="1"/>
      <c r="B17" s="46" t="s">
        <v>40</v>
      </c>
      <c r="C17" s="61" t="s">
        <v>43</v>
      </c>
      <c r="D17" s="51"/>
      <c r="E17" s="51"/>
      <c r="F17" s="15" t="s">
        <v>7</v>
      </c>
      <c r="G17" s="16">
        <v>1</v>
      </c>
      <c r="H17" s="17">
        <f>SUM(I18:I31)</f>
        <v>3296.5226949152543</v>
      </c>
      <c r="I17" s="17">
        <f>H17*G17</f>
        <v>3296.5226949152543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5" x14ac:dyDescent="0.3">
      <c r="A18" s="1"/>
      <c r="B18" s="58" t="s">
        <v>24</v>
      </c>
      <c r="C18" s="62" t="s">
        <v>33</v>
      </c>
      <c r="D18" s="62"/>
      <c r="E18" s="63"/>
      <c r="F18" s="32" t="s">
        <v>16</v>
      </c>
      <c r="G18" s="33">
        <v>1</v>
      </c>
      <c r="H18" s="23">
        <f>$L$6*$L$7*$L$8*404.32</f>
        <v>1475.768</v>
      </c>
      <c r="I18" s="18">
        <f t="shared" ref="I18" si="1">G18*H18</f>
        <v>1475.768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5" x14ac:dyDescent="0.3">
      <c r="A19" s="1"/>
      <c r="B19" s="59"/>
      <c r="C19" s="62" t="s">
        <v>31</v>
      </c>
      <c r="D19" s="62"/>
      <c r="E19" s="63"/>
      <c r="F19" s="32" t="s">
        <v>16</v>
      </c>
      <c r="G19" s="33">
        <v>1</v>
      </c>
      <c r="H19" s="23">
        <f>$L$6*$L$7*$L$8*32.88</f>
        <v>120.012</v>
      </c>
      <c r="I19" s="18">
        <f t="shared" ref="I19:I28" si="2">G19*H19</f>
        <v>120.012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.5" x14ac:dyDescent="0.25">
      <c r="B20" s="59"/>
      <c r="C20" s="62" t="s">
        <v>32</v>
      </c>
      <c r="D20" s="62"/>
      <c r="E20" s="63"/>
      <c r="F20" s="32" t="s">
        <v>16</v>
      </c>
      <c r="G20" s="33">
        <v>1</v>
      </c>
      <c r="H20" s="23">
        <f>$L$6*$L$7*$L$8*99.3</f>
        <v>362.44499999999999</v>
      </c>
      <c r="I20" s="18">
        <f t="shared" si="2"/>
        <v>362.44499999999999</v>
      </c>
    </row>
    <row r="21" spans="1:20" ht="16.5" x14ac:dyDescent="0.25">
      <c r="B21" s="59"/>
      <c r="C21" s="62" t="s">
        <v>25</v>
      </c>
      <c r="D21" s="62"/>
      <c r="E21" s="63"/>
      <c r="F21" s="32" t="s">
        <v>16</v>
      </c>
      <c r="G21" s="33">
        <v>3</v>
      </c>
      <c r="H21" s="23">
        <f>$L$6*$L$8*13</f>
        <v>13</v>
      </c>
      <c r="I21" s="18">
        <f t="shared" si="2"/>
        <v>39</v>
      </c>
    </row>
    <row r="22" spans="1:20" ht="16.5" x14ac:dyDescent="0.25">
      <c r="B22" s="59"/>
      <c r="C22" s="62" t="s">
        <v>26</v>
      </c>
      <c r="D22" s="62"/>
      <c r="E22" s="63"/>
      <c r="F22" s="32" t="s">
        <v>16</v>
      </c>
      <c r="G22" s="33">
        <v>3</v>
      </c>
      <c r="H22" s="23">
        <f>$L$6*$L$8*16</f>
        <v>16</v>
      </c>
      <c r="I22" s="18">
        <f t="shared" si="2"/>
        <v>48</v>
      </c>
    </row>
    <row r="23" spans="1:20" ht="16.5" x14ac:dyDescent="0.25">
      <c r="B23" s="59"/>
      <c r="C23" s="62" t="s">
        <v>17</v>
      </c>
      <c r="D23" s="62"/>
      <c r="E23" s="63"/>
      <c r="F23" s="32" t="s">
        <v>16</v>
      </c>
      <c r="G23" s="33">
        <v>20</v>
      </c>
      <c r="H23" s="23">
        <f>$L$6*$L$8*1.9</f>
        <v>1.9</v>
      </c>
      <c r="I23" s="18">
        <f t="shared" si="2"/>
        <v>38</v>
      </c>
    </row>
    <row r="24" spans="1:20" ht="16.5" x14ac:dyDescent="0.25">
      <c r="B24" s="59"/>
      <c r="C24" s="62" t="s">
        <v>18</v>
      </c>
      <c r="D24" s="62"/>
      <c r="E24" s="63"/>
      <c r="F24" s="32" t="s">
        <v>16</v>
      </c>
      <c r="G24" s="33">
        <v>1</v>
      </c>
      <c r="H24" s="23">
        <f>$L$6*$L$8*10</f>
        <v>10</v>
      </c>
      <c r="I24" s="18">
        <f t="shared" si="2"/>
        <v>10</v>
      </c>
    </row>
    <row r="25" spans="1:20" ht="16.5" x14ac:dyDescent="0.25">
      <c r="B25" s="59"/>
      <c r="C25" s="64" t="s">
        <v>27</v>
      </c>
      <c r="D25" s="64"/>
      <c r="E25" s="65"/>
      <c r="F25" s="34" t="s">
        <v>16</v>
      </c>
      <c r="G25" s="35">
        <v>0.5</v>
      </c>
      <c r="H25" s="24">
        <f>$L$6*$L$8*18.64</f>
        <v>18.64</v>
      </c>
      <c r="I25" s="18">
        <f t="shared" si="2"/>
        <v>9.32</v>
      </c>
    </row>
    <row r="26" spans="1:20" ht="16.5" x14ac:dyDescent="0.25">
      <c r="B26" s="59"/>
      <c r="C26" s="64" t="s">
        <v>28</v>
      </c>
      <c r="D26" s="64"/>
      <c r="E26" s="65"/>
      <c r="F26" s="34" t="s">
        <v>16</v>
      </c>
      <c r="G26" s="35">
        <v>0.5</v>
      </c>
      <c r="H26" s="24">
        <f>$L$6*$L$8*5.93</f>
        <v>5.93</v>
      </c>
      <c r="I26" s="18">
        <f t="shared" si="2"/>
        <v>2.9649999999999999</v>
      </c>
    </row>
    <row r="27" spans="1:20" ht="16.5" x14ac:dyDescent="0.25">
      <c r="B27" s="59"/>
      <c r="C27" s="66" t="s">
        <v>29</v>
      </c>
      <c r="D27" s="66"/>
      <c r="E27" s="67"/>
      <c r="F27" s="36" t="s">
        <v>16</v>
      </c>
      <c r="G27" s="37">
        <v>3</v>
      </c>
      <c r="H27" s="38">
        <f>$L$6*$L$8*11.3/1.18</f>
        <v>9.5762711864406782</v>
      </c>
      <c r="I27" s="18">
        <f t="shared" ref="I27" si="3">G27*H27</f>
        <v>28.728813559322035</v>
      </c>
    </row>
    <row r="28" spans="1:20" ht="16.5" x14ac:dyDescent="0.25">
      <c r="B28" s="59"/>
      <c r="C28" s="66" t="s">
        <v>44</v>
      </c>
      <c r="D28" s="66"/>
      <c r="E28" s="67"/>
      <c r="F28" s="36" t="s">
        <v>16</v>
      </c>
      <c r="G28" s="37">
        <v>1</v>
      </c>
      <c r="H28" s="38">
        <f>$L$6*$L$8*400</f>
        <v>400</v>
      </c>
      <c r="I28" s="18">
        <f t="shared" si="2"/>
        <v>400</v>
      </c>
    </row>
    <row r="29" spans="1:20" ht="16.5" x14ac:dyDescent="0.25">
      <c r="B29" s="59"/>
      <c r="C29" s="52" t="s">
        <v>12</v>
      </c>
      <c r="D29" s="53"/>
      <c r="E29" s="53"/>
      <c r="F29" s="19" t="s">
        <v>11</v>
      </c>
      <c r="G29" s="20">
        <v>2</v>
      </c>
      <c r="H29" s="21">
        <f>$L$6*$L$8*180</f>
        <v>180</v>
      </c>
      <c r="I29" s="39">
        <f>G29*H29</f>
        <v>360</v>
      </c>
    </row>
    <row r="30" spans="1:20" ht="16.5" x14ac:dyDescent="0.25">
      <c r="B30" s="59"/>
      <c r="C30" s="52" t="s">
        <v>14</v>
      </c>
      <c r="D30" s="53"/>
      <c r="E30" s="53"/>
      <c r="F30" s="19" t="s">
        <v>15</v>
      </c>
      <c r="G30" s="20">
        <v>10</v>
      </c>
      <c r="H30" s="21">
        <f>$L$6*$L$8*10.26</f>
        <v>10.26</v>
      </c>
      <c r="I30" s="39">
        <f>G30*H30</f>
        <v>102.6</v>
      </c>
    </row>
    <row r="31" spans="1:20" ht="16.5" x14ac:dyDescent="0.25">
      <c r="B31" s="60"/>
      <c r="C31" s="68" t="s">
        <v>13</v>
      </c>
      <c r="D31" s="69"/>
      <c r="E31" s="69"/>
      <c r="F31" s="40" t="s">
        <v>7</v>
      </c>
      <c r="G31" s="41" t="s">
        <v>30</v>
      </c>
      <c r="H31" s="42" t="s">
        <v>30</v>
      </c>
      <c r="I31" s="42">
        <f>(0.1*SUM(I18:I30))*L8</f>
        <v>299.68388135593221</v>
      </c>
    </row>
    <row r="32" spans="1:20" ht="16.5" customHeight="1" x14ac:dyDescent="0.25"/>
    <row r="33" spans="2:10" ht="16.5" x14ac:dyDescent="0.25">
      <c r="B33" s="13" t="s">
        <v>41</v>
      </c>
      <c r="C33" s="49" t="s">
        <v>45</v>
      </c>
      <c r="D33" s="49"/>
      <c r="E33" s="49"/>
      <c r="F33" s="49"/>
      <c r="G33" s="49"/>
      <c r="H33" s="49"/>
      <c r="I33" s="14">
        <f>I34</f>
        <v>1354.7796610169491</v>
      </c>
      <c r="J33" s="132">
        <f>I33*1.3</f>
        <v>1761.2135593220339</v>
      </c>
    </row>
    <row r="34" spans="2:10" ht="105.75" customHeight="1" x14ac:dyDescent="0.25">
      <c r="B34" s="31" t="s">
        <v>42</v>
      </c>
      <c r="C34" s="50" t="s">
        <v>46</v>
      </c>
      <c r="D34" s="51"/>
      <c r="E34" s="51"/>
      <c r="F34" s="15" t="s">
        <v>7</v>
      </c>
      <c r="G34" s="16">
        <v>1</v>
      </c>
      <c r="H34" s="17">
        <f>SUM(I35:I39)</f>
        <v>1354.7796610169491</v>
      </c>
      <c r="I34" s="17">
        <f>H34*G34</f>
        <v>1354.7796610169491</v>
      </c>
    </row>
    <row r="35" spans="2:10" ht="16.5" customHeight="1" x14ac:dyDescent="0.25">
      <c r="B35" s="58" t="s">
        <v>24</v>
      </c>
      <c r="C35" s="54" t="s">
        <v>36</v>
      </c>
      <c r="D35" s="55"/>
      <c r="E35" s="55"/>
      <c r="F35" s="26" t="s">
        <v>16</v>
      </c>
      <c r="G35" s="27">
        <v>1</v>
      </c>
      <c r="H35" s="43">
        <f>$L$6*$L$7*$L$8*60</f>
        <v>219</v>
      </c>
      <c r="I35" s="18">
        <f>G35*H35</f>
        <v>219</v>
      </c>
    </row>
    <row r="36" spans="2:10" ht="16.5" x14ac:dyDescent="0.25">
      <c r="B36" s="59"/>
      <c r="C36" s="54" t="s">
        <v>47</v>
      </c>
      <c r="D36" s="55"/>
      <c r="E36" s="55"/>
      <c r="F36" s="26" t="s">
        <v>16</v>
      </c>
      <c r="G36" s="27">
        <v>1</v>
      </c>
      <c r="H36" s="43">
        <v>800</v>
      </c>
      <c r="I36" s="18">
        <f>(G36*H36)*L8</f>
        <v>800</v>
      </c>
    </row>
    <row r="37" spans="2:10" ht="16.5" x14ac:dyDescent="0.25">
      <c r="B37" s="59"/>
      <c r="C37" s="52" t="s">
        <v>37</v>
      </c>
      <c r="D37" s="53"/>
      <c r="E37" s="53"/>
      <c r="F37" s="19" t="s">
        <v>11</v>
      </c>
      <c r="G37" s="20">
        <v>2</v>
      </c>
      <c r="H37" s="21">
        <f>$L$6*$L$8*90</f>
        <v>90</v>
      </c>
      <c r="I37" s="39">
        <f>G37*H37</f>
        <v>180</v>
      </c>
    </row>
    <row r="38" spans="2:10" ht="16.5" x14ac:dyDescent="0.25">
      <c r="B38" s="59"/>
      <c r="C38" s="52" t="s">
        <v>14</v>
      </c>
      <c r="D38" s="53"/>
      <c r="E38" s="53"/>
      <c r="F38" s="19" t="s">
        <v>15</v>
      </c>
      <c r="G38" s="20">
        <v>10</v>
      </c>
      <c r="H38" s="21">
        <f>12/1.18</f>
        <v>10.16949152542373</v>
      </c>
      <c r="I38" s="39">
        <f>(G38*H38)*L8</f>
        <v>101.6949152542373</v>
      </c>
    </row>
    <row r="39" spans="2:10" ht="16.5" customHeight="1" x14ac:dyDescent="0.25">
      <c r="B39" s="60"/>
      <c r="C39" s="52" t="s">
        <v>38</v>
      </c>
      <c r="D39" s="53"/>
      <c r="E39" s="53"/>
      <c r="F39" s="19" t="s">
        <v>7</v>
      </c>
      <c r="G39" s="20" t="s">
        <v>30</v>
      </c>
      <c r="H39" s="30" t="s">
        <v>30</v>
      </c>
      <c r="I39" s="30">
        <f>(0.05*SUM(I36:I38))*L8</f>
        <v>54.084745762711862</v>
      </c>
    </row>
    <row r="41" spans="2:10" x14ac:dyDescent="0.25">
      <c r="J41" s="132">
        <f>+J4+J16+J33</f>
        <v>8518.6910294067802</v>
      </c>
    </row>
    <row r="54" ht="180.75" customHeight="1" x14ac:dyDescent="0.25"/>
    <row r="74" ht="163.5" customHeight="1" x14ac:dyDescent="0.25"/>
  </sheetData>
  <mergeCells count="39">
    <mergeCell ref="B35:B39"/>
    <mergeCell ref="C21:E21"/>
    <mergeCell ref="C22:E22"/>
    <mergeCell ref="C27:E27"/>
    <mergeCell ref="C35:E35"/>
    <mergeCell ref="C33:H33"/>
    <mergeCell ref="C34:E34"/>
    <mergeCell ref="C36:E36"/>
    <mergeCell ref="C37:E37"/>
    <mergeCell ref="C38:E38"/>
    <mergeCell ref="C39:E39"/>
    <mergeCell ref="B18:B31"/>
    <mergeCell ref="C19:E19"/>
    <mergeCell ref="C20:E20"/>
    <mergeCell ref="C23:E23"/>
    <mergeCell ref="C24:E24"/>
    <mergeCell ref="C25:E25"/>
    <mergeCell ref="C26:E26"/>
    <mergeCell ref="C28:E28"/>
    <mergeCell ref="C29:E29"/>
    <mergeCell ref="C30:E30"/>
    <mergeCell ref="C31:E31"/>
    <mergeCell ref="C18:E18"/>
    <mergeCell ref="C13:E13"/>
    <mergeCell ref="C14:E14"/>
    <mergeCell ref="C16:H16"/>
    <mergeCell ref="B6:B14"/>
    <mergeCell ref="C17:E17"/>
    <mergeCell ref="C2:E2"/>
    <mergeCell ref="C3:H3"/>
    <mergeCell ref="C4:H4"/>
    <mergeCell ref="C5:E5"/>
    <mergeCell ref="C12:E12"/>
    <mergeCell ref="C6:E6"/>
    <mergeCell ref="C7:E7"/>
    <mergeCell ref="C8:E8"/>
    <mergeCell ref="C9:E9"/>
    <mergeCell ref="C10:E10"/>
    <mergeCell ref="C11:E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baseColWidth="10" defaultRowHeight="15" x14ac:dyDescent="0.25"/>
  <sheetData>
    <row r="1" spans="1:8" ht="18.75" x14ac:dyDescent="0.3">
      <c r="A1" s="85" t="s">
        <v>48</v>
      </c>
      <c r="B1" s="70"/>
      <c r="C1" s="70"/>
      <c r="D1" s="70"/>
      <c r="E1" s="70"/>
      <c r="F1" s="70"/>
      <c r="G1" s="70"/>
      <c r="H1" s="70"/>
    </row>
    <row r="2" spans="1:8" ht="18.75" x14ac:dyDescent="0.3">
      <c r="A2" s="71" t="s">
        <v>51</v>
      </c>
      <c r="B2" s="71"/>
      <c r="C2" s="71"/>
      <c r="D2" s="71"/>
      <c r="E2" s="72" t="s">
        <v>52</v>
      </c>
      <c r="F2" s="73"/>
      <c r="G2" s="73"/>
      <c r="H2" s="73"/>
    </row>
    <row r="3" spans="1:8" x14ac:dyDescent="0.25">
      <c r="A3" s="74"/>
      <c r="B3" s="74"/>
      <c r="C3" s="74"/>
      <c r="D3" s="75"/>
      <c r="E3" s="76">
        <v>0.3</v>
      </c>
      <c r="F3" s="77">
        <v>0.4</v>
      </c>
      <c r="G3" s="77">
        <v>0.45</v>
      </c>
      <c r="H3" s="77">
        <v>0.5</v>
      </c>
    </row>
    <row r="4" spans="1:8" ht="16.5" x14ac:dyDescent="0.25">
      <c r="A4" s="78" t="s">
        <v>51</v>
      </c>
      <c r="B4" s="78"/>
      <c r="C4" s="78"/>
      <c r="D4" s="79">
        <f>D9</f>
        <v>6552.8392533898304</v>
      </c>
      <c r="E4" s="80">
        <f>$D$4*E3</f>
        <v>1965.8517760169491</v>
      </c>
      <c r="F4" s="80">
        <f>$D$4*F3</f>
        <v>2621.1357013559323</v>
      </c>
      <c r="G4" s="80">
        <f>$D$4*G3</f>
        <v>2948.7776640254237</v>
      </c>
      <c r="H4" s="80">
        <f>$D$4*H3</f>
        <v>3276.4196266949152</v>
      </c>
    </row>
    <row r="5" spans="1:8" x14ac:dyDescent="0.25">
      <c r="A5" s="78"/>
      <c r="B5" s="78"/>
      <c r="C5" s="78"/>
      <c r="D5" s="81" t="s">
        <v>57</v>
      </c>
      <c r="E5" s="82">
        <f>$D$4+E4</f>
        <v>8518.6910294067802</v>
      </c>
      <c r="F5" s="82">
        <f t="shared" ref="F5:H5" si="0">$D$4+F4</f>
        <v>9173.9749547457632</v>
      </c>
      <c r="G5" s="82">
        <f t="shared" si="0"/>
        <v>9501.6169174152546</v>
      </c>
      <c r="H5" s="82">
        <f t="shared" si="0"/>
        <v>9829.2588800847461</v>
      </c>
    </row>
    <row r="6" spans="1:8" x14ac:dyDescent="0.25">
      <c r="A6" s="78"/>
      <c r="B6" s="78"/>
      <c r="C6" s="78"/>
      <c r="D6" s="81"/>
      <c r="E6" s="82"/>
      <c r="F6" s="82"/>
      <c r="G6" s="82"/>
      <c r="H6" s="82"/>
    </row>
    <row r="7" spans="1:8" x14ac:dyDescent="0.25">
      <c r="E7" s="84" t="s">
        <v>53</v>
      </c>
      <c r="F7" s="83" t="s">
        <v>54</v>
      </c>
      <c r="G7" s="83" t="s">
        <v>55</v>
      </c>
      <c r="H7" s="83" t="s">
        <v>56</v>
      </c>
    </row>
    <row r="8" spans="1:8" x14ac:dyDescent="0.25">
      <c r="E8" s="90" t="s">
        <v>63</v>
      </c>
    </row>
    <row r="9" spans="1:8" x14ac:dyDescent="0.25">
      <c r="D9">
        <v>6552.8392533898304</v>
      </c>
    </row>
    <row r="10" spans="1:8" x14ac:dyDescent="0.25">
      <c r="E10" s="130">
        <f>E5-'HERCO LURIN'!I3</f>
        <v>1965.8517760169498</v>
      </c>
    </row>
  </sheetData>
  <mergeCells count="9">
    <mergeCell ref="A1:H1"/>
    <mergeCell ref="A2:D2"/>
    <mergeCell ref="E2:H2"/>
    <mergeCell ref="A4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HERCO LURIN (LA)</vt:lpstr>
      <vt:lpstr>HERCO LURIN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Juarez A</dc:creator>
  <cp:lastModifiedBy>PC</cp:lastModifiedBy>
  <dcterms:created xsi:type="dcterms:W3CDTF">2020-07-16T05:01:11Z</dcterms:created>
  <dcterms:modified xsi:type="dcterms:W3CDTF">2020-12-21T23:33:20Z</dcterms:modified>
</cp:coreProperties>
</file>