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13 Projet Clients\Artixium\02 projet simuateur de gain\wel\Welborn\"/>
    </mc:Choice>
  </mc:AlternateContent>
  <xr:revisionPtr revIDLastSave="0" documentId="13_ncr:1_{41E4D101-C917-4B4D-A760-25040F573463}" xr6:coauthVersionLast="47" xr6:coauthVersionMax="47" xr10:uidLastSave="{00000000-0000-0000-0000-000000000000}"/>
  <bookViews>
    <workbookView xWindow="-108" yWindow="-108" windowWidth="23256" windowHeight="12456" xr2:uid="{5FA2D773-0363-403A-8D7A-CD3069532114}"/>
  </bookViews>
  <sheets>
    <sheet name="DONNÉES CLIENTS" sheetId="2" r:id="rId1"/>
    <sheet name="RÉSULTATS" sheetId="1" r:id="rId2"/>
    <sheet name="DETAIL PRESTATIONS IRVE" sheetId="6" state="hidden" r:id="rId3"/>
    <sheet name="DONNEES NATIONALES" sheetId="4" r:id="rId4"/>
    <sheet name="Liste de prix" sheetId="3" r:id="rId5"/>
  </sheets>
  <externalReferences>
    <externalReference r:id="rId6"/>
  </externalReferences>
  <definedNames>
    <definedName name="Modele">'[1]Prix Vente résumé VIP'!$B:$B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N13" i="2"/>
  <c r="M11" i="1"/>
  <c r="N11" i="1" s="1"/>
  <c r="K26" i="1" s="1"/>
  <c r="A13" i="1"/>
  <c r="C13" i="1" s="1"/>
  <c r="F13" i="1" s="1"/>
  <c r="D13" i="1"/>
  <c r="E13" i="1"/>
  <c r="K21" i="2"/>
  <c r="J21" i="2"/>
  <c r="I21" i="2"/>
  <c r="H21" i="2"/>
  <c r="G22" i="2"/>
  <c r="O14" i="1" s="1"/>
  <c r="G21" i="2"/>
  <c r="E22" i="2"/>
  <c r="E21" i="2"/>
  <c r="O11" i="1" l="1"/>
  <c r="O13" i="1"/>
  <c r="O12" i="1"/>
  <c r="P10" i="1"/>
  <c r="P11" i="1" s="1"/>
  <c r="B28" i="1"/>
  <c r="B13" i="1"/>
  <c r="K22" i="1" l="1"/>
  <c r="M14" i="1"/>
  <c r="N14" i="1" s="1"/>
  <c r="K29" i="1" s="1"/>
  <c r="G24" i="6"/>
  <c r="I22" i="2"/>
  <c r="I23" i="2"/>
  <c r="H23" i="2"/>
  <c r="H22" i="2"/>
  <c r="B27" i="1" s="1"/>
  <c r="E12" i="1"/>
  <c r="D11" i="1"/>
  <c r="D18" i="6"/>
  <c r="D12" i="6"/>
  <c r="D11" i="6"/>
  <c r="D9" i="6"/>
  <c r="D10" i="6"/>
  <c r="D13" i="6"/>
  <c r="D14" i="6"/>
  <c r="D15" i="6"/>
  <c r="D16" i="6"/>
  <c r="D8" i="6"/>
  <c r="J22" i="2"/>
  <c r="K22" i="2"/>
  <c r="K23" i="2"/>
  <c r="J23" i="2"/>
  <c r="D12" i="1"/>
  <c r="J11" i="1"/>
  <c r="M12" i="1"/>
  <c r="N12" i="1" s="1"/>
  <c r="K27" i="1" s="1"/>
  <c r="M13" i="1"/>
  <c r="N13" i="1" s="1"/>
  <c r="K28" i="1" s="1"/>
  <c r="C25" i="4"/>
  <c r="J12" i="1"/>
  <c r="J13" i="1"/>
  <c r="J14" i="1"/>
  <c r="B16" i="1"/>
  <c r="A12" i="1"/>
  <c r="B12" i="1" s="1"/>
  <c r="A11" i="1"/>
  <c r="F11" i="1" s="1"/>
  <c r="B26" i="1" l="1"/>
  <c r="G21" i="6"/>
  <c r="B23" i="1"/>
  <c r="C12" i="1"/>
  <c r="F12" i="1" s="1"/>
  <c r="J19" i="1" l="1"/>
  <c r="K19" i="1"/>
  <c r="G22" i="6"/>
  <c r="P13" i="2"/>
  <c r="F14" i="1"/>
  <c r="N14" i="2"/>
  <c r="G20" i="6" l="1"/>
  <c r="K21" i="1"/>
  <c r="K20" i="1"/>
  <c r="J20" i="1"/>
  <c r="L19" i="1"/>
  <c r="J26" i="1" s="1"/>
  <c r="P14" i="2"/>
  <c r="N15" i="2"/>
  <c r="J21" i="1" s="1"/>
  <c r="L26" i="1" l="1"/>
  <c r="J33" i="1" s="1"/>
  <c r="L21" i="1"/>
  <c r="J28" i="1" s="1"/>
  <c r="L20" i="1"/>
  <c r="J27" i="1" s="1"/>
  <c r="P15" i="2"/>
  <c r="N16" i="2"/>
  <c r="P16" i="2" l="1"/>
  <c r="J22" i="1"/>
  <c r="L22" i="1" s="1"/>
  <c r="J29" i="1" s="1"/>
  <c r="L29" i="1" s="1"/>
  <c r="L28" i="1"/>
  <c r="L27" i="1"/>
  <c r="J35" i="1" l="1"/>
  <c r="J36" i="1" s="1"/>
  <c r="J34" i="1"/>
  <c r="K11" i="1"/>
  <c r="L11" i="1" s="1"/>
  <c r="K12" i="1"/>
  <c r="L12" i="1" s="1"/>
  <c r="K14" i="1"/>
  <c r="L14" i="1" s="1"/>
  <c r="K13" i="1"/>
  <c r="L13" i="1" s="1"/>
  <c r="D31" i="1"/>
  <c r="E11" i="1"/>
  <c r="K40" i="1" l="1"/>
  <c r="G23" i="6"/>
  <c r="G25" i="6" l="1"/>
  <c r="G26" i="6" s="1"/>
  <c r="K35" i="1" l="1"/>
  <c r="L35" i="1" s="1"/>
  <c r="K34" i="1"/>
  <c r="L34" i="1" s="1"/>
  <c r="K36" i="1"/>
  <c r="L36" i="1" s="1"/>
  <c r="K33" i="1"/>
  <c r="L33" i="1" s="1"/>
</calcChain>
</file>

<file path=xl/sharedStrings.xml><?xml version="1.0" encoding="utf-8"?>
<sst xmlns="http://schemas.openxmlformats.org/spreadsheetml/2006/main" count="269" uniqueCount="187">
  <si>
    <t>Qté</t>
  </si>
  <si>
    <t xml:space="preserve">Total </t>
  </si>
  <si>
    <t>Genie civil - dalle, tranchée, percement</t>
  </si>
  <si>
    <t xml:space="preserve">Investissement global </t>
  </si>
  <si>
    <t>Part EV + HEV  2022 immatriculation</t>
  </si>
  <si>
    <t>Part EV + HEV  2023 immatriculation</t>
  </si>
  <si>
    <t>Part EV + HEV  2024 immatriculation</t>
  </si>
  <si>
    <t>Part EV + HEV  2025 immatriculation</t>
  </si>
  <si>
    <t>Part EV + HEV  2026 immatriculation</t>
  </si>
  <si>
    <t>Part EV + HEV  total 2023</t>
  </si>
  <si>
    <t>Part EV + HEV  total 2024</t>
  </si>
  <si>
    <t>Part EV + HEV  total 2025</t>
  </si>
  <si>
    <t>Part EV + HEV  total 2026</t>
  </si>
  <si>
    <t>prix kWh moyen 2023</t>
  </si>
  <si>
    <t>prix kWh moyen 2024</t>
  </si>
  <si>
    <t>prix kWh moyen 2025</t>
  </si>
  <si>
    <t>prix kWh moyen 2026</t>
  </si>
  <si>
    <t>Prix achat €/kWh</t>
  </si>
  <si>
    <t>Nombre de points de charges monétisables</t>
  </si>
  <si>
    <t>Nombre de clients mensuels</t>
  </si>
  <si>
    <t>Abonnement électrique</t>
  </si>
  <si>
    <t>Prix kWh</t>
  </si>
  <si>
    <t>type charge</t>
  </si>
  <si>
    <t>AC</t>
  </si>
  <si>
    <t>DC</t>
  </si>
  <si>
    <t>nbre de points de charge</t>
  </si>
  <si>
    <t>AC + DC</t>
  </si>
  <si>
    <t>Public</t>
  </si>
  <si>
    <t>No.</t>
  </si>
  <si>
    <t>Modèle</t>
  </si>
  <si>
    <t>Prix de Vente (EUR H.T.)</t>
  </si>
  <si>
    <t>WB-07S-SS/W</t>
  </si>
  <si>
    <t>WB-07S-SS/WR</t>
  </si>
  <si>
    <t>WB-07S-P/WR</t>
  </si>
  <si>
    <t>WB-11S-SS/WRL</t>
  </si>
  <si>
    <t>WB-22S-SS/WRL</t>
  </si>
  <si>
    <t>WB-22S-P/WRL</t>
  </si>
  <si>
    <t>WB-44S-P/WRL</t>
  </si>
  <si>
    <t>WB-22D-SS/WRL</t>
  </si>
  <si>
    <t>WB-22D-P/WRL</t>
  </si>
  <si>
    <t>WB-07D-SSW/WRL</t>
  </si>
  <si>
    <t>WB-22D-SSW/WRL</t>
  </si>
  <si>
    <t>WB-DC-20S/WRL-ECO</t>
  </si>
  <si>
    <t>WB-DC-40S/WRL</t>
  </si>
  <si>
    <t>WB-DC-40D/WRLC</t>
  </si>
  <si>
    <t>WB-DC-60D/WC</t>
  </si>
  <si>
    <t>WB-DC-150D/WC</t>
  </si>
  <si>
    <t>WB-DC-180D/WC</t>
  </si>
  <si>
    <t>WB-DC-300D/WC</t>
  </si>
  <si>
    <t>WB-DC-360D/WC</t>
  </si>
  <si>
    <t>WB-DC-AC44S/DC60D/WC</t>
  </si>
  <si>
    <t>WB-DC-AC22D-SS/DC150D/WC</t>
  </si>
  <si>
    <t>WB-DC-160D/WC</t>
  </si>
  <si>
    <t>Nombre de bornes</t>
  </si>
  <si>
    <t>Installation</t>
  </si>
  <si>
    <t>Puissance cumulée</t>
  </si>
  <si>
    <t>Puissance cumulée kW</t>
  </si>
  <si>
    <t>sol</t>
  </si>
  <si>
    <t>mural ou sol (pied en sus)</t>
  </si>
  <si>
    <t>Type tarif actuel</t>
  </si>
  <si>
    <t>Tarif jaune</t>
  </si>
  <si>
    <t>Nbre de points de charge</t>
  </si>
  <si>
    <t>Temps moyen d'un client (min)</t>
  </si>
  <si>
    <t>Type charge</t>
  </si>
  <si>
    <t>Payant</t>
  </si>
  <si>
    <r>
      <t xml:space="preserve">Volume immatriculation </t>
    </r>
    <r>
      <rPr>
        <sz val="10"/>
        <color theme="0"/>
        <rFont val="Arial"/>
        <family val="2"/>
      </rPr>
      <t>source AVERE</t>
    </r>
  </si>
  <si>
    <r>
      <t xml:space="preserve">Parc véhicule existants </t>
    </r>
    <r>
      <rPr>
        <sz val="11"/>
        <color theme="0"/>
        <rFont val="Arial"/>
        <family val="2"/>
      </rPr>
      <t>source SDES</t>
    </r>
  </si>
  <si>
    <t>Part EV seul 2023</t>
  </si>
  <si>
    <t>Part EV seul 2024</t>
  </si>
  <si>
    <t>Part EV seul 2025</t>
  </si>
  <si>
    <t>Part EV seul 2026</t>
  </si>
  <si>
    <t>Part EV seul 2027</t>
  </si>
  <si>
    <t>Evolution du prix de l'énergie 2021</t>
  </si>
  <si>
    <t>Evolution du prix de l'énergie 2022</t>
  </si>
  <si>
    <t>Evolution du prix de l'énergie 2023</t>
  </si>
  <si>
    <t>Evolution du prix de l'énergie 2024</t>
  </si>
  <si>
    <t>Evolution du prix de l'énergie 2025</t>
  </si>
  <si>
    <t>Evolution du prix de l'énergie 2026</t>
  </si>
  <si>
    <t>Evolution du prix de l'énergie 2027</t>
  </si>
  <si>
    <r>
      <t>Evolution du prix de l'énergie</t>
    </r>
    <r>
      <rPr>
        <sz val="11"/>
        <color theme="0"/>
        <rFont val="Arial"/>
        <family val="2"/>
      </rPr>
      <t xml:space="preserve"> source CRE</t>
    </r>
  </si>
  <si>
    <t>Nombre de sessions max par heure</t>
  </si>
  <si>
    <t>Part EV + HEV  total 2027</t>
  </si>
  <si>
    <t>Frequentation quotidienne (nbre passages jourx %EV national)</t>
  </si>
  <si>
    <t>AIDES ADVENIR</t>
  </si>
  <si>
    <t xml:space="preserve"> </t>
  </si>
  <si>
    <t xml:space="preserve">PDL ENEDIS Tarif jaune </t>
  </si>
  <si>
    <t>Nbre PDC AC</t>
  </si>
  <si>
    <t>PDC DC</t>
  </si>
  <si>
    <t>Nbre borne AC</t>
  </si>
  <si>
    <t>Borne DC</t>
  </si>
  <si>
    <t>Données entrée client</t>
  </si>
  <si>
    <t>Référence</t>
  </si>
  <si>
    <t>QUELLE TYPE DE BORNE CHOISIR?</t>
  </si>
  <si>
    <t>Descriptif</t>
  </si>
  <si>
    <t>BORNE 7 KW</t>
  </si>
  <si>
    <t>BORNE 7 KW AVEC PISTOLET</t>
  </si>
  <si>
    <t>BORNE 22 KW AVEC PISTOLET</t>
  </si>
  <si>
    <t>BORNE 44 KW AVEC PISTOLET</t>
  </si>
  <si>
    <t>BORNE 11KW</t>
  </si>
  <si>
    <t>BORNE 22KW</t>
  </si>
  <si>
    <t>BORNE DOUBLE 22KW</t>
  </si>
  <si>
    <t>STATION DOUBLE 22KW</t>
  </si>
  <si>
    <t>STATION DOUBLE 22KW AVEC PISTOLET</t>
  </si>
  <si>
    <t>BORNE DOUBLE 7KW</t>
  </si>
  <si>
    <t>BORNE DC 20KW</t>
  </si>
  <si>
    <t>BORNE DC 40KW</t>
  </si>
  <si>
    <t>BORNE DC DOUBLE 40KW</t>
  </si>
  <si>
    <t>BORNE DC DOUBLE 60KW</t>
  </si>
  <si>
    <t>SUPERCHARGEUR 150KW</t>
  </si>
  <si>
    <t>SUPERCHARGEUR 180KW</t>
  </si>
  <si>
    <t>SUPERCHARGEUR 300KW</t>
  </si>
  <si>
    <t>SUPERCHARGEUR 360KW</t>
  </si>
  <si>
    <t>STATION COMBO 44AC + 60 DC DOUBLE</t>
  </si>
  <si>
    <t>STATION COMBO 22 DC + 150 DC DOUBLE</t>
  </si>
  <si>
    <t xml:space="preserve">  - compléter uniquement les cellules en bleu - </t>
  </si>
  <si>
    <t>BORNE 7 KW RFID</t>
  </si>
  <si>
    <t>BORNE DC DOUBLE 160KW</t>
  </si>
  <si>
    <t>Etape 2 - ENEDIS</t>
  </si>
  <si>
    <t>Etape 4 - FRAIS SERVICES Evmap (monétisation)</t>
  </si>
  <si>
    <t>POTENTIEL ANNUEL DE VENTE KWH</t>
  </si>
  <si>
    <t>Charge moyenne vendue kWh/ utilisateur</t>
  </si>
  <si>
    <t>Prix de revient €HT par charge unitaire</t>
  </si>
  <si>
    <t>prix revente €HT/ charge unitaire</t>
  </si>
  <si>
    <t>RETOUR SUR INVESTISSEMENT</t>
  </si>
  <si>
    <t>marge nette €HT cumulée</t>
  </si>
  <si>
    <t>Marge de revente</t>
  </si>
  <si>
    <t>TYPE BORNE</t>
  </si>
  <si>
    <t>Prix Public</t>
  </si>
  <si>
    <t>Etape 1 - MATERIEL - achat matériel wellborne</t>
  </si>
  <si>
    <t>INVESTISSEMENT GLOBAL €HT</t>
  </si>
  <si>
    <t>RECETTES MONETISATION €HT</t>
  </si>
  <si>
    <t>Nbre total de points de charge</t>
  </si>
  <si>
    <t>Marge €HT/charge unitaire</t>
  </si>
  <si>
    <t>Marges €HT annuelles</t>
  </si>
  <si>
    <t>Marges €HT par charge unitaire</t>
  </si>
  <si>
    <t>marge anuelle opérationnel brut €HT</t>
  </si>
  <si>
    <t xml:space="preserve">Marge annuelle brut cumulée  €HT </t>
  </si>
  <si>
    <t>marge brute annuelle €HT</t>
  </si>
  <si>
    <t>mois</t>
  </si>
  <si>
    <t>Temps de charge (heure) par utilisateur</t>
  </si>
  <si>
    <t>Etude, préparation, DICT, et confection d'un plan de prévention</t>
  </si>
  <si>
    <t>Fourniture et pose dans le TGBT d'un interrupteur differentiel</t>
  </si>
  <si>
    <t>Fourniture et déroulage de câble sous fourreau</t>
  </si>
  <si>
    <t>Confection du massif d'ancrage béton</t>
  </si>
  <si>
    <t>Signalisation des places (panneau + marquage au sol)</t>
  </si>
  <si>
    <t>Frais de déplacement</t>
  </si>
  <si>
    <t>quantité</t>
  </si>
  <si>
    <t>prix unitaire</t>
  </si>
  <si>
    <t>prix total</t>
  </si>
  <si>
    <t>raccordement, main d'œuvre</t>
  </si>
  <si>
    <t>Ajout armoire dédiée</t>
  </si>
  <si>
    <t>Attestation de conformité</t>
  </si>
  <si>
    <t>Attestation de conformité bureau de contrôle</t>
  </si>
  <si>
    <t>Etude, signalisation des places, DOE, déplacement…</t>
  </si>
  <si>
    <t>Prix vente €/kWh</t>
  </si>
  <si>
    <t>Etape 3 - INSTALLATION IRVE (installateur au choix) *</t>
  </si>
  <si>
    <t>* prix estimés sur la base de plusieurs devis IRVE proratisés</t>
  </si>
  <si>
    <t>* tarif estimé sur la base de plusieurs devis ENEDIS</t>
  </si>
  <si>
    <t>Service monétisation EVmap (16€/mois/PDC DC) - pour 4 ans</t>
  </si>
  <si>
    <t xml:space="preserve">Nombre de bornes souhaitées </t>
  </si>
  <si>
    <t>PROPOSITION DE REVENTE</t>
  </si>
  <si>
    <t>Etude de rentabilité du projet par site</t>
  </si>
  <si>
    <t>Temps de retour sur investissement</t>
  </si>
  <si>
    <r>
      <t xml:space="preserve">coût €HT cumulé des travaux
</t>
    </r>
    <r>
      <rPr>
        <sz val="12"/>
        <color rgb="FF000000"/>
        <rFont val="Arial"/>
        <family val="2"/>
      </rPr>
      <t>(amortissement 48 mois)</t>
    </r>
  </si>
  <si>
    <t>nbre clients 100%EV par jour (9h-19h)</t>
  </si>
  <si>
    <t xml:space="preserve">WELLBORNE - MATERIEL </t>
  </si>
  <si>
    <t>ENEDIS</t>
  </si>
  <si>
    <t>EV MAP - SERVICES + MONETISATION</t>
  </si>
  <si>
    <t>INVESTISSEMENT GLOBAL (magasin type)</t>
  </si>
  <si>
    <t>Site type</t>
  </si>
  <si>
    <t>INSTALLATION IRVE</t>
  </si>
  <si>
    <t>WB-DC-120D/WC</t>
  </si>
  <si>
    <t>WB-DC-80D/WC</t>
  </si>
  <si>
    <t>WB-DC-100D/WC</t>
  </si>
  <si>
    <t>WB-DC-140D/WC</t>
  </si>
  <si>
    <t>BORNE DC DOUBLE 80KW</t>
  </si>
  <si>
    <t>BORNE DC DOUBLE 100KW</t>
  </si>
  <si>
    <t>BORNE DC DOUBLE 120KW</t>
  </si>
  <si>
    <t>BORNE DC DOUBLE 140KW</t>
  </si>
  <si>
    <t>MOE électrique - raccordement, ajout armoire électrique, MES</t>
  </si>
  <si>
    <t>Contrat de maintenance annuel  (300€/borne AC - 500€/borne DC) - pour 4 ans</t>
  </si>
  <si>
    <t>Frais activation (60€/ point de charge)</t>
  </si>
  <si>
    <t>prix proposé</t>
  </si>
  <si>
    <t>Service monétisation EVmap (16€/mois/PDC AC) - pour 4 ans</t>
  </si>
  <si>
    <t>à estimer selon 
les tarifs de vos IRVE</t>
  </si>
  <si>
    <t>Avantage client</t>
  </si>
  <si>
    <t>Coût EV map €HT 
(8,5% sur volume de vente)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</si>
</sst>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#,##0\ &quot;€&quot;"/>
    <numFmt numFmtId="165" formatCode="_ * #,##0.00_)\ _€_ ;_ * \(#,##0.00\)\ _€_ ;_ * &quot;-&quot;??_)\ _€_ ;_ @_ "/>
    <numFmt numFmtId="166" formatCode="#,##0.00\ &quot;€&quot;"/>
    <numFmt numFmtId="167" formatCode="_-* #,##0\ _€_-;\-* #,##0\ _€_-;_-* &quot;-&quot;??\ _€_-;_-@_-"/>
    <numFmt numFmtId="168" formatCode="0.000"/>
    <numFmt numFmtId="169" formatCode="0.0"/>
    <numFmt numFmtId="170" formatCode="#,##0.000\ &quot;€&quot;"/>
    <numFmt numFmtId="171" formatCode="#,##0.0\ &quot;€&quot;;[Red]\-#,##0.0\ &quot;€&quot;"/>
  </numFmts>
  <fonts count="3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28"/>
      <color theme="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sz val="18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B05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20"/>
      <color rgb="FFFFFFFF"/>
      <name val="Arial"/>
      <family val="2"/>
    </font>
    <font>
      <b/>
      <sz val="12"/>
      <name val="Arial"/>
      <family val="2"/>
    </font>
    <font>
      <sz val="20"/>
      <color theme="1"/>
      <name val="Arial Nova"/>
      <family val="2"/>
    </font>
    <font>
      <sz val="36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24"/>
      <color theme="1"/>
      <name val="LilyUPC"/>
      <family val="2"/>
      <charset val="22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8"/>
      <color theme="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45EF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66"/>
        <bgColor rgb="FF000000"/>
      </patternFill>
    </fill>
    <fill>
      <patternFill patternType="solid">
        <fgColor rgb="FFE0FFD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6" borderId="1" xfId="0" applyFont="1" applyFill="1" applyBorder="1"/>
    <xf numFmtId="0" fontId="1" fillId="0" borderId="3" xfId="0" applyFont="1" applyBorder="1" applyAlignment="1">
      <alignment horizontal="center" vertical="center"/>
    </xf>
    <xf numFmtId="9" fontId="1" fillId="6" borderId="1" xfId="0" applyNumberFormat="1" applyFont="1" applyFill="1" applyBorder="1"/>
    <xf numFmtId="0" fontId="7" fillId="0" borderId="0" xfId="0" applyFont="1" applyAlignment="1">
      <alignment vertical="center" wrapText="1"/>
    </xf>
    <xf numFmtId="0" fontId="5" fillId="6" borderId="0" xfId="0" applyFont="1" applyFill="1"/>
    <xf numFmtId="0" fontId="1" fillId="6" borderId="0" xfId="0" applyFont="1" applyFill="1"/>
    <xf numFmtId="0" fontId="2" fillId="0" borderId="3" xfId="0" applyFont="1" applyBorder="1"/>
    <xf numFmtId="0" fontId="1" fillId="12" borderId="1" xfId="0" applyFont="1" applyFill="1" applyBorder="1"/>
    <xf numFmtId="164" fontId="1" fillId="0" borderId="3" xfId="0" applyNumberFormat="1" applyFont="1" applyBorder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/>
    </xf>
    <xf numFmtId="0" fontId="16" fillId="0" borderId="0" xfId="0" applyFont="1" applyAlignment="1">
      <alignment wrapText="1"/>
    </xf>
    <xf numFmtId="43" fontId="17" fillId="15" borderId="4" xfId="1" applyFont="1" applyFill="1" applyBorder="1" applyAlignment="1">
      <alignment horizontal="center" vertical="center" wrapText="1"/>
    </xf>
    <xf numFmtId="43" fontId="17" fillId="15" borderId="3" xfId="1" applyFont="1" applyFill="1" applyBorder="1" applyAlignment="1">
      <alignment horizontal="center" vertical="center" wrapText="1"/>
    </xf>
    <xf numFmtId="0" fontId="18" fillId="0" borderId="3" xfId="1" applyNumberFormat="1" applyFont="1" applyBorder="1" applyAlignment="1">
      <alignment horizontal="center" vertical="center" wrapText="1"/>
    </xf>
    <xf numFmtId="43" fontId="18" fillId="0" borderId="3" xfId="1" applyFont="1" applyBorder="1" applyAlignment="1">
      <alignment horizontal="center" vertical="center" wrapText="1"/>
    </xf>
    <xf numFmtId="165" fontId="19" fillId="0" borderId="3" xfId="1" applyNumberFormat="1" applyFont="1" applyBorder="1" applyAlignment="1">
      <alignment horizontal="center" vertical="center" wrapText="1"/>
    </xf>
    <xf numFmtId="43" fontId="5" fillId="2" borderId="3" xfId="0" applyNumberFormat="1" applyFont="1" applyFill="1" applyBorder="1" applyAlignment="1">
      <alignment vertical="center"/>
    </xf>
    <xf numFmtId="43" fontId="5" fillId="2" borderId="3" xfId="0" applyNumberFormat="1" applyFont="1" applyFill="1" applyBorder="1" applyAlignment="1">
      <alignment vertical="center" wrapText="1"/>
    </xf>
    <xf numFmtId="0" fontId="1" fillId="16" borderId="3" xfId="0" applyFont="1" applyFill="1" applyBorder="1"/>
    <xf numFmtId="9" fontId="1" fillId="16" borderId="3" xfId="0" applyNumberFormat="1" applyFont="1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vertical="center"/>
    </xf>
    <xf numFmtId="0" fontId="14" fillId="20" borderId="3" xfId="0" applyFont="1" applyFill="1" applyBorder="1" applyAlignment="1">
      <alignment vertical="center"/>
    </xf>
    <xf numFmtId="0" fontId="14" fillId="20" borderId="4" xfId="0" applyFont="1" applyFill="1" applyBorder="1" applyAlignment="1">
      <alignment vertical="center"/>
    </xf>
    <xf numFmtId="0" fontId="14" fillId="20" borderId="5" xfId="0" applyFont="1" applyFill="1" applyBorder="1" applyAlignment="1">
      <alignment vertical="center"/>
    </xf>
    <xf numFmtId="0" fontId="14" fillId="20" borderId="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" fillId="12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8" fontId="1" fillId="0" borderId="0" xfId="0" applyNumberFormat="1" applyFont="1" applyAlignment="1">
      <alignment vertical="center"/>
    </xf>
    <xf numFmtId="0" fontId="5" fillId="5" borderId="3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6" fontId="9" fillId="10" borderId="7" xfId="0" applyNumberFormat="1" applyFont="1" applyFill="1" applyBorder="1" applyAlignment="1">
      <alignment horizontal="right" vertical="center"/>
    </xf>
    <xf numFmtId="0" fontId="2" fillId="0" borderId="0" xfId="0" applyFont="1" applyAlignment="1">
      <alignment wrapText="1"/>
    </xf>
    <xf numFmtId="0" fontId="26" fillId="0" borderId="0" xfId="0" applyFont="1" applyAlignment="1">
      <alignment horizontal="center" vertical="center"/>
    </xf>
    <xf numFmtId="0" fontId="27" fillId="24" borderId="3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2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30" fillId="0" borderId="0" xfId="0" applyFont="1" applyAlignment="1">
      <alignment vertical="center"/>
    </xf>
    <xf numFmtId="6" fontId="6" fillId="0" borderId="3" xfId="0" applyNumberFormat="1" applyFont="1" applyBorder="1" applyAlignment="1">
      <alignment horizontal="right" vertical="center"/>
    </xf>
    <xf numFmtId="0" fontId="20" fillId="0" borderId="0" xfId="0" applyFont="1" applyAlignment="1">
      <alignment vertical="center"/>
    </xf>
    <xf numFmtId="6" fontId="2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14" borderId="3" xfId="0" applyFont="1" applyFill="1" applyBorder="1" applyAlignment="1">
      <alignment horizontal="left" vertical="center"/>
    </xf>
    <xf numFmtId="0" fontId="14" fillId="26" borderId="9" xfId="0" applyFont="1" applyFill="1" applyBorder="1"/>
    <xf numFmtId="0" fontId="15" fillId="26" borderId="10" xfId="0" applyFont="1" applyFill="1" applyBorder="1"/>
    <xf numFmtId="0" fontId="14" fillId="27" borderId="9" xfId="0" applyFont="1" applyFill="1" applyBorder="1" applyAlignment="1">
      <alignment vertical="center"/>
    </xf>
    <xf numFmtId="0" fontId="15" fillId="27" borderId="0" xfId="0" applyFont="1" applyFill="1" applyAlignment="1">
      <alignment vertical="center"/>
    </xf>
    <xf numFmtId="0" fontId="14" fillId="28" borderId="9" xfId="0" applyFont="1" applyFill="1" applyBorder="1" applyAlignment="1">
      <alignment vertical="center"/>
    </xf>
    <xf numFmtId="164" fontId="32" fillId="28" borderId="0" xfId="0" applyNumberFormat="1" applyFont="1" applyFill="1" applyAlignment="1">
      <alignment horizontal="right" vertical="center"/>
    </xf>
    <xf numFmtId="0" fontId="32" fillId="28" borderId="0" xfId="0" applyFont="1" applyFill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8" fontId="14" fillId="0" borderId="13" xfId="0" applyNumberFormat="1" applyFont="1" applyBorder="1" applyAlignment="1">
      <alignment vertical="center"/>
    </xf>
    <xf numFmtId="8" fontId="14" fillId="0" borderId="0" xfId="0" applyNumberFormat="1" applyFont="1" applyAlignment="1">
      <alignment vertical="center"/>
    </xf>
    <xf numFmtId="8" fontId="14" fillId="0" borderId="0" xfId="0" applyNumberFormat="1" applyFont="1" applyAlignment="1">
      <alignment horizontal="center" vertical="center"/>
    </xf>
    <xf numFmtId="8" fontId="9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8" fontId="15" fillId="0" borderId="0" xfId="0" applyNumberFormat="1" applyFont="1" applyAlignment="1">
      <alignment vertical="center"/>
    </xf>
    <xf numFmtId="8" fontId="1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1" fillId="9" borderId="0" xfId="0" applyFont="1" applyFill="1"/>
    <xf numFmtId="0" fontId="0" fillId="0" borderId="3" xfId="0" applyBorder="1"/>
    <xf numFmtId="166" fontId="0" fillId="0" borderId="3" xfId="0" applyNumberFormat="1" applyBorder="1"/>
    <xf numFmtId="0" fontId="31" fillId="0" borderId="3" xfId="0" applyFont="1" applyBorder="1"/>
    <xf numFmtId="166" fontId="31" fillId="0" borderId="3" xfId="0" applyNumberFormat="1" applyFont="1" applyBorder="1"/>
    <xf numFmtId="166" fontId="0" fillId="0" borderId="0" xfId="0" applyNumberFormat="1"/>
    <xf numFmtId="0" fontId="18" fillId="0" borderId="0" xfId="0" applyFont="1" applyAlignment="1">
      <alignment vertical="top"/>
    </xf>
    <xf numFmtId="0" fontId="5" fillId="4" borderId="3" xfId="0" applyFont="1" applyFill="1" applyBorder="1" applyAlignment="1">
      <alignment vertical="center" wrapText="1"/>
    </xf>
    <xf numFmtId="0" fontId="9" fillId="26" borderId="3" xfId="0" applyFont="1" applyFill="1" applyBorder="1" applyAlignment="1">
      <alignment vertical="center"/>
    </xf>
    <xf numFmtId="0" fontId="9" fillId="27" borderId="3" xfId="0" applyFont="1" applyFill="1" applyBorder="1" applyAlignment="1">
      <alignment vertical="center"/>
    </xf>
    <xf numFmtId="0" fontId="9" fillId="28" borderId="3" xfId="0" applyFont="1" applyFill="1" applyBorder="1" applyAlignment="1">
      <alignment vertical="center"/>
    </xf>
    <xf numFmtId="0" fontId="9" fillId="23" borderId="3" xfId="0" applyFont="1" applyFill="1" applyBorder="1" applyAlignment="1">
      <alignment horizontal="left" vertical="center"/>
    </xf>
    <xf numFmtId="0" fontId="9" fillId="9" borderId="3" xfId="0" applyFont="1" applyFill="1" applyBorder="1" applyAlignment="1">
      <alignment vertical="center"/>
    </xf>
    <xf numFmtId="0" fontId="9" fillId="11" borderId="3" xfId="0" applyFont="1" applyFill="1" applyBorder="1" applyAlignment="1">
      <alignment horizontal="left" vertical="center"/>
    </xf>
    <xf numFmtId="0" fontId="23" fillId="34" borderId="3" xfId="0" applyFont="1" applyFill="1" applyBorder="1" applyAlignment="1">
      <alignment horizontal="left" vertical="center"/>
    </xf>
    <xf numFmtId="164" fontId="26" fillId="35" borderId="3" xfId="0" applyNumberFormat="1" applyFont="1" applyFill="1" applyBorder="1" applyAlignment="1">
      <alignment horizontal="right" vertical="center"/>
    </xf>
    <xf numFmtId="164" fontId="27" fillId="31" borderId="3" xfId="0" applyNumberFormat="1" applyFont="1" applyFill="1" applyBorder="1" applyAlignment="1">
      <alignment horizontal="right" vertical="center"/>
    </xf>
    <xf numFmtId="164" fontId="27" fillId="32" borderId="3" xfId="0" applyNumberFormat="1" applyFont="1" applyFill="1" applyBorder="1" applyAlignment="1">
      <alignment horizontal="right" vertical="center"/>
    </xf>
    <xf numFmtId="164" fontId="27" fillId="33" borderId="3" xfId="0" applyNumberFormat="1" applyFont="1" applyFill="1" applyBorder="1" applyAlignment="1">
      <alignment horizontal="right" vertical="center"/>
    </xf>
    <xf numFmtId="164" fontId="27" fillId="24" borderId="3" xfId="0" applyNumberFormat="1" applyFont="1" applyFill="1" applyBorder="1" applyAlignment="1">
      <alignment horizontal="right" vertical="center"/>
    </xf>
    <xf numFmtId="164" fontId="27" fillId="30" borderId="3" xfId="0" applyNumberFormat="1" applyFont="1" applyFill="1" applyBorder="1" applyAlignment="1">
      <alignment horizontal="right" vertical="center"/>
    </xf>
    <xf numFmtId="164" fontId="27" fillId="17" borderId="3" xfId="0" applyNumberFormat="1" applyFont="1" applyFill="1" applyBorder="1" applyAlignment="1">
      <alignment horizontal="right" vertical="center"/>
    </xf>
    <xf numFmtId="169" fontId="33" fillId="36" borderId="0" xfId="0" applyNumberFormat="1" applyFont="1" applyFill="1" applyAlignment="1">
      <alignment vertical="center"/>
    </xf>
    <xf numFmtId="2" fontId="33" fillId="36" borderId="0" xfId="0" applyNumberFormat="1" applyFont="1" applyFill="1" applyAlignment="1">
      <alignment vertical="center"/>
    </xf>
    <xf numFmtId="0" fontId="8" fillId="17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8" fontId="6" fillId="0" borderId="3" xfId="0" applyNumberFormat="1" applyFont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8" fontId="6" fillId="0" borderId="1" xfId="0" applyNumberFormat="1" applyFont="1" applyBorder="1" applyAlignment="1">
      <alignment horizontal="center" vertical="center"/>
    </xf>
    <xf numFmtId="8" fontId="6" fillId="0" borderId="2" xfId="0" applyNumberFormat="1" applyFont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8" fillId="12" borderId="2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12" borderId="3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vertical="center" wrapText="1"/>
    </xf>
    <xf numFmtId="171" fontId="6" fillId="0" borderId="3" xfId="0" applyNumberFormat="1" applyFont="1" applyBorder="1" applyAlignment="1">
      <alignment horizontal="center" vertical="center"/>
    </xf>
    <xf numFmtId="170" fontId="6" fillId="0" borderId="3" xfId="0" applyNumberFormat="1" applyFont="1" applyBorder="1" applyAlignment="1">
      <alignment vertical="center"/>
    </xf>
    <xf numFmtId="169" fontId="30" fillId="0" borderId="3" xfId="0" applyNumberFormat="1" applyFont="1" applyBorder="1" applyAlignment="1" applyProtection="1">
      <alignment horizontal="center" vertical="center"/>
      <protection locked="0"/>
    </xf>
    <xf numFmtId="3" fontId="27" fillId="14" borderId="3" xfId="0" applyNumberFormat="1" applyFont="1" applyFill="1" applyBorder="1" applyAlignment="1" applyProtection="1">
      <alignment horizontal="center" vertical="center"/>
      <protection locked="0"/>
    </xf>
    <xf numFmtId="0" fontId="27" fillId="14" borderId="3" xfId="0" applyFont="1" applyFill="1" applyBorder="1" applyAlignment="1" applyProtection="1">
      <alignment horizontal="center" vertical="center"/>
      <protection locked="0"/>
    </xf>
    <xf numFmtId="167" fontId="6" fillId="0" borderId="3" xfId="0" applyNumberFormat="1" applyFont="1" applyBorder="1" applyAlignment="1">
      <alignment vertical="center"/>
    </xf>
    <xf numFmtId="0" fontId="30" fillId="14" borderId="3" xfId="0" applyFont="1" applyFill="1" applyBorder="1" applyAlignment="1" applyProtection="1">
      <alignment horizontal="center" vertical="center"/>
      <protection locked="0"/>
    </xf>
    <xf numFmtId="167" fontId="6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8" fillId="7" borderId="2" xfId="0" applyFont="1" applyFill="1" applyBorder="1" applyAlignment="1">
      <alignment wrapText="1"/>
    </xf>
    <xf numFmtId="0" fontId="27" fillId="0" borderId="0" xfId="0" applyFont="1" applyAlignment="1">
      <alignment horizontal="center" vertical="center"/>
    </xf>
    <xf numFmtId="168" fontId="27" fillId="14" borderId="3" xfId="0" applyNumberFormat="1" applyFont="1" applyFill="1" applyBorder="1" applyAlignment="1" applyProtection="1">
      <alignment horizontal="center" vertical="center"/>
      <protection locked="0"/>
    </xf>
    <xf numFmtId="43" fontId="8" fillId="14" borderId="3" xfId="1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Border="1" applyAlignment="1">
      <alignment wrapText="1"/>
    </xf>
    <xf numFmtId="0" fontId="30" fillId="0" borderId="0" xfId="0" applyFont="1" applyAlignment="1">
      <alignment wrapText="1"/>
    </xf>
    <xf numFmtId="0" fontId="9" fillId="20" borderId="3" xfId="0" applyFont="1" applyFill="1" applyBorder="1" applyAlignment="1">
      <alignment horizontal="center" vertical="center" wrapText="1"/>
    </xf>
    <xf numFmtId="8" fontId="8" fillId="0" borderId="3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43" fontId="6" fillId="0" borderId="3" xfId="1" applyFont="1" applyBorder="1" applyAlignment="1">
      <alignment horizontal="center" vertical="center" wrapText="1"/>
    </xf>
    <xf numFmtId="0" fontId="11" fillId="14" borderId="3" xfId="0" applyFont="1" applyFill="1" applyBorder="1" applyAlignment="1" applyProtection="1">
      <alignment horizontal="center" vertical="center"/>
      <protection locked="0"/>
    </xf>
    <xf numFmtId="0" fontId="5" fillId="12" borderId="15" xfId="0" applyFont="1" applyFill="1" applyBorder="1" applyAlignment="1">
      <alignment vertical="center" wrapText="1"/>
    </xf>
    <xf numFmtId="1" fontId="35" fillId="0" borderId="3" xfId="0" applyNumberFormat="1" applyFont="1" applyBorder="1" applyAlignment="1">
      <alignment horizontal="center" vertical="center"/>
    </xf>
    <xf numFmtId="164" fontId="1" fillId="38" borderId="3" xfId="0" applyNumberFormat="1" applyFont="1" applyFill="1" applyBorder="1" applyAlignment="1" applyProtection="1">
      <alignment horizontal="center" vertical="center"/>
      <protection locked="0"/>
    </xf>
    <xf numFmtId="166" fontId="6" fillId="14" borderId="3" xfId="0" applyNumberFormat="1" applyFont="1" applyFill="1" applyBorder="1" applyAlignment="1" applyProtection="1">
      <alignment vertical="center"/>
      <protection locked="0"/>
    </xf>
    <xf numFmtId="1" fontId="34" fillId="39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8" fillId="13" borderId="0" xfId="0" applyFont="1" applyFill="1" applyAlignment="1">
      <alignment horizontal="center" vertical="center" wrapText="1"/>
    </xf>
    <xf numFmtId="0" fontId="28" fillId="13" borderId="0" xfId="0" applyFont="1" applyFill="1" applyAlignment="1">
      <alignment horizontal="center" vertical="center"/>
    </xf>
    <xf numFmtId="0" fontId="24" fillId="29" borderId="0" xfId="0" applyFont="1" applyFill="1" applyAlignment="1">
      <alignment horizontal="center" wrapText="1"/>
    </xf>
    <xf numFmtId="0" fontId="9" fillId="9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5" fillId="21" borderId="0" xfId="0" applyFont="1" applyFill="1" applyAlignment="1">
      <alignment horizontal="center" vertical="center"/>
    </xf>
    <xf numFmtId="0" fontId="15" fillId="23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right" vertical="center"/>
    </xf>
    <xf numFmtId="164" fontId="6" fillId="0" borderId="5" xfId="0" applyNumberFormat="1" applyFont="1" applyBorder="1" applyAlignment="1">
      <alignment horizontal="right" vertical="center"/>
    </xf>
    <xf numFmtId="164" fontId="6" fillId="0" borderId="6" xfId="0" applyNumberFormat="1" applyFont="1" applyBorder="1" applyAlignment="1">
      <alignment horizontal="right" vertical="center"/>
    </xf>
    <xf numFmtId="164" fontId="6" fillId="38" borderId="4" xfId="0" applyNumberFormat="1" applyFont="1" applyFill="1" applyBorder="1" applyAlignment="1" applyProtection="1">
      <alignment horizontal="right" vertical="center"/>
      <protection locked="0"/>
    </xf>
    <xf numFmtId="164" fontId="6" fillId="38" borderId="5" xfId="0" applyNumberFormat="1" applyFont="1" applyFill="1" applyBorder="1" applyAlignment="1" applyProtection="1">
      <alignment horizontal="right" vertical="center"/>
      <protection locked="0"/>
    </xf>
    <xf numFmtId="164" fontId="6" fillId="38" borderId="6" xfId="0" applyNumberFormat="1" applyFont="1" applyFill="1" applyBorder="1" applyAlignment="1" applyProtection="1">
      <alignment horizontal="right" vertical="center"/>
      <protection locked="0"/>
    </xf>
    <xf numFmtId="8" fontId="1" fillId="0" borderId="13" xfId="0" applyNumberFormat="1" applyFont="1" applyBorder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4" fillId="23" borderId="9" xfId="0" applyFont="1" applyFill="1" applyBorder="1" applyAlignment="1">
      <alignment horizontal="left" vertical="center"/>
    </xf>
    <xf numFmtId="0" fontId="14" fillId="23" borderId="10" xfId="0" applyFont="1" applyFill="1" applyBorder="1" applyAlignment="1">
      <alignment horizontal="left" vertical="center"/>
    </xf>
    <xf numFmtId="0" fontId="14" fillId="23" borderId="14" xfId="0" applyFont="1" applyFill="1" applyBorder="1" applyAlignment="1">
      <alignment horizontal="left" vertical="center"/>
    </xf>
    <xf numFmtId="0" fontId="14" fillId="9" borderId="12" xfId="0" applyFont="1" applyFill="1" applyBorder="1" applyAlignment="1">
      <alignment horizontal="left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8" fontId="23" fillId="0" borderId="13" xfId="0" applyNumberFormat="1" applyFont="1" applyBorder="1" applyAlignment="1">
      <alignment horizontal="center" vertical="center" wrapText="1"/>
    </xf>
    <xf numFmtId="8" fontId="23" fillId="0" borderId="0" xfId="0" applyNumberFormat="1" applyFont="1" applyAlignment="1">
      <alignment horizontal="center" vertical="center" wrapText="1"/>
    </xf>
    <xf numFmtId="2" fontId="33" fillId="37" borderId="0" xfId="0" applyNumberFormat="1" applyFont="1" applyFill="1" applyAlignment="1">
      <alignment horizontal="left" vertical="center" wrapText="1"/>
    </xf>
    <xf numFmtId="164" fontId="6" fillId="0" borderId="3" xfId="0" applyNumberFormat="1" applyFont="1" applyBorder="1" applyAlignment="1">
      <alignment horizontal="right" vertical="center"/>
    </xf>
    <xf numFmtId="0" fontId="22" fillId="22" borderId="0" xfId="0" applyFont="1" applyFill="1" applyAlignment="1">
      <alignment horizontal="left" vertical="center"/>
    </xf>
    <xf numFmtId="0" fontId="22" fillId="22" borderId="10" xfId="0" applyFont="1" applyFill="1" applyBorder="1" applyAlignment="1">
      <alignment horizontal="left" vertical="center"/>
    </xf>
    <xf numFmtId="6" fontId="22" fillId="22" borderId="0" xfId="0" applyNumberFormat="1" applyFont="1" applyFill="1" applyAlignment="1">
      <alignment horizontal="right" vertical="center"/>
    </xf>
    <xf numFmtId="0" fontId="10" fillId="11" borderId="12" xfId="0" applyFont="1" applyFill="1" applyBorder="1" applyAlignment="1">
      <alignment horizontal="left"/>
    </xf>
  </cellXfs>
  <cellStyles count="2">
    <cellStyle name="Millier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31F05414-95A8-42C7-8874-037F64D734E4}"/>
  </tableStyles>
  <colors>
    <mruColors>
      <color rgb="FF336600"/>
      <color rgb="FFFF3300"/>
      <color rgb="FFE0FFD1"/>
      <color rgb="FF99FF66"/>
      <color rgb="FF97E4FF"/>
      <color rgb="FFEC94D9"/>
      <color rgb="FFB6209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428627</xdr:colOff>
      <xdr:row>2</xdr:row>
      <xdr:rowOff>133350</xdr:rowOff>
    </xdr:from>
    <xdr:to>
      <xdr:col>6</xdr:col>
      <xdr:colOff>304801</xdr:colOff>
      <xdr:row>7</xdr:row>
      <xdr:rowOff>152400</xdr:rowOff>
    </xdr:to>
    <xdr:sp macro="" textlink="">
      <xdr:nvSpPr>
        <xdr:cNvPr id="6" name="Flèche : bas 5">
          <a:extLst>
            <a:ext uri="{FF2B5EF4-FFF2-40B4-BE49-F238E27FC236}">
              <a16:creationId xmlns:a16="http://schemas.microsoft.com/office/drawing/2014/main" id="{F898E580-A7F4-85FB-1DFC-AFDC6692E6EC}"/>
            </a:ext>
          </a:extLst>
        </xdr:cNvPr>
        <xdr:cNvSpPr/>
      </xdr:nvSpPr>
      <xdr:spPr>
        <a:xfrm>
          <a:off x="6600827" y="638175"/>
          <a:ext cx="1419224" cy="923925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14</xdr:col>
      <xdr:colOff>437028</xdr:colOff>
      <xdr:row>2</xdr:row>
      <xdr:rowOff>93456</xdr:rowOff>
    </xdr:from>
    <xdr:to>
      <xdr:col>15</xdr:col>
      <xdr:colOff>481133</xdr:colOff>
      <xdr:row>8</xdr:row>
      <xdr:rowOff>101078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826D7F-6D31-F04A-4788-4A1D93700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3793" y="575309"/>
          <a:ext cx="1138471" cy="1012341"/>
        </a:xfrm>
        <a:prstGeom prst="rect">
          <a:avLst/>
        </a:prstGeom>
      </xdr:spPr>
    </xdr:pic>
    <xdr:clientData/>
  </xdr:twoCellAnchor>
  <xdr:twoCellAnchor editAs="oneCell">
    <xdr:from>
      <xdr:col>36</xdr:col>
      <xdr:colOff>165160</xdr:colOff>
      <xdr:row>12</xdr:row>
      <xdr:rowOff>468233</xdr:rowOff>
    </xdr:from>
    <xdr:to>
      <xdr:col>40</xdr:col>
      <xdr:colOff>38534</xdr:colOff>
      <xdr:row>16</xdr:row>
      <xdr:rowOff>1707</xdr:rowOff>
    </xdr:to>
    <xdr:pic>
      <xdr:nvPicPr>
        <xdr:cNvPr id="8" name="Image 7" descr="Click here button with hand clicking icon papier peint • papiers peints  brillant, étiquette, fond | myloview.fr">
          <a:extLst>
            <a:ext uri="{FF2B5EF4-FFF2-40B4-BE49-F238E27FC236}">
              <a16:creationId xmlns:a16="http://schemas.microsoft.com/office/drawing/2014/main" id="{5A512741-1915-B42C-B8A8-50E561D72B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89" t="34858" r="11002" b="28645"/>
        <a:stretch/>
      </xdr:blipFill>
      <xdr:spPr bwMode="auto">
        <a:xfrm>
          <a:off x="30168910" y="3801983"/>
          <a:ext cx="2921374" cy="1426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192561</xdr:colOff>
      <xdr:row>11</xdr:row>
      <xdr:rowOff>208282</xdr:rowOff>
    </xdr:from>
    <xdr:to>
      <xdr:col>35</xdr:col>
      <xdr:colOff>34305</xdr:colOff>
      <xdr:row>12</xdr:row>
      <xdr:rowOff>307761</xdr:rowOff>
    </xdr:to>
    <xdr:sp macro="" textlink="">
      <xdr:nvSpPr>
        <xdr:cNvPr id="11" name="Flèche : droite 10">
          <a:extLst>
            <a:ext uri="{FF2B5EF4-FFF2-40B4-BE49-F238E27FC236}">
              <a16:creationId xmlns:a16="http://schemas.microsoft.com/office/drawing/2014/main" id="{BC874903-24D3-A28B-8E2B-9BA8C2F52F5F}"/>
            </a:ext>
          </a:extLst>
        </xdr:cNvPr>
        <xdr:cNvSpPr/>
      </xdr:nvSpPr>
      <xdr:spPr>
        <a:xfrm rot="1624980">
          <a:off x="28672311" y="3161032"/>
          <a:ext cx="603744" cy="480479"/>
        </a:xfrm>
        <a:prstGeom prst="right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753075</xdr:colOff>
      <xdr:row>18</xdr:row>
      <xdr:rowOff>295299</xdr:rowOff>
    </xdr:from>
    <xdr:to>
      <xdr:col>37</xdr:col>
      <xdr:colOff>475364</xdr:colOff>
      <xdr:row>19</xdr:row>
      <xdr:rowOff>153964</xdr:rowOff>
    </xdr:to>
    <xdr:sp macro="" textlink="">
      <xdr:nvSpPr>
        <xdr:cNvPr id="14" name="Flèche : droite 13">
          <a:extLst>
            <a:ext uri="{FF2B5EF4-FFF2-40B4-BE49-F238E27FC236}">
              <a16:creationId xmlns:a16="http://schemas.microsoft.com/office/drawing/2014/main" id="{B5A99236-4C4E-4BB8-B2A5-3C88C31F7FFD}"/>
            </a:ext>
          </a:extLst>
        </xdr:cNvPr>
        <xdr:cNvSpPr/>
      </xdr:nvSpPr>
      <xdr:spPr>
        <a:xfrm rot="5400000">
          <a:off x="30688637" y="6554737"/>
          <a:ext cx="620665" cy="484289"/>
        </a:xfrm>
        <a:prstGeom prst="right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990787</xdr:colOff>
      <xdr:row>15</xdr:row>
      <xdr:rowOff>33615</xdr:rowOff>
    </xdr:from>
    <xdr:to>
      <xdr:col>16</xdr:col>
      <xdr:colOff>368904</xdr:colOff>
      <xdr:row>19</xdr:row>
      <xdr:rowOff>210887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1CDD122-26C7-4A2A-9493-8AA279456334}"/>
            </a:ext>
          </a:extLst>
        </xdr:cNvPr>
        <xdr:cNvSpPr/>
      </xdr:nvSpPr>
      <xdr:spPr>
        <a:xfrm rot="1575052">
          <a:off x="13541375" y="5233144"/>
          <a:ext cx="1204676" cy="1858155"/>
        </a:xfrm>
        <a:prstGeom prst="arc">
          <a:avLst>
            <a:gd name="adj1" fmla="val 16200000"/>
            <a:gd name="adj2" fmla="val 215984"/>
          </a:avLst>
        </a:prstGeom>
        <a:ln w="50800">
          <a:solidFill>
            <a:schemeClr val="accent4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782937</xdr:colOff>
      <xdr:row>18</xdr:row>
      <xdr:rowOff>0</xdr:rowOff>
    </xdr:from>
    <xdr:to>
      <xdr:col>16</xdr:col>
      <xdr:colOff>360773</xdr:colOff>
      <xdr:row>20</xdr:row>
      <xdr:rowOff>163285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652875BB-C76F-423D-A993-F6D30DCE0B1D}"/>
            </a:ext>
          </a:extLst>
        </xdr:cNvPr>
        <xdr:cNvSpPr txBox="1"/>
      </xdr:nvSpPr>
      <xdr:spPr>
        <a:xfrm>
          <a:off x="13342330" y="6150429"/>
          <a:ext cx="1401193" cy="1020535"/>
        </a:xfrm>
        <a:prstGeom prst="rect">
          <a:avLst/>
        </a:prstGeom>
        <a:solidFill>
          <a:schemeClr val="accent4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400">
              <a:latin typeface="Abadi" panose="020B0604020202020204" pitchFamily="34" charset="0"/>
            </a:rPr>
            <a:t>Evolution des tarifs d'électricité de 5%</a:t>
          </a:r>
          <a:r>
            <a:rPr lang="fr-FR" sz="1400" baseline="0">
              <a:latin typeface="Abadi" panose="020B0604020202020204" pitchFamily="34" charset="0"/>
            </a:rPr>
            <a:t> par an</a:t>
          </a:r>
          <a:endParaRPr lang="fr-FR" sz="1400">
            <a:latin typeface="Abadi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459441</xdr:colOff>
      <xdr:row>1</xdr:row>
      <xdr:rowOff>100853</xdr:rowOff>
    </xdr:from>
    <xdr:to>
      <xdr:col>6</xdr:col>
      <xdr:colOff>503464</xdr:colOff>
      <xdr:row>36</xdr:row>
      <xdr:rowOff>58429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C67CF310-EE0E-2DD4-1D47-D827CB8867D1}"/>
            </a:ext>
          </a:extLst>
        </xdr:cNvPr>
        <xdr:cNvCxnSpPr/>
      </xdr:nvCxnSpPr>
      <xdr:spPr>
        <a:xfrm flipH="1">
          <a:off x="11127441" y="291353"/>
          <a:ext cx="44023" cy="12284047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78440</xdr:colOff>
      <xdr:row>2</xdr:row>
      <xdr:rowOff>212912</xdr:rowOff>
    </xdr:from>
    <xdr:to>
      <xdr:col>2</xdr:col>
      <xdr:colOff>750793</xdr:colOff>
      <xdr:row>4</xdr:row>
      <xdr:rowOff>168088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E6BDADF2-A915-C269-63D0-A24AAAAA7F69}"/>
            </a:ext>
          </a:extLst>
        </xdr:cNvPr>
        <xdr:cNvSpPr/>
      </xdr:nvSpPr>
      <xdr:spPr>
        <a:xfrm>
          <a:off x="4090146" y="1221441"/>
          <a:ext cx="1972235" cy="829235"/>
        </a:xfrm>
        <a:prstGeom prst="downArrow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481853</xdr:colOff>
      <xdr:row>2</xdr:row>
      <xdr:rowOff>268942</xdr:rowOff>
    </xdr:from>
    <xdr:to>
      <xdr:col>11</xdr:col>
      <xdr:colOff>930088</xdr:colOff>
      <xdr:row>4</xdr:row>
      <xdr:rowOff>224118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467AE43C-AB30-4B32-8F58-2B5E4E348B09}"/>
            </a:ext>
          </a:extLst>
        </xdr:cNvPr>
        <xdr:cNvSpPr/>
      </xdr:nvSpPr>
      <xdr:spPr>
        <a:xfrm>
          <a:off x="15228794" y="1277471"/>
          <a:ext cx="1972235" cy="1266265"/>
        </a:xfrm>
        <a:prstGeom prst="downArrow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1343026</xdr:colOff>
      <xdr:row>32</xdr:row>
      <xdr:rowOff>57151</xdr:rowOff>
    </xdr:from>
    <xdr:to>
      <xdr:col>10</xdr:col>
      <xdr:colOff>85726</xdr:colOff>
      <xdr:row>34</xdr:row>
      <xdr:rowOff>114300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0290986-1BB8-7D4C-D615-994C0B75B6FE}"/>
            </a:ext>
          </a:extLst>
        </xdr:cNvPr>
        <xdr:cNvSpPr txBox="1"/>
      </xdr:nvSpPr>
      <xdr:spPr>
        <a:xfrm>
          <a:off x="15001876" y="11753851"/>
          <a:ext cx="2857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800" b="1">
              <a:solidFill>
                <a:srgbClr val="C00000"/>
              </a:solidFill>
            </a:rPr>
            <a:t>-</a:t>
          </a:r>
        </a:p>
      </xdr:txBody>
    </xdr:sp>
    <xdr:clientData/>
  </xdr:twoCellAnchor>
  <xdr:twoCellAnchor>
    <xdr:from>
      <xdr:col>10</xdr:col>
      <xdr:colOff>1543051</xdr:colOff>
      <xdr:row>32</xdr:row>
      <xdr:rowOff>142876</xdr:rowOff>
    </xdr:from>
    <xdr:to>
      <xdr:col>11</xdr:col>
      <xdr:colOff>76201</xdr:colOff>
      <xdr:row>34</xdr:row>
      <xdr:rowOff>200025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6D5DAE46-C40E-4634-8915-A0A9C39FC3FC}"/>
            </a:ext>
          </a:extLst>
        </xdr:cNvPr>
        <xdr:cNvSpPr txBox="1"/>
      </xdr:nvSpPr>
      <xdr:spPr>
        <a:xfrm>
          <a:off x="16744951" y="11839576"/>
          <a:ext cx="2857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400" b="1">
              <a:solidFill>
                <a:srgbClr val="C00000"/>
              </a:solidFill>
            </a:rPr>
            <a:t>=</a:t>
          </a:r>
        </a:p>
      </xdr:txBody>
    </xdr:sp>
    <xdr:clientData/>
  </xdr:twoCellAnchor>
  <xdr:twoCellAnchor>
    <xdr:from>
      <xdr:col>4</xdr:col>
      <xdr:colOff>40822</xdr:colOff>
      <xdr:row>18</xdr:row>
      <xdr:rowOff>0</xdr:rowOff>
    </xdr:from>
    <xdr:to>
      <xdr:col>4</xdr:col>
      <xdr:colOff>394608</xdr:colOff>
      <xdr:row>21</xdr:row>
      <xdr:rowOff>326572</xdr:rowOff>
    </xdr:to>
    <xdr:sp macro="" textlink="">
      <xdr:nvSpPr>
        <xdr:cNvPr id="2" name="Accolade fermante 1">
          <a:extLst>
            <a:ext uri="{FF2B5EF4-FFF2-40B4-BE49-F238E27FC236}">
              <a16:creationId xmlns:a16="http://schemas.microsoft.com/office/drawing/2014/main" id="{14515438-CFA4-89B5-5A4C-11131825F56A}"/>
            </a:ext>
          </a:extLst>
        </xdr:cNvPr>
        <xdr:cNvSpPr/>
      </xdr:nvSpPr>
      <xdr:spPr>
        <a:xfrm>
          <a:off x="8368393" y="6830786"/>
          <a:ext cx="353786" cy="142875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104775</xdr:rowOff>
    </xdr:from>
    <xdr:to>
      <xdr:col>16</xdr:col>
      <xdr:colOff>66675</xdr:colOff>
      <xdr:row>18</xdr:row>
      <xdr:rowOff>28575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5EADF6-1FF8-5CFD-9545-4834D2C4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95275"/>
          <a:ext cx="687705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733425</xdr:colOff>
      <xdr:row>20</xdr:row>
      <xdr:rowOff>161925</xdr:rowOff>
    </xdr:from>
    <xdr:to>
      <xdr:col>18</xdr:col>
      <xdr:colOff>695325</xdr:colOff>
      <xdr:row>31</xdr:row>
      <xdr:rowOff>142875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C9DD70D-0A1E-BCD0-C55F-1DD7C119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4181475"/>
          <a:ext cx="910590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34</xdr:row>
      <xdr:rowOff>28575</xdr:rowOff>
    </xdr:from>
    <xdr:to>
      <xdr:col>15</xdr:col>
      <xdr:colOff>497938</xdr:colOff>
      <xdr:row>56</xdr:row>
      <xdr:rowOff>116072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CAD9977-4656-E2AF-C16F-ADF90832D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8650" y="6715125"/>
          <a:ext cx="6527263" cy="43832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en/AppData/Local/Microsoft/Windows/INetCache/Content.Outlook/T3KW4TM7/Simulateur%20de%20Profit%20VIP%20v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mulateur VIP"/>
      <sheetName val="Prix Vente résumé VIP"/>
    </sheetNames>
    <sheetDataSet>
      <sheetData sheetId="0" refreshError="1"/>
      <sheetData sheetId="1">
        <row r="1">
          <cell r="C1" t="str">
            <v>Public</v>
          </cell>
        </row>
        <row r="2">
          <cell r="B2" t="str">
            <v>Modèle</v>
          </cell>
        </row>
        <row r="3">
          <cell r="B3" t="str">
            <v>WB-07S-SS/W</v>
          </cell>
        </row>
        <row r="4">
          <cell r="B4" t="str">
            <v>WB-07S-SS/WR</v>
          </cell>
        </row>
        <row r="5">
          <cell r="B5" t="str">
            <v>WB-07S-P/WR</v>
          </cell>
        </row>
        <row r="6">
          <cell r="B6" t="str">
            <v>WB-11S-SS/WRL</v>
          </cell>
        </row>
        <row r="7">
          <cell r="B7" t="str">
            <v>WB-22S-SS/WRL</v>
          </cell>
        </row>
        <row r="8">
          <cell r="B8" t="str">
            <v>WB-22S-P/WRL</v>
          </cell>
        </row>
        <row r="9">
          <cell r="B9" t="str">
            <v>WB-44S-P/WRL</v>
          </cell>
        </row>
        <row r="10">
          <cell r="B10" t="str">
            <v>WB-22D-SS/WRL</v>
          </cell>
        </row>
        <row r="11">
          <cell r="B11" t="str">
            <v>WB-22D-P/WRL</v>
          </cell>
        </row>
        <row r="12">
          <cell r="B12" t="str">
            <v>WB-07D-SSW/WRL</v>
          </cell>
        </row>
        <row r="13">
          <cell r="B13" t="str">
            <v>WB-22D-SSW/WRL</v>
          </cell>
        </row>
        <row r="14">
          <cell r="B14" t="str">
            <v>WB-DC-20S/WRL-ECO</v>
          </cell>
        </row>
        <row r="15">
          <cell r="B15" t="str">
            <v>WB-DC-40S/WRL</v>
          </cell>
        </row>
        <row r="16">
          <cell r="B16" t="str">
            <v>WB-DC-40D/WRLC</v>
          </cell>
        </row>
        <row r="17">
          <cell r="B17" t="str">
            <v>WB-DC-60D/WC</v>
          </cell>
        </row>
        <row r="18">
          <cell r="B18" t="str">
            <v>WB-DC-150D/WC</v>
          </cell>
        </row>
        <row r="19">
          <cell r="B19" t="str">
            <v>WB-DC-180D/WC</v>
          </cell>
        </row>
        <row r="20">
          <cell r="B20" t="str">
            <v>WB-DC-300D/WC</v>
          </cell>
        </row>
        <row r="21">
          <cell r="B21" t="str">
            <v>WB-DC-360D/WC</v>
          </cell>
        </row>
        <row r="22">
          <cell r="B22" t="str">
            <v>WB-DC-AC44S/DC60D/WC</v>
          </cell>
        </row>
        <row r="23">
          <cell r="B23" t="str">
            <v>WB-DC-AC22D-SS/DC150D/WC</v>
          </cell>
        </row>
        <row r="24">
          <cell r="B24" t="str">
            <v>WB-2050-PSE-16-5C-ES</v>
          </cell>
        </row>
        <row r="25">
          <cell r="B25" t="str">
            <v>WB-IEC2e-EV16P-5C</v>
          </cell>
        </row>
        <row r="26">
          <cell r="B26" t="str">
            <v>WB-IEC2e-EV16P-6C</v>
          </cell>
        </row>
        <row r="27">
          <cell r="B27" t="str">
            <v>WB-IEC2e-EV32P-5C3</v>
          </cell>
        </row>
        <row r="28">
          <cell r="B28" t="str">
            <v>WB-IEC2e-EV32P-6C3</v>
          </cell>
        </row>
        <row r="29">
          <cell r="B29" t="str">
            <v>WB-IEC2e-EV32P-8C3</v>
          </cell>
        </row>
        <row r="30">
          <cell r="B30" t="str">
            <v>WB-IEC2e-EV32P-10C3</v>
          </cell>
        </row>
        <row r="31">
          <cell r="B31" t="str">
            <v>WB-IEC2E-EV32P-8S3</v>
          </cell>
        </row>
        <row r="32">
          <cell r="B32" t="str">
            <v>WB-BAGR</v>
          </cell>
        </row>
        <row r="33">
          <cell r="B33" t="str">
            <v>WB-BAGC</v>
          </cell>
        </row>
        <row r="34">
          <cell r="B34" t="str">
            <v>WB-P1</v>
          </cell>
        </row>
        <row r="35">
          <cell r="B35" t="str">
            <v>WB-P2</v>
          </cell>
        </row>
        <row r="36">
          <cell r="B36" t="str">
            <v>WB-P3</v>
          </cell>
        </row>
        <row r="37">
          <cell r="B37" t="str">
            <v>WB-P4</v>
          </cell>
        </row>
        <row r="38">
          <cell r="B38" t="str">
            <v>WB-P5</v>
          </cell>
        </row>
        <row r="39">
          <cell r="B39" t="str">
            <v>WB-W</v>
          </cell>
        </row>
        <row r="40">
          <cell r="B40" t="str">
            <v>WB-G</v>
          </cell>
        </row>
        <row r="41">
          <cell r="B41" t="str">
            <v>WB-R</v>
          </cell>
        </row>
        <row r="42">
          <cell r="B42" t="str">
            <v>WB-RC</v>
          </cell>
        </row>
        <row r="43">
          <cell r="B43" t="str">
            <v>WB-1CT</v>
          </cell>
        </row>
        <row r="44">
          <cell r="B44" t="str">
            <v>WB-3CT</v>
          </cell>
        </row>
        <row r="45">
          <cell r="B45" t="str">
            <v>WB-1M</v>
          </cell>
        </row>
        <row r="46">
          <cell r="B46" t="str">
            <v>WB-3MCT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88E-B626-4816-A86B-666589198AC6}">
  <dimension ref="A2:S57"/>
  <sheetViews>
    <sheetView showGridLines="0" tabSelected="1" zoomScaleNormal="100" workbookViewId="0">
      <selection activeCell="D7" sqref="D7"/>
    </sheetView>
  </sheetViews>
  <sheetFormatPr baseColWidth="10" defaultColWidth="11.44140625" defaultRowHeight="13.8" x14ac:dyDescent="0.25"/>
  <cols>
    <col min="1" max="1" width="5.44140625" style="2" customWidth="1"/>
    <col min="2" max="2" width="21.33203125" style="2" customWidth="1"/>
    <col min="3" max="3" width="23.5546875" style="41" customWidth="1"/>
    <col min="4" max="4" width="22" style="2" customWidth="1"/>
    <col min="5" max="5" width="20.33203125" style="2" customWidth="1"/>
    <col min="6" max="6" width="23.109375" style="2" bestFit="1" customWidth="1"/>
    <col min="7" max="7" width="14.44140625" style="2" customWidth="1"/>
    <col min="8" max="10" width="11.44140625" style="2" hidden="1" customWidth="1"/>
    <col min="11" max="11" width="16.88671875" style="2" hidden="1" customWidth="1"/>
    <col min="12" max="12" width="20" style="2" customWidth="1"/>
    <col min="13" max="13" width="19.33203125" style="2" bestFit="1" customWidth="1"/>
    <col min="14" max="14" width="18.6640625" style="2" customWidth="1"/>
    <col min="15" max="15" width="16" style="2" customWidth="1"/>
    <col min="16" max="16384" width="11.44140625" style="2"/>
  </cols>
  <sheetData>
    <row r="2" spans="1:18" ht="24.6" x14ac:dyDescent="0.4">
      <c r="A2" s="148" t="s">
        <v>114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10" spans="1:18" ht="44.25" customHeight="1" x14ac:dyDescent="0.25">
      <c r="A10" s="151" t="s">
        <v>90</v>
      </c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M10" s="147" t="s">
        <v>160</v>
      </c>
      <c r="N10" s="147"/>
      <c r="O10" s="147"/>
      <c r="P10" s="147"/>
    </row>
    <row r="11" spans="1:18" ht="44.25" customHeight="1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</row>
    <row r="12" spans="1:18" ht="27.6" x14ac:dyDescent="0.25">
      <c r="M12" s="1"/>
      <c r="N12" s="127" t="s">
        <v>17</v>
      </c>
      <c r="O12" s="127" t="s">
        <v>154</v>
      </c>
      <c r="P12" s="128" t="s">
        <v>125</v>
      </c>
    </row>
    <row r="13" spans="1:18" ht="33.75" customHeight="1" x14ac:dyDescent="0.3">
      <c r="B13" s="154" t="s">
        <v>169</v>
      </c>
      <c r="C13" s="133" t="s">
        <v>19</v>
      </c>
      <c r="D13" s="122">
        <v>27000</v>
      </c>
      <c r="M13" s="129" t="s">
        <v>13</v>
      </c>
      <c r="N13" s="120">
        <f>D18</f>
        <v>0.16</v>
      </c>
      <c r="O13" s="143">
        <v>0.38</v>
      </c>
      <c r="P13" s="121">
        <f>O13/N13</f>
        <v>2.375</v>
      </c>
      <c r="R13" s="145"/>
    </row>
    <row r="14" spans="1:18" ht="33.75" customHeight="1" x14ac:dyDescent="0.3">
      <c r="B14" s="155"/>
      <c r="C14" s="133" t="s">
        <v>62</v>
      </c>
      <c r="D14" s="123">
        <v>30</v>
      </c>
      <c r="M14" s="129" t="s">
        <v>14</v>
      </c>
      <c r="N14" s="120">
        <f>N13+N13*'DONNEES NATIONALES'!C21</f>
        <v>0.1792</v>
      </c>
      <c r="O14" s="143">
        <v>0.38</v>
      </c>
      <c r="P14" s="121">
        <f>O14/N14</f>
        <v>2.1205357142857144</v>
      </c>
      <c r="R14" s="145"/>
    </row>
    <row r="15" spans="1:18" ht="33.75" customHeight="1" x14ac:dyDescent="0.3">
      <c r="C15" s="134"/>
      <c r="D15" s="130"/>
      <c r="M15" s="129" t="s">
        <v>15</v>
      </c>
      <c r="N15" s="120">
        <f>N14+N14*'DONNEES NATIONALES'!C22</f>
        <v>0.20607999999999999</v>
      </c>
      <c r="O15" s="143">
        <v>0.38</v>
      </c>
      <c r="P15" s="121">
        <f>O15/N15</f>
        <v>1.843944099378882</v>
      </c>
      <c r="R15" s="145"/>
    </row>
    <row r="16" spans="1:18" ht="33.75" customHeight="1" x14ac:dyDescent="0.3">
      <c r="C16" s="134"/>
      <c r="D16" s="130"/>
      <c r="M16" s="129" t="s">
        <v>16</v>
      </c>
      <c r="N16" s="120">
        <f>N15+N15*'DONNEES NATIONALES'!C23</f>
        <v>0.24729599999999999</v>
      </c>
      <c r="O16" s="143">
        <v>0.38</v>
      </c>
      <c r="P16" s="121">
        <f>O16/N16</f>
        <v>1.536620082815735</v>
      </c>
      <c r="R16" s="145"/>
    </row>
    <row r="17" spans="1:19" ht="33.75" customHeight="1" x14ac:dyDescent="0.25">
      <c r="B17" s="149" t="s">
        <v>20</v>
      </c>
      <c r="C17" s="133" t="s">
        <v>59</v>
      </c>
      <c r="D17" s="123" t="s">
        <v>60</v>
      </c>
      <c r="R17" s="145"/>
    </row>
    <row r="18" spans="1:19" ht="28.5" customHeight="1" x14ac:dyDescent="0.25">
      <c r="B18" s="149"/>
      <c r="C18" s="133" t="s">
        <v>21</v>
      </c>
      <c r="D18" s="131">
        <v>0.16</v>
      </c>
    </row>
    <row r="19" spans="1:19" ht="28.5" customHeight="1" x14ac:dyDescent="0.3">
      <c r="D19" s="42"/>
      <c r="M19"/>
    </row>
    <row r="20" spans="1:19" ht="31.2" x14ac:dyDescent="0.25">
      <c r="B20" s="152" t="s">
        <v>159</v>
      </c>
      <c r="C20" s="43" t="s">
        <v>91</v>
      </c>
      <c r="D20" s="43" t="s">
        <v>53</v>
      </c>
      <c r="E20" s="43" t="s">
        <v>131</v>
      </c>
      <c r="F20" s="43" t="s">
        <v>63</v>
      </c>
      <c r="G20" s="43" t="s">
        <v>55</v>
      </c>
      <c r="H20" s="43" t="s">
        <v>86</v>
      </c>
      <c r="I20" s="43" t="s">
        <v>87</v>
      </c>
      <c r="J20" s="43" t="s">
        <v>88</v>
      </c>
      <c r="K20" s="43" t="s">
        <v>89</v>
      </c>
    </row>
    <row r="21" spans="1:19" ht="48.75" customHeight="1" x14ac:dyDescent="0.75">
      <c r="B21" s="152"/>
      <c r="C21" s="132" t="s">
        <v>38</v>
      </c>
      <c r="D21" s="123">
        <v>2</v>
      </c>
      <c r="E21" s="126">
        <f>IF(ISNA(VLOOKUP(C21,$C$30:$K$57,4,FALSE)*D21),"0",VLOOKUP(C21,$C$31:$G$57,4,FALSE)*D21)</f>
        <v>4</v>
      </c>
      <c r="F21" s="125" t="s">
        <v>185</v>
      </c>
      <c r="G21" s="126">
        <f>IF(ISNA(VLOOKUP(C21,'DONNÉES CLIENTS'!$C$31:$G$57,5,FALSE)*D21),"",VLOOKUP(C21,'DONNÉES CLIENTS'!$C$31:$G$57,5,FALSE)*D21)</f>
        <v>88</v>
      </c>
      <c r="H21" s="44">
        <f>IF(ISNA(IF(VLOOKUP($C21,$C$31:$G$57,2,FALSE)="AC",VLOOKUP($C21,$C$31:$G$57,4,FALSE)*D21,"")),"0",IF(VLOOKUP($C21,$C$31:$G$57,2,FALSE)="AC",VLOOKUP($C21,$C$31:$G$57,4,FALSE)*D21,""))</f>
        <v>4</v>
      </c>
      <c r="I21" s="44" t="str">
        <f>IF(ISNA(IF(VLOOKUP($C21,$C$31:$G$57,2,FALSE)="DC",VLOOKUP($C21,$C$31:$G$57,4,FALSE)*D21,"")),"0",IF(VLOOKUP($C21,$C$31:$G$57,2,FALSE)="DC",VLOOKUP($C21,$C$31:$G$57,4,FALSE)*D21,""))</f>
        <v/>
      </c>
      <c r="J21" s="10">
        <f>IF(ISNA(IF(VLOOKUP($C21,$C$31:$G$57,2,FALSE)="AC",$D21,"")),"0",IF(VLOOKUP($C21,$C$31:$G$57,2,FALSE)="AC",$D21,""))</f>
        <v>2</v>
      </c>
      <c r="K21" s="10" t="str">
        <f>IF(ISNA(IF(VLOOKUP($C21,$C$31:$G$57,2,FALSE)="DC",$D21,"")),"",IF(VLOOKUP($C21,$C$31:$G$57,2,FALSE)="DC",$D21,""))</f>
        <v/>
      </c>
      <c r="N21" s="150"/>
      <c r="O21" s="150"/>
    </row>
    <row r="22" spans="1:19" ht="32.25" customHeight="1" x14ac:dyDescent="0.25">
      <c r="B22" s="152"/>
      <c r="C22" s="132" t="s">
        <v>46</v>
      </c>
      <c r="D22" s="123">
        <v>1</v>
      </c>
      <c r="E22" s="126">
        <f>IF(ISNA(VLOOKUP(C22,$C$30:$K$57,4,FALSE)*D22),"0",VLOOKUP(C22,$C$31:$G$57,4,FALSE)*D22)</f>
        <v>2</v>
      </c>
      <c r="F22" s="125" t="s">
        <v>64</v>
      </c>
      <c r="G22" s="126">
        <f>IF(ISNA(VLOOKUP(C22,'DONNÉES CLIENTS'!$C$31:$G$57,5,FALSE)*D22),"",VLOOKUP(C22,'DONNÉES CLIENTS'!$C$31:$G$57,5,FALSE)*D22)</f>
        <v>150</v>
      </c>
      <c r="H22" s="44" t="str">
        <f>IF(ISNA(IF(VLOOKUP($C22,$C$31:$G$51,2,FALSE)="AC",VLOOKUP($C22,$C$31:$G$51,4,FALSE)*D22,"")),"0",IF(VLOOKUP($C22,$C$31:$G$51,2,FALSE)="AC",VLOOKUP($C22,$C$31:$G$51,4,FALSE)*D22,""))</f>
        <v/>
      </c>
      <c r="I22" s="44">
        <f>IF(ISNA(IF(VLOOKUP($C22,$C$31:$G$51,2,FALSE)="DC",VLOOKUP($C22,$C$31:$G$51,4,FALSE)*D22,"")),"0",IF(VLOOKUP($C22,$C$31:$G$51,2,FALSE)="DC",VLOOKUP($C22,$C$31:$G$51,4,FALSE)*D22,""))</f>
        <v>2</v>
      </c>
      <c r="J22" s="10" t="str">
        <f>IF(ISNA(IF(VLOOKUP($C22,$C$31:$G$51,2,FALSE)="AC",$D22,"")),"0",IF(VLOOKUP($C22,$C$31:$G$51,2,FALSE)="AC",$D22,""))</f>
        <v/>
      </c>
      <c r="K22" s="10">
        <f>IF(ISNA(IF(VLOOKUP($C22,$C$31:$G$51,2,FALSE)="DC",$D22,"")),"",IF(VLOOKUP($C22,$C$31:$G$51,2,FALSE)="DC",$D22,""))</f>
        <v>1</v>
      </c>
    </row>
    <row r="23" spans="1:19" ht="32.25" customHeight="1" x14ac:dyDescent="0.25">
      <c r="B23" s="152"/>
      <c r="C23" s="132"/>
      <c r="D23" s="139"/>
      <c r="E23" s="124"/>
      <c r="F23" s="125"/>
      <c r="G23" s="126"/>
      <c r="H23" s="44" t="str">
        <f>IF(ISNA(IF(VLOOKUP($C23,$C$31:$G$51,2,FALSE)="AC",VLOOKUP($C23,$C$31:$G$51,4,FALSE)*D23,"")),"0",IF(VLOOKUP($C23,$C$31:$G$51,2,FALSE)="AC",VLOOKUP($C23,$C$31:$G$51,4,FALSE)*D23,""))</f>
        <v>0</v>
      </c>
      <c r="I23" s="44" t="str">
        <f>IF(ISNA(IF(VLOOKUP($C23,$C$31:$G$51,2,FALSE)="DC",VLOOKUP($C23,$C$31:$G$51,4,FALSE)*D23,"")),"0",IF(VLOOKUP($C23,$C$31:$G$51,2,FALSE)="DC",VLOOKUP($C23,$C$31:$G$51,4,FALSE)*D23,""))</f>
        <v>0</v>
      </c>
      <c r="J23" s="10" t="str">
        <f>IF(ISNA(IF(VLOOKUP($C23,$C$31:$G$51,2,FALSE)="AC",$D23,"")),"0",IF(VLOOKUP($C23,$C$31:$G$51,2,FALSE)="AC",$D23,""))</f>
        <v>0</v>
      </c>
      <c r="K23" s="10" t="str">
        <f>IF(ISNA(IF(VLOOKUP($C23,$C$31:$G$51,2,FALSE)="DC",$D23,"")),"",IF(VLOOKUP($C23,$C$31:$G$51,2,FALSE)="DC",$D23,""))</f>
        <v/>
      </c>
    </row>
    <row r="24" spans="1:19" ht="32.25" hidden="1" customHeight="1" x14ac:dyDescent="0.25"/>
    <row r="28" spans="1:19" ht="22.8" x14ac:dyDescent="0.25">
      <c r="A28" s="146" t="s">
        <v>92</v>
      </c>
      <c r="B28" s="146"/>
      <c r="C28" s="146"/>
      <c r="D28" s="146"/>
      <c r="E28" s="146"/>
      <c r="F28" s="146"/>
      <c r="G28" s="146"/>
      <c r="M28" s="153"/>
      <c r="N28" s="153"/>
      <c r="O28" s="153"/>
      <c r="P28" s="52"/>
    </row>
    <row r="29" spans="1:19" ht="51" customHeight="1" x14ac:dyDescent="0.25">
      <c r="Q29" s="52"/>
      <c r="R29" s="52"/>
      <c r="S29" s="52"/>
    </row>
    <row r="30" spans="1:19" ht="27.6" x14ac:dyDescent="0.25">
      <c r="B30" s="45" t="s">
        <v>93</v>
      </c>
      <c r="C30" s="45" t="s">
        <v>91</v>
      </c>
      <c r="D30" s="45" t="s">
        <v>22</v>
      </c>
      <c r="E30" s="45" t="s">
        <v>54</v>
      </c>
      <c r="F30" s="45" t="s">
        <v>25</v>
      </c>
      <c r="G30" s="45" t="s">
        <v>56</v>
      </c>
    </row>
    <row r="31" spans="1:19" ht="30" customHeight="1" x14ac:dyDescent="0.25">
      <c r="B31" s="46" t="s">
        <v>94</v>
      </c>
      <c r="C31" s="138" t="s">
        <v>31</v>
      </c>
      <c r="D31" s="47" t="s">
        <v>23</v>
      </c>
      <c r="E31" s="47" t="s">
        <v>58</v>
      </c>
      <c r="F31" s="47">
        <v>1</v>
      </c>
      <c r="G31" s="47">
        <v>7</v>
      </c>
    </row>
    <row r="32" spans="1:19" ht="31.5" customHeight="1" x14ac:dyDescent="0.25">
      <c r="B32" s="46" t="s">
        <v>115</v>
      </c>
      <c r="C32" s="138" t="s">
        <v>32</v>
      </c>
      <c r="D32" s="47" t="s">
        <v>23</v>
      </c>
      <c r="E32" s="47" t="s">
        <v>58</v>
      </c>
      <c r="F32" s="47">
        <v>1</v>
      </c>
      <c r="G32" s="47">
        <v>7</v>
      </c>
    </row>
    <row r="33" spans="2:7" ht="31.5" customHeight="1" x14ac:dyDescent="0.25">
      <c r="B33" s="46" t="s">
        <v>95</v>
      </c>
      <c r="C33" s="138" t="s">
        <v>33</v>
      </c>
      <c r="D33" s="47" t="s">
        <v>23</v>
      </c>
      <c r="E33" s="47" t="s">
        <v>58</v>
      </c>
      <c r="F33" s="47">
        <v>1</v>
      </c>
      <c r="G33" s="47">
        <v>7</v>
      </c>
    </row>
    <row r="34" spans="2:7" ht="31.5" customHeight="1" x14ac:dyDescent="0.25">
      <c r="B34" s="46" t="s">
        <v>98</v>
      </c>
      <c r="C34" s="138" t="s">
        <v>34</v>
      </c>
      <c r="D34" s="47" t="s">
        <v>23</v>
      </c>
      <c r="E34" s="47" t="s">
        <v>58</v>
      </c>
      <c r="F34" s="47">
        <v>1</v>
      </c>
      <c r="G34" s="47">
        <v>11</v>
      </c>
    </row>
    <row r="35" spans="2:7" ht="31.5" customHeight="1" x14ac:dyDescent="0.25">
      <c r="B35" s="46" t="s">
        <v>99</v>
      </c>
      <c r="C35" s="138" t="s">
        <v>35</v>
      </c>
      <c r="D35" s="47" t="s">
        <v>23</v>
      </c>
      <c r="E35" s="47" t="s">
        <v>58</v>
      </c>
      <c r="F35" s="47">
        <v>1</v>
      </c>
      <c r="G35" s="47">
        <v>22</v>
      </c>
    </row>
    <row r="36" spans="2:7" ht="31.5" customHeight="1" x14ac:dyDescent="0.25">
      <c r="B36" s="46" t="s">
        <v>96</v>
      </c>
      <c r="C36" s="138" t="s">
        <v>36</v>
      </c>
      <c r="D36" s="47" t="s">
        <v>23</v>
      </c>
      <c r="E36" s="47" t="s">
        <v>58</v>
      </c>
      <c r="F36" s="47">
        <v>1</v>
      </c>
      <c r="G36" s="47">
        <v>22</v>
      </c>
    </row>
    <row r="37" spans="2:7" ht="31.5" customHeight="1" x14ac:dyDescent="0.25">
      <c r="B37" s="46" t="s">
        <v>97</v>
      </c>
      <c r="C37" s="138" t="s">
        <v>37</v>
      </c>
      <c r="D37" s="47" t="s">
        <v>23</v>
      </c>
      <c r="E37" s="47" t="s">
        <v>58</v>
      </c>
      <c r="F37" s="47">
        <v>1</v>
      </c>
      <c r="G37" s="47">
        <v>44</v>
      </c>
    </row>
    <row r="38" spans="2:7" ht="31.5" customHeight="1" x14ac:dyDescent="0.25">
      <c r="B38" s="46" t="s">
        <v>101</v>
      </c>
      <c r="C38" s="138" t="s">
        <v>38</v>
      </c>
      <c r="D38" s="47" t="s">
        <v>23</v>
      </c>
      <c r="E38" s="47" t="s">
        <v>57</v>
      </c>
      <c r="F38" s="47">
        <v>2</v>
      </c>
      <c r="G38" s="47">
        <v>44</v>
      </c>
    </row>
    <row r="39" spans="2:7" ht="31.5" customHeight="1" x14ac:dyDescent="0.25">
      <c r="B39" s="46" t="s">
        <v>102</v>
      </c>
      <c r="C39" s="138" t="s">
        <v>39</v>
      </c>
      <c r="D39" s="47" t="s">
        <v>23</v>
      </c>
      <c r="E39" s="47" t="s">
        <v>57</v>
      </c>
      <c r="F39" s="47">
        <v>2</v>
      </c>
      <c r="G39" s="47">
        <v>44</v>
      </c>
    </row>
    <row r="40" spans="2:7" ht="31.5" customHeight="1" x14ac:dyDescent="0.25">
      <c r="B40" s="46" t="s">
        <v>103</v>
      </c>
      <c r="C40" s="138" t="s">
        <v>40</v>
      </c>
      <c r="D40" s="47" t="s">
        <v>23</v>
      </c>
      <c r="E40" s="47" t="s">
        <v>58</v>
      </c>
      <c r="F40" s="47">
        <v>2</v>
      </c>
      <c r="G40" s="47">
        <v>14</v>
      </c>
    </row>
    <row r="41" spans="2:7" ht="31.5" customHeight="1" x14ac:dyDescent="0.25">
      <c r="B41" s="46" t="s">
        <v>100</v>
      </c>
      <c r="C41" s="138" t="s">
        <v>41</v>
      </c>
      <c r="D41" s="47" t="s">
        <v>23</v>
      </c>
      <c r="E41" s="47" t="s">
        <v>58</v>
      </c>
      <c r="F41" s="47">
        <v>2</v>
      </c>
      <c r="G41" s="47">
        <v>44</v>
      </c>
    </row>
    <row r="42" spans="2:7" ht="31.5" customHeight="1" x14ac:dyDescent="0.25">
      <c r="B42" s="46" t="s">
        <v>104</v>
      </c>
      <c r="C42" s="138" t="s">
        <v>42</v>
      </c>
      <c r="D42" s="47" t="s">
        <v>24</v>
      </c>
      <c r="E42" s="47" t="s">
        <v>58</v>
      </c>
      <c r="F42" s="47">
        <v>1</v>
      </c>
      <c r="G42" s="47">
        <v>20</v>
      </c>
    </row>
    <row r="43" spans="2:7" ht="31.5" customHeight="1" x14ac:dyDescent="0.25">
      <c r="B43" s="46" t="s">
        <v>105</v>
      </c>
      <c r="C43" s="138" t="s">
        <v>43</v>
      </c>
      <c r="D43" s="47" t="s">
        <v>24</v>
      </c>
      <c r="E43" s="47" t="s">
        <v>58</v>
      </c>
      <c r="F43" s="47">
        <v>1</v>
      </c>
      <c r="G43" s="47">
        <v>40</v>
      </c>
    </row>
    <row r="44" spans="2:7" ht="31.5" customHeight="1" x14ac:dyDescent="0.25">
      <c r="B44" s="46" t="s">
        <v>106</v>
      </c>
      <c r="C44" s="138" t="s">
        <v>44</v>
      </c>
      <c r="D44" s="47" t="s">
        <v>24</v>
      </c>
      <c r="E44" s="47" t="s">
        <v>58</v>
      </c>
      <c r="F44" s="47">
        <v>2</v>
      </c>
      <c r="G44" s="47">
        <v>40</v>
      </c>
    </row>
    <row r="45" spans="2:7" ht="31.5" customHeight="1" x14ac:dyDescent="0.25">
      <c r="B45" s="46" t="s">
        <v>108</v>
      </c>
      <c r="C45" s="138" t="s">
        <v>46</v>
      </c>
      <c r="D45" s="47" t="s">
        <v>24</v>
      </c>
      <c r="E45" s="47" t="s">
        <v>57</v>
      </c>
      <c r="F45" s="47">
        <v>2</v>
      </c>
      <c r="G45" s="47">
        <v>150</v>
      </c>
    </row>
    <row r="46" spans="2:7" ht="31.5" customHeight="1" x14ac:dyDescent="0.25">
      <c r="B46" s="46" t="s">
        <v>109</v>
      </c>
      <c r="C46" s="138" t="s">
        <v>47</v>
      </c>
      <c r="D46" s="47" t="s">
        <v>24</v>
      </c>
      <c r="E46" s="47" t="s">
        <v>57</v>
      </c>
      <c r="F46" s="47">
        <v>2</v>
      </c>
      <c r="G46" s="47">
        <v>180</v>
      </c>
    </row>
    <row r="47" spans="2:7" ht="31.5" customHeight="1" x14ac:dyDescent="0.25">
      <c r="B47" s="46" t="s">
        <v>110</v>
      </c>
      <c r="C47" s="138" t="s">
        <v>48</v>
      </c>
      <c r="D47" s="47" t="s">
        <v>24</v>
      </c>
      <c r="E47" s="47" t="s">
        <v>57</v>
      </c>
      <c r="F47" s="47">
        <v>2</v>
      </c>
      <c r="G47" s="47">
        <v>300</v>
      </c>
    </row>
    <row r="48" spans="2:7" ht="31.5" customHeight="1" x14ac:dyDescent="0.25">
      <c r="B48" s="46" t="s">
        <v>111</v>
      </c>
      <c r="C48" s="138" t="s">
        <v>49</v>
      </c>
      <c r="D48" s="47" t="s">
        <v>24</v>
      </c>
      <c r="E48" s="47" t="s">
        <v>57</v>
      </c>
      <c r="F48" s="47">
        <v>2</v>
      </c>
      <c r="G48" s="47">
        <v>360</v>
      </c>
    </row>
    <row r="49" spans="2:7" ht="31.5" customHeight="1" x14ac:dyDescent="0.25">
      <c r="B49" s="46" t="s">
        <v>112</v>
      </c>
      <c r="C49" s="138" t="s">
        <v>50</v>
      </c>
      <c r="D49" s="47" t="s">
        <v>26</v>
      </c>
      <c r="E49" s="47" t="s">
        <v>57</v>
      </c>
      <c r="F49" s="47">
        <v>3</v>
      </c>
      <c r="G49" s="47">
        <v>124</v>
      </c>
    </row>
    <row r="50" spans="2:7" ht="31.5" customHeight="1" x14ac:dyDescent="0.25">
      <c r="B50" s="46" t="s">
        <v>116</v>
      </c>
      <c r="C50" s="138" t="s">
        <v>52</v>
      </c>
      <c r="D50" s="47" t="s">
        <v>24</v>
      </c>
      <c r="E50" s="47" t="s">
        <v>57</v>
      </c>
      <c r="F50" s="47">
        <v>2</v>
      </c>
      <c r="G50" s="47">
        <v>160</v>
      </c>
    </row>
    <row r="51" spans="2:7" ht="31.5" customHeight="1" x14ac:dyDescent="0.25">
      <c r="B51" s="46" t="s">
        <v>113</v>
      </c>
      <c r="C51" s="138" t="s">
        <v>51</v>
      </c>
      <c r="D51" s="47" t="s">
        <v>26</v>
      </c>
      <c r="E51" s="47" t="s">
        <v>57</v>
      </c>
      <c r="F51" s="47">
        <v>3</v>
      </c>
      <c r="G51" s="47">
        <v>172</v>
      </c>
    </row>
    <row r="52" spans="2:7" ht="27.6" x14ac:dyDescent="0.25">
      <c r="B52" s="46" t="s">
        <v>107</v>
      </c>
      <c r="C52" s="21" t="s">
        <v>45</v>
      </c>
      <c r="D52" s="47" t="s">
        <v>24</v>
      </c>
      <c r="E52" s="47" t="s">
        <v>57</v>
      </c>
      <c r="F52" s="47">
        <v>2</v>
      </c>
      <c r="G52" s="10">
        <v>60</v>
      </c>
    </row>
    <row r="53" spans="2:7" ht="27.6" x14ac:dyDescent="0.25">
      <c r="B53" s="46" t="s">
        <v>175</v>
      </c>
      <c r="C53" s="21" t="s">
        <v>172</v>
      </c>
      <c r="D53" s="47" t="s">
        <v>24</v>
      </c>
      <c r="E53" s="47" t="s">
        <v>57</v>
      </c>
      <c r="F53" s="47">
        <v>2</v>
      </c>
      <c r="G53" s="10">
        <v>80</v>
      </c>
    </row>
    <row r="54" spans="2:7" ht="27.6" x14ac:dyDescent="0.25">
      <c r="B54" s="46" t="s">
        <v>176</v>
      </c>
      <c r="C54" s="21" t="s">
        <v>173</v>
      </c>
      <c r="D54" s="47" t="s">
        <v>24</v>
      </c>
      <c r="E54" s="47" t="s">
        <v>57</v>
      </c>
      <c r="F54" s="47">
        <v>2</v>
      </c>
      <c r="G54" s="10">
        <v>100</v>
      </c>
    </row>
    <row r="55" spans="2:7" ht="27.6" x14ac:dyDescent="0.25">
      <c r="B55" s="46" t="s">
        <v>177</v>
      </c>
      <c r="C55" s="21" t="s">
        <v>171</v>
      </c>
      <c r="D55" s="47" t="s">
        <v>24</v>
      </c>
      <c r="E55" s="47" t="s">
        <v>57</v>
      </c>
      <c r="F55" s="47">
        <v>2</v>
      </c>
      <c r="G55" s="10">
        <v>120</v>
      </c>
    </row>
    <row r="56" spans="2:7" ht="27.6" x14ac:dyDescent="0.25">
      <c r="B56" s="46" t="s">
        <v>178</v>
      </c>
      <c r="C56" s="21" t="s">
        <v>174</v>
      </c>
      <c r="D56" s="47" t="s">
        <v>24</v>
      </c>
      <c r="E56" s="47" t="s">
        <v>57</v>
      </c>
      <c r="F56" s="47">
        <v>2</v>
      </c>
      <c r="G56" s="10">
        <v>140</v>
      </c>
    </row>
    <row r="57" spans="2:7" ht="27.6" x14ac:dyDescent="0.25">
      <c r="B57" s="46" t="s">
        <v>116</v>
      </c>
      <c r="C57" s="21" t="s">
        <v>52</v>
      </c>
      <c r="D57" s="47" t="s">
        <v>24</v>
      </c>
      <c r="E57" s="47" t="s">
        <v>57</v>
      </c>
      <c r="F57" s="47">
        <v>2</v>
      </c>
      <c r="G57" s="10">
        <v>160</v>
      </c>
    </row>
  </sheetData>
  <sheetProtection formatCells="0" formatColumns="0" sort="0"/>
  <mergeCells count="10">
    <mergeCell ref="R13:R17"/>
    <mergeCell ref="A28:G28"/>
    <mergeCell ref="M10:P10"/>
    <mergeCell ref="A2:P2"/>
    <mergeCell ref="B17:B18"/>
    <mergeCell ref="N21:O21"/>
    <mergeCell ref="A10:K11"/>
    <mergeCell ref="B20:B23"/>
    <mergeCell ref="M28:O28"/>
    <mergeCell ref="B13:B14"/>
  </mergeCells>
  <dataValidations count="2">
    <dataValidation type="list" allowBlank="1" showInputMessage="1" showErrorMessage="1" sqref="D17" xr:uid="{80792AF3-7104-428C-9FA1-27ECBFECB19D}">
      <formula1>"Tarif bleu,Tarif jaune"</formula1>
    </dataValidation>
    <dataValidation type="list" allowBlank="1" showInputMessage="1" showErrorMessage="1" sqref="F21:F23" xr:uid="{532A45AE-9F1A-48A2-BBD6-C8612D48EB4C}">
      <formula1>"Avantage client,Payant"</formula1>
    </dataValidation>
  </dataValidations>
  <pageMargins left="0.7" right="0.7" top="0.75" bottom="0.75" header="0.3" footer="0.3"/>
  <pageSetup paperSize="9" orientation="portrait" r:id="rId1"/>
  <ignoredErrors>
    <ignoredError sqref="P13:P16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8387D2-8EAB-4020-ADD7-6ABE61D63730}">
          <x14:formula1>
            <xm:f>'Liste de prix'!$B$3:$B$22</xm:f>
          </x14:formula1>
          <xm:sqref>C22:C23</xm:sqref>
        </x14:dataValidation>
        <x14:dataValidation type="list" allowBlank="1" showInputMessage="1" showErrorMessage="1" xr:uid="{6F4F36CA-43DC-4CEB-8DD9-A74A2BE045E0}">
          <x14:formula1>
            <xm:f>'Liste de prix'!$B$3:$B$23</xm:f>
          </x14:formula1>
          <xm:sqref>C31</xm:sqref>
        </x14:dataValidation>
        <x14:dataValidation type="list" allowBlank="1" showInputMessage="1" showErrorMessage="1" xr:uid="{15207113-3A1C-4869-AE3A-5A33A72DD396}">
          <x14:formula1>
            <xm:f>'Liste de prix'!$B$3:$B$29</xm:f>
          </x14:formula1>
          <xm:sqref>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DDED-639C-46EA-B2A8-227297452477}">
  <dimension ref="A1:U66"/>
  <sheetViews>
    <sheetView showGridLines="0" zoomScale="55" zoomScaleNormal="55" workbookViewId="0">
      <selection activeCell="R18" sqref="R18"/>
    </sheetView>
  </sheetViews>
  <sheetFormatPr baseColWidth="10" defaultColWidth="31.5546875" defaultRowHeight="13.8" x14ac:dyDescent="0.25"/>
  <cols>
    <col min="1" max="1" width="63.44140625" style="2" customWidth="1"/>
    <col min="2" max="2" width="19.44140625" style="2" customWidth="1"/>
    <col min="3" max="3" width="18" style="2" customWidth="1"/>
    <col min="4" max="4" width="24.109375" style="2" customWidth="1"/>
    <col min="5" max="5" width="14" style="2" customWidth="1"/>
    <col min="6" max="6" width="24.109375" style="2" customWidth="1"/>
    <col min="7" max="7" width="12.109375" style="2" customWidth="1"/>
    <col min="8" max="8" width="12.6640625" style="2" customWidth="1"/>
    <col min="9" max="9" width="16.88671875" style="2" customWidth="1"/>
    <col min="10" max="10" width="23.109375" style="2" customWidth="1"/>
    <col min="11" max="11" width="26.33203125" style="2" customWidth="1"/>
    <col min="12" max="12" width="21.109375" style="2" customWidth="1"/>
    <col min="13" max="13" width="23.44140625" style="2" customWidth="1"/>
    <col min="14" max="14" width="17" style="2" customWidth="1"/>
    <col min="15" max="15" width="16.44140625" style="2" customWidth="1"/>
    <col min="16" max="16" width="19.44140625" style="2" customWidth="1"/>
    <col min="17" max="16384" width="31.5546875" style="2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34.799999999999997" x14ac:dyDescent="0.55000000000000004">
      <c r="A2" s="169" t="s">
        <v>129</v>
      </c>
      <c r="B2" s="169"/>
      <c r="C2" s="169"/>
      <c r="D2" s="169"/>
      <c r="E2" s="169"/>
      <c r="F2" s="169"/>
      <c r="G2" s="3"/>
      <c r="H2" s="168" t="s">
        <v>130</v>
      </c>
      <c r="I2" s="168"/>
      <c r="J2" s="168"/>
      <c r="K2" s="168"/>
      <c r="L2" s="168"/>
      <c r="M2" s="168"/>
      <c r="N2" s="168"/>
      <c r="O2" s="168"/>
      <c r="P2" s="16"/>
      <c r="Q2" s="1"/>
      <c r="R2" s="1"/>
      <c r="S2" s="1"/>
      <c r="T2" s="1"/>
    </row>
    <row r="3" spans="1:21" ht="34.799999999999997" x14ac:dyDescent="0.55000000000000004">
      <c r="A3" s="13"/>
      <c r="B3" s="13"/>
      <c r="C3" s="13"/>
      <c r="D3" s="13"/>
      <c r="E3" s="13"/>
      <c r="F3" s="13"/>
      <c r="G3" s="3"/>
      <c r="H3" s="16"/>
      <c r="I3" s="16"/>
      <c r="J3" s="16"/>
      <c r="K3" s="16"/>
      <c r="L3" s="16"/>
      <c r="M3" s="16"/>
      <c r="N3" s="16"/>
      <c r="O3" s="16"/>
      <c r="P3" s="16"/>
      <c r="Q3" s="1"/>
      <c r="R3" s="1"/>
      <c r="S3" s="1"/>
      <c r="T3" s="1"/>
    </row>
    <row r="4" spans="1:21" ht="34.799999999999997" x14ac:dyDescent="0.55000000000000004">
      <c r="A4" s="13"/>
      <c r="B4" s="13"/>
      <c r="C4" s="13"/>
      <c r="D4" s="13"/>
      <c r="E4" s="13"/>
      <c r="F4" s="13"/>
      <c r="G4" s="3"/>
      <c r="H4" s="16"/>
      <c r="I4" s="16"/>
      <c r="J4" s="16"/>
      <c r="K4" s="16"/>
      <c r="L4" s="16"/>
      <c r="M4" s="16"/>
      <c r="N4" s="16"/>
      <c r="O4" s="16"/>
      <c r="P4" s="16"/>
      <c r="Q4" s="1"/>
      <c r="R4" s="1"/>
      <c r="S4" s="1"/>
      <c r="T4" s="1"/>
    </row>
    <row r="5" spans="1:21" ht="34.799999999999997" x14ac:dyDescent="0.55000000000000004">
      <c r="A5" s="13"/>
      <c r="B5" s="13"/>
      <c r="C5" s="13"/>
      <c r="D5" s="13"/>
      <c r="E5" s="13"/>
      <c r="F5" s="13"/>
      <c r="G5" s="3"/>
      <c r="H5" s="16"/>
      <c r="I5" s="16"/>
      <c r="J5" s="16"/>
      <c r="K5" s="16"/>
      <c r="L5" s="16"/>
      <c r="M5" s="16"/>
      <c r="N5" s="16"/>
      <c r="O5" s="16"/>
      <c r="P5" s="16"/>
      <c r="Q5" s="1"/>
      <c r="R5" s="1"/>
      <c r="S5" s="1"/>
      <c r="T5" s="1"/>
    </row>
    <row r="6" spans="1:21" x14ac:dyDescent="0.25">
      <c r="A6" s="1" t="s">
        <v>84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ht="26.4" customHeight="1" x14ac:dyDescent="0.4">
      <c r="A9" s="55" t="s">
        <v>165</v>
      </c>
      <c r="B9" s="56"/>
      <c r="C9" s="56"/>
      <c r="D9" s="56"/>
      <c r="E9" s="56"/>
      <c r="F9" s="56"/>
      <c r="G9" s="1"/>
      <c r="H9" s="1"/>
      <c r="I9" s="167" t="s">
        <v>119</v>
      </c>
      <c r="J9" s="167"/>
      <c r="K9" s="167"/>
      <c r="L9" s="167"/>
      <c r="M9" s="167"/>
      <c r="N9" s="167"/>
      <c r="O9" s="75"/>
      <c r="P9" s="1"/>
      <c r="R9" s="1"/>
      <c r="S9" s="1"/>
    </row>
    <row r="10" spans="1:21" ht="58.95" customHeight="1" x14ac:dyDescent="0.25">
      <c r="A10" s="54" t="s">
        <v>126</v>
      </c>
      <c r="B10" s="14" t="s">
        <v>127</v>
      </c>
      <c r="C10" s="15" t="s">
        <v>182</v>
      </c>
      <c r="D10" s="14" t="s">
        <v>0</v>
      </c>
      <c r="E10" s="15" t="s">
        <v>61</v>
      </c>
      <c r="F10" s="14" t="s">
        <v>1</v>
      </c>
      <c r="G10" s="1"/>
      <c r="I10" s="11"/>
      <c r="J10" s="116" t="s">
        <v>139</v>
      </c>
      <c r="K10" s="116" t="s">
        <v>18</v>
      </c>
      <c r="L10" s="116" t="s">
        <v>80</v>
      </c>
      <c r="M10" s="116" t="s">
        <v>82</v>
      </c>
      <c r="N10" s="117" t="s">
        <v>164</v>
      </c>
      <c r="O10" s="140" t="s">
        <v>120</v>
      </c>
      <c r="P10" s="144">
        <f>SUMIF('DONNÉES CLIENTS'!$F$21:$F$23,"Payant",'DONNÉES CLIENTS'!$G$21:$G$23)*'DONNÉES CLIENTS'!$D$14/60</f>
        <v>75</v>
      </c>
      <c r="R10" s="1"/>
      <c r="S10" s="1"/>
      <c r="T10" s="1"/>
      <c r="U10" s="1"/>
    </row>
    <row r="11" spans="1:21" s="28" customFormat="1" ht="35.25" customHeight="1" x14ac:dyDescent="0.3">
      <c r="A11" s="23" t="str">
        <f>'DONNÉES CLIENTS'!C21</f>
        <v>WB-22D-SS/WRL</v>
      </c>
      <c r="B11" s="12">
        <f>VLOOKUP(A11,'Liste de prix'!B:C,2,FALSE)</f>
        <v>4491.6630000000005</v>
      </c>
      <c r="C11" s="142">
        <f>B11</f>
        <v>4491.6630000000005</v>
      </c>
      <c r="D11" s="5">
        <f>'DONNÉES CLIENTS'!D21</f>
        <v>2</v>
      </c>
      <c r="E11" s="5">
        <f>'DONNÉES CLIENTS'!E21</f>
        <v>4</v>
      </c>
      <c r="F11" s="49">
        <f>C11*D11</f>
        <v>8983.3260000000009</v>
      </c>
      <c r="G11" s="27"/>
      <c r="I11" s="99">
        <v>2023</v>
      </c>
      <c r="J11" s="100">
        <f>'DONNÉES CLIENTS'!$D$14/60</f>
        <v>0.5</v>
      </c>
      <c r="K11" s="101">
        <f>SUMIF('DONNÉES CLIENTS'!$F$21:$F$23,"Payant",'DONNÉES CLIENTS'!$E$21:$E$23)</f>
        <v>2</v>
      </c>
      <c r="L11" s="102">
        <f>K11/J11</f>
        <v>4</v>
      </c>
      <c r="M11" s="102">
        <f>'DONNÉES CLIENTS'!$D$13/24*'DONNEES NATIONALES'!C25</f>
        <v>22.5</v>
      </c>
      <c r="N11" s="103">
        <f>M11*0.7</f>
        <v>15.749999999999998</v>
      </c>
      <c r="O11" s="141">
        <f>IF((SUMIF('DONNÉES CLIENTS'!$F$21:$F$23,"Payant",'DONNÉES CLIENTS'!$G$21:$G$23)*'DONNÉES CLIENTS'!$D$14/60)&gt;50,50,SUMIF('DONNÉES CLIENTS'!$F$21:$F$23,"Payant",'DONNÉES CLIENTS'!$G$21:$G$23)*'DONNÉES CLIENTS'!$D$14/60)</f>
        <v>50</v>
      </c>
      <c r="P11" s="137">
        <f>IF(P10&gt;50,50,P10)</f>
        <v>50</v>
      </c>
      <c r="R11" s="27"/>
      <c r="S11" s="27"/>
      <c r="T11" s="27"/>
      <c r="U11" s="27"/>
    </row>
    <row r="12" spans="1:21" s="28" customFormat="1" ht="35.25" customHeight="1" x14ac:dyDescent="0.3">
      <c r="A12" s="24" t="str">
        <f>'DONNÉES CLIENTS'!C22</f>
        <v>WB-DC-150D/WC</v>
      </c>
      <c r="B12" s="12">
        <f>VLOOKUP(A12,'Liste de prix'!B:C,2,FALSE)</f>
        <v>58500</v>
      </c>
      <c r="C12" s="142">
        <f>B12</f>
        <v>58500</v>
      </c>
      <c r="D12" s="5">
        <f>'DONNÉES CLIENTS'!D22</f>
        <v>1</v>
      </c>
      <c r="E12" s="5">
        <f>'DONNÉES CLIENTS'!E22</f>
        <v>2</v>
      </c>
      <c r="F12" s="49">
        <f>C12*D12</f>
        <v>58500</v>
      </c>
      <c r="G12" s="27"/>
      <c r="I12" s="104">
        <v>2024</v>
      </c>
      <c r="J12" s="100">
        <f>'DONNÉES CLIENTS'!$D$14/60</f>
        <v>0.5</v>
      </c>
      <c r="K12" s="101">
        <f>SUMIF('DONNÉES CLIENTS'!$F$21:$F$23,"Payant",'DONNÉES CLIENTS'!$E$21:$E$23)</f>
        <v>2</v>
      </c>
      <c r="L12" s="102">
        <f t="shared" ref="L12:L14" si="0">K12/J12</f>
        <v>4</v>
      </c>
      <c r="M12" s="102">
        <f>'DONNÉES CLIENTS'!$D$13/24*'DONNEES NATIONALES'!C26</f>
        <v>45</v>
      </c>
      <c r="N12" s="103">
        <f>M12*0.7</f>
        <v>31.499999999999996</v>
      </c>
      <c r="O12" s="141">
        <f>IF((SUMIF('DONNÉES CLIENTS'!$F$21:$F$23,"Payant",'DONNÉES CLIENTS'!$G$21:$G$23)*'DONNÉES CLIENTS'!$D$14/60)&gt;50,50,SUMIF('DONNÉES CLIENTS'!$F$21:$F$23,"Payant",'DONNÉES CLIENTS'!$G$21:$G$23)*'DONNÉES CLIENTS'!$D$14/60)</f>
        <v>50</v>
      </c>
      <c r="P12" s="50"/>
      <c r="R12" s="27"/>
      <c r="S12" s="27"/>
      <c r="T12" s="27"/>
      <c r="U12" s="27"/>
    </row>
    <row r="13" spans="1:21" s="28" customFormat="1" ht="35.25" customHeight="1" x14ac:dyDescent="0.3">
      <c r="A13" s="24">
        <f>'DONNÉES CLIENTS'!C23</f>
        <v>0</v>
      </c>
      <c r="B13" s="12" t="str">
        <f>IF(ISNA(VLOOKUP(A13,'Liste de prix'!B:C,2,FALSE)),"",VLOOKUP(A13,'Liste de prix'!B:C,2,FALSE))</f>
        <v/>
      </c>
      <c r="C13" s="12" t="str">
        <f>IF(ISNA(VLOOKUP(A13,'Liste de prix'!B:C,3,FALSE)),"0",VLOOKUP(A13,'Liste de prix'!B:C,3,FALSE))</f>
        <v>0</v>
      </c>
      <c r="D13" s="5">
        <f>'DONNÉES CLIENTS'!D23</f>
        <v>0</v>
      </c>
      <c r="E13" s="5">
        <f>'DONNÉES CLIENTS'!E23</f>
        <v>0</v>
      </c>
      <c r="F13" s="49">
        <f>C13*D13</f>
        <v>0</v>
      </c>
      <c r="G13" s="27"/>
      <c r="I13" s="105">
        <v>2025</v>
      </c>
      <c r="J13" s="100">
        <f>'DONNÉES CLIENTS'!$D$14/60</f>
        <v>0.5</v>
      </c>
      <c r="K13" s="101">
        <f>SUMIF('DONNÉES CLIENTS'!$F$21:$F$23,"Payant",'DONNÉES CLIENTS'!$E$21:$E$23)</f>
        <v>2</v>
      </c>
      <c r="L13" s="102">
        <f t="shared" si="0"/>
        <v>4</v>
      </c>
      <c r="M13" s="102">
        <f>'DONNÉES CLIENTS'!$D$13/24*'DONNEES NATIONALES'!C27</f>
        <v>67.5</v>
      </c>
      <c r="N13" s="103">
        <f>M13*0.7</f>
        <v>47.25</v>
      </c>
      <c r="O13" s="141">
        <f>IF((SUMIF('DONNÉES CLIENTS'!$F$21:$F$23,"Payant",'DONNÉES CLIENTS'!$G$21:$G$23)*'DONNÉES CLIENTS'!$D$14/60)&gt;50,50,SUMIF('DONNÉES CLIENTS'!$F$21:$F$23,"Payant",'DONNÉES CLIENTS'!$G$21:$G$23)*'DONNÉES CLIENTS'!$D$14/60)</f>
        <v>50</v>
      </c>
      <c r="R13" s="27"/>
      <c r="S13" s="27"/>
      <c r="T13" s="27"/>
      <c r="U13" s="27"/>
    </row>
    <row r="14" spans="1:21" s="28" customFormat="1" ht="33.75" customHeight="1" x14ac:dyDescent="0.3">
      <c r="F14" s="40">
        <f>F11+F12+F13</f>
        <v>67483.326000000001</v>
      </c>
      <c r="G14" s="27"/>
      <c r="I14" s="106">
        <v>2026</v>
      </c>
      <c r="J14" s="100">
        <f>'DONNÉES CLIENTS'!$D$14/60</f>
        <v>0.5</v>
      </c>
      <c r="K14" s="101">
        <f>SUMIF('DONNÉES CLIENTS'!$F$21:$F$23,"Payant",'DONNÉES CLIENTS'!$E$21:$E$23)</f>
        <v>2</v>
      </c>
      <c r="L14" s="102">
        <f t="shared" si="0"/>
        <v>4</v>
      </c>
      <c r="M14" s="102">
        <f>'DONNÉES CLIENTS'!$D$13/24*'DONNEES NATIONALES'!C28</f>
        <v>101.25</v>
      </c>
      <c r="N14" s="103">
        <f>M14*0.7</f>
        <v>70.875</v>
      </c>
      <c r="O14" s="141">
        <f>IF((SUMIF('DONNÉES CLIENTS'!$F$21:$F$23,"Payant",'DONNÉES CLIENTS'!$G$21:$G$23)*'DONNÉES CLIENTS'!$D$14/60)&gt;50,50,SUMIF('DONNÉES CLIENTS'!$F$21:$F$23,"Payant",'DONNÉES CLIENTS'!$G$21:$G$23)*'DONNÉES CLIENTS'!$D$14/60)</f>
        <v>50</v>
      </c>
      <c r="R14" s="27"/>
      <c r="S14" s="27"/>
      <c r="T14" s="27"/>
      <c r="U14" s="27"/>
    </row>
    <row r="15" spans="1:21" s="28" customFormat="1" ht="27" customHeight="1" x14ac:dyDescent="0.3">
      <c r="A15" s="57" t="s">
        <v>166</v>
      </c>
      <c r="B15" s="58"/>
      <c r="C15" s="58"/>
      <c r="D15" s="58"/>
      <c r="E15" s="64"/>
      <c r="F15" s="64"/>
      <c r="G15" s="27"/>
      <c r="H15" s="27"/>
      <c r="I15" s="27"/>
      <c r="J15" s="27"/>
      <c r="K15" s="27"/>
      <c r="L15" s="27"/>
      <c r="M15" s="27"/>
      <c r="N15" s="27"/>
      <c r="R15" s="27"/>
      <c r="S15" s="27"/>
    </row>
    <row r="16" spans="1:21" s="28" customFormat="1" ht="29.25" customHeight="1" x14ac:dyDescent="0.3">
      <c r="A16" s="29" t="s">
        <v>85</v>
      </c>
      <c r="B16" s="159">
        <f>IF('DONNÉES CLIENTS'!D17="Tarif jaune",8000,15000)</f>
        <v>8000</v>
      </c>
      <c r="C16" s="160"/>
      <c r="D16" s="161"/>
      <c r="E16" s="162"/>
      <c r="F16" s="163"/>
      <c r="G16" s="27"/>
      <c r="H16" s="27"/>
      <c r="I16" s="27"/>
      <c r="J16" s="27"/>
      <c r="K16" s="27"/>
      <c r="L16" s="27"/>
      <c r="M16" s="27"/>
      <c r="N16" s="27"/>
      <c r="R16" s="27"/>
      <c r="S16" s="27"/>
    </row>
    <row r="17" spans="1:20" s="28" customFormat="1" ht="25.95" customHeight="1" x14ac:dyDescent="0.3">
      <c r="A17" s="81" t="s">
        <v>157</v>
      </c>
      <c r="B17" s="48"/>
      <c r="C17" s="48"/>
      <c r="D17" s="48"/>
      <c r="G17" s="27"/>
      <c r="I17" s="30" t="s">
        <v>134</v>
      </c>
      <c r="J17" s="31"/>
      <c r="K17" s="32"/>
      <c r="L17" s="33"/>
      <c r="M17" s="34"/>
      <c r="N17" s="34"/>
      <c r="R17" s="27"/>
      <c r="S17" s="27"/>
    </row>
    <row r="18" spans="1:20" s="28" customFormat="1" ht="37.5" customHeight="1" x14ac:dyDescent="0.3">
      <c r="A18" s="59" t="s">
        <v>170</v>
      </c>
      <c r="B18" s="60"/>
      <c r="C18" s="61"/>
      <c r="D18" s="61"/>
      <c r="E18" s="65"/>
      <c r="F18" s="65"/>
      <c r="G18" s="27"/>
      <c r="I18" s="35"/>
      <c r="J18" s="117" t="s">
        <v>121</v>
      </c>
      <c r="K18" s="117" t="s">
        <v>122</v>
      </c>
      <c r="L18" s="117" t="s">
        <v>132</v>
      </c>
      <c r="R18" s="27"/>
      <c r="S18" s="27"/>
    </row>
    <row r="19" spans="1:20" s="28" customFormat="1" ht="29.4" customHeight="1" x14ac:dyDescent="0.3">
      <c r="A19" s="36" t="s">
        <v>2</v>
      </c>
      <c r="B19" s="159"/>
      <c r="C19" s="160"/>
      <c r="D19" s="161"/>
      <c r="E19" s="170" t="s">
        <v>184</v>
      </c>
      <c r="F19" s="171"/>
      <c r="G19" s="27"/>
      <c r="I19" s="107">
        <v>2023</v>
      </c>
      <c r="J19" s="108">
        <f>O11*'DONNÉES CLIENTS'!N13</f>
        <v>8</v>
      </c>
      <c r="K19" s="108">
        <f>'DONNÉES CLIENTS'!O13*RÉSULTATS!O11</f>
        <v>19</v>
      </c>
      <c r="L19" s="119">
        <f>K19-J19</f>
        <v>11</v>
      </c>
      <c r="R19" s="27"/>
      <c r="S19" s="27"/>
    </row>
    <row r="20" spans="1:20" s="28" customFormat="1" ht="29.4" customHeight="1" x14ac:dyDescent="0.3">
      <c r="A20" s="36" t="s">
        <v>179</v>
      </c>
      <c r="B20" s="159"/>
      <c r="C20" s="160"/>
      <c r="D20" s="161"/>
      <c r="E20" s="170"/>
      <c r="F20" s="171"/>
      <c r="I20" s="109">
        <v>2024</v>
      </c>
      <c r="J20" s="108">
        <f>O12*'DONNÉES CLIENTS'!N14</f>
        <v>8.9599999999999991</v>
      </c>
      <c r="K20" s="108">
        <f>'DONNÉES CLIENTS'!O14*RÉSULTATS!O12</f>
        <v>19</v>
      </c>
      <c r="L20" s="119">
        <f t="shared" ref="L20:L22" si="1">K20-J20</f>
        <v>10.040000000000001</v>
      </c>
      <c r="O20" s="27"/>
      <c r="P20" s="27"/>
      <c r="R20" s="27"/>
      <c r="S20" s="27"/>
    </row>
    <row r="21" spans="1:20" s="28" customFormat="1" ht="29.4" customHeight="1" x14ac:dyDescent="0.3">
      <c r="A21" s="36" t="s">
        <v>153</v>
      </c>
      <c r="B21" s="159"/>
      <c r="C21" s="160"/>
      <c r="D21" s="161"/>
      <c r="E21" s="170"/>
      <c r="F21" s="171"/>
      <c r="I21" s="110">
        <v>2025</v>
      </c>
      <c r="J21" s="108">
        <f>O13*'DONNÉES CLIENTS'!N15</f>
        <v>10.303999999999998</v>
      </c>
      <c r="K21" s="108">
        <f>'DONNÉES CLIENTS'!O15*RÉSULTATS!O13</f>
        <v>19</v>
      </c>
      <c r="L21" s="119">
        <f t="shared" si="1"/>
        <v>8.6960000000000015</v>
      </c>
      <c r="O21" s="27"/>
      <c r="P21" s="27"/>
      <c r="Q21" s="27"/>
      <c r="R21" s="27"/>
      <c r="S21" s="27"/>
      <c r="T21" s="27"/>
    </row>
    <row r="22" spans="1:20" s="28" customFormat="1" ht="29.4" customHeight="1" x14ac:dyDescent="0.3">
      <c r="A22" s="36" t="s">
        <v>152</v>
      </c>
      <c r="B22" s="159"/>
      <c r="C22" s="160"/>
      <c r="D22" s="161"/>
      <c r="E22" s="170"/>
      <c r="F22" s="171"/>
      <c r="I22" s="111">
        <v>2026</v>
      </c>
      <c r="J22" s="108">
        <f>O14*'DONNÉES CLIENTS'!N16</f>
        <v>12.364799999999999</v>
      </c>
      <c r="K22" s="108">
        <f>'DONNÉES CLIENTS'!O16*RÉSULTATS!O14</f>
        <v>19</v>
      </c>
      <c r="L22" s="119">
        <f t="shared" si="1"/>
        <v>6.6352000000000011</v>
      </c>
      <c r="O22" s="27"/>
      <c r="P22" s="27"/>
      <c r="Q22" s="7"/>
      <c r="R22" s="27"/>
      <c r="S22" s="27"/>
      <c r="T22" s="27"/>
    </row>
    <row r="23" spans="1:20" s="28" customFormat="1" ht="29.4" customHeight="1" x14ac:dyDescent="0.3">
      <c r="A23" s="82" t="s">
        <v>180</v>
      </c>
      <c r="B23" s="156">
        <f>(SUM('DONNÉES CLIENTS'!J21:J23)*300+SUM('DONNÉES CLIENTS'!K21:K23)*500)*4</f>
        <v>4400</v>
      </c>
      <c r="C23" s="157"/>
      <c r="D23" s="158"/>
      <c r="E23" s="66"/>
      <c r="F23" s="67"/>
      <c r="K23" s="27"/>
      <c r="L23" s="27"/>
      <c r="N23" s="27"/>
      <c r="O23" s="27"/>
      <c r="P23" s="27"/>
      <c r="Q23" s="37"/>
      <c r="R23" s="27"/>
      <c r="S23" s="27"/>
      <c r="T23" s="27"/>
    </row>
    <row r="24" spans="1:20" s="28" customFormat="1" ht="28.5" customHeight="1" x14ac:dyDescent="0.3">
      <c r="A24" s="81" t="s">
        <v>156</v>
      </c>
      <c r="B24" s="62"/>
      <c r="C24" s="63"/>
      <c r="D24" s="63"/>
      <c r="E24" s="72"/>
      <c r="F24" s="73"/>
      <c r="I24" s="30" t="s">
        <v>133</v>
      </c>
      <c r="J24" s="31"/>
      <c r="K24" s="32"/>
      <c r="L24" s="33"/>
      <c r="M24" s="34"/>
      <c r="N24" s="34"/>
      <c r="O24" s="27"/>
      <c r="P24" s="27"/>
      <c r="Q24" s="37"/>
      <c r="R24" s="27"/>
      <c r="S24" s="27"/>
      <c r="T24" s="27"/>
    </row>
    <row r="25" spans="1:20" s="28" customFormat="1" ht="45" customHeight="1" x14ac:dyDescent="0.3">
      <c r="A25" s="164" t="s">
        <v>167</v>
      </c>
      <c r="B25" s="165"/>
      <c r="C25" s="165"/>
      <c r="D25" s="166"/>
      <c r="E25" s="50"/>
      <c r="F25" s="65"/>
      <c r="H25" s="27"/>
      <c r="I25" s="39"/>
      <c r="J25" s="116" t="s">
        <v>135</v>
      </c>
      <c r="K25" s="118" t="s">
        <v>186</v>
      </c>
      <c r="L25" s="117" t="s">
        <v>137</v>
      </c>
      <c r="M25" s="27"/>
      <c r="N25" s="27"/>
      <c r="O25" s="27"/>
      <c r="P25" s="27"/>
      <c r="R25" s="27"/>
      <c r="S25" s="27"/>
      <c r="T25" s="27"/>
    </row>
    <row r="26" spans="1:20" s="28" customFormat="1" ht="27.75" customHeight="1" x14ac:dyDescent="0.3">
      <c r="A26" s="38" t="s">
        <v>158</v>
      </c>
      <c r="B26" s="173">
        <f>SUM('DONNÉES CLIENTS'!I21:I23)*16*12*4</f>
        <v>1536</v>
      </c>
      <c r="C26" s="173"/>
      <c r="D26" s="173"/>
      <c r="E26" s="67"/>
      <c r="F26" s="67"/>
      <c r="H26" s="27"/>
      <c r="I26" s="99">
        <v>2023</v>
      </c>
      <c r="J26" s="112">
        <f>L19*N11*24*12</f>
        <v>49895.999999999985</v>
      </c>
      <c r="K26" s="113">
        <f>K19*N11*24*12*0.085</f>
        <v>7325.6399999999976</v>
      </c>
      <c r="L26" s="108">
        <f>J26-K26</f>
        <v>42570.359999999986</v>
      </c>
      <c r="M26" s="27"/>
      <c r="N26" s="27"/>
      <c r="O26" s="27"/>
      <c r="P26" s="27"/>
      <c r="Q26" s="27"/>
      <c r="R26" s="27"/>
      <c r="S26" s="27"/>
      <c r="T26" s="27"/>
    </row>
    <row r="27" spans="1:20" s="28" customFormat="1" ht="27.75" customHeight="1" x14ac:dyDescent="0.3">
      <c r="A27" s="38" t="s">
        <v>183</v>
      </c>
      <c r="B27" s="173">
        <f>SUM('DONNÉES CLIENTS'!H21:H23)*16*12*4</f>
        <v>3072</v>
      </c>
      <c r="C27" s="173"/>
      <c r="D27" s="173"/>
      <c r="E27" s="67"/>
      <c r="F27" s="67"/>
      <c r="H27" s="27"/>
      <c r="I27" s="104">
        <v>2024</v>
      </c>
      <c r="J27" s="112">
        <f>L20*N12*24*12</f>
        <v>91082.880000000005</v>
      </c>
      <c r="K27" s="113">
        <f t="shared" ref="K27:K29" si="2">K20*N12*24*12*0.085</f>
        <v>14651.279999999995</v>
      </c>
      <c r="L27" s="108">
        <f t="shared" ref="L27:L29" si="3">J27-K27</f>
        <v>76431.600000000006</v>
      </c>
      <c r="M27" s="27"/>
      <c r="N27" s="27"/>
      <c r="O27" s="27"/>
      <c r="P27" s="27"/>
      <c r="Q27" s="27"/>
      <c r="R27" s="27"/>
      <c r="S27" s="27"/>
      <c r="T27" s="27"/>
    </row>
    <row r="28" spans="1:20" s="28" customFormat="1" ht="27.75" customHeight="1" x14ac:dyDescent="0.3">
      <c r="A28" s="38" t="s">
        <v>181</v>
      </c>
      <c r="B28" s="173">
        <f>SUM('DONNÉES CLIENTS'!$E$21:$E$23)*60</f>
        <v>360</v>
      </c>
      <c r="C28" s="173"/>
      <c r="D28" s="173"/>
      <c r="E28" s="67"/>
      <c r="F28" s="67"/>
      <c r="H28" s="27"/>
      <c r="I28" s="105">
        <v>2025</v>
      </c>
      <c r="J28" s="112">
        <f>L21*N13*24*12</f>
        <v>118335.16800000003</v>
      </c>
      <c r="K28" s="113">
        <f t="shared" si="2"/>
        <v>21976.920000000002</v>
      </c>
      <c r="L28" s="108">
        <f t="shared" si="3"/>
        <v>96358.248000000036</v>
      </c>
      <c r="M28" s="27"/>
      <c r="N28" s="27"/>
      <c r="O28" s="27"/>
      <c r="P28" s="27"/>
      <c r="Q28" s="27"/>
      <c r="R28" s="27"/>
      <c r="S28" s="27"/>
      <c r="T28" s="27"/>
    </row>
    <row r="29" spans="1:20" s="28" customFormat="1" ht="27.75" customHeight="1" x14ac:dyDescent="0.3">
      <c r="A29" s="70"/>
      <c r="B29" s="71"/>
      <c r="C29" s="71"/>
      <c r="D29" s="71"/>
      <c r="E29" s="69"/>
      <c r="F29" s="68"/>
      <c r="G29" s="27"/>
      <c r="H29" s="27"/>
      <c r="I29" s="106">
        <v>2026</v>
      </c>
      <c r="J29" s="112">
        <f>L22*N14*24*12</f>
        <v>135437.70240000004</v>
      </c>
      <c r="K29" s="113">
        <f t="shared" si="2"/>
        <v>32965.380000000005</v>
      </c>
      <c r="L29" s="108">
        <f t="shared" si="3"/>
        <v>102472.32240000003</v>
      </c>
      <c r="M29" s="27"/>
      <c r="N29" s="27"/>
      <c r="O29" s="27"/>
      <c r="P29" s="27"/>
      <c r="R29" s="27"/>
      <c r="S29" s="27"/>
      <c r="T29" s="27"/>
    </row>
    <row r="30" spans="1:20" s="28" customFormat="1" ht="27.75" customHeight="1" x14ac:dyDescent="0.3">
      <c r="G30" s="27"/>
      <c r="H30" s="27"/>
      <c r="I30" s="27"/>
      <c r="J30" s="27"/>
      <c r="K30" s="27"/>
      <c r="L30" s="27"/>
      <c r="M30" s="27"/>
      <c r="N30" s="27"/>
      <c r="O30" s="27"/>
      <c r="P30" s="27"/>
      <c r="Q30"/>
      <c r="R30" s="27"/>
      <c r="S30" s="27"/>
      <c r="T30" s="27"/>
    </row>
    <row r="31" spans="1:20" s="28" customFormat="1" ht="27" customHeight="1" x14ac:dyDescent="0.3">
      <c r="A31" s="174" t="s">
        <v>168</v>
      </c>
      <c r="B31" s="174"/>
      <c r="C31" s="174"/>
      <c r="D31" s="176">
        <f>F14+B16+B19+B20+B21+B22+B23+B26+B27+B28</f>
        <v>84851.326000000001</v>
      </c>
      <c r="E31" s="176"/>
      <c r="F31" s="176"/>
      <c r="G31" s="27"/>
      <c r="H31" s="27"/>
      <c r="I31" s="30" t="s">
        <v>123</v>
      </c>
      <c r="J31" s="31"/>
      <c r="K31" s="32"/>
      <c r="L31" s="33"/>
      <c r="M31" s="34"/>
      <c r="N31" s="34"/>
      <c r="O31" s="27"/>
      <c r="P31" s="27"/>
      <c r="R31" s="27"/>
      <c r="S31" s="27"/>
      <c r="T31" s="27"/>
    </row>
    <row r="32" spans="1:20" s="28" customFormat="1" ht="57.75" customHeight="1" x14ac:dyDescent="0.3">
      <c r="A32" s="175"/>
      <c r="B32" s="175"/>
      <c r="C32" s="175"/>
      <c r="D32" s="176"/>
      <c r="E32" s="176"/>
      <c r="F32" s="176"/>
      <c r="G32" s="27"/>
      <c r="H32" s="27"/>
      <c r="I32" s="114"/>
      <c r="J32" s="135" t="s">
        <v>136</v>
      </c>
      <c r="K32" s="115" t="s">
        <v>163</v>
      </c>
      <c r="L32" s="135" t="s">
        <v>124</v>
      </c>
      <c r="M32" s="34"/>
      <c r="N32" s="34"/>
      <c r="O32" s="53"/>
      <c r="P32" s="53"/>
      <c r="R32" s="27"/>
      <c r="S32" s="27"/>
      <c r="T32" s="27"/>
    </row>
    <row r="33" spans="1:20" s="28" customFormat="1" ht="21.75" customHeight="1" x14ac:dyDescent="0.3">
      <c r="C33" s="27"/>
      <c r="E33" s="27"/>
      <c r="F33" s="51"/>
      <c r="G33" s="27"/>
      <c r="I33" s="99">
        <v>2023</v>
      </c>
      <c r="J33" s="108">
        <f>L26</f>
        <v>42570.359999999986</v>
      </c>
      <c r="K33" s="108">
        <f>D31*0.25</f>
        <v>21212.8315</v>
      </c>
      <c r="L33" s="136">
        <f>J33-K33</f>
        <v>21357.528499999986</v>
      </c>
      <c r="M33" s="34"/>
      <c r="N33" s="34"/>
      <c r="O33" s="27"/>
      <c r="P33" s="27"/>
      <c r="R33" s="27"/>
      <c r="S33" s="27"/>
      <c r="T33" s="27"/>
    </row>
    <row r="34" spans="1:20" s="28" customFormat="1" ht="21.75" customHeight="1" x14ac:dyDescent="0.3">
      <c r="C34" s="27"/>
      <c r="E34" s="27"/>
      <c r="G34" s="27"/>
      <c r="I34" s="104">
        <v>2024</v>
      </c>
      <c r="J34" s="108">
        <f>L26+L27</f>
        <v>119001.95999999999</v>
      </c>
      <c r="K34" s="108">
        <f>D31*0.5</f>
        <v>42425.663</v>
      </c>
      <c r="L34" s="136">
        <f t="shared" ref="L34:L36" si="4">J34-K34</f>
        <v>76576.296999999991</v>
      </c>
      <c r="M34" s="34"/>
      <c r="N34" s="34"/>
      <c r="Q34" s="74"/>
      <c r="R34" s="27"/>
      <c r="S34" s="27"/>
      <c r="T34" s="27"/>
    </row>
    <row r="35" spans="1:20" s="28" customFormat="1" ht="21.75" customHeight="1" x14ac:dyDescent="0.3">
      <c r="C35" s="27"/>
      <c r="E35" s="27"/>
      <c r="I35" s="105">
        <v>2025</v>
      </c>
      <c r="J35" s="108">
        <f>L26+L27+L28</f>
        <v>215360.20800000004</v>
      </c>
      <c r="K35" s="108">
        <f>D31*0.75</f>
        <v>63638.494500000001</v>
      </c>
      <c r="L35" s="136">
        <f t="shared" si="4"/>
        <v>151721.71350000004</v>
      </c>
      <c r="M35" s="34"/>
      <c r="N35" s="34"/>
      <c r="R35" s="27"/>
      <c r="S35" s="27"/>
      <c r="T35" s="27"/>
    </row>
    <row r="36" spans="1:20" s="28" customFormat="1" ht="21.75" customHeight="1" x14ac:dyDescent="0.3">
      <c r="C36" s="27"/>
      <c r="E36" s="27"/>
      <c r="I36" s="106">
        <v>2026</v>
      </c>
      <c r="J36" s="108">
        <f>J35+L29</f>
        <v>317832.53040000005</v>
      </c>
      <c r="K36" s="108">
        <f>D31</f>
        <v>84851.326000000001</v>
      </c>
      <c r="L36" s="136">
        <f t="shared" si="4"/>
        <v>232981.20440000005</v>
      </c>
      <c r="M36" s="34"/>
      <c r="N36" s="34"/>
      <c r="Q36" s="27"/>
      <c r="R36" s="27"/>
      <c r="S36" s="27"/>
      <c r="T36" s="27"/>
    </row>
    <row r="37" spans="1:20" s="28" customFormat="1" ht="21" customHeight="1" x14ac:dyDescent="0.3">
      <c r="C37" s="27"/>
      <c r="E37" s="27"/>
      <c r="I37" s="27"/>
      <c r="J37" s="27"/>
      <c r="M37" s="34"/>
      <c r="N37" s="34"/>
      <c r="Q37" s="27"/>
      <c r="R37" s="27"/>
      <c r="S37" s="27"/>
      <c r="T37" s="27"/>
    </row>
    <row r="38" spans="1:20" s="28" customFormat="1" x14ac:dyDescent="0.3">
      <c r="C38" s="27"/>
      <c r="E38" s="27"/>
      <c r="H38" s="27"/>
      <c r="I38" s="27"/>
      <c r="J38" s="27"/>
      <c r="Q38" s="27"/>
      <c r="R38" s="27"/>
      <c r="S38" s="27"/>
      <c r="T38" s="27"/>
    </row>
    <row r="39" spans="1:20" s="28" customFormat="1" x14ac:dyDescent="0.3">
      <c r="C39" s="27"/>
      <c r="E39" s="27"/>
      <c r="H39" s="27"/>
      <c r="I39" s="27"/>
      <c r="J39" s="27"/>
      <c r="Q39" s="27"/>
      <c r="R39" s="27"/>
      <c r="S39" s="27"/>
      <c r="T39" s="27"/>
    </row>
    <row r="40" spans="1:20" s="28" customFormat="1" ht="64.5" customHeight="1" x14ac:dyDescent="0.3">
      <c r="C40" s="27"/>
      <c r="D40" s="27"/>
      <c r="E40" s="27"/>
      <c r="F40" s="27"/>
      <c r="G40" s="27"/>
      <c r="H40" s="27"/>
      <c r="I40" s="172" t="s">
        <v>162</v>
      </c>
      <c r="J40" s="172"/>
      <c r="K40" s="97">
        <f>D31*48/J36</f>
        <v>12.814495869488882</v>
      </c>
      <c r="L40" s="98" t="s">
        <v>138</v>
      </c>
      <c r="Q40" s="27"/>
      <c r="R40" s="27"/>
      <c r="S40" s="27"/>
      <c r="T40" s="27"/>
    </row>
    <row r="41" spans="1:20" s="28" customFormat="1" x14ac:dyDescent="0.3">
      <c r="C41" s="27"/>
      <c r="D41" s="27"/>
      <c r="E41" s="27"/>
      <c r="F41" s="27"/>
      <c r="G41" s="27"/>
      <c r="H41" s="27"/>
      <c r="Q41" s="27"/>
      <c r="R41" s="27"/>
      <c r="S41" s="27"/>
      <c r="T41" s="27"/>
    </row>
    <row r="42" spans="1:20" s="28" customFormat="1" x14ac:dyDescent="0.3">
      <c r="A42" s="27"/>
      <c r="C42" s="27"/>
      <c r="D42" s="27"/>
      <c r="E42" s="27"/>
      <c r="F42" s="27"/>
      <c r="G42" s="27"/>
      <c r="H42" s="27"/>
      <c r="Q42" s="27"/>
      <c r="R42" s="27"/>
      <c r="S42" s="27"/>
      <c r="T42" s="27"/>
    </row>
    <row r="43" spans="1:20" s="28" customFormat="1" x14ac:dyDescent="0.3">
      <c r="C43" s="27"/>
      <c r="D43" s="27"/>
      <c r="E43" s="27"/>
      <c r="F43" s="27"/>
      <c r="G43" s="27"/>
      <c r="H43" s="27"/>
      <c r="Q43" s="27"/>
      <c r="R43" s="27"/>
      <c r="S43" s="27"/>
      <c r="T43" s="27"/>
    </row>
    <row r="44" spans="1:20" s="28" customFormat="1" x14ac:dyDescent="0.3">
      <c r="C44" s="27"/>
      <c r="D44" s="27"/>
      <c r="E44" s="27"/>
      <c r="F44" s="27"/>
      <c r="G44" s="27"/>
      <c r="H44" s="27"/>
      <c r="Q44" s="27"/>
      <c r="R44" s="27"/>
      <c r="S44" s="27"/>
      <c r="T44" s="27"/>
    </row>
    <row r="45" spans="1:20" s="28" customFormat="1" x14ac:dyDescent="0.3">
      <c r="C45" s="27"/>
      <c r="D45" s="27"/>
      <c r="E45" s="27"/>
      <c r="F45" s="27"/>
      <c r="G45" s="27"/>
      <c r="H45" s="27"/>
      <c r="Q45" s="27"/>
      <c r="R45" s="27"/>
      <c r="S45" s="27"/>
      <c r="T45" s="27"/>
    </row>
    <row r="46" spans="1:20" s="28" customFormat="1" x14ac:dyDescent="0.3">
      <c r="C46" s="27"/>
      <c r="D46" s="27"/>
      <c r="E46" s="27"/>
      <c r="F46" s="27"/>
      <c r="G46" s="27"/>
      <c r="H46" s="27"/>
      <c r="Q46" s="27"/>
      <c r="R46" s="27"/>
      <c r="S46" s="27"/>
      <c r="T46" s="27"/>
    </row>
    <row r="47" spans="1:20" s="28" customFormat="1" x14ac:dyDescent="0.3">
      <c r="C47" s="27"/>
      <c r="D47" s="27"/>
      <c r="E47" s="27"/>
      <c r="F47" s="27"/>
      <c r="G47" s="27"/>
      <c r="H47" s="27"/>
      <c r="Q47" s="27"/>
      <c r="R47" s="27"/>
      <c r="S47" s="27"/>
      <c r="T47" s="27"/>
    </row>
    <row r="48" spans="1:20" s="28" customFormat="1" x14ac:dyDescent="0.3">
      <c r="B48" s="27"/>
      <c r="C48" s="27"/>
      <c r="D48" s="27"/>
      <c r="E48" s="27"/>
      <c r="F48" s="27"/>
      <c r="G48" s="27"/>
      <c r="H48" s="27"/>
      <c r="Q48" s="27"/>
      <c r="R48" s="27"/>
      <c r="S48" s="27"/>
      <c r="T48" s="27"/>
    </row>
    <row r="49" spans="1:20" s="28" customFormat="1" x14ac:dyDescent="0.3">
      <c r="A49" s="27"/>
      <c r="D49" s="27"/>
      <c r="E49" s="27"/>
      <c r="F49" s="27"/>
      <c r="G49" s="27"/>
      <c r="H49" s="27"/>
      <c r="Q49" s="27"/>
      <c r="R49" s="27"/>
      <c r="S49" s="27"/>
      <c r="T49" s="27"/>
    </row>
    <row r="50" spans="1:20" s="28" customFormat="1" x14ac:dyDescent="0.3">
      <c r="A50" s="27"/>
      <c r="D50" s="27"/>
      <c r="E50" s="27"/>
      <c r="F50" s="27"/>
      <c r="G50" s="27"/>
      <c r="H50" s="27"/>
      <c r="Q50" s="27"/>
      <c r="R50" s="27"/>
      <c r="S50" s="27"/>
      <c r="T50" s="27"/>
    </row>
    <row r="51" spans="1:20" s="28" customFormat="1" x14ac:dyDescent="0.3">
      <c r="A51" s="27"/>
      <c r="D51" s="27"/>
      <c r="E51" s="27"/>
      <c r="F51" s="27"/>
      <c r="G51" s="27"/>
      <c r="H51" s="27"/>
      <c r="Q51" s="27"/>
      <c r="R51" s="27"/>
      <c r="S51" s="27"/>
      <c r="T51" s="27"/>
    </row>
    <row r="52" spans="1:20" s="28" customFormat="1" x14ac:dyDescent="0.3">
      <c r="A52" s="27"/>
      <c r="D52" s="27"/>
      <c r="E52" s="27"/>
      <c r="F52" s="27"/>
      <c r="G52" s="27"/>
      <c r="H52" s="27"/>
      <c r="Q52" s="27"/>
      <c r="R52" s="27"/>
      <c r="S52" s="27"/>
      <c r="T52" s="27"/>
    </row>
    <row r="53" spans="1:20" s="28" customFormat="1" x14ac:dyDescent="0.3">
      <c r="A53" s="27"/>
      <c r="D53" s="27"/>
      <c r="E53" s="27"/>
      <c r="F53" s="27"/>
      <c r="G53" s="27"/>
      <c r="Q53" s="27"/>
      <c r="R53" s="27"/>
      <c r="S53" s="27"/>
      <c r="T53" s="27"/>
    </row>
    <row r="54" spans="1:20" s="28" customFormat="1" x14ac:dyDescent="0.3">
      <c r="A54" s="27"/>
      <c r="D54" s="27"/>
      <c r="E54" s="27"/>
      <c r="F54" s="27"/>
      <c r="G54" s="27"/>
      <c r="Q54" s="27"/>
      <c r="R54" s="27"/>
      <c r="S54" s="27"/>
      <c r="T54" s="27"/>
    </row>
    <row r="55" spans="1:20" s="28" customFormat="1" x14ac:dyDescent="0.3">
      <c r="A55" s="27"/>
      <c r="B55" s="27"/>
      <c r="C55" s="27"/>
      <c r="D55" s="27"/>
      <c r="E55" s="27"/>
      <c r="F55" s="27"/>
      <c r="Q55" s="27"/>
      <c r="R55" s="27"/>
      <c r="S55" s="27"/>
      <c r="T55" s="27"/>
    </row>
    <row r="56" spans="1:20" s="28" customFormat="1" x14ac:dyDescent="0.3">
      <c r="A56" s="27"/>
      <c r="B56" s="27"/>
      <c r="C56" s="27"/>
      <c r="D56" s="27"/>
      <c r="E56" s="27"/>
      <c r="F56" s="27"/>
    </row>
    <row r="57" spans="1:20" s="28" customFormat="1" x14ac:dyDescent="0.3">
      <c r="A57" s="27"/>
      <c r="B57" s="27"/>
      <c r="C57" s="27"/>
      <c r="D57" s="27"/>
      <c r="E57" s="27"/>
      <c r="F57" s="27"/>
    </row>
    <row r="58" spans="1:20" s="28" customFormat="1" x14ac:dyDescent="0.3">
      <c r="A58" s="27"/>
      <c r="B58" s="27"/>
      <c r="C58" s="27"/>
      <c r="D58" s="27"/>
      <c r="E58" s="27"/>
      <c r="F58" s="27"/>
    </row>
    <row r="59" spans="1:20" s="28" customFormat="1" x14ac:dyDescent="0.3">
      <c r="A59" s="27"/>
      <c r="B59" s="27"/>
      <c r="C59" s="27"/>
      <c r="D59" s="27"/>
      <c r="E59" s="27"/>
      <c r="F59" s="27"/>
    </row>
    <row r="60" spans="1:20" s="28" customFormat="1" x14ac:dyDescent="0.3">
      <c r="A60" s="27"/>
      <c r="B60" s="27"/>
      <c r="C60" s="27"/>
      <c r="D60" s="27"/>
      <c r="F60" s="27"/>
    </row>
    <row r="61" spans="1:20" s="28" customFormat="1" x14ac:dyDescent="0.25">
      <c r="A61" s="2"/>
      <c r="B61" s="1"/>
      <c r="C61" s="1"/>
      <c r="D61" s="1"/>
      <c r="E61" s="2"/>
      <c r="F61" s="1"/>
      <c r="G61" s="2"/>
    </row>
    <row r="62" spans="1:20" x14ac:dyDescent="0.25">
      <c r="B62" s="1"/>
      <c r="C62" s="1"/>
      <c r="D62" s="1"/>
      <c r="F62" s="1"/>
    </row>
    <row r="63" spans="1:20" x14ac:dyDescent="0.25">
      <c r="B63" s="1"/>
      <c r="C63" s="1"/>
      <c r="D63" s="1"/>
      <c r="F63" s="1"/>
    </row>
    <row r="64" spans="1:20" x14ac:dyDescent="0.25">
      <c r="B64" s="1"/>
      <c r="C64" s="1"/>
      <c r="D64" s="1"/>
      <c r="F64" s="1"/>
    </row>
    <row r="65" spans="2:6" x14ac:dyDescent="0.25">
      <c r="B65" s="1"/>
      <c r="C65" s="1"/>
      <c r="D65" s="1"/>
      <c r="F65" s="1"/>
    </row>
    <row r="66" spans="2:6" x14ac:dyDescent="0.25">
      <c r="B66" s="1"/>
      <c r="C66" s="1"/>
      <c r="D66" s="1"/>
      <c r="F66" s="1"/>
    </row>
  </sheetData>
  <sheetProtection formatCells="0" formatColumns="0"/>
  <mergeCells count="18">
    <mergeCell ref="I40:J40"/>
    <mergeCell ref="B28:D28"/>
    <mergeCell ref="A31:C32"/>
    <mergeCell ref="D31:F32"/>
    <mergeCell ref="B26:D26"/>
    <mergeCell ref="B27:D27"/>
    <mergeCell ref="H2:O2"/>
    <mergeCell ref="A2:F2"/>
    <mergeCell ref="B19:D19"/>
    <mergeCell ref="B20:D20"/>
    <mergeCell ref="B21:D21"/>
    <mergeCell ref="B16:D16"/>
    <mergeCell ref="E19:F22"/>
    <mergeCell ref="B23:D23"/>
    <mergeCell ref="B22:D22"/>
    <mergeCell ref="E16:F16"/>
    <mergeCell ref="A25:D25"/>
    <mergeCell ref="I9:N9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135B-D423-4578-AA5D-E9086D998056}">
  <dimension ref="A7:G27"/>
  <sheetViews>
    <sheetView showGridLines="0" topLeftCell="A13" workbookViewId="0">
      <selection activeCell="L32" sqref="L32"/>
    </sheetView>
  </sheetViews>
  <sheetFormatPr baseColWidth="10" defaultRowHeight="14.4" x14ac:dyDescent="0.3"/>
  <cols>
    <col min="1" max="1" width="56.5546875" bestFit="1" customWidth="1"/>
    <col min="2" max="2" width="13" customWidth="1"/>
    <col min="6" max="6" width="79.5546875" bestFit="1" customWidth="1"/>
    <col min="7" max="7" width="17" customWidth="1"/>
  </cols>
  <sheetData>
    <row r="7" spans="1:4" ht="27" customHeight="1" x14ac:dyDescent="0.3">
      <c r="A7" s="76"/>
      <c r="B7" s="78" t="s">
        <v>146</v>
      </c>
      <c r="C7" s="79" t="s">
        <v>147</v>
      </c>
      <c r="D7" s="79" t="s">
        <v>148</v>
      </c>
    </row>
    <row r="8" spans="1:4" ht="34.950000000000003" customHeight="1" x14ac:dyDescent="0.3">
      <c r="A8" s="78" t="s">
        <v>140</v>
      </c>
      <c r="B8" s="76">
        <v>1</v>
      </c>
      <c r="C8" s="77">
        <v>3000</v>
      </c>
      <c r="D8" s="77">
        <f>B8*C8</f>
        <v>3000</v>
      </c>
    </row>
    <row r="9" spans="1:4" ht="34.950000000000003" customHeight="1" x14ac:dyDescent="0.3">
      <c r="A9" s="78" t="s">
        <v>141</v>
      </c>
      <c r="B9" s="76">
        <v>1</v>
      </c>
      <c r="C9" s="77">
        <v>800</v>
      </c>
      <c r="D9" s="77">
        <f t="shared" ref="D9:D16" si="0">B9*C9</f>
        <v>800</v>
      </c>
    </row>
    <row r="10" spans="1:4" ht="34.950000000000003" customHeight="1" x14ac:dyDescent="0.3">
      <c r="A10" s="78" t="s">
        <v>142</v>
      </c>
      <c r="B10" s="76">
        <v>20</v>
      </c>
      <c r="C10" s="77">
        <v>200</v>
      </c>
      <c r="D10" s="77">
        <f t="shared" si="0"/>
        <v>4000</v>
      </c>
    </row>
    <row r="11" spans="1:4" ht="34.950000000000003" customHeight="1" x14ac:dyDescent="0.3">
      <c r="A11" s="78" t="s">
        <v>149</v>
      </c>
      <c r="B11" s="76">
        <v>1</v>
      </c>
      <c r="C11" s="77">
        <v>2200</v>
      </c>
      <c r="D11" s="77">
        <f t="shared" si="0"/>
        <v>2200</v>
      </c>
    </row>
    <row r="12" spans="1:4" ht="34.950000000000003" customHeight="1" x14ac:dyDescent="0.3">
      <c r="A12" s="78" t="s">
        <v>150</v>
      </c>
      <c r="B12" s="76">
        <v>1</v>
      </c>
      <c r="C12" s="77">
        <v>2500</v>
      </c>
      <c r="D12" s="77">
        <f t="shared" si="0"/>
        <v>2500</v>
      </c>
    </row>
    <row r="13" spans="1:4" ht="34.950000000000003" customHeight="1" x14ac:dyDescent="0.3">
      <c r="A13" s="78" t="s">
        <v>143</v>
      </c>
      <c r="B13" s="76">
        <v>1</v>
      </c>
      <c r="C13" s="77">
        <v>1200</v>
      </c>
      <c r="D13" s="77">
        <f t="shared" si="0"/>
        <v>1200</v>
      </c>
    </row>
    <row r="14" spans="1:4" ht="34.950000000000003" customHeight="1" x14ac:dyDescent="0.3">
      <c r="A14" s="78" t="s">
        <v>151</v>
      </c>
      <c r="B14" s="76">
        <v>1</v>
      </c>
      <c r="C14" s="77">
        <v>500</v>
      </c>
      <c r="D14" s="77">
        <f t="shared" si="0"/>
        <v>500</v>
      </c>
    </row>
    <row r="15" spans="1:4" ht="34.950000000000003" customHeight="1" x14ac:dyDescent="0.3">
      <c r="A15" s="78" t="s">
        <v>144</v>
      </c>
      <c r="B15" s="76">
        <v>1</v>
      </c>
      <c r="C15" s="77">
        <v>175</v>
      </c>
      <c r="D15" s="77">
        <f t="shared" si="0"/>
        <v>175</v>
      </c>
    </row>
    <row r="16" spans="1:4" ht="34.950000000000003" customHeight="1" x14ac:dyDescent="0.3">
      <c r="A16" s="78" t="s">
        <v>145</v>
      </c>
      <c r="B16" s="76">
        <v>1</v>
      </c>
      <c r="C16" s="77">
        <v>500</v>
      </c>
      <c r="D16" s="77">
        <f t="shared" si="0"/>
        <v>500</v>
      </c>
    </row>
    <row r="18" spans="3:7" x14ac:dyDescent="0.3">
      <c r="D18" s="80">
        <f>SUM(D8:D16)</f>
        <v>14875</v>
      </c>
    </row>
    <row r="20" spans="3:7" ht="31.5" customHeight="1" x14ac:dyDescent="0.3">
      <c r="F20" s="83" t="s">
        <v>128</v>
      </c>
      <c r="G20" s="91">
        <f>RÉSULTATS!F14</f>
        <v>67483.326000000001</v>
      </c>
    </row>
    <row r="21" spans="3:7" ht="31.5" customHeight="1" x14ac:dyDescent="0.3">
      <c r="F21" s="84" t="s">
        <v>117</v>
      </c>
      <c r="G21" s="92">
        <f>RÉSULTATS!B16</f>
        <v>8000</v>
      </c>
    </row>
    <row r="22" spans="3:7" ht="31.5" customHeight="1" x14ac:dyDescent="0.3">
      <c r="C22" s="80"/>
      <c r="F22" s="85" t="s">
        <v>155</v>
      </c>
      <c r="G22" s="93">
        <f>SUM(RÉSULTATS!B19:D23)</f>
        <v>4400</v>
      </c>
    </row>
    <row r="23" spans="3:7" ht="31.5" customHeight="1" x14ac:dyDescent="0.3">
      <c r="F23" s="86" t="s">
        <v>118</v>
      </c>
      <c r="G23" s="94">
        <f>SUM(RÉSULTATS!B26:D28)</f>
        <v>4968</v>
      </c>
    </row>
    <row r="24" spans="3:7" ht="31.5" customHeight="1" x14ac:dyDescent="0.3">
      <c r="F24" s="88" t="s">
        <v>161</v>
      </c>
      <c r="G24" s="95" t="e">
        <f>RÉSULTATS!#REF!</f>
        <v>#REF!</v>
      </c>
    </row>
    <row r="25" spans="3:7" ht="31.5" customHeight="1" x14ac:dyDescent="0.3">
      <c r="F25" s="87" t="s">
        <v>83</v>
      </c>
      <c r="G25" s="96" t="e">
        <f>RÉSULTATS!#REF!</f>
        <v>#REF!</v>
      </c>
    </row>
    <row r="26" spans="3:7" ht="31.5" customHeight="1" x14ac:dyDescent="0.3">
      <c r="F26" s="89" t="s">
        <v>3</v>
      </c>
      <c r="G26" s="90" t="e">
        <f>SUM(G20:G25)</f>
        <v>#REF!</v>
      </c>
    </row>
    <row r="27" spans="3:7" x14ac:dyDescent="0.3">
      <c r="F27" s="81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2F68-8C44-4BCD-9563-9E60ECA5D05C}">
  <dimension ref="B1:C46"/>
  <sheetViews>
    <sheetView workbookViewId="0">
      <selection activeCell="F10" sqref="F10"/>
    </sheetView>
  </sheetViews>
  <sheetFormatPr baseColWidth="10" defaultRowHeight="14.4" x14ac:dyDescent="0.3"/>
  <cols>
    <col min="2" max="2" width="41.109375" style="2" customWidth="1"/>
    <col min="3" max="3" width="24.44140625" style="2" customWidth="1"/>
  </cols>
  <sheetData>
    <row r="1" spans="2:3" x14ac:dyDescent="0.3">
      <c r="B1" s="1"/>
      <c r="C1" s="1"/>
    </row>
    <row r="2" spans="2:3" x14ac:dyDescent="0.3">
      <c r="B2" s="1"/>
      <c r="C2" s="1"/>
    </row>
    <row r="3" spans="2:3" ht="22.8" x14ac:dyDescent="0.4">
      <c r="B3" s="177" t="s">
        <v>65</v>
      </c>
      <c r="C3" s="177"/>
    </row>
    <row r="4" spans="2:3" x14ac:dyDescent="0.3">
      <c r="B4" s="4" t="s">
        <v>4</v>
      </c>
      <c r="C4" s="6">
        <v>0.2</v>
      </c>
    </row>
    <row r="5" spans="2:3" x14ac:dyDescent="0.3">
      <c r="B5" s="4" t="s">
        <v>5</v>
      </c>
      <c r="C5" s="6">
        <v>0.26</v>
      </c>
    </row>
    <row r="6" spans="2:3" x14ac:dyDescent="0.3">
      <c r="B6" s="4" t="s">
        <v>6</v>
      </c>
      <c r="C6" s="6">
        <v>0.3</v>
      </c>
    </row>
    <row r="7" spans="2:3" x14ac:dyDescent="0.3">
      <c r="B7" s="4" t="s">
        <v>7</v>
      </c>
      <c r="C7" s="6">
        <v>0.35</v>
      </c>
    </row>
    <row r="8" spans="2:3" x14ac:dyDescent="0.3">
      <c r="B8" s="4" t="s">
        <v>8</v>
      </c>
      <c r="C8" s="6">
        <v>0.4</v>
      </c>
    </row>
    <row r="9" spans="2:3" x14ac:dyDescent="0.3">
      <c r="B9" s="8"/>
      <c r="C9" s="9"/>
    </row>
    <row r="15" spans="2:3" x14ac:dyDescent="0.3">
      <c r="B15" s="1"/>
      <c r="C15" s="1"/>
    </row>
    <row r="16" spans="2:3" x14ac:dyDescent="0.3">
      <c r="B16" s="1"/>
      <c r="C16" s="1"/>
    </row>
    <row r="17" spans="2:3" x14ac:dyDescent="0.3">
      <c r="B17" s="1"/>
      <c r="C17" s="1"/>
    </row>
    <row r="18" spans="2:3" ht="22.8" x14ac:dyDescent="0.4">
      <c r="B18" s="177" t="s">
        <v>66</v>
      </c>
      <c r="C18" s="177"/>
    </row>
    <row r="19" spans="2:3" x14ac:dyDescent="0.3">
      <c r="B19" s="4" t="s">
        <v>9</v>
      </c>
      <c r="C19" s="6">
        <v>0.03</v>
      </c>
    </row>
    <row r="20" spans="2:3" x14ac:dyDescent="0.3">
      <c r="B20" s="4" t="s">
        <v>10</v>
      </c>
      <c r="C20" s="6">
        <v>0.09</v>
      </c>
    </row>
    <row r="21" spans="2:3" x14ac:dyDescent="0.3">
      <c r="B21" s="4" t="s">
        <v>11</v>
      </c>
      <c r="C21" s="6">
        <v>0.12</v>
      </c>
    </row>
    <row r="22" spans="2:3" x14ac:dyDescent="0.3">
      <c r="B22" s="4" t="s">
        <v>12</v>
      </c>
      <c r="C22" s="6">
        <v>0.15</v>
      </c>
    </row>
    <row r="23" spans="2:3" x14ac:dyDescent="0.3">
      <c r="B23" s="4" t="s">
        <v>81</v>
      </c>
      <c r="C23" s="6">
        <v>0.2</v>
      </c>
    </row>
    <row r="24" spans="2:3" x14ac:dyDescent="0.3">
      <c r="B24" s="1"/>
      <c r="C24" s="1"/>
    </row>
    <row r="25" spans="2:3" x14ac:dyDescent="0.3">
      <c r="B25" s="4" t="s">
        <v>67</v>
      </c>
      <c r="C25" s="6">
        <f>C19*2/3</f>
        <v>0.02</v>
      </c>
    </row>
    <row r="26" spans="2:3" x14ac:dyDescent="0.3">
      <c r="B26" s="4" t="s">
        <v>68</v>
      </c>
      <c r="C26" s="6">
        <v>0.04</v>
      </c>
    </row>
    <row r="27" spans="2:3" x14ac:dyDescent="0.3">
      <c r="B27" s="4" t="s">
        <v>69</v>
      </c>
      <c r="C27" s="6">
        <v>0.06</v>
      </c>
    </row>
    <row r="28" spans="2:3" x14ac:dyDescent="0.3">
      <c r="B28" s="4" t="s">
        <v>70</v>
      </c>
      <c r="C28" s="6">
        <v>0.09</v>
      </c>
    </row>
    <row r="29" spans="2:3" x14ac:dyDescent="0.3">
      <c r="B29" s="4" t="s">
        <v>71</v>
      </c>
      <c r="C29" s="6">
        <v>0.11</v>
      </c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ht="22.8" x14ac:dyDescent="0.4">
      <c r="B39" s="177" t="s">
        <v>79</v>
      </c>
      <c r="C39" s="177"/>
    </row>
    <row r="40" spans="2:3" x14ac:dyDescent="0.3">
      <c r="B40" s="25" t="s">
        <v>72</v>
      </c>
      <c r="C40" s="26">
        <v>0.05</v>
      </c>
    </row>
    <row r="41" spans="2:3" x14ac:dyDescent="0.3">
      <c r="B41" s="25" t="s">
        <v>73</v>
      </c>
      <c r="C41" s="26">
        <v>0.05</v>
      </c>
    </row>
    <row r="42" spans="2:3" x14ac:dyDescent="0.3">
      <c r="B42" s="25" t="s">
        <v>74</v>
      </c>
      <c r="C42" s="26">
        <v>0.05</v>
      </c>
    </row>
    <row r="43" spans="2:3" x14ac:dyDescent="0.3">
      <c r="B43" s="25" t="s">
        <v>75</v>
      </c>
      <c r="C43" s="26">
        <v>0.05</v>
      </c>
    </row>
    <row r="44" spans="2:3" x14ac:dyDescent="0.3">
      <c r="B44" s="25" t="s">
        <v>76</v>
      </c>
      <c r="C44" s="26">
        <v>0.05</v>
      </c>
    </row>
    <row r="45" spans="2:3" x14ac:dyDescent="0.3">
      <c r="B45" s="25" t="s">
        <v>77</v>
      </c>
      <c r="C45" s="26">
        <v>0.05</v>
      </c>
    </row>
    <row r="46" spans="2:3" x14ac:dyDescent="0.3">
      <c r="B46" s="25" t="s">
        <v>78</v>
      </c>
      <c r="C46" s="26">
        <v>0.05</v>
      </c>
    </row>
  </sheetData>
  <mergeCells count="3">
    <mergeCell ref="B18:C18"/>
    <mergeCell ref="B3:C3"/>
    <mergeCell ref="B39:C39"/>
  </mergeCells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A354-D2F8-4141-8C9E-3AE87A423355}">
  <dimension ref="A1:C29"/>
  <sheetViews>
    <sheetView workbookViewId="0">
      <selection activeCell="E22" sqref="E22"/>
    </sheetView>
  </sheetViews>
  <sheetFormatPr baseColWidth="10" defaultRowHeight="14.4" x14ac:dyDescent="0.3"/>
  <cols>
    <col min="1" max="1" width="11.5546875" bestFit="1" customWidth="1"/>
    <col min="2" max="2" width="28.109375" customWidth="1"/>
    <col min="3" max="3" width="17.44140625" bestFit="1" customWidth="1"/>
  </cols>
  <sheetData>
    <row r="1" spans="1:3" x14ac:dyDescent="0.3">
      <c r="A1" s="17"/>
      <c r="B1" s="17"/>
      <c r="C1" s="18" t="s">
        <v>27</v>
      </c>
    </row>
    <row r="2" spans="1:3" ht="26.4" x14ac:dyDescent="0.3">
      <c r="A2" s="19" t="s">
        <v>28</v>
      </c>
      <c r="B2" s="19" t="s">
        <v>29</v>
      </c>
      <c r="C2" s="19" t="s">
        <v>30</v>
      </c>
    </row>
    <row r="3" spans="1:3" x14ac:dyDescent="0.3">
      <c r="A3" s="20">
        <v>1</v>
      </c>
      <c r="B3" s="21" t="s">
        <v>31</v>
      </c>
      <c r="C3" s="22">
        <v>891.67</v>
      </c>
    </row>
    <row r="4" spans="1:3" x14ac:dyDescent="0.3">
      <c r="A4" s="20">
        <v>2</v>
      </c>
      <c r="B4" s="21" t="s">
        <v>32</v>
      </c>
      <c r="C4" s="22">
        <v>1041.67</v>
      </c>
    </row>
    <row r="5" spans="1:3" x14ac:dyDescent="0.3">
      <c r="A5" s="20">
        <v>3</v>
      </c>
      <c r="B5" s="21" t="s">
        <v>33</v>
      </c>
      <c r="C5" s="22">
        <v>1183.33</v>
      </c>
    </row>
    <row r="6" spans="1:3" x14ac:dyDescent="0.3">
      <c r="A6" s="20">
        <v>4</v>
      </c>
      <c r="B6" s="21" t="s">
        <v>34</v>
      </c>
      <c r="C6" s="22">
        <v>1341.67</v>
      </c>
    </row>
    <row r="7" spans="1:3" x14ac:dyDescent="0.3">
      <c r="A7" s="20">
        <v>5</v>
      </c>
      <c r="B7" s="21" t="s">
        <v>35</v>
      </c>
      <c r="C7" s="22">
        <v>1341.67</v>
      </c>
    </row>
    <row r="8" spans="1:3" x14ac:dyDescent="0.3">
      <c r="A8" s="20">
        <v>6</v>
      </c>
      <c r="B8" s="21" t="s">
        <v>36</v>
      </c>
      <c r="C8" s="22">
        <v>1441.6666666666667</v>
      </c>
    </row>
    <row r="9" spans="1:3" x14ac:dyDescent="0.3">
      <c r="A9" s="20">
        <v>7</v>
      </c>
      <c r="B9" s="21" t="s">
        <v>37</v>
      </c>
      <c r="C9" s="22">
        <v>2533.3333333333335</v>
      </c>
    </row>
    <row r="10" spans="1:3" x14ac:dyDescent="0.3">
      <c r="A10" s="20">
        <v>8</v>
      </c>
      <c r="B10" s="21" t="s">
        <v>38</v>
      </c>
      <c r="C10" s="22">
        <v>4491.6630000000005</v>
      </c>
    </row>
    <row r="11" spans="1:3" x14ac:dyDescent="0.3">
      <c r="A11" s="20">
        <v>9</v>
      </c>
      <c r="B11" s="21" t="s">
        <v>39</v>
      </c>
      <c r="C11" s="22">
        <v>4800</v>
      </c>
    </row>
    <row r="12" spans="1:3" x14ac:dyDescent="0.3">
      <c r="A12" s="20">
        <v>10</v>
      </c>
      <c r="B12" s="21" t="s">
        <v>40</v>
      </c>
      <c r="C12" s="22">
        <v>2774.9969999999998</v>
      </c>
    </row>
    <row r="13" spans="1:3" x14ac:dyDescent="0.3">
      <c r="A13" s="20">
        <v>11</v>
      </c>
      <c r="B13" s="21" t="s">
        <v>41</v>
      </c>
      <c r="C13" s="22">
        <v>4083.33</v>
      </c>
    </row>
    <row r="14" spans="1:3" x14ac:dyDescent="0.3">
      <c r="A14" s="20">
        <v>12</v>
      </c>
      <c r="B14" s="21" t="s">
        <v>42</v>
      </c>
      <c r="C14" s="22">
        <v>6578.645833333333</v>
      </c>
    </row>
    <row r="15" spans="1:3" x14ac:dyDescent="0.3">
      <c r="A15" s="20">
        <v>13</v>
      </c>
      <c r="B15" s="21" t="s">
        <v>43</v>
      </c>
      <c r="C15" s="22">
        <v>9750</v>
      </c>
    </row>
    <row r="16" spans="1:3" x14ac:dyDescent="0.3">
      <c r="A16" s="20">
        <v>14</v>
      </c>
      <c r="B16" s="21" t="s">
        <v>44</v>
      </c>
      <c r="C16" s="22">
        <v>13550</v>
      </c>
    </row>
    <row r="17" spans="1:3" x14ac:dyDescent="0.3">
      <c r="A17" s="20">
        <v>16</v>
      </c>
      <c r="B17" s="21" t="s">
        <v>46</v>
      </c>
      <c r="C17" s="22">
        <v>58500</v>
      </c>
    </row>
    <row r="18" spans="1:3" x14ac:dyDescent="0.3">
      <c r="A18" s="20">
        <v>17</v>
      </c>
      <c r="B18" s="21" t="s">
        <v>47</v>
      </c>
      <c r="C18" s="22">
        <v>64000</v>
      </c>
    </row>
    <row r="19" spans="1:3" x14ac:dyDescent="0.3">
      <c r="A19" s="20">
        <v>18</v>
      </c>
      <c r="B19" s="21" t="s">
        <v>48</v>
      </c>
      <c r="C19" s="22">
        <v>80000</v>
      </c>
    </row>
    <row r="20" spans="1:3" x14ac:dyDescent="0.3">
      <c r="A20" s="20">
        <v>19</v>
      </c>
      <c r="B20" s="21" t="s">
        <v>49</v>
      </c>
      <c r="C20" s="22">
        <v>90000</v>
      </c>
    </row>
    <row r="21" spans="1:3" x14ac:dyDescent="0.3">
      <c r="A21" s="20">
        <v>20</v>
      </c>
      <c r="B21" s="21" t="s">
        <v>50</v>
      </c>
      <c r="C21" s="22">
        <v>27916.666666666668</v>
      </c>
    </row>
    <row r="22" spans="1:3" ht="26.4" x14ac:dyDescent="0.3">
      <c r="A22" s="20">
        <v>21</v>
      </c>
      <c r="B22" s="21" t="s">
        <v>51</v>
      </c>
      <c r="C22" s="22">
        <v>51250</v>
      </c>
    </row>
    <row r="23" spans="1:3" x14ac:dyDescent="0.3">
      <c r="A23" s="20">
        <v>47</v>
      </c>
      <c r="B23" s="21" t="s">
        <v>52</v>
      </c>
      <c r="C23" s="22">
        <v>60000</v>
      </c>
    </row>
    <row r="24" spans="1:3" x14ac:dyDescent="0.3">
      <c r="A24" s="20">
        <v>46</v>
      </c>
      <c r="B24" s="21" t="s">
        <v>45</v>
      </c>
      <c r="C24" s="22">
        <v>25500</v>
      </c>
    </row>
    <row r="25" spans="1:3" x14ac:dyDescent="0.3">
      <c r="A25" s="20">
        <v>46</v>
      </c>
      <c r="B25" s="21" t="s">
        <v>172</v>
      </c>
      <c r="C25" s="22">
        <v>31625</v>
      </c>
    </row>
    <row r="26" spans="1:3" x14ac:dyDescent="0.3">
      <c r="A26" s="20">
        <v>46</v>
      </c>
      <c r="B26" s="21" t="s">
        <v>173</v>
      </c>
      <c r="C26" s="22">
        <v>37750</v>
      </c>
    </row>
    <row r="27" spans="1:3" x14ac:dyDescent="0.3">
      <c r="A27" s="20">
        <v>46</v>
      </c>
      <c r="B27" s="21" t="s">
        <v>171</v>
      </c>
      <c r="C27" s="22">
        <v>43875</v>
      </c>
    </row>
    <row r="28" spans="1:3" x14ac:dyDescent="0.3">
      <c r="A28" s="20">
        <v>46</v>
      </c>
      <c r="B28" s="21" t="s">
        <v>174</v>
      </c>
      <c r="C28" s="22">
        <v>50000</v>
      </c>
    </row>
    <row r="29" spans="1:3" x14ac:dyDescent="0.3">
      <c r="A29" s="20">
        <v>46</v>
      </c>
      <c r="B29" s="21" t="s">
        <v>52</v>
      </c>
      <c r="C29" s="22">
        <v>56000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 CLIENTS</vt:lpstr>
      <vt:lpstr>RÉSULTATS</vt:lpstr>
      <vt:lpstr>DETAIL PRESTATIONS IRVE</vt:lpstr>
      <vt:lpstr>DONNEES NATIONALES</vt:lpstr>
      <vt:lpstr>Liste de prix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user</cp:lastModifiedBy>
  <dcterms:created xsi:type="dcterms:W3CDTF">2022-10-17T06:44:32Z</dcterms:created>
  <dcterms:modified xsi:type="dcterms:W3CDTF">2023-06-29T10:22:24Z</dcterms:modified>
</cp:coreProperties>
</file>