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lonnecg\Desktop\GitHub\ThreeME\data\calibrations\"/>
    </mc:Choice>
  </mc:AlternateContent>
  <bookViews>
    <workbookView xWindow="9585" yWindow="-15" windowWidth="9630" windowHeight="12600" activeTab="5"/>
  </bookViews>
  <sheets>
    <sheet name="Sankey 2035" sheetId="15" r:id="rId1"/>
    <sheet name="Cibles THREEME" sheetId="14" r:id="rId2"/>
    <sheet name="FLUX 2015" sheetId="29" r:id="rId3"/>
    <sheet name="FLUX 2020" sheetId="28" r:id="rId4"/>
    <sheet name="FLUX 2025" sheetId="27" r:id="rId5"/>
    <sheet name="FLUX 2030" sheetId="25" r:id="rId6"/>
    <sheet name="FLUX 2035" sheetId="26" r:id="rId7"/>
    <sheet name="bilan complet" sheetId="16" r:id="rId8"/>
    <sheet name="électricité" sheetId="17" r:id="rId9"/>
    <sheet name="scenario demande" sheetId="18" r:id="rId10"/>
    <sheet name="Réseaux de chaleur" sheetId="23" r:id="rId11"/>
    <sheet name="indicateurs ams1" sheetId="24" r:id="rId12"/>
    <sheet name="indicateurs ams2" sheetId="30" r:id="rId13"/>
    <sheet name="Feuil1" sheetId="31" r:id="rId14"/>
  </sheets>
  <externalReferences>
    <externalReference r:id="rId15"/>
    <externalReference r:id="rId16"/>
  </externalReferences>
  <calcPr calcId="162913"/>
</workbook>
</file>

<file path=xl/calcChain.xml><?xml version="1.0" encoding="utf-8"?>
<calcChain xmlns="http://schemas.openxmlformats.org/spreadsheetml/2006/main">
  <c r="U19" i="14" l="1"/>
  <c r="T19" i="14"/>
  <c r="S19" i="14"/>
  <c r="R19" i="14"/>
  <c r="Q19" i="14"/>
  <c r="AN12" i="14" l="1"/>
  <c r="AV12" i="14"/>
  <c r="AU18" i="14"/>
  <c r="AU13" i="14"/>
  <c r="AU12" i="14"/>
  <c r="AU11" i="14"/>
  <c r="AU10" i="14"/>
  <c r="AM10" i="14" s="1"/>
  <c r="AU9" i="14"/>
  <c r="AU8" i="14"/>
  <c r="AU6" i="14"/>
  <c r="AM6" i="14" s="1"/>
  <c r="AM15" i="14"/>
  <c r="AN15" i="14"/>
  <c r="AO15" i="14"/>
  <c r="AP15" i="14"/>
  <c r="AM16" i="14"/>
  <c r="AN16" i="14"/>
  <c r="AO16" i="14"/>
  <c r="AP16" i="14"/>
  <c r="AM17" i="14"/>
  <c r="AN17" i="14"/>
  <c r="AO17" i="14"/>
  <c r="AP17" i="14"/>
  <c r="AM18" i="14"/>
  <c r="AN18" i="14"/>
  <c r="AO18" i="14"/>
  <c r="AP18" i="14"/>
  <c r="AM19" i="14"/>
  <c r="AN19" i="14"/>
  <c r="AO19" i="14"/>
  <c r="AP19" i="14"/>
  <c r="AM20" i="14"/>
  <c r="AN20" i="14"/>
  <c r="AO20" i="14"/>
  <c r="AP20" i="14"/>
  <c r="AM7" i="14"/>
  <c r="AN7" i="14"/>
  <c r="AO7" i="14"/>
  <c r="AM8" i="14"/>
  <c r="AN8" i="14"/>
  <c r="AO8" i="14"/>
  <c r="AM9" i="14"/>
  <c r="AN9" i="14"/>
  <c r="AO9" i="14"/>
  <c r="AN10" i="14"/>
  <c r="AO10" i="14"/>
  <c r="AM11" i="14"/>
  <c r="AN11" i="14"/>
  <c r="AO11" i="14"/>
  <c r="AM12" i="14"/>
  <c r="AO12" i="14"/>
  <c r="AM13" i="14"/>
  <c r="AN13" i="14"/>
  <c r="AO13" i="14"/>
  <c r="AW13" i="14"/>
  <c r="AW12" i="14"/>
  <c r="AW11" i="14"/>
  <c r="AW10" i="14"/>
  <c r="AW6" i="14"/>
  <c r="AV13" i="14"/>
  <c r="AV11" i="14"/>
  <c r="AV10" i="14"/>
  <c r="AV6" i="14"/>
  <c r="AN6" i="14" s="1"/>
  <c r="AX22" i="14"/>
  <c r="AO6" i="14"/>
  <c r="AP14" i="14"/>
  <c r="AO14" i="14"/>
  <c r="AN14" i="14"/>
  <c r="AM14" i="14"/>
  <c r="AM5" i="14"/>
  <c r="AM4" i="14"/>
  <c r="AN5" i="14"/>
  <c r="AN4" i="14"/>
  <c r="AO4" i="14"/>
  <c r="AO5" i="14"/>
  <c r="AP7" i="14"/>
  <c r="AP8" i="14"/>
  <c r="AP9" i="14"/>
  <c r="AP10" i="14"/>
  <c r="AP11" i="14"/>
  <c r="AP12" i="14"/>
  <c r="AP13" i="14"/>
  <c r="AP6" i="14"/>
  <c r="AP5" i="14"/>
  <c r="AX13" i="14"/>
  <c r="AX12" i="14"/>
  <c r="AX11" i="14"/>
  <c r="AX10" i="14"/>
  <c r="AX6" i="14"/>
  <c r="AW18" i="14"/>
  <c r="AW9" i="14"/>
  <c r="AW8" i="14"/>
  <c r="AV18" i="14"/>
  <c r="AV9" i="14"/>
  <c r="AV8" i="14"/>
  <c r="AX20" i="14"/>
  <c r="AX19" i="14"/>
  <c r="AX18" i="14"/>
  <c r="AX17" i="14"/>
  <c r="AX16" i="14"/>
  <c r="AX15" i="14"/>
  <c r="AX14" i="14"/>
  <c r="AX9" i="14"/>
  <c r="AX8" i="14"/>
  <c r="AX7" i="14"/>
  <c r="AX5" i="14"/>
  <c r="AX4" i="14"/>
  <c r="AW4" i="14" s="1"/>
  <c r="AV4" i="14" s="1"/>
  <c r="AW20" i="14"/>
  <c r="AW19" i="14"/>
  <c r="AV19" i="14" s="1"/>
  <c r="AW17" i="14"/>
  <c r="AW16" i="14"/>
  <c r="AW15" i="14"/>
  <c r="AV15" i="14" s="1"/>
  <c r="AW14" i="14"/>
  <c r="AW7" i="14"/>
  <c r="AV7" i="14" s="1"/>
  <c r="AW5" i="14"/>
  <c r="AV20" i="14"/>
  <c r="AV17" i="14"/>
  <c r="AV16" i="14"/>
  <c r="AV14" i="14"/>
  <c r="AV5" i="14"/>
  <c r="L41" i="15"/>
  <c r="K16" i="15" s="1"/>
  <c r="K11" i="15"/>
  <c r="L59" i="15"/>
  <c r="L56" i="15"/>
  <c r="L54" i="15"/>
  <c r="L47" i="15"/>
  <c r="L40" i="15"/>
  <c r="L36" i="15"/>
  <c r="K10" i="15" s="1"/>
  <c r="L35" i="15"/>
  <c r="L38" i="15"/>
  <c r="K9" i="15" s="1"/>
  <c r="L37" i="15"/>
  <c r="K8" i="15"/>
  <c r="L25" i="15"/>
  <c r="L31" i="15"/>
  <c r="K6" i="15"/>
  <c r="K2" i="15"/>
  <c r="L33" i="15"/>
  <c r="K4" i="15" s="1"/>
  <c r="AA13" i="14"/>
  <c r="AC8" i="14"/>
  <c r="AB8" i="14"/>
  <c r="AA8" i="14"/>
  <c r="Z8" i="14"/>
  <c r="AC20" i="14"/>
  <c r="AB20" i="14"/>
  <c r="AA20" i="14"/>
  <c r="Z20" i="14"/>
  <c r="AC19" i="14"/>
  <c r="AB19" i="14"/>
  <c r="AA19" i="14"/>
  <c r="Z19" i="14"/>
  <c r="AC18" i="14"/>
  <c r="AB18" i="14"/>
  <c r="AA18" i="14"/>
  <c r="Z18" i="14"/>
  <c r="AC17" i="14"/>
  <c r="AB17" i="14"/>
  <c r="AA17" i="14"/>
  <c r="Z17" i="14"/>
  <c r="AB16" i="14"/>
  <c r="AC15" i="14"/>
  <c r="AB15" i="14"/>
  <c r="AA15" i="14"/>
  <c r="Z15" i="14"/>
  <c r="AC14" i="14"/>
  <c r="AB14" i="14"/>
  <c r="AA14" i="14"/>
  <c r="Z14" i="14"/>
  <c r="AC13" i="14"/>
  <c r="AB13" i="14"/>
  <c r="Z13" i="14"/>
  <c r="AC12" i="14"/>
  <c r="AB12" i="14"/>
  <c r="AA12" i="14"/>
  <c r="Z12" i="14"/>
  <c r="AC11" i="14"/>
  <c r="AB11" i="14"/>
  <c r="AA11" i="14"/>
  <c r="Z11" i="14"/>
  <c r="AC10" i="14"/>
  <c r="AB10" i="14"/>
  <c r="AA10" i="14"/>
  <c r="Z10" i="14"/>
  <c r="AC9" i="14"/>
  <c r="AB9" i="14"/>
  <c r="AA9" i="14"/>
  <c r="Z9" i="14"/>
  <c r="AC7" i="14"/>
  <c r="AB7" i="14"/>
  <c r="AA7" i="14"/>
  <c r="Z7" i="14"/>
  <c r="AC6" i="14"/>
  <c r="AB6" i="14"/>
  <c r="AA6" i="14"/>
  <c r="Z6" i="14"/>
  <c r="AC5" i="14"/>
  <c r="AB5" i="14"/>
  <c r="AA5" i="14"/>
  <c r="Z5" i="14"/>
  <c r="AC4" i="14"/>
  <c r="AB4" i="14"/>
  <c r="AA4" i="14"/>
  <c r="Z4" i="14"/>
  <c r="AI21" i="14"/>
  <c r="AI20" i="14"/>
  <c r="AH20" i="14"/>
  <c r="AG20" i="14"/>
  <c r="AF20" i="14"/>
  <c r="AI15" i="14"/>
  <c r="AH15" i="14"/>
  <c r="AG15" i="14"/>
  <c r="AF15" i="14"/>
  <c r="AI14" i="14"/>
  <c r="AH14" i="14"/>
  <c r="AG14" i="14"/>
  <c r="AF14" i="14"/>
  <c r="AI13" i="14"/>
  <c r="AH13" i="14"/>
  <c r="AG13" i="14"/>
  <c r="AF13" i="14"/>
  <c r="AI8" i="14"/>
  <c r="AH8" i="14"/>
  <c r="AG8" i="14"/>
  <c r="AF8" i="14"/>
  <c r="AI7" i="14"/>
  <c r="AH7" i="14"/>
  <c r="AG7" i="14"/>
  <c r="AF7" i="14"/>
  <c r="AI6" i="14"/>
  <c r="AH6" i="14"/>
  <c r="AG6" i="14"/>
  <c r="AF6" i="14"/>
  <c r="AI4" i="14"/>
  <c r="AH4" i="14"/>
  <c r="AG4" i="14"/>
  <c r="AF4" i="14"/>
  <c r="AI19" i="14"/>
  <c r="AH19" i="14"/>
  <c r="AG19" i="14" s="1"/>
  <c r="AF19" i="14" s="1"/>
  <c r="AI18" i="14"/>
  <c r="AH18" i="14"/>
  <c r="AG18" i="14" s="1"/>
  <c r="AF18" i="14" s="1"/>
  <c r="AI17" i="14"/>
  <c r="AH17" i="14"/>
  <c r="AG17" i="14" s="1"/>
  <c r="AF17" i="14" s="1"/>
  <c r="AI16" i="14"/>
  <c r="AH16" i="14"/>
  <c r="AG16" i="14" s="1"/>
  <c r="AF16" i="14" s="1"/>
  <c r="AI12" i="14"/>
  <c r="AH12" i="14"/>
  <c r="AG12" i="14" s="1"/>
  <c r="AF12" i="14" s="1"/>
  <c r="AI11" i="14"/>
  <c r="AH11" i="14"/>
  <c r="AG11" i="14" s="1"/>
  <c r="AF11" i="14" s="1"/>
  <c r="AI10" i="14"/>
  <c r="AH10" i="14"/>
  <c r="AG10" i="14" s="1"/>
  <c r="AF10" i="14" s="1"/>
  <c r="AI9" i="14"/>
  <c r="AH9" i="14"/>
  <c r="AG9" i="14" s="1"/>
  <c r="AF9" i="14" s="1"/>
  <c r="AI5" i="14"/>
  <c r="AH5" i="14"/>
  <c r="AG5" i="14" s="1"/>
  <c r="AF5" i="14" s="1"/>
  <c r="S18" i="14" l="1"/>
  <c r="R22" i="14"/>
  <c r="R18" i="14"/>
  <c r="Q22" i="14"/>
  <c r="Q18" i="14"/>
  <c r="Q17" i="14" l="1"/>
  <c r="Q21" i="14"/>
  <c r="Q20" i="14"/>
  <c r="Q23" i="14"/>
  <c r="T18" i="14"/>
  <c r="U18" i="14"/>
  <c r="U3" i="14"/>
  <c r="U23" i="14"/>
  <c r="U22" i="14"/>
  <c r="U21" i="14"/>
  <c r="U20" i="14"/>
  <c r="U17" i="14"/>
  <c r="U15" i="14"/>
  <c r="U14" i="14"/>
  <c r="U13" i="14"/>
  <c r="U12" i="14"/>
  <c r="U11" i="14"/>
  <c r="U10" i="14"/>
  <c r="U9" i="14"/>
  <c r="U8" i="14"/>
  <c r="U5" i="14"/>
  <c r="U4" i="14"/>
  <c r="T17" i="14"/>
  <c r="S17" i="14"/>
  <c r="R17" i="14"/>
  <c r="S22" i="14"/>
  <c r="U7" i="14"/>
  <c r="T23" i="14"/>
  <c r="T22" i="14"/>
  <c r="T21" i="14"/>
  <c r="T20" i="14"/>
  <c r="T15" i="14"/>
  <c r="T14" i="14"/>
  <c r="T13" i="14"/>
  <c r="T12" i="14"/>
  <c r="T11" i="14"/>
  <c r="T10" i="14"/>
  <c r="T9" i="14"/>
  <c r="T8" i="14"/>
  <c r="T5" i="14"/>
  <c r="T4" i="14"/>
  <c r="S23" i="14"/>
  <c r="S21" i="14"/>
  <c r="S20" i="14"/>
  <c r="S15" i="14"/>
  <c r="S14" i="14"/>
  <c r="S13" i="14"/>
  <c r="S12" i="14"/>
  <c r="S11" i="14"/>
  <c r="S10" i="14"/>
  <c r="S9" i="14"/>
  <c r="S8" i="14"/>
  <c r="S5" i="14"/>
  <c r="S4" i="14"/>
  <c r="S3" i="14" s="1"/>
  <c r="R23" i="14"/>
  <c r="R21" i="14"/>
  <c r="R20" i="14"/>
  <c r="R15" i="14"/>
  <c r="R14" i="14"/>
  <c r="R13" i="14"/>
  <c r="R12" i="14"/>
  <c r="R11" i="14"/>
  <c r="R10" i="14"/>
  <c r="R9" i="14"/>
  <c r="R8" i="14"/>
  <c r="R5" i="14"/>
  <c r="R3" i="14" s="1"/>
  <c r="R4" i="14"/>
  <c r="T3" i="14"/>
  <c r="R7" i="14"/>
  <c r="Q8" i="14"/>
  <c r="Q5" i="14"/>
  <c r="Q4" i="14"/>
  <c r="R16" i="14" l="1"/>
  <c r="R45" i="14" s="1"/>
  <c r="U16" i="14"/>
  <c r="U43" i="14" s="1"/>
  <c r="S16" i="14"/>
  <c r="S43" i="14" s="1"/>
  <c r="U35" i="14"/>
  <c r="U39" i="14"/>
  <c r="U29" i="14"/>
  <c r="U30" i="14"/>
  <c r="U38" i="14"/>
  <c r="U34" i="14"/>
  <c r="U40" i="14"/>
  <c r="U36" i="14"/>
  <c r="U37" i="14"/>
  <c r="U33" i="14"/>
  <c r="T29" i="14"/>
  <c r="T30" i="14"/>
  <c r="T7" i="14"/>
  <c r="T39" i="14" s="1"/>
  <c r="T16" i="14"/>
  <c r="T44" i="14" s="1"/>
  <c r="S30" i="14"/>
  <c r="S34" i="14"/>
  <c r="S7" i="14"/>
  <c r="S38" i="14" s="1"/>
  <c r="S29" i="14"/>
  <c r="R40" i="14"/>
  <c r="R39" i="14"/>
  <c r="R38" i="14"/>
  <c r="R37" i="14"/>
  <c r="R36" i="14"/>
  <c r="R35" i="14"/>
  <c r="R34" i="14"/>
  <c r="R33" i="14"/>
  <c r="R29" i="14"/>
  <c r="R30" i="14"/>
  <c r="Q16" i="14"/>
  <c r="AO35" i="29"/>
  <c r="AH7" i="29"/>
  <c r="B5" i="14"/>
  <c r="J5" i="14" s="1"/>
  <c r="AO35" i="28"/>
  <c r="AO35" i="27"/>
  <c r="AO35" i="25"/>
  <c r="AI40" i="26"/>
  <c r="L11" i="15"/>
  <c r="K17" i="26"/>
  <c r="AO13" i="29"/>
  <c r="Q3" i="14"/>
  <c r="I23" i="17"/>
  <c r="I55" i="17"/>
  <c r="G18" i="29"/>
  <c r="G18" i="28"/>
  <c r="G18" i="27"/>
  <c r="G18" i="25"/>
  <c r="G18" i="26"/>
  <c r="K39" i="29"/>
  <c r="K39" i="28"/>
  <c r="K39" i="27"/>
  <c r="D5" i="14" s="1"/>
  <c r="K39" i="25"/>
  <c r="K39" i="26"/>
  <c r="K40" i="26"/>
  <c r="G38" i="29"/>
  <c r="K38" i="29" s="1"/>
  <c r="G38" i="28"/>
  <c r="G38" i="27"/>
  <c r="G38" i="25"/>
  <c r="G38" i="26"/>
  <c r="G10" i="26"/>
  <c r="G10" i="25"/>
  <c r="G10" i="27"/>
  <c r="G10" i="28"/>
  <c r="G10" i="29"/>
  <c r="J19" i="15"/>
  <c r="C25" i="26"/>
  <c r="H20" i="24"/>
  <c r="G20" i="24"/>
  <c r="F20" i="24"/>
  <c r="E20" i="24"/>
  <c r="D20" i="24"/>
  <c r="C20" i="24"/>
  <c r="H19" i="24"/>
  <c r="G19" i="24"/>
  <c r="F19" i="24"/>
  <c r="E19" i="24"/>
  <c r="D19" i="24"/>
  <c r="C19" i="24"/>
  <c r="H17" i="24"/>
  <c r="H16" i="24" s="1"/>
  <c r="G17" i="24"/>
  <c r="G16" i="24" s="1"/>
  <c r="G6" i="24" s="1"/>
  <c r="F17" i="24"/>
  <c r="F16" i="24" s="1"/>
  <c r="E17" i="24"/>
  <c r="E16" i="24" s="1"/>
  <c r="E5" i="24" s="1"/>
  <c r="D17" i="24"/>
  <c r="D16" i="24" s="1"/>
  <c r="C17" i="24"/>
  <c r="C16" i="24" s="1"/>
  <c r="H8" i="24"/>
  <c r="G8" i="24"/>
  <c r="F8" i="24"/>
  <c r="E8" i="24"/>
  <c r="D8" i="24"/>
  <c r="C8" i="24"/>
  <c r="F6" i="24"/>
  <c r="E6" i="24"/>
  <c r="E7" i="24"/>
  <c r="C6" i="24"/>
  <c r="C7" i="24"/>
  <c r="C5" i="24"/>
  <c r="G7" i="24"/>
  <c r="G5" i="24"/>
  <c r="K40" i="29"/>
  <c r="K40" i="28"/>
  <c r="K40" i="27"/>
  <c r="I40" i="27" s="1"/>
  <c r="G39" i="29"/>
  <c r="G39" i="26"/>
  <c r="G39" i="27"/>
  <c r="AU5" i="14"/>
  <c r="AU7" i="14"/>
  <c r="I59" i="15"/>
  <c r="I54" i="15"/>
  <c r="H54" i="15"/>
  <c r="I53" i="15"/>
  <c r="I52" i="15" s="1"/>
  <c r="H53" i="15"/>
  <c r="H52" i="15" s="1"/>
  <c r="J52" i="15" s="1"/>
  <c r="I51" i="15"/>
  <c r="I47" i="15"/>
  <c r="H47" i="15"/>
  <c r="J47" i="15" s="1"/>
  <c r="I44" i="15"/>
  <c r="I45" i="15"/>
  <c r="I40" i="15"/>
  <c r="H40" i="15"/>
  <c r="J40" i="15" s="1"/>
  <c r="I38" i="15"/>
  <c r="J9" i="15" s="1"/>
  <c r="K37" i="15"/>
  <c r="I37" i="15"/>
  <c r="I36" i="15"/>
  <c r="I35" i="15"/>
  <c r="J10" i="15" s="1"/>
  <c r="J62" i="15"/>
  <c r="N62" i="15"/>
  <c r="P62" i="15" s="1"/>
  <c r="I60" i="15"/>
  <c r="J14" i="15" s="1"/>
  <c r="L51" i="15"/>
  <c r="K3" i="15" s="1"/>
  <c r="I49" i="15"/>
  <c r="L50" i="15"/>
  <c r="J50" i="15"/>
  <c r="M49" i="15"/>
  <c r="L49" i="15"/>
  <c r="P48" i="15"/>
  <c r="J48" i="15"/>
  <c r="N48" i="15" s="1"/>
  <c r="J8" i="15"/>
  <c r="I32" i="15"/>
  <c r="J32" i="15" s="1"/>
  <c r="N32" i="15" s="1"/>
  <c r="P32" i="15" s="1"/>
  <c r="L26" i="15"/>
  <c r="A22" i="15"/>
  <c r="A21" i="15"/>
  <c r="N20" i="15"/>
  <c r="I20" i="15"/>
  <c r="L19" i="15"/>
  <c r="AU20" i="14"/>
  <c r="A19" i="15"/>
  <c r="L18" i="15"/>
  <c r="A18" i="15"/>
  <c r="L17" i="15"/>
  <c r="A17" i="15"/>
  <c r="L16" i="15"/>
  <c r="A16" i="15"/>
  <c r="L15" i="15"/>
  <c r="A15" i="15"/>
  <c r="L14" i="15"/>
  <c r="A14" i="15"/>
  <c r="L13" i="15"/>
  <c r="A13" i="15"/>
  <c r="L12" i="15"/>
  <c r="A12" i="15"/>
  <c r="A11" i="15"/>
  <c r="L10" i="15"/>
  <c r="A10" i="15"/>
  <c r="L9" i="15"/>
  <c r="A9" i="15"/>
  <c r="A8" i="15"/>
  <c r="A7" i="15"/>
  <c r="L6" i="15"/>
  <c r="A6" i="15"/>
  <c r="K5" i="15"/>
  <c r="A5" i="15"/>
  <c r="A4" i="15"/>
  <c r="L3" i="15"/>
  <c r="J3" i="15"/>
  <c r="A3" i="15"/>
  <c r="A2" i="15"/>
  <c r="F44" i="14"/>
  <c r="E44" i="14"/>
  <c r="D44" i="14"/>
  <c r="C44" i="14"/>
  <c r="B44" i="14"/>
  <c r="F43" i="14"/>
  <c r="E43" i="14"/>
  <c r="D43" i="14"/>
  <c r="C43" i="14"/>
  <c r="B43" i="14"/>
  <c r="O18" i="14"/>
  <c r="O19" i="14"/>
  <c r="O20" i="14" s="1"/>
  <c r="O21" i="14" s="1"/>
  <c r="O22" i="14" s="1"/>
  <c r="O9" i="14"/>
  <c r="O10" i="14"/>
  <c r="O11" i="14" s="1"/>
  <c r="O12" i="14" s="1"/>
  <c r="O13" i="14" s="1"/>
  <c r="O14" i="14" s="1"/>
  <c r="O15" i="14" s="1"/>
  <c r="L5" i="14"/>
  <c r="O4" i="14"/>
  <c r="O5" i="14" s="1"/>
  <c r="H51" i="15"/>
  <c r="C13" i="26"/>
  <c r="F41" i="14" s="1"/>
  <c r="G6" i="14"/>
  <c r="J53" i="15"/>
  <c r="K63" i="15"/>
  <c r="J51" i="15"/>
  <c r="N51" i="15" s="1"/>
  <c r="P51" i="15" s="1"/>
  <c r="J54" i="15"/>
  <c r="H49" i="15"/>
  <c r="J49" i="15"/>
  <c r="N49" i="15"/>
  <c r="P49" i="15" s="1"/>
  <c r="AH40" i="29"/>
  <c r="AH39" i="29"/>
  <c r="AO39" i="29"/>
  <c r="AH25" i="29"/>
  <c r="AG40" i="29"/>
  <c r="AG39" i="29"/>
  <c r="AG25" i="29"/>
  <c r="AG7" i="29"/>
  <c r="AN13" i="29" s="1"/>
  <c r="AF40" i="29"/>
  <c r="AF39" i="29"/>
  <c r="AM39" i="29"/>
  <c r="AF25" i="29"/>
  <c r="AF7" i="29"/>
  <c r="AM13" i="29"/>
  <c r="AE40" i="29"/>
  <c r="AE39" i="29"/>
  <c r="AL39" i="29"/>
  <c r="AE25" i="29"/>
  <c r="AE7" i="29"/>
  <c r="AL13" i="29" s="1"/>
  <c r="AD40" i="29"/>
  <c r="AD39" i="29"/>
  <c r="AD25" i="29"/>
  <c r="AD7" i="29"/>
  <c r="Z44" i="29"/>
  <c r="Y44" i="29"/>
  <c r="X44" i="29"/>
  <c r="W44" i="29"/>
  <c r="AA40" i="29"/>
  <c r="Z40" i="29"/>
  <c r="Y40" i="29"/>
  <c r="X40" i="29"/>
  <c r="W40" i="29"/>
  <c r="Z36" i="29"/>
  <c r="AB36" i="29" s="1"/>
  <c r="Y36" i="29"/>
  <c r="Z35" i="29"/>
  <c r="AN35" i="29"/>
  <c r="Y35" i="29"/>
  <c r="X35" i="29"/>
  <c r="W35" i="29"/>
  <c r="Z29" i="29"/>
  <c r="Y29" i="29"/>
  <c r="AM29" i="29" s="1"/>
  <c r="X29" i="29"/>
  <c r="AL29" i="29"/>
  <c r="W29" i="29"/>
  <c r="AK29" i="29" s="1"/>
  <c r="AA23" i="29"/>
  <c r="Z23" i="29"/>
  <c r="Y23" i="29"/>
  <c r="X23" i="29"/>
  <c r="W23" i="29"/>
  <c r="AA13" i="29"/>
  <c r="AA5" i="29" s="1"/>
  <c r="Z13" i="29"/>
  <c r="Y13" i="29"/>
  <c r="X13" i="29"/>
  <c r="W13" i="29"/>
  <c r="W5" i="29" s="1"/>
  <c r="P12" i="29"/>
  <c r="O12" i="29"/>
  <c r="M13" i="29"/>
  <c r="K19" i="29"/>
  <c r="K18" i="29"/>
  <c r="I18" i="29" s="1"/>
  <c r="K17" i="29"/>
  <c r="K16" i="29"/>
  <c r="K12" i="29"/>
  <c r="I12" i="29" s="1"/>
  <c r="K10" i="29"/>
  <c r="I10" i="29" s="1"/>
  <c r="G44" i="29"/>
  <c r="B37" i="14" s="1"/>
  <c r="J23" i="14" s="1"/>
  <c r="G43" i="29"/>
  <c r="K43" i="29" s="1"/>
  <c r="K41" i="29"/>
  <c r="I41" i="29" s="1"/>
  <c r="G41" i="29" s="1"/>
  <c r="G36" i="29"/>
  <c r="K36" i="29" s="1"/>
  <c r="AM36" i="29" s="1"/>
  <c r="H55" i="29"/>
  <c r="G55" i="29"/>
  <c r="H54" i="29"/>
  <c r="G54" i="29"/>
  <c r="H53" i="29"/>
  <c r="G53" i="29"/>
  <c r="H52" i="29"/>
  <c r="G52" i="29"/>
  <c r="H50" i="29"/>
  <c r="L33" i="29" s="1"/>
  <c r="G50" i="29"/>
  <c r="G24" i="29"/>
  <c r="B13" i="14"/>
  <c r="J11" i="14" s="1"/>
  <c r="G17" i="29"/>
  <c r="B11" i="14" s="1"/>
  <c r="J9" i="14" s="1"/>
  <c r="G15" i="29"/>
  <c r="C19" i="29"/>
  <c r="G12" i="29"/>
  <c r="B19" i="14" s="1"/>
  <c r="J15" i="14" s="1"/>
  <c r="B10" i="14"/>
  <c r="J8" i="14" s="1"/>
  <c r="G9" i="29"/>
  <c r="B17" i="14" s="1"/>
  <c r="J13" i="14"/>
  <c r="G8" i="29"/>
  <c r="G7" i="29"/>
  <c r="C8" i="29" s="1"/>
  <c r="K44" i="29"/>
  <c r="K42" i="29"/>
  <c r="AB40" i="29"/>
  <c r="I40" i="29"/>
  <c r="AN39" i="29"/>
  <c r="AK39" i="29"/>
  <c r="K37" i="29"/>
  <c r="AN36" i="29"/>
  <c r="AL35" i="29"/>
  <c r="K34" i="29"/>
  <c r="C25" i="29"/>
  <c r="K23" i="29"/>
  <c r="K22" i="29"/>
  <c r="K21" i="29"/>
  <c r="K14" i="29"/>
  <c r="K13" i="29"/>
  <c r="C13" i="29"/>
  <c r="B41" i="14" s="1"/>
  <c r="K11" i="29"/>
  <c r="C21" i="29"/>
  <c r="C9" i="29"/>
  <c r="K7" i="29"/>
  <c r="AH40" i="28"/>
  <c r="AH39" i="28"/>
  <c r="AO39" i="28" s="1"/>
  <c r="AH25" i="28"/>
  <c r="AH7" i="28"/>
  <c r="AO13" i="28" s="1"/>
  <c r="AG40" i="28"/>
  <c r="AG39" i="28"/>
  <c r="AN39" i="28" s="1"/>
  <c r="AG25" i="28"/>
  <c r="AI25" i="28" s="1"/>
  <c r="AG7" i="28"/>
  <c r="AN13" i="28" s="1"/>
  <c r="AF40" i="28"/>
  <c r="AF39" i="28"/>
  <c r="AM39" i="28" s="1"/>
  <c r="AF25" i="28"/>
  <c r="AF7" i="28"/>
  <c r="AM13" i="28" s="1"/>
  <c r="AE40" i="28"/>
  <c r="AL44" i="28" s="1"/>
  <c r="AE39" i="28"/>
  <c r="AL39" i="28" s="1"/>
  <c r="AE25" i="28"/>
  <c r="AE7" i="28"/>
  <c r="AD40" i="28"/>
  <c r="AD39" i="28"/>
  <c r="AD25" i="28"/>
  <c r="AD7" i="28"/>
  <c r="Z44" i="28"/>
  <c r="Y44" i="28"/>
  <c r="X44" i="28"/>
  <c r="W44" i="28"/>
  <c r="AA40" i="28"/>
  <c r="Z40" i="28"/>
  <c r="Y40" i="28"/>
  <c r="X40" i="28"/>
  <c r="AB40" i="28" s="1"/>
  <c r="W40" i="28"/>
  <c r="Z36" i="28"/>
  <c r="Y36" i="28"/>
  <c r="Z35" i="28"/>
  <c r="Y35" i="28"/>
  <c r="X35" i="28"/>
  <c r="W35" i="28"/>
  <c r="AK35" i="28" s="1"/>
  <c r="Z29" i="28"/>
  <c r="AN29" i="28"/>
  <c r="Y29" i="28"/>
  <c r="AM29" i="28" s="1"/>
  <c r="X29" i="28"/>
  <c r="AL29" i="28"/>
  <c r="W29" i="28"/>
  <c r="AA23" i="28"/>
  <c r="Z23" i="28"/>
  <c r="Y23" i="28"/>
  <c r="Y5" i="28" s="1"/>
  <c r="X23" i="28"/>
  <c r="W23" i="28"/>
  <c r="AA13" i="28"/>
  <c r="Z13" i="28"/>
  <c r="Y13" i="28"/>
  <c r="X13" i="28"/>
  <c r="W13" i="28"/>
  <c r="P12" i="28"/>
  <c r="O12" i="28"/>
  <c r="M13" i="28"/>
  <c r="K19" i="28"/>
  <c r="K18" i="28"/>
  <c r="K17" i="28"/>
  <c r="K16" i="28"/>
  <c r="K12" i="28"/>
  <c r="K10" i="28"/>
  <c r="G44" i="28"/>
  <c r="G43" i="28"/>
  <c r="K43" i="28" s="1"/>
  <c r="K41" i="28"/>
  <c r="I41" i="28" s="1"/>
  <c r="G36" i="28"/>
  <c r="H55" i="28"/>
  <c r="G55" i="28"/>
  <c r="H54" i="28"/>
  <c r="G54" i="28"/>
  <c r="H53" i="28"/>
  <c r="G53" i="28"/>
  <c r="H52" i="28"/>
  <c r="G52" i="28"/>
  <c r="H50" i="28"/>
  <c r="H56" i="28" s="1"/>
  <c r="J52" i="28" s="1"/>
  <c r="G50" i="28"/>
  <c r="G24" i="28"/>
  <c r="G17" i="28"/>
  <c r="G15" i="28"/>
  <c r="C19" i="28"/>
  <c r="G12" i="28"/>
  <c r="C19" i="14" s="1"/>
  <c r="K15" i="14" s="1"/>
  <c r="G9" i="28"/>
  <c r="K9" i="28" s="1"/>
  <c r="G8" i="28"/>
  <c r="G7" i="28"/>
  <c r="K42" i="28"/>
  <c r="I40" i="28"/>
  <c r="K37" i="28"/>
  <c r="AN36" i="28"/>
  <c r="AL35" i="28"/>
  <c r="K34" i="28"/>
  <c r="AO29" i="28"/>
  <c r="C25" i="28"/>
  <c r="K23" i="28"/>
  <c r="K22" i="28"/>
  <c r="K21" i="28"/>
  <c r="K14" i="28"/>
  <c r="K13" i="28"/>
  <c r="K11" i="28"/>
  <c r="C9" i="28"/>
  <c r="AL13" i="28"/>
  <c r="AH40" i="27"/>
  <c r="AH39" i="27"/>
  <c r="AO39" i="27" s="1"/>
  <c r="AH25" i="27"/>
  <c r="AH7" i="27"/>
  <c r="AO13" i="27" s="1"/>
  <c r="AG40" i="27"/>
  <c r="AG39" i="27"/>
  <c r="AN39" i="27" s="1"/>
  <c r="AG25" i="27"/>
  <c r="AG7" i="27"/>
  <c r="AN13" i="27" s="1"/>
  <c r="AF40" i="27"/>
  <c r="AF39" i="27"/>
  <c r="AM39" i="27"/>
  <c r="AF25" i="27"/>
  <c r="AF7" i="27"/>
  <c r="AM13" i="27"/>
  <c r="AE40" i="27"/>
  <c r="AL44" i="27" s="1"/>
  <c r="AE39" i="27"/>
  <c r="AE25" i="27"/>
  <c r="AE7" i="27"/>
  <c r="AL13" i="27"/>
  <c r="AD40" i="27"/>
  <c r="AD39" i="27"/>
  <c r="AK39" i="27"/>
  <c r="AD25" i="27"/>
  <c r="AI25" i="27" s="1"/>
  <c r="AD7" i="27"/>
  <c r="AI13" i="27" s="1"/>
  <c r="Z44" i="27"/>
  <c r="Y44" i="27"/>
  <c r="X44" i="27"/>
  <c r="W44" i="27"/>
  <c r="AA40" i="27"/>
  <c r="Z40" i="27"/>
  <c r="Y40" i="27"/>
  <c r="X40" i="27"/>
  <c r="W40" i="27"/>
  <c r="Z36" i="27"/>
  <c r="Y36" i="27"/>
  <c r="AB36" i="27" s="1"/>
  <c r="Z35" i="27"/>
  <c r="Y35" i="27"/>
  <c r="X35" i="27"/>
  <c r="AL35" i="27"/>
  <c r="W35" i="27"/>
  <c r="AK35" i="27" s="1"/>
  <c r="Z29" i="27"/>
  <c r="AN29" i="27"/>
  <c r="Y29" i="27"/>
  <c r="AM29" i="27" s="1"/>
  <c r="X29" i="27"/>
  <c r="W29" i="27"/>
  <c r="AA23" i="27"/>
  <c r="Z23" i="27"/>
  <c r="Y23" i="27"/>
  <c r="X23" i="27"/>
  <c r="W23" i="27"/>
  <c r="AA13" i="27"/>
  <c r="Z13" i="27"/>
  <c r="Y13" i="27"/>
  <c r="X13" i="27"/>
  <c r="W13" i="27"/>
  <c r="P12" i="27"/>
  <c r="O12" i="27"/>
  <c r="M13" i="27"/>
  <c r="K19" i="27"/>
  <c r="K18" i="27"/>
  <c r="K17" i="27"/>
  <c r="K16" i="27"/>
  <c r="K12" i="27"/>
  <c r="K10" i="27"/>
  <c r="K14" i="27"/>
  <c r="K13" i="27"/>
  <c r="K11" i="27"/>
  <c r="G44" i="27"/>
  <c r="D37" i="14"/>
  <c r="L23" i="14" s="1"/>
  <c r="G43" i="27"/>
  <c r="K43" i="27" s="1"/>
  <c r="K41" i="27"/>
  <c r="I41" i="27"/>
  <c r="G41" i="27" s="1"/>
  <c r="D4" i="14" s="1"/>
  <c r="G36" i="27"/>
  <c r="H55" i="27"/>
  <c r="G55" i="27"/>
  <c r="H54" i="27"/>
  <c r="G54" i="27"/>
  <c r="H53" i="27"/>
  <c r="G53" i="27"/>
  <c r="H52" i="27"/>
  <c r="G52" i="27"/>
  <c r="H50" i="27"/>
  <c r="G50" i="27"/>
  <c r="H33" i="27" s="1"/>
  <c r="G24" i="27"/>
  <c r="D13" i="14"/>
  <c r="L11" i="14" s="1"/>
  <c r="G17" i="27"/>
  <c r="G15" i="27"/>
  <c r="C19" i="27" s="1"/>
  <c r="G12" i="27"/>
  <c r="D19" i="14"/>
  <c r="L15" i="14" s="1"/>
  <c r="G9" i="27"/>
  <c r="G8" i="27"/>
  <c r="G7" i="27"/>
  <c r="D14" i="14" s="1"/>
  <c r="L12" i="14" s="1"/>
  <c r="K42" i="27"/>
  <c r="G40" i="27"/>
  <c r="AL39" i="27"/>
  <c r="K37" i="27"/>
  <c r="AN36" i="27"/>
  <c r="K34" i="27"/>
  <c r="AO29" i="27"/>
  <c r="AL29" i="27"/>
  <c r="C25" i="27"/>
  <c r="K23" i="27"/>
  <c r="K22" i="27"/>
  <c r="K21" i="27"/>
  <c r="C13" i="27"/>
  <c r="D41" i="14" s="1"/>
  <c r="C9" i="27"/>
  <c r="O12" i="25"/>
  <c r="O12" i="26"/>
  <c r="AH40" i="25"/>
  <c r="AG40" i="25"/>
  <c r="AF40" i="25"/>
  <c r="AI40" i="25" s="1"/>
  <c r="AD40" i="25"/>
  <c r="AH39" i="25"/>
  <c r="AO39" i="25" s="1"/>
  <c r="AH25" i="25"/>
  <c r="AH7" i="25"/>
  <c r="AO13" i="25" s="1"/>
  <c r="AG39" i="25"/>
  <c r="AN39" i="25"/>
  <c r="AG25" i="25"/>
  <c r="AI25" i="25" s="1"/>
  <c r="AG7" i="25"/>
  <c r="AN13" i="25" s="1"/>
  <c r="AF39" i="25"/>
  <c r="AM39" i="25" s="1"/>
  <c r="AF25" i="25"/>
  <c r="AF7" i="25"/>
  <c r="AE40" i="25"/>
  <c r="AE39" i="25"/>
  <c r="AL39" i="25" s="1"/>
  <c r="AE25" i="25"/>
  <c r="AE7" i="25"/>
  <c r="AD39" i="25"/>
  <c r="AK39" i="25" s="1"/>
  <c r="AD25" i="25"/>
  <c r="AD7" i="25"/>
  <c r="Z44" i="25"/>
  <c r="Y44" i="25"/>
  <c r="X44" i="25"/>
  <c r="W44" i="25"/>
  <c r="AB44" i="25" s="1"/>
  <c r="AA40" i="25"/>
  <c r="Z40" i="25"/>
  <c r="Y40" i="25"/>
  <c r="X40" i="25"/>
  <c r="W40" i="25"/>
  <c r="Z36" i="25"/>
  <c r="Y36" i="25"/>
  <c r="Z35" i="25"/>
  <c r="AN35" i="25" s="1"/>
  <c r="Y35" i="25"/>
  <c r="X35" i="25"/>
  <c r="AL35" i="25"/>
  <c r="W35" i="25"/>
  <c r="Z29" i="25"/>
  <c r="Y29" i="25"/>
  <c r="X29" i="25"/>
  <c r="W29" i="25"/>
  <c r="AK29" i="25" s="1"/>
  <c r="AA23" i="25"/>
  <c r="AA5" i="25" s="1"/>
  <c r="Z23" i="25"/>
  <c r="Y23" i="25"/>
  <c r="X23" i="25"/>
  <c r="W23" i="25"/>
  <c r="AA13" i="25"/>
  <c r="Z13" i="25"/>
  <c r="Y13" i="25"/>
  <c r="X13" i="25"/>
  <c r="W13" i="25"/>
  <c r="AA13" i="26"/>
  <c r="H55" i="26"/>
  <c r="G55" i="26"/>
  <c r="H54" i="26"/>
  <c r="G54" i="26"/>
  <c r="H53" i="26"/>
  <c r="G53" i="26"/>
  <c r="H52" i="26"/>
  <c r="G52" i="26"/>
  <c r="H50" i="26"/>
  <c r="G50" i="26"/>
  <c r="Z44" i="26"/>
  <c r="Y44" i="26"/>
  <c r="X44" i="26"/>
  <c r="W44" i="26"/>
  <c r="AB44" i="26" s="1"/>
  <c r="G44" i="26"/>
  <c r="G43" i="26"/>
  <c r="K43" i="26"/>
  <c r="K42" i="26"/>
  <c r="K41" i="26"/>
  <c r="AE40" i="26"/>
  <c r="AL44" i="26" s="1"/>
  <c r="AA40" i="26"/>
  <c r="Z40" i="26"/>
  <c r="Y40" i="26"/>
  <c r="X40" i="26"/>
  <c r="W40" i="26"/>
  <c r="I40" i="26"/>
  <c r="G40" i="26"/>
  <c r="AH39" i="26"/>
  <c r="AO39" i="26"/>
  <c r="AG39" i="26"/>
  <c r="AN39" i="26"/>
  <c r="AF39" i="26"/>
  <c r="AM39" i="26"/>
  <c r="AE39" i="26"/>
  <c r="AL39" i="26"/>
  <c r="AD39" i="26"/>
  <c r="K37" i="26"/>
  <c r="AN36" i="26"/>
  <c r="Z36" i="26"/>
  <c r="Y36" i="26"/>
  <c r="AB36" i="26"/>
  <c r="G36" i="26"/>
  <c r="Z35" i="26"/>
  <c r="AN35" i="26" s="1"/>
  <c r="Y35" i="26"/>
  <c r="X35" i="26"/>
  <c r="AL35" i="26"/>
  <c r="W35" i="26"/>
  <c r="K34" i="26"/>
  <c r="AO29" i="26"/>
  <c r="Z29" i="26"/>
  <c r="AN29" i="26"/>
  <c r="Y29" i="26"/>
  <c r="AM29" i="26"/>
  <c r="X29" i="26"/>
  <c r="AL29" i="26"/>
  <c r="W29" i="26"/>
  <c r="AK29" i="26"/>
  <c r="AH25" i="26"/>
  <c r="AO35" i="26" s="1"/>
  <c r="AG25" i="26"/>
  <c r="AF25" i="26"/>
  <c r="AE25" i="26"/>
  <c r="AD25" i="26"/>
  <c r="G24" i="26"/>
  <c r="AA23" i="26"/>
  <c r="Z23" i="26"/>
  <c r="Y23" i="26"/>
  <c r="X23" i="26"/>
  <c r="W23" i="26"/>
  <c r="K23" i="26"/>
  <c r="M37" i="15" s="1"/>
  <c r="K22" i="26"/>
  <c r="K21" i="26"/>
  <c r="K19" i="26"/>
  <c r="K18" i="26"/>
  <c r="I18" i="26" s="1"/>
  <c r="I25" i="15" s="1"/>
  <c r="G17" i="26"/>
  <c r="K16" i="26"/>
  <c r="H59" i="15"/>
  <c r="J59" i="15" s="1"/>
  <c r="G15" i="26"/>
  <c r="K14" i="26"/>
  <c r="Z13" i="26"/>
  <c r="Y13" i="26"/>
  <c r="Y5" i="26" s="1"/>
  <c r="X13" i="26"/>
  <c r="X5" i="26" s="1"/>
  <c r="W13" i="26"/>
  <c r="M13" i="26"/>
  <c r="K13" i="26"/>
  <c r="P12" i="26"/>
  <c r="K12" i="26"/>
  <c r="G12" i="26"/>
  <c r="K11" i="26"/>
  <c r="K10" i="26"/>
  <c r="I10" i="26" s="1"/>
  <c r="I33" i="15" s="1"/>
  <c r="G9" i="26"/>
  <c r="C12" i="26" s="1"/>
  <c r="C9" i="26"/>
  <c r="G8" i="26"/>
  <c r="C11" i="26"/>
  <c r="AH7" i="26"/>
  <c r="AO13" i="26" s="1"/>
  <c r="AG7" i="26"/>
  <c r="AF7" i="26"/>
  <c r="AM13" i="26"/>
  <c r="AE7" i="26"/>
  <c r="AL13" i="26"/>
  <c r="AD7" i="26"/>
  <c r="G7" i="26"/>
  <c r="H37" i="15" s="1"/>
  <c r="P12" i="25"/>
  <c r="M13" i="25"/>
  <c r="K19" i="25"/>
  <c r="K18" i="25"/>
  <c r="K17" i="25"/>
  <c r="K16" i="25"/>
  <c r="K12" i="25"/>
  <c r="K10" i="25"/>
  <c r="I10" i="25" s="1"/>
  <c r="G44" i="25"/>
  <c r="C24" i="25" s="1"/>
  <c r="G43" i="25"/>
  <c r="K43" i="25" s="1"/>
  <c r="K41" i="25"/>
  <c r="I41" i="25"/>
  <c r="G41" i="25" s="1"/>
  <c r="G36" i="25"/>
  <c r="H55" i="25"/>
  <c r="H54" i="25"/>
  <c r="H53" i="25"/>
  <c r="H52" i="25"/>
  <c r="H50" i="25"/>
  <c r="G52" i="25"/>
  <c r="G55" i="25"/>
  <c r="G54" i="25"/>
  <c r="G53" i="25"/>
  <c r="G50" i="25"/>
  <c r="G56" i="25" s="1"/>
  <c r="I49" i="25" s="1"/>
  <c r="G24" i="25"/>
  <c r="H21" i="25" s="1"/>
  <c r="E13" i="14"/>
  <c r="M11" i="14" s="1"/>
  <c r="G12" i="25"/>
  <c r="E10" i="14"/>
  <c r="M8" i="14" s="1"/>
  <c r="G17" i="25"/>
  <c r="E11" i="14"/>
  <c r="G15" i="25"/>
  <c r="C19" i="25" s="1"/>
  <c r="G9" i="25"/>
  <c r="G8" i="25"/>
  <c r="G7" i="25"/>
  <c r="K7" i="25" s="1"/>
  <c r="K42" i="25"/>
  <c r="AL44" i="25"/>
  <c r="K38" i="25"/>
  <c r="K37" i="25"/>
  <c r="AN36" i="25"/>
  <c r="K34" i="25"/>
  <c r="AO29" i="25"/>
  <c r="AL29" i="25"/>
  <c r="AM29" i="25"/>
  <c r="C25" i="25"/>
  <c r="K23" i="25"/>
  <c r="K22" i="25"/>
  <c r="K21" i="25"/>
  <c r="K14" i="25"/>
  <c r="K13" i="25"/>
  <c r="K11" i="25"/>
  <c r="C21" i="25"/>
  <c r="C9" i="25"/>
  <c r="AL13" i="25"/>
  <c r="L33" i="28"/>
  <c r="G56" i="29"/>
  <c r="V34" i="29"/>
  <c r="K36" i="26"/>
  <c r="AM36" i="26" s="1"/>
  <c r="AB40" i="26"/>
  <c r="C12" i="29"/>
  <c r="I17" i="29"/>
  <c r="O30" i="15"/>
  <c r="O29" i="15"/>
  <c r="F13" i="14"/>
  <c r="N11" i="14"/>
  <c r="H7" i="15"/>
  <c r="K24" i="26"/>
  <c r="AK39" i="26"/>
  <c r="K24" i="25"/>
  <c r="H19" i="15"/>
  <c r="K15" i="27"/>
  <c r="L33" i="27"/>
  <c r="AB40" i="27"/>
  <c r="AB36" i="28"/>
  <c r="AB35" i="29"/>
  <c r="V7" i="28"/>
  <c r="AA5" i="28"/>
  <c r="E37" i="14"/>
  <c r="M23" i="14" s="1"/>
  <c r="C21" i="26"/>
  <c r="F10" i="14"/>
  <c r="N8" i="14" s="1"/>
  <c r="H33" i="15"/>
  <c r="H4" i="15"/>
  <c r="I18" i="28"/>
  <c r="C13" i="14"/>
  <c r="K11" i="14" s="1"/>
  <c r="K44" i="28"/>
  <c r="C37" i="14"/>
  <c r="K23" i="14" s="1"/>
  <c r="F19" i="14"/>
  <c r="N15" i="14" s="1"/>
  <c r="F37" i="14"/>
  <c r="N23" i="14" s="1"/>
  <c r="L21" i="26"/>
  <c r="C21" i="27"/>
  <c r="D10" i="14"/>
  <c r="L8" i="14" s="1"/>
  <c r="J4" i="15"/>
  <c r="K8" i="25"/>
  <c r="C19" i="26"/>
  <c r="J7" i="15"/>
  <c r="I10" i="27"/>
  <c r="I18" i="27"/>
  <c r="C17" i="14"/>
  <c r="K13" i="14" s="1"/>
  <c r="I17" i="28"/>
  <c r="C11" i="14"/>
  <c r="K9" i="14"/>
  <c r="F17" i="14"/>
  <c r="N13" i="14" s="1"/>
  <c r="H38" i="15"/>
  <c r="K7" i="27"/>
  <c r="H35" i="15"/>
  <c r="I17" i="26"/>
  <c r="I28" i="15" s="1"/>
  <c r="H28" i="15"/>
  <c r="F11" i="14"/>
  <c r="N9" i="14" s="1"/>
  <c r="C14" i="14"/>
  <c r="K12" i="14" s="1"/>
  <c r="I10" i="28"/>
  <c r="V29" i="29"/>
  <c r="L26" i="29" s="1"/>
  <c r="N26" i="29" s="1"/>
  <c r="T26" i="29" s="1"/>
  <c r="AB44" i="29"/>
  <c r="Z5" i="26"/>
  <c r="V21" i="27"/>
  <c r="AA5" i="27"/>
  <c r="AB44" i="27"/>
  <c r="AB36" i="25"/>
  <c r="AB40" i="25"/>
  <c r="AN29" i="29"/>
  <c r="H56" i="26"/>
  <c r="J49" i="28"/>
  <c r="H33" i="29"/>
  <c r="K38" i="27"/>
  <c r="AM37" i="25"/>
  <c r="C14" i="28"/>
  <c r="C14" i="29"/>
  <c r="AI13" i="29"/>
  <c r="X5" i="29"/>
  <c r="H56" i="29"/>
  <c r="I49" i="29"/>
  <c r="I54" i="29"/>
  <c r="C24" i="29"/>
  <c r="K9" i="29"/>
  <c r="K15" i="29"/>
  <c r="AK35" i="29"/>
  <c r="G40" i="29"/>
  <c r="AK13" i="29"/>
  <c r="J51" i="28"/>
  <c r="C24" i="28"/>
  <c r="C12" i="28"/>
  <c r="K38" i="28"/>
  <c r="K15" i="28"/>
  <c r="G40" i="28"/>
  <c r="G41" i="28"/>
  <c r="K8" i="28"/>
  <c r="I12" i="28"/>
  <c r="V7" i="27"/>
  <c r="C23" i="27"/>
  <c r="K36" i="27"/>
  <c r="AM36" i="27"/>
  <c r="H56" i="27"/>
  <c r="C12" i="27"/>
  <c r="AK13" i="27"/>
  <c r="AJ13" i="27" s="1"/>
  <c r="C24" i="27"/>
  <c r="C14" i="27"/>
  <c r="K44" i="27"/>
  <c r="I12" i="27"/>
  <c r="AK35" i="25"/>
  <c r="V7" i="26"/>
  <c r="AJ29" i="26"/>
  <c r="J51" i="26"/>
  <c r="V29" i="26"/>
  <c r="L26" i="26"/>
  <c r="K17" i="15"/>
  <c r="AU19" i="14" s="1"/>
  <c r="K9" i="26"/>
  <c r="L33" i="26"/>
  <c r="C8" i="26"/>
  <c r="AK13" i="26"/>
  <c r="I17" i="25"/>
  <c r="K36" i="25"/>
  <c r="AM36" i="25" s="1"/>
  <c r="H33" i="25"/>
  <c r="I53" i="25"/>
  <c r="I51" i="25"/>
  <c r="C8" i="25"/>
  <c r="AK13" i="25"/>
  <c r="I18" i="25"/>
  <c r="V29" i="25"/>
  <c r="L26" i="25" s="1"/>
  <c r="C14" i="25"/>
  <c r="K15" i="25"/>
  <c r="L33" i="25"/>
  <c r="K44" i="25"/>
  <c r="I50" i="25"/>
  <c r="J53" i="28"/>
  <c r="J55" i="28"/>
  <c r="I52" i="29"/>
  <c r="I54" i="25"/>
  <c r="J50" i="28"/>
  <c r="J54" i="28"/>
  <c r="O7" i="15"/>
  <c r="J33" i="15"/>
  <c r="B4" i="14"/>
  <c r="J4" i="14" s="1"/>
  <c r="L61" i="15"/>
  <c r="L60" i="15" s="1"/>
  <c r="H5" i="15"/>
  <c r="J35" i="15"/>
  <c r="L57" i="15"/>
  <c r="L43" i="15"/>
  <c r="AM37" i="28"/>
  <c r="AM37" i="29"/>
  <c r="AM37" i="27"/>
  <c r="J3" i="14"/>
  <c r="J30" i="14" s="1"/>
  <c r="C23" i="29"/>
  <c r="J51" i="27"/>
  <c r="J55" i="27"/>
  <c r="J53" i="27"/>
  <c r="J52" i="27"/>
  <c r="J56" i="28"/>
  <c r="B3" i="14"/>
  <c r="K15" i="15"/>
  <c r="R46" i="14" l="1"/>
  <c r="R42" i="14"/>
  <c r="U45" i="14"/>
  <c r="S47" i="14"/>
  <c r="R43" i="14"/>
  <c r="R47" i="14"/>
  <c r="R44" i="14"/>
  <c r="U47" i="14"/>
  <c r="U42" i="14"/>
  <c r="U44" i="14"/>
  <c r="U46" i="14"/>
  <c r="S46" i="14"/>
  <c r="S45" i="14"/>
  <c r="S42" i="14"/>
  <c r="S44" i="14"/>
  <c r="T35" i="14"/>
  <c r="T37" i="14"/>
  <c r="T33" i="14"/>
  <c r="T40" i="14"/>
  <c r="T38" i="14"/>
  <c r="T36" i="14"/>
  <c r="T34" i="14"/>
  <c r="T46" i="14"/>
  <c r="T42" i="14"/>
  <c r="T47" i="14"/>
  <c r="T45" i="14"/>
  <c r="T43" i="14"/>
  <c r="S40" i="14"/>
  <c r="S36" i="14"/>
  <c r="S39" i="14"/>
  <c r="S35" i="14"/>
  <c r="S37" i="14"/>
  <c r="S33" i="14"/>
  <c r="Q47" i="14"/>
  <c r="Q46" i="14"/>
  <c r="Q42" i="14"/>
  <c r="Q45" i="14"/>
  <c r="Q44" i="14"/>
  <c r="Q43" i="14"/>
  <c r="Q30" i="14"/>
  <c r="Q29" i="14"/>
  <c r="V21" i="25"/>
  <c r="W5" i="25"/>
  <c r="AN29" i="25"/>
  <c r="Z5" i="25"/>
  <c r="H9" i="15"/>
  <c r="J38" i="15"/>
  <c r="O4" i="15"/>
  <c r="M9" i="14"/>
  <c r="Y5" i="25"/>
  <c r="V34" i="25"/>
  <c r="AI13" i="25"/>
  <c r="AI44" i="25" s="1"/>
  <c r="AM13" i="25"/>
  <c r="D11" i="14"/>
  <c r="I17" i="27"/>
  <c r="K13" i="15"/>
  <c r="H33" i="26"/>
  <c r="G56" i="26"/>
  <c r="I53" i="26" s="1"/>
  <c r="X5" i="25"/>
  <c r="V7" i="25"/>
  <c r="AU17" i="14"/>
  <c r="N26" i="25"/>
  <c r="T26" i="25" s="1"/>
  <c r="L7" i="25"/>
  <c r="N7" i="25" s="1"/>
  <c r="T7" i="25" s="1"/>
  <c r="AU14" i="14"/>
  <c r="Z5" i="29"/>
  <c r="V7" i="29"/>
  <c r="V5" i="29" s="1"/>
  <c r="V6" i="29" s="1"/>
  <c r="V21" i="29"/>
  <c r="Y5" i="29"/>
  <c r="AL44" i="29"/>
  <c r="AI40" i="29"/>
  <c r="J52" i="29"/>
  <c r="K29" i="29" s="1"/>
  <c r="J49" i="29"/>
  <c r="J56" i="29" s="1"/>
  <c r="J54" i="29"/>
  <c r="K31" i="29" s="1"/>
  <c r="J55" i="29"/>
  <c r="J51" i="29"/>
  <c r="K28" i="29" s="1"/>
  <c r="I28" i="29" s="1"/>
  <c r="AJ29" i="25"/>
  <c r="I12" i="25"/>
  <c r="E19" i="14"/>
  <c r="M15" i="14" s="1"/>
  <c r="AN13" i="26"/>
  <c r="AJ13" i="26" s="1"/>
  <c r="AI13" i="26"/>
  <c r="K8" i="27"/>
  <c r="C11" i="27"/>
  <c r="K7" i="28"/>
  <c r="L7" i="28" s="1"/>
  <c r="N7" i="28" s="1"/>
  <c r="T7" i="28" s="1"/>
  <c r="C8" i="28"/>
  <c r="K28" i="26"/>
  <c r="I28" i="26" s="1"/>
  <c r="I58" i="15" s="1"/>
  <c r="J18" i="15" s="1"/>
  <c r="L53" i="15"/>
  <c r="L58" i="15"/>
  <c r="K18" i="15" s="1"/>
  <c r="N26" i="26"/>
  <c r="T26" i="26" s="1"/>
  <c r="Y5" i="27"/>
  <c r="C23" i="28"/>
  <c r="C4" i="14"/>
  <c r="J49" i="26"/>
  <c r="J50" i="26"/>
  <c r="K27" i="26" s="1"/>
  <c r="J54" i="26"/>
  <c r="K31" i="26" s="1"/>
  <c r="G31" i="26" s="1"/>
  <c r="J52" i="26"/>
  <c r="K29" i="26" s="1"/>
  <c r="J55" i="26"/>
  <c r="K32" i="26" s="1"/>
  <c r="J53" i="26"/>
  <c r="K30" i="26" s="1"/>
  <c r="D18" i="14"/>
  <c r="L14" i="14" s="1"/>
  <c r="J5" i="15"/>
  <c r="J28" i="15"/>
  <c r="N28" i="15" s="1"/>
  <c r="P28" i="15" s="1"/>
  <c r="N21" i="26"/>
  <c r="L45" i="15"/>
  <c r="O19" i="15"/>
  <c r="M19" i="15"/>
  <c r="P19" i="15" s="1"/>
  <c r="L30" i="15"/>
  <c r="E18" i="14"/>
  <c r="M14" i="14" s="1"/>
  <c r="C11" i="25"/>
  <c r="H8" i="15"/>
  <c r="J37" i="15"/>
  <c r="H36" i="15"/>
  <c r="K15" i="26"/>
  <c r="H60" i="15"/>
  <c r="L8" i="15"/>
  <c r="L20" i="15" s="1"/>
  <c r="K24" i="29"/>
  <c r="C22" i="29"/>
  <c r="H21" i="29"/>
  <c r="AI25" i="29"/>
  <c r="J50" i="29"/>
  <c r="K27" i="29" s="1"/>
  <c r="J53" i="29"/>
  <c r="O5" i="15"/>
  <c r="M5" i="15"/>
  <c r="P5" i="15" s="1"/>
  <c r="J29" i="14"/>
  <c r="AI40" i="27"/>
  <c r="AI44" i="27" s="1"/>
  <c r="L21" i="25"/>
  <c r="N21" i="25" s="1"/>
  <c r="K9" i="25"/>
  <c r="C12" i="25"/>
  <c r="E17" i="14"/>
  <c r="M13" i="14" s="1"/>
  <c r="L4" i="14"/>
  <c r="D3" i="14"/>
  <c r="AN35" i="27"/>
  <c r="V34" i="27"/>
  <c r="AB35" i="27"/>
  <c r="K24" i="28"/>
  <c r="H21" i="28"/>
  <c r="I52" i="28"/>
  <c r="G56" i="28"/>
  <c r="K36" i="28"/>
  <c r="AM36" i="28" s="1"/>
  <c r="AN35" i="28"/>
  <c r="V34" i="28"/>
  <c r="Z5" i="28"/>
  <c r="AB44" i="28"/>
  <c r="W5" i="28"/>
  <c r="AK13" i="28"/>
  <c r="AI13" i="28"/>
  <c r="AI44" i="28" s="1"/>
  <c r="K26" i="29"/>
  <c r="I26" i="29" s="1"/>
  <c r="J49" i="27"/>
  <c r="J50" i="27"/>
  <c r="AJ13" i="29"/>
  <c r="G56" i="27"/>
  <c r="E14" i="14"/>
  <c r="M12" i="14" s="1"/>
  <c r="I55" i="25"/>
  <c r="I56" i="25" s="1"/>
  <c r="I12" i="26"/>
  <c r="H56" i="15"/>
  <c r="V21" i="26"/>
  <c r="V5" i="26" s="1"/>
  <c r="V6" i="26" s="1"/>
  <c r="H21" i="26"/>
  <c r="C22" i="26"/>
  <c r="AB35" i="26"/>
  <c r="V34" i="26"/>
  <c r="K24" i="27"/>
  <c r="H21" i="27"/>
  <c r="J54" i="27"/>
  <c r="X5" i="27"/>
  <c r="V21" i="28"/>
  <c r="AB35" i="28"/>
  <c r="AK39" i="28"/>
  <c r="AI40" i="28"/>
  <c r="G39" i="25"/>
  <c r="C13" i="25" s="1"/>
  <c r="E41" i="14" s="1"/>
  <c r="E5" i="14"/>
  <c r="M5" i="14" s="1"/>
  <c r="K40" i="25"/>
  <c r="AI44" i="29"/>
  <c r="K32" i="29"/>
  <c r="G32" i="29" s="1"/>
  <c r="K30" i="29"/>
  <c r="I51" i="29"/>
  <c r="I53" i="29"/>
  <c r="I55" i="29"/>
  <c r="I50" i="29"/>
  <c r="I56" i="29" s="1"/>
  <c r="I52" i="25"/>
  <c r="F14" i="14"/>
  <c r="N12" i="14" s="1"/>
  <c r="K7" i="26"/>
  <c r="I41" i="26"/>
  <c r="O27" i="15"/>
  <c r="O26" i="15" s="1"/>
  <c r="O63" i="15" s="1"/>
  <c r="H25" i="15"/>
  <c r="J25" i="15" s="1"/>
  <c r="C24" i="26"/>
  <c r="K44" i="26"/>
  <c r="AK29" i="27"/>
  <c r="AJ29" i="27" s="1"/>
  <c r="V29" i="27"/>
  <c r="L26" i="27" s="1"/>
  <c r="AK29" i="28"/>
  <c r="AJ29" i="28" s="1"/>
  <c r="V29" i="28"/>
  <c r="L26" i="28" s="1"/>
  <c r="B18" i="14"/>
  <c r="J14" i="14" s="1"/>
  <c r="K8" i="29"/>
  <c r="L7" i="29" s="1"/>
  <c r="C11" i="29"/>
  <c r="AU4" i="14"/>
  <c r="D7" i="24"/>
  <c r="D6" i="24"/>
  <c r="D5" i="24"/>
  <c r="H6" i="24"/>
  <c r="H7" i="24"/>
  <c r="H5" i="24"/>
  <c r="C10" i="14"/>
  <c r="C21" i="28"/>
  <c r="H58" i="15"/>
  <c r="K38" i="26"/>
  <c r="C14" i="26"/>
  <c r="C8" i="27"/>
  <c r="B14" i="14"/>
  <c r="J12" i="14" s="1"/>
  <c r="H56" i="25"/>
  <c r="K8" i="26"/>
  <c r="F18" i="14"/>
  <c r="N14" i="14" s="1"/>
  <c r="AI25" i="26"/>
  <c r="H44" i="15"/>
  <c r="G7" i="14"/>
  <c r="F5" i="14"/>
  <c r="N5" i="14" s="1"/>
  <c r="H46" i="15"/>
  <c r="W5" i="26"/>
  <c r="AK35" i="26"/>
  <c r="AB35" i="25"/>
  <c r="D17" i="14"/>
  <c r="L13" i="14" s="1"/>
  <c r="K9" i="27"/>
  <c r="C18" i="14"/>
  <c r="K14" i="14" s="1"/>
  <c r="C11" i="28"/>
  <c r="H33" i="28"/>
  <c r="F5" i="24"/>
  <c r="F7" i="24"/>
  <c r="AA5" i="26"/>
  <c r="W5" i="27"/>
  <c r="Z5" i="27"/>
  <c r="X5" i="28"/>
  <c r="AJ29" i="29"/>
  <c r="N50" i="15"/>
  <c r="P50" i="15" s="1"/>
  <c r="I46" i="26"/>
  <c r="C5" i="14"/>
  <c r="K5" i="14" s="1"/>
  <c r="G39" i="28"/>
  <c r="C13" i="28" s="1"/>
  <c r="C41" i="14" s="1"/>
  <c r="N7" i="29" l="1"/>
  <c r="T7" i="29" s="1"/>
  <c r="M20" i="29"/>
  <c r="G32" i="26"/>
  <c r="F33" i="14"/>
  <c r="N22" i="14" s="1"/>
  <c r="C15" i="26"/>
  <c r="I31" i="26"/>
  <c r="I34" i="15" s="1"/>
  <c r="J17" i="15" s="1"/>
  <c r="H34" i="15"/>
  <c r="N33" i="15"/>
  <c r="P33" i="15" s="1"/>
  <c r="G30" i="26"/>
  <c r="G27" i="26"/>
  <c r="J44" i="15"/>
  <c r="N44" i="15" s="1"/>
  <c r="P44" i="15" s="1"/>
  <c r="H45" i="15"/>
  <c r="J51" i="25"/>
  <c r="K28" i="25" s="1"/>
  <c r="I28" i="25" s="1"/>
  <c r="J55" i="25"/>
  <c r="K32" i="25" s="1"/>
  <c r="G32" i="25" s="1"/>
  <c r="J52" i="25"/>
  <c r="K29" i="25" s="1"/>
  <c r="J50" i="25"/>
  <c r="K27" i="25" s="1"/>
  <c r="J53" i="25"/>
  <c r="K30" i="25" s="1"/>
  <c r="J49" i="25"/>
  <c r="AP4" i="14"/>
  <c r="K31" i="27"/>
  <c r="K30" i="27"/>
  <c r="K28" i="27"/>
  <c r="I28" i="27" s="1"/>
  <c r="K32" i="27"/>
  <c r="G32" i="27" s="1"/>
  <c r="K29" i="27"/>
  <c r="K26" i="27"/>
  <c r="N26" i="27"/>
  <c r="T26" i="27" s="1"/>
  <c r="K27" i="27"/>
  <c r="L3" i="14"/>
  <c r="J36" i="15"/>
  <c r="N36" i="15" s="1"/>
  <c r="P36" i="15" s="1"/>
  <c r="H10" i="15"/>
  <c r="L44" i="15"/>
  <c r="K14" i="15"/>
  <c r="AU16" i="14" s="1"/>
  <c r="N53" i="15"/>
  <c r="P53" i="15" s="1"/>
  <c r="T20" i="28"/>
  <c r="M9" i="15"/>
  <c r="P9" i="15" s="1"/>
  <c r="O9" i="15"/>
  <c r="H3" i="15"/>
  <c r="J46" i="15"/>
  <c r="N46" i="15" s="1"/>
  <c r="P46" i="15" s="1"/>
  <c r="K8" i="14"/>
  <c r="G41" i="26"/>
  <c r="I27" i="15"/>
  <c r="J54" i="25"/>
  <c r="K31" i="25" s="1"/>
  <c r="Q10" i="14"/>
  <c r="Q14" i="14"/>
  <c r="Q9" i="14"/>
  <c r="Q15" i="14"/>
  <c r="Q11" i="14"/>
  <c r="Q12" i="14"/>
  <c r="Q13" i="14"/>
  <c r="L21" i="28"/>
  <c r="N21" i="28" s="1"/>
  <c r="J60" i="15"/>
  <c r="N60" i="15" s="1"/>
  <c r="P60" i="15" s="1"/>
  <c r="H61" i="15"/>
  <c r="J61" i="15" s="1"/>
  <c r="N61" i="15" s="1"/>
  <c r="P61" i="15" s="1"/>
  <c r="N37" i="15"/>
  <c r="P37" i="15" s="1"/>
  <c r="J56" i="26"/>
  <c r="G29" i="29"/>
  <c r="T20" i="25"/>
  <c r="U20" i="25"/>
  <c r="I50" i="26"/>
  <c r="I55" i="26"/>
  <c r="AM37" i="26"/>
  <c r="K30" i="28"/>
  <c r="K29" i="28"/>
  <c r="K32" i="28"/>
  <c r="G32" i="28" s="1"/>
  <c r="K28" i="28"/>
  <c r="I28" i="28" s="1"/>
  <c r="K31" i="28"/>
  <c r="G31" i="28" s="1"/>
  <c r="K26" i="28"/>
  <c r="N26" i="28"/>
  <c r="T26" i="28" s="1"/>
  <c r="K27" i="28"/>
  <c r="G30" i="29"/>
  <c r="I40" i="25"/>
  <c r="V5" i="28"/>
  <c r="V6" i="28" s="1"/>
  <c r="H11" i="15"/>
  <c r="L21" i="29"/>
  <c r="N21" i="29" s="1"/>
  <c r="AJ13" i="28"/>
  <c r="I49" i="28"/>
  <c r="I55" i="28"/>
  <c r="I53" i="28"/>
  <c r="I50" i="28"/>
  <c r="I54" i="28"/>
  <c r="I51" i="28"/>
  <c r="M8" i="15"/>
  <c r="P8" i="15" s="1"/>
  <c r="O8" i="15"/>
  <c r="G29" i="26"/>
  <c r="K4" i="14"/>
  <c r="C3" i="14"/>
  <c r="K26" i="26"/>
  <c r="L7" i="27"/>
  <c r="N7" i="27" s="1"/>
  <c r="T7" i="27" s="1"/>
  <c r="V5" i="25"/>
  <c r="V6" i="25" s="1"/>
  <c r="AU15" i="14"/>
  <c r="L9" i="14"/>
  <c r="I53" i="27"/>
  <c r="I50" i="27"/>
  <c r="I51" i="27"/>
  <c r="I55" i="27"/>
  <c r="I49" i="27"/>
  <c r="I56" i="27" s="1"/>
  <c r="I52" i="27"/>
  <c r="I54" i="27"/>
  <c r="I54" i="26"/>
  <c r="I52" i="26"/>
  <c r="I51" i="26"/>
  <c r="I49" i="26"/>
  <c r="I56" i="26" s="1"/>
  <c r="AJ13" i="25"/>
  <c r="H18" i="15"/>
  <c r="J58" i="15"/>
  <c r="N58" i="15" s="1"/>
  <c r="P58" i="15" s="1"/>
  <c r="L7" i="26"/>
  <c r="R23" i="29"/>
  <c r="I32" i="29"/>
  <c r="J56" i="27"/>
  <c r="G27" i="29"/>
  <c r="V5" i="27"/>
  <c r="V6" i="27" s="1"/>
  <c r="AI44" i="26"/>
  <c r="G31" i="29"/>
  <c r="L21" i="27"/>
  <c r="N21" i="27" s="1"/>
  <c r="N38" i="15"/>
  <c r="P38" i="15" s="1"/>
  <c r="I56" i="28" l="1"/>
  <c r="B32" i="14"/>
  <c r="J21" i="14" s="1"/>
  <c r="B30" i="14"/>
  <c r="J19" i="14" s="1"/>
  <c r="I30" i="29"/>
  <c r="C10" i="29"/>
  <c r="I26" i="28"/>
  <c r="G29" i="28"/>
  <c r="N35" i="15"/>
  <c r="P35" i="15" s="1"/>
  <c r="L30" i="14"/>
  <c r="G27" i="27"/>
  <c r="C22" i="27"/>
  <c r="R23" i="27"/>
  <c r="I32" i="27"/>
  <c r="G29" i="25"/>
  <c r="M4" i="15"/>
  <c r="P4" i="15" s="1"/>
  <c r="R23" i="26"/>
  <c r="I32" i="26"/>
  <c r="N7" i="26"/>
  <c r="T7" i="26" s="1"/>
  <c r="N59" i="15"/>
  <c r="P59" i="15" s="1"/>
  <c r="L55" i="15"/>
  <c r="M20" i="26"/>
  <c r="N47" i="15"/>
  <c r="P47" i="15" s="1"/>
  <c r="O18" i="15"/>
  <c r="M18" i="15"/>
  <c r="P18" i="15" s="1"/>
  <c r="K3" i="14"/>
  <c r="K29" i="14"/>
  <c r="C33" i="14"/>
  <c r="K22" i="14" s="1"/>
  <c r="I31" i="28"/>
  <c r="C15" i="28"/>
  <c r="G30" i="28"/>
  <c r="G31" i="25"/>
  <c r="M3" i="15"/>
  <c r="P3" i="15" s="1"/>
  <c r="O3" i="15"/>
  <c r="O10" i="15"/>
  <c r="M10" i="15"/>
  <c r="P10" i="15" s="1"/>
  <c r="J56" i="25"/>
  <c r="K26" i="25"/>
  <c r="C22" i="25"/>
  <c r="I32" i="25"/>
  <c r="R23" i="25"/>
  <c r="I29" i="26"/>
  <c r="I43" i="15" s="1"/>
  <c r="O11" i="15"/>
  <c r="G40" i="25"/>
  <c r="G27" i="28"/>
  <c r="I29" i="29"/>
  <c r="G19" i="29" s="1"/>
  <c r="Q7" i="14"/>
  <c r="I26" i="15"/>
  <c r="J2" i="15"/>
  <c r="I26" i="27"/>
  <c r="G30" i="27"/>
  <c r="G30" i="25"/>
  <c r="I30" i="26"/>
  <c r="I41" i="15" s="1"/>
  <c r="H41" i="15"/>
  <c r="F32" i="14"/>
  <c r="N21" i="14" s="1"/>
  <c r="F30" i="14"/>
  <c r="N19" i="14" s="1"/>
  <c r="C10" i="26"/>
  <c r="H17" i="15"/>
  <c r="J34" i="15"/>
  <c r="N34" i="15" s="1"/>
  <c r="C16" i="29"/>
  <c r="B31" i="14"/>
  <c r="J20" i="14" s="1"/>
  <c r="I27" i="29"/>
  <c r="H26" i="29"/>
  <c r="G35" i="29"/>
  <c r="C7" i="29" s="1"/>
  <c r="C5" i="29" s="1"/>
  <c r="B33" i="14"/>
  <c r="J22" i="14" s="1"/>
  <c r="C15" i="29"/>
  <c r="I31" i="29"/>
  <c r="T20" i="27"/>
  <c r="I26" i="26"/>
  <c r="I32" i="28"/>
  <c r="R23" i="28"/>
  <c r="C22" i="28"/>
  <c r="C23" i="26"/>
  <c r="H27" i="15"/>
  <c r="F4" i="14"/>
  <c r="L42" i="15"/>
  <c r="L29" i="14"/>
  <c r="G29" i="27"/>
  <c r="G31" i="27"/>
  <c r="G27" i="25"/>
  <c r="H14" i="15"/>
  <c r="J45" i="15"/>
  <c r="N45" i="15" s="1"/>
  <c r="P45" i="15" s="1"/>
  <c r="I27" i="26"/>
  <c r="F31" i="14"/>
  <c r="N20" i="14" s="1"/>
  <c r="H57" i="15"/>
  <c r="C16" i="26"/>
  <c r="G35" i="26"/>
  <c r="F29" i="14" s="1"/>
  <c r="N18" i="14" s="1"/>
  <c r="H26" i="26"/>
  <c r="T20" i="29"/>
  <c r="Q39" i="14" l="1"/>
  <c r="Q35" i="14"/>
  <c r="Q38" i="14"/>
  <c r="Q34" i="14"/>
  <c r="Q37" i="14"/>
  <c r="Q33" i="14"/>
  <c r="Q40" i="14"/>
  <c r="Q36" i="14"/>
  <c r="I19" i="29"/>
  <c r="J7" i="29" s="1"/>
  <c r="S23" i="29"/>
  <c r="B12" i="14"/>
  <c r="H7" i="29"/>
  <c r="C10" i="27"/>
  <c r="D30" i="14"/>
  <c r="L19" i="14" s="1"/>
  <c r="D32" i="14"/>
  <c r="L21" i="14" s="1"/>
  <c r="I30" i="27"/>
  <c r="I42" i="15"/>
  <c r="J13" i="15"/>
  <c r="I30" i="15"/>
  <c r="G19" i="26"/>
  <c r="C29" i="14"/>
  <c r="K18" i="14" s="1"/>
  <c r="I29" i="28"/>
  <c r="H15" i="15"/>
  <c r="H55" i="15"/>
  <c r="D33" i="14"/>
  <c r="L22" i="14" s="1"/>
  <c r="I31" i="27"/>
  <c r="C15" i="27"/>
  <c r="C31" i="14"/>
  <c r="K20" i="14" s="1"/>
  <c r="H26" i="28"/>
  <c r="C16" i="28"/>
  <c r="I27" i="28"/>
  <c r="G35" i="28"/>
  <c r="E33" i="14"/>
  <c r="M22" i="14" s="1"/>
  <c r="I31" i="25"/>
  <c r="C15" i="25"/>
  <c r="I30" i="28"/>
  <c r="C32" i="14"/>
  <c r="K21" i="14" s="1"/>
  <c r="C10" i="28"/>
  <c r="C30" i="14"/>
  <c r="K19" i="14" s="1"/>
  <c r="L29" i="15"/>
  <c r="L63" i="15" s="1"/>
  <c r="L66" i="15" s="1"/>
  <c r="T20" i="26"/>
  <c r="U20" i="26"/>
  <c r="I29" i="25"/>
  <c r="G19" i="25" s="1"/>
  <c r="C7" i="25"/>
  <c r="C5" i="25" s="1"/>
  <c r="E31" i="14"/>
  <c r="M20" i="14" s="1"/>
  <c r="I27" i="25"/>
  <c r="H26" i="25"/>
  <c r="C16" i="25"/>
  <c r="G35" i="25"/>
  <c r="I29" i="27"/>
  <c r="G19" i="27" s="1"/>
  <c r="N4" i="14"/>
  <c r="F3" i="14"/>
  <c r="P34" i="15"/>
  <c r="H39" i="15"/>
  <c r="J39" i="15" s="1"/>
  <c r="H16" i="15"/>
  <c r="J41" i="15"/>
  <c r="N41" i="15" s="1"/>
  <c r="P41" i="15" s="1"/>
  <c r="C23" i="25"/>
  <c r="E4" i="14"/>
  <c r="I26" i="25"/>
  <c r="K30" i="14"/>
  <c r="K7" i="15"/>
  <c r="N25" i="15"/>
  <c r="G35" i="27"/>
  <c r="D29" i="14" s="1"/>
  <c r="L18" i="14" s="1"/>
  <c r="I27" i="27"/>
  <c r="D31" i="14"/>
  <c r="L20" i="14" s="1"/>
  <c r="H26" i="27"/>
  <c r="C16" i="27"/>
  <c r="H34" i="29"/>
  <c r="K35" i="29"/>
  <c r="B29" i="14"/>
  <c r="J18" i="14" s="1"/>
  <c r="N40" i="15"/>
  <c r="P40" i="15" s="1"/>
  <c r="L39" i="15"/>
  <c r="M14" i="15"/>
  <c r="P14" i="15" s="1"/>
  <c r="O14" i="15"/>
  <c r="H43" i="15"/>
  <c r="K35" i="26"/>
  <c r="H34" i="26"/>
  <c r="I57" i="15"/>
  <c r="J15" i="15" s="1"/>
  <c r="I56" i="15"/>
  <c r="H2" i="15"/>
  <c r="H26" i="15"/>
  <c r="J26" i="15" s="1"/>
  <c r="J27" i="15"/>
  <c r="N27" i="15" s="1"/>
  <c r="G19" i="28"/>
  <c r="O17" i="15"/>
  <c r="M17" i="15"/>
  <c r="P17" i="15" s="1"/>
  <c r="J16" i="15"/>
  <c r="I39" i="15"/>
  <c r="E30" i="14"/>
  <c r="M19" i="14" s="1"/>
  <c r="E32" i="14"/>
  <c r="M21" i="14" s="1"/>
  <c r="I30" i="25"/>
  <c r="C10" i="25"/>
  <c r="C7" i="26"/>
  <c r="C5" i="26" s="1"/>
  <c r="N54" i="15"/>
  <c r="P54" i="15" s="1"/>
  <c r="L52" i="15"/>
  <c r="N52" i="15" s="1"/>
  <c r="P52" i="15" s="1"/>
  <c r="N39" i="15" l="1"/>
  <c r="P39" i="15" s="1"/>
  <c r="S23" i="27"/>
  <c r="I19" i="27"/>
  <c r="J7" i="27" s="1"/>
  <c r="D12" i="14"/>
  <c r="H7" i="27"/>
  <c r="I19" i="25"/>
  <c r="J7" i="25" s="1"/>
  <c r="S23" i="25"/>
  <c r="H7" i="25"/>
  <c r="E12" i="14"/>
  <c r="C12" i="14"/>
  <c r="I19" i="28"/>
  <c r="J7" i="28" s="1"/>
  <c r="S23" i="28"/>
  <c r="H7" i="28"/>
  <c r="H42" i="15"/>
  <c r="J42" i="15" s="1"/>
  <c r="N42" i="15" s="1"/>
  <c r="P42" i="15" s="1"/>
  <c r="H13" i="15"/>
  <c r="J43" i="15"/>
  <c r="N43" i="15" s="1"/>
  <c r="P43" i="15" s="1"/>
  <c r="M4" i="14"/>
  <c r="E3" i="14"/>
  <c r="M15" i="15"/>
  <c r="P15" i="15" s="1"/>
  <c r="O15" i="15"/>
  <c r="AM35" i="29"/>
  <c r="AJ40" i="29" s="1"/>
  <c r="L34" i="29"/>
  <c r="T39" i="29" s="1"/>
  <c r="T45" i="29" s="1"/>
  <c r="K20" i="15"/>
  <c r="N26" i="15"/>
  <c r="P26" i="15" s="1"/>
  <c r="N3" i="14"/>
  <c r="N29" i="14"/>
  <c r="H34" i="25"/>
  <c r="K35" i="25"/>
  <c r="E29" i="14"/>
  <c r="M18" i="14" s="1"/>
  <c r="I19" i="26"/>
  <c r="F12" i="14"/>
  <c r="H30" i="15"/>
  <c r="H31" i="15"/>
  <c r="S23" i="26"/>
  <c r="H7" i="26"/>
  <c r="B28" i="14"/>
  <c r="G5" i="29"/>
  <c r="T23" i="29"/>
  <c r="J11" i="15"/>
  <c r="I55" i="15"/>
  <c r="J56" i="15"/>
  <c r="N56" i="15" s="1"/>
  <c r="P56" i="15" s="1"/>
  <c r="H34" i="27"/>
  <c r="K35" i="27"/>
  <c r="N69" i="15"/>
  <c r="P27" i="15"/>
  <c r="M7" i="15"/>
  <c r="P7" i="15" s="1"/>
  <c r="K35" i="28"/>
  <c r="H34" i="28"/>
  <c r="J57" i="15"/>
  <c r="N57" i="15" s="1"/>
  <c r="P57" i="15" s="1"/>
  <c r="J10" i="14"/>
  <c r="B9" i="14"/>
  <c r="O2" i="15"/>
  <c r="M2" i="15"/>
  <c r="L34" i="26"/>
  <c r="T39" i="26" s="1"/>
  <c r="AM35" i="26"/>
  <c r="AJ40" i="26" s="1"/>
  <c r="P25" i="15"/>
  <c r="O16" i="15"/>
  <c r="M16" i="15"/>
  <c r="P16" i="15" s="1"/>
  <c r="C7" i="27"/>
  <c r="C5" i="27" s="1"/>
  <c r="J55" i="15"/>
  <c r="N55" i="15" s="1"/>
  <c r="P55" i="15" s="1"/>
  <c r="C7" i="28"/>
  <c r="C5" i="28" s="1"/>
  <c r="J12" i="15"/>
  <c r="L34" i="27" l="1"/>
  <c r="T39" i="27" s="1"/>
  <c r="T45" i="27" s="1"/>
  <c r="AM35" i="27"/>
  <c r="AJ40" i="27" s="1"/>
  <c r="M11" i="15"/>
  <c r="P11" i="15" s="1"/>
  <c r="G6" i="29"/>
  <c r="B47" i="14"/>
  <c r="H6" i="15"/>
  <c r="L34" i="25"/>
  <c r="T39" i="25" s="1"/>
  <c r="T45" i="25" s="1"/>
  <c r="AM35" i="25"/>
  <c r="AJ40" i="25" s="1"/>
  <c r="C28" i="14"/>
  <c r="G5" i="28"/>
  <c r="T23" i="28"/>
  <c r="M10" i="14"/>
  <c r="E9" i="14"/>
  <c r="T45" i="26"/>
  <c r="AM35" i="28"/>
  <c r="AJ40" i="28" s="1"/>
  <c r="L34" i="28"/>
  <c r="T39" i="28" s="1"/>
  <c r="T45" i="28" s="1"/>
  <c r="H29" i="15"/>
  <c r="H12" i="15"/>
  <c r="J30" i="15"/>
  <c r="N30" i="15" s="1"/>
  <c r="K21" i="15"/>
  <c r="O13" i="15"/>
  <c r="M13" i="15"/>
  <c r="P13" i="15" s="1"/>
  <c r="L10" i="14"/>
  <c r="D9" i="14"/>
  <c r="P2" i="15"/>
  <c r="J7" i="14"/>
  <c r="J35" i="14" s="1"/>
  <c r="J17" i="14"/>
  <c r="B27" i="14"/>
  <c r="B2" i="14" s="1"/>
  <c r="F9" i="14"/>
  <c r="N10" i="14"/>
  <c r="K10" i="14"/>
  <c r="C9" i="14"/>
  <c r="E28" i="14"/>
  <c r="T23" i="25"/>
  <c r="G5" i="25"/>
  <c r="AN23" i="29"/>
  <c r="AO23" i="29"/>
  <c r="AK23" i="29"/>
  <c r="T33" i="29"/>
  <c r="AL23" i="29"/>
  <c r="AM23" i="29"/>
  <c r="T5" i="29"/>
  <c r="T6" i="29" s="1"/>
  <c r="F28" i="14"/>
  <c r="M43" i="26"/>
  <c r="G5" i="26"/>
  <c r="T23" i="26"/>
  <c r="I31" i="15"/>
  <c r="J7" i="26"/>
  <c r="N30" i="14"/>
  <c r="N71" i="15"/>
  <c r="M3" i="14"/>
  <c r="M29" i="14" s="1"/>
  <c r="D28" i="14"/>
  <c r="T23" i="27"/>
  <c r="G5" i="27"/>
  <c r="B46" i="14" l="1"/>
  <c r="B40" i="14"/>
  <c r="J6" i="15"/>
  <c r="M6" i="15" s="1"/>
  <c r="I29" i="15"/>
  <c r="I63" i="15" s="1"/>
  <c r="I66" i="15" s="1"/>
  <c r="F27" i="14"/>
  <c r="N17" i="14"/>
  <c r="AL5" i="29"/>
  <c r="AN5" i="29"/>
  <c r="M17" i="14"/>
  <c r="E27" i="14"/>
  <c r="E2" i="14" s="1"/>
  <c r="F2" i="14"/>
  <c r="L7" i="14"/>
  <c r="D27" i="14"/>
  <c r="L17" i="14"/>
  <c r="G6" i="25"/>
  <c r="E47" i="14"/>
  <c r="P30" i="15"/>
  <c r="Q2" i="14"/>
  <c r="Q24" i="14" s="1"/>
  <c r="M35" i="14"/>
  <c r="M7" i="14"/>
  <c r="C27" i="14"/>
  <c r="K17" i="14"/>
  <c r="J31" i="15"/>
  <c r="N31" i="15" s="1"/>
  <c r="D47" i="14"/>
  <c r="G6" i="27"/>
  <c r="F47" i="14"/>
  <c r="G6" i="26"/>
  <c r="AJ23" i="29"/>
  <c r="AJ5" i="29" s="1"/>
  <c r="AJ6" i="29" s="1"/>
  <c r="AK5" i="29"/>
  <c r="AL23" i="25"/>
  <c r="AN23" i="25"/>
  <c r="AK23" i="25"/>
  <c r="AM23" i="25"/>
  <c r="T33" i="25"/>
  <c r="AO23" i="25"/>
  <c r="T5" i="25"/>
  <c r="T6" i="25" s="1"/>
  <c r="K35" i="14"/>
  <c r="K7" i="14"/>
  <c r="J16" i="14"/>
  <c r="J42" i="14"/>
  <c r="O12" i="15"/>
  <c r="M12" i="15"/>
  <c r="P12" i="15" s="1"/>
  <c r="T33" i="28"/>
  <c r="AN23" i="28"/>
  <c r="AN5" i="28" s="1"/>
  <c r="AL23" i="28"/>
  <c r="AL5" i="28" s="1"/>
  <c r="AO23" i="28"/>
  <c r="AO5" i="28" s="1"/>
  <c r="AK23" i="28"/>
  <c r="AM23" i="28"/>
  <c r="AM5" i="28" s="1"/>
  <c r="T5" i="28"/>
  <c r="T6" i="28" s="1"/>
  <c r="O6" i="15"/>
  <c r="H20" i="15"/>
  <c r="AL23" i="26"/>
  <c r="AL5" i="26" s="1"/>
  <c r="T33" i="26"/>
  <c r="AO23" i="26"/>
  <c r="AO5" i="26" s="1"/>
  <c r="AK23" i="26"/>
  <c r="AN23" i="26"/>
  <c r="AN5" i="26" s="1"/>
  <c r="AM23" i="26"/>
  <c r="AM5" i="26" s="1"/>
  <c r="C2" i="14"/>
  <c r="T33" i="27"/>
  <c r="AO23" i="27"/>
  <c r="AO5" i="27" s="1"/>
  <c r="AK23" i="27"/>
  <c r="AL23" i="27"/>
  <c r="AL5" i="27" s="1"/>
  <c r="AM23" i="27"/>
  <c r="AM5" i="27" s="1"/>
  <c r="AN23" i="27"/>
  <c r="AN5" i="27" s="1"/>
  <c r="T5" i="27"/>
  <c r="T6" i="27" s="1"/>
  <c r="M30" i="14"/>
  <c r="AM5" i="29"/>
  <c r="AO5" i="29"/>
  <c r="N7" i="14"/>
  <c r="J2" i="14"/>
  <c r="J36" i="14"/>
  <c r="J34" i="14"/>
  <c r="J38" i="14"/>
  <c r="J33" i="14"/>
  <c r="J40" i="14"/>
  <c r="J37" i="14"/>
  <c r="J39" i="14"/>
  <c r="D2" i="14"/>
  <c r="J29" i="15"/>
  <c r="H63" i="15"/>
  <c r="T5" i="26"/>
  <c r="T6" i="26" s="1"/>
  <c r="G6" i="28"/>
  <c r="C47" i="14"/>
  <c r="P6" i="15" l="1"/>
  <c r="M20" i="15"/>
  <c r="M42" i="14"/>
  <c r="M16" i="14"/>
  <c r="D40" i="14"/>
  <c r="D46" i="14"/>
  <c r="T2" i="14"/>
  <c r="T24" i="14" s="1"/>
  <c r="AJ23" i="26"/>
  <c r="AJ5" i="26" s="1"/>
  <c r="AJ6" i="26" s="1"/>
  <c r="AK5" i="26"/>
  <c r="K40" i="14"/>
  <c r="K36" i="14"/>
  <c r="K37" i="14"/>
  <c r="K38" i="14"/>
  <c r="K34" i="14"/>
  <c r="K39" i="14"/>
  <c r="K33" i="14"/>
  <c r="AL5" i="25"/>
  <c r="P31" i="15"/>
  <c r="N68" i="15"/>
  <c r="N70" i="15"/>
  <c r="R2" i="14"/>
  <c r="R24" i="14" s="1"/>
  <c r="E40" i="14"/>
  <c r="E46" i="14"/>
  <c r="U2" i="14"/>
  <c r="U24" i="14" s="1"/>
  <c r="K16" i="14"/>
  <c r="K42" i="14"/>
  <c r="L40" i="14"/>
  <c r="L36" i="14"/>
  <c r="L33" i="14"/>
  <c r="L37" i="14"/>
  <c r="L38" i="14"/>
  <c r="L39" i="14"/>
  <c r="L34" i="14"/>
  <c r="J20" i="15"/>
  <c r="J21" i="15" s="1"/>
  <c r="C40" i="14"/>
  <c r="C46" i="14"/>
  <c r="H22" i="15"/>
  <c r="H21" i="15"/>
  <c r="AJ23" i="25"/>
  <c r="AJ5" i="25" s="1"/>
  <c r="AJ6" i="25" s="1"/>
  <c r="AK5" i="25"/>
  <c r="S2" i="14"/>
  <c r="S24" i="14" s="1"/>
  <c r="L35" i="14"/>
  <c r="N42" i="14"/>
  <c r="N16" i="14"/>
  <c r="N38" i="14"/>
  <c r="N36" i="14"/>
  <c r="N40" i="14"/>
  <c r="N34" i="14"/>
  <c r="N33" i="14"/>
  <c r="N37" i="14"/>
  <c r="N39" i="14"/>
  <c r="N2" i="14"/>
  <c r="AM5" i="25"/>
  <c r="H64" i="15"/>
  <c r="H65" i="15"/>
  <c r="N35" i="14"/>
  <c r="N29" i="15"/>
  <c r="J63" i="15"/>
  <c r="AJ23" i="27"/>
  <c r="AJ5" i="27" s="1"/>
  <c r="AJ6" i="27" s="1"/>
  <c r="AK5" i="27"/>
  <c r="O20" i="15"/>
  <c r="AJ23" i="28"/>
  <c r="AJ5" i="28" s="1"/>
  <c r="AJ6" i="28" s="1"/>
  <c r="AK5" i="28"/>
  <c r="J47" i="14"/>
  <c r="J44" i="14"/>
  <c r="J45" i="14"/>
  <c r="J46" i="14"/>
  <c r="J43" i="14"/>
  <c r="AO5" i="25"/>
  <c r="AN5" i="25"/>
  <c r="M36" i="14"/>
  <c r="M33" i="14"/>
  <c r="M37" i="14"/>
  <c r="M34" i="14"/>
  <c r="M40" i="14"/>
  <c r="M38" i="14"/>
  <c r="M39" i="14"/>
  <c r="L16" i="14"/>
  <c r="L2" i="14" s="1"/>
  <c r="F40" i="14"/>
  <c r="F46" i="14"/>
  <c r="K47" i="14" l="1"/>
  <c r="K46" i="14"/>
  <c r="K43" i="14"/>
  <c r="K44" i="14"/>
  <c r="K45" i="14"/>
  <c r="K2" i="14"/>
  <c r="M44" i="14"/>
  <c r="M45" i="14"/>
  <c r="M47" i="14"/>
  <c r="M46" i="14"/>
  <c r="M43" i="14"/>
  <c r="M2" i="14"/>
  <c r="O2" i="14"/>
  <c r="L42" i="14"/>
  <c r="P29" i="15"/>
  <c r="P63" i="15" s="1"/>
  <c r="P66" i="15" s="1"/>
  <c r="N63" i="15"/>
  <c r="N66" i="15" s="1"/>
  <c r="N47" i="14"/>
  <c r="N43" i="14"/>
  <c r="N45" i="14"/>
  <c r="N46" i="14"/>
  <c r="N44" i="14"/>
  <c r="V2" i="14"/>
  <c r="P20" i="15"/>
  <c r="H66" i="15"/>
  <c r="H67" i="15"/>
  <c r="L43" i="14"/>
  <c r="L46" i="14"/>
  <c r="L45" i="14"/>
  <c r="L47" i="14"/>
  <c r="L44" i="14"/>
  <c r="M21" i="15" l="1"/>
</calcChain>
</file>

<file path=xl/comments1.xml><?xml version="1.0" encoding="utf-8"?>
<comments xmlns="http://schemas.openxmlformats.org/spreadsheetml/2006/main">
  <authors>
    <author>Gaël CALLONNEC</author>
  </authors>
  <commentList>
    <comment ref="K35" authorId="0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pertes des step</t>
        </r>
      </text>
    </comment>
  </commentList>
</comments>
</file>

<file path=xl/comments2.xml><?xml version="1.0" encoding="utf-8"?>
<comments xmlns="http://schemas.openxmlformats.org/spreadsheetml/2006/main">
  <authors>
    <author>MEUNIER Laurent</author>
    <author>Gaël CALLONNEC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énergétiques incluses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non énergétiques incluses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9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P48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</commentList>
</comments>
</file>

<file path=xl/comments3.xml><?xml version="1.0" encoding="utf-8"?>
<comments xmlns="http://schemas.openxmlformats.org/spreadsheetml/2006/main">
  <authors>
    <author>Gaël CALLONNEC</author>
    <author>NAULEAU Marie-Laure</author>
  </authors>
  <commentList>
    <comment ref="T6" authorId="0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cela correspond aux écarts d'électricité entre la feuille elec et la feuille bilan complet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on retranche les pertes dans le réseau de distribution de gaz produit par le gaz et le bois énergie</t>
        </r>
      </text>
    </comment>
    <comment ref="AB35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Sous-estimation dans Scenario Demande par rapport au Bilan complet =&gt; préséance du bilan complet</t>
        </r>
      </text>
    </comment>
    <comment ref="T39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On retire des conso finales les consommations de combustibles non énergétiques : le fioul lourd (plasturgie, chimie) et le gaz dans l'industrie (engrais)</t>
        </r>
      </text>
    </comment>
    <comment ref="AB40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Sous-estimation dans Scenario Demande par rapport au Bilan complet due à la non prise en compte du chauffage dans les résidences secondaires et du transport international =&gt; préséance du bilan complet pour les inputs 3ME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4.xml><?xml version="1.0" encoding="utf-8"?>
<comments xmlns="http://schemas.openxmlformats.org/spreadsheetml/2006/main">
  <authors>
    <author>Gaël CALLONNEC</author>
    <author>NAULEAU Marie-Laure</author>
  </authors>
  <commentList>
    <comment ref="T6" authorId="0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cela correspond aux écarts d'électricité entre la feuille elec et la feuille bilan complet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on retranche les pertes dans le réseau de distribution de gaz produit par le gaz et le bois énergie</t>
        </r>
      </text>
    </comment>
    <comment ref="AB35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Sous-estimation dans Scenario Demande par rapport au Bilan complet =&gt; préséance du bilan complet</t>
        </r>
      </text>
    </comment>
    <comment ref="T39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On retire des conso finales les consommations de combustibles non énergétiques : le fioul lourd (plasturgie, chimie) et le gaz dans l'industrie (engrais)</t>
        </r>
      </text>
    </comment>
    <comment ref="AB40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Sous-estimation dans Scenario Demande par rapport au Bilan complet due à la non prise en compte du chauffage dans les résidences secondaires et du transport international =&gt; préséance du bilan complet pour les inputs 3ME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5.xml><?xml version="1.0" encoding="utf-8"?>
<comments xmlns="http://schemas.openxmlformats.org/spreadsheetml/2006/main">
  <authors>
    <author>Gaël CALLONNEC</author>
    <author>NAULEAU Marie-Laure</author>
  </authors>
  <commentList>
    <comment ref="T6" authorId="0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cela correspond aux écarts d'électricité entre la feuille elec et la feuille bilan complet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on retranche les pertes dans le réseau de distribution de gaz produit par le gaz et le bois énergie</t>
        </r>
      </text>
    </comment>
    <comment ref="AB35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Sous-estimation dans Scenario Demande par rapport au Bilan complet =&gt; préséance du bilan complet</t>
        </r>
      </text>
    </comment>
    <comment ref="T39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On retire des conso finales les consommations de combustibles non énergétiques : le fioul lourd (plasturgie, chimie) et le gaz dans l'industrie (engrais)</t>
        </r>
      </text>
    </comment>
    <comment ref="AB40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Sous-estimation dans Scenario Demande par rapport au Bilan complet due à la non prise en compte du chauffage dans les résidences secondaires et du transport international =&gt; préséance du bilan complet pour les inputs 3ME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6.xml><?xml version="1.0" encoding="utf-8"?>
<comments xmlns="http://schemas.openxmlformats.org/spreadsheetml/2006/main">
  <authors>
    <author>Gaël CALLONNEC</author>
    <author>NAULEAU Marie-Laure</author>
  </authors>
  <commentList>
    <comment ref="T6" authorId="0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cela correspond aux écarts d'électricité entre la feuille elec et la feuille bilan complet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on retranche les pertes dans le réseau de distribution de gaz produit par le gaz et le bois énergie</t>
        </r>
      </text>
    </comment>
    <comment ref="AB35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Sous-estimation dans Scenario Demande par rapport au Bilan complet =&gt; préséance du bilan complet</t>
        </r>
      </text>
    </comment>
    <comment ref="T39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On retire des conso finales les consommations de combustibles non énergétiques : le fioul lourd (plasturgie, chimie) et le gaz dans l'industrie (engrais)</t>
        </r>
      </text>
    </comment>
    <comment ref="AB40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Sous-estimation dans Scenario Demande par rapport au Bilan complet due à la non prise en compte du chauffage dans les résidences secondaires et du transport international =&gt; préséance du bilan complet pour les inputs 3ME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7.xml><?xml version="1.0" encoding="utf-8"?>
<comments xmlns="http://schemas.openxmlformats.org/spreadsheetml/2006/main">
  <authors>
    <author>Gaël CALLONNEC</author>
    <author>NAULEAU Marie-Laure</author>
  </authors>
  <commentList>
    <comment ref="T6" authorId="0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cela correspond aux écarts d'électricité entre la feuille elec et la feuille bilan complet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on retranche les pertes dans le réseau de distribution de gaz produit par le gaz et le bois énergie</t>
        </r>
      </text>
    </comment>
    <comment ref="AB35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Sous-estimation dans Scenario Demande par rapport au Bilan complet =&gt; préséance du bilan complet</t>
        </r>
      </text>
    </comment>
    <comment ref="T39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On retire des conso finales les consommations de combustibles non énergétiques : le fioul lourd (plasturgie, chimie) et le gaz dans l'industrie (engrais)</t>
        </r>
      </text>
    </comment>
    <comment ref="AB40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Sous-estimation dans Scenario Demande par rapport au Bilan complet due à la non prise en compte du chauffage dans les résidences secondaires et du transport international =&gt; préséance du bilan complet pour les inputs 3ME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les 248.2 du bilan complet s'explique par l'écart de production d'élec avec les centrales au fioul dans le bilan de 0.1
. </t>
        </r>
      </text>
    </comment>
  </commentList>
</comments>
</file>

<file path=xl/comments8.xml><?xml version="1.0" encoding="utf-8"?>
<comments xmlns="http://schemas.openxmlformats.org/spreadsheetml/2006/main">
  <authors>
    <author>Auteur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En 2010 ce chiffre inclut aussi une partie de la production </t>
        </r>
      </text>
    </comment>
  </commentList>
</comments>
</file>

<file path=xl/comments9.xml><?xml version="1.0" encoding="utf-8"?>
<comments xmlns="http://schemas.openxmlformats.org/spreadsheetml/2006/main">
  <authors>
    <author>MEUNIER Laurent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non énergétiques incluses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</commentList>
</comments>
</file>

<file path=xl/sharedStrings.xml><?xml version="1.0" encoding="utf-8"?>
<sst xmlns="http://schemas.openxmlformats.org/spreadsheetml/2006/main" count="2044" uniqueCount="642">
  <si>
    <t>Production énergie pour injection réseau</t>
  </si>
  <si>
    <t>Flux réseaux</t>
  </si>
  <si>
    <t>Usages finals énergétiques</t>
  </si>
  <si>
    <t>Utilisation</t>
  </si>
  <si>
    <t>Injections</t>
  </si>
  <si>
    <t>Soutirages</t>
  </si>
  <si>
    <t xml:space="preserve">Pertes </t>
  </si>
  <si>
    <t>Réseau</t>
  </si>
  <si>
    <t>source</t>
  </si>
  <si>
    <t>Total</t>
  </si>
  <si>
    <t>Pertes</t>
  </si>
  <si>
    <t>Exports</t>
  </si>
  <si>
    <t>RG</t>
  </si>
  <si>
    <t>RC</t>
  </si>
  <si>
    <t>RE</t>
  </si>
  <si>
    <t>Conso fin.nat.</t>
  </si>
  <si>
    <t>Agr</t>
  </si>
  <si>
    <t>Ind</t>
  </si>
  <si>
    <t>Rés</t>
  </si>
  <si>
    <t>Ter</t>
  </si>
  <si>
    <t>Tra</t>
  </si>
  <si>
    <t>Eolien</t>
  </si>
  <si>
    <t>Hydroélectricité</t>
  </si>
  <si>
    <t>PV</t>
  </si>
  <si>
    <t>Nucléaire</t>
  </si>
  <si>
    <t>Méthanisation</t>
  </si>
  <si>
    <t>UIOM</t>
  </si>
  <si>
    <t>Bois énergie</t>
  </si>
  <si>
    <t>Géothermie</t>
  </si>
  <si>
    <t>Energies marines</t>
  </si>
  <si>
    <t>Chaleur fatale</t>
  </si>
  <si>
    <t>Réseau de gaz</t>
  </si>
  <si>
    <t>BtG</t>
  </si>
  <si>
    <t>Hydrogène</t>
  </si>
  <si>
    <t>Gaz naturel</t>
  </si>
  <si>
    <t>Solaire thermique</t>
  </si>
  <si>
    <t>Usage direct</t>
  </si>
  <si>
    <t>Ess/Dies/Jet</t>
  </si>
  <si>
    <t>Autres PP</t>
  </si>
  <si>
    <t>Déchets</t>
  </si>
  <si>
    <t>Charbon</t>
  </si>
  <si>
    <t>Chaleur PAC géothermiques</t>
  </si>
  <si>
    <t>Chaleur PAC aérothermiques</t>
  </si>
  <si>
    <t>Bilan primaire</t>
  </si>
  <si>
    <t xml:space="preserve">Source énergétiques primaires </t>
  </si>
  <si>
    <t>EnR</t>
  </si>
  <si>
    <t>Combustible solide biosourcé</t>
  </si>
  <si>
    <t>Biogaz</t>
  </si>
  <si>
    <t>Calories air</t>
  </si>
  <si>
    <t>Energie marines</t>
  </si>
  <si>
    <t>Non renouvelable</t>
  </si>
  <si>
    <t>Pétrole</t>
  </si>
  <si>
    <t>Production</t>
  </si>
  <si>
    <t>GPL</t>
  </si>
  <si>
    <t>Electricité</t>
  </si>
  <si>
    <t>Chaleur</t>
  </si>
  <si>
    <t>Tertiaire</t>
  </si>
  <si>
    <t>Transports</t>
  </si>
  <si>
    <t>Agriculture</t>
  </si>
  <si>
    <t>Industrie</t>
  </si>
  <si>
    <t>H2</t>
  </si>
  <si>
    <t>Résidentiel</t>
  </si>
  <si>
    <t>Matières biocarburants hors bois</t>
  </si>
  <si>
    <t>Biocarburants liquides</t>
  </si>
  <si>
    <t>Mtep</t>
  </si>
  <si>
    <t>Biocarburants liquides et gazeux</t>
  </si>
  <si>
    <t>Produits pétroliers et biocarburants</t>
  </si>
  <si>
    <t>Produits pétroliers</t>
  </si>
  <si>
    <t>Fioul</t>
  </si>
  <si>
    <t>Eolien &amp; énergie marine</t>
  </si>
  <si>
    <t>Photovoltaïque</t>
  </si>
  <si>
    <t>Autres (méthanisation, UIOM, bois, géothermie, énergie fatale)</t>
  </si>
  <si>
    <t>Gaz et chaleur</t>
  </si>
  <si>
    <t>Gaz naturel (réseau de gaz et de chaleur)</t>
  </si>
  <si>
    <t>UIOM et déchets directs</t>
  </si>
  <si>
    <t xml:space="preserve">Géothermie </t>
  </si>
  <si>
    <t>Bois énergie direct et réseau chaleur</t>
  </si>
  <si>
    <t>Biogaz, biométhane, BtG et H2 direct et réseau de chaleur</t>
  </si>
  <si>
    <t>Autres (solaire thermique, chaleur fatale)</t>
  </si>
  <si>
    <t>Conso hors usages énergétiques</t>
  </si>
  <si>
    <t>Vérification</t>
  </si>
  <si>
    <t>PAC aérothermiques</t>
  </si>
  <si>
    <t>Total calculé onglet flux</t>
  </si>
  <si>
    <t>GNV</t>
  </si>
  <si>
    <t>Chaleur fatale -  élec</t>
  </si>
  <si>
    <t>Chaleur fatale - réseau chaleur</t>
  </si>
  <si>
    <t>Matière pour production biocarburants liquides</t>
  </si>
  <si>
    <t xml:space="preserve">Biocarburants liquides </t>
  </si>
  <si>
    <t>Biocarburants gazeux</t>
  </si>
  <si>
    <t>Bois</t>
  </si>
  <si>
    <t>Energie fatale</t>
  </si>
  <si>
    <t>Biométhane</t>
  </si>
  <si>
    <t>Bois énergie (direct et réseau chaleur)</t>
  </si>
  <si>
    <t>Biogaz, biométhane, BtG direct et réseau de chaleur</t>
  </si>
  <si>
    <t>Autres (solaire thermique, chaleur fatale, PAC aéro)</t>
  </si>
  <si>
    <t>Total final</t>
  </si>
  <si>
    <t>Géothermie et  PAC géothermique</t>
  </si>
  <si>
    <t>Géothermie et PAC géothermique</t>
  </si>
  <si>
    <t>Autres (méthanisation, UIOM, bois, géothermie, énergie fatale, PAC aérothermique)</t>
  </si>
  <si>
    <t>alpha_int_uses_2201</t>
  </si>
  <si>
    <t>alpha_int_uses_2202</t>
  </si>
  <si>
    <t>alpha_int_uses_2301</t>
  </si>
  <si>
    <t>alpha_int_uses_2302</t>
  </si>
  <si>
    <t>alpha_int_uses_2303</t>
  </si>
  <si>
    <t>alpha_int_uses_2304</t>
  </si>
  <si>
    <t>alpha_int_uses_2305</t>
  </si>
  <si>
    <t>alpha_int_uses_2306</t>
  </si>
  <si>
    <t>alpha_int_uses_2307</t>
  </si>
  <si>
    <t>alpha_int_uses_2308</t>
  </si>
  <si>
    <t>alpha_int_uses_2401</t>
  </si>
  <si>
    <t>alpha_int_uses_2402</t>
  </si>
  <si>
    <t>alpha_int_uses_2403</t>
  </si>
  <si>
    <t>alpha_int_uses_2404</t>
  </si>
  <si>
    <t>alpha_int_uses_2405</t>
  </si>
  <si>
    <t>alpha_int_uses_2406</t>
  </si>
  <si>
    <t>Q_Mtep_int_uses</t>
  </si>
  <si>
    <t>Q_Mtep_int_uses_2201</t>
  </si>
  <si>
    <t>Q_Mtep_int_uses_2202</t>
  </si>
  <si>
    <t>Q_Mtep_int_uses_2301</t>
  </si>
  <si>
    <t>Q_Mtep_int_uses_2302</t>
  </si>
  <si>
    <t>Q_Mtep_int_uses_2303</t>
  </si>
  <si>
    <t>Q_Mtep_int_uses_2304</t>
  </si>
  <si>
    <t>Q_Mtep_int_uses_2305</t>
  </si>
  <si>
    <t>Q_Mtep_int_uses_2306</t>
  </si>
  <si>
    <t>Q_Mtep_int_uses_2307</t>
  </si>
  <si>
    <t>Q_Mtep_int_uses_2308</t>
  </si>
  <si>
    <t>Q_Mtep_int_uses_2401</t>
  </si>
  <si>
    <t>Q_Mtep_int_uses_2402</t>
  </si>
  <si>
    <t>Q_Mtep_int_uses_2403</t>
  </si>
  <si>
    <t>Q_Mtep_int_uses_2404</t>
  </si>
  <si>
    <t>Q_Mtep_int_uses_2405</t>
  </si>
  <si>
    <t>Q_Mtep_int_uses_2406</t>
  </si>
  <si>
    <t>Q_Mtep_losses_losses</t>
  </si>
  <si>
    <t>Autres (solaire thermique, chaleur fatale, pac AEROTHERMIQUE)</t>
  </si>
  <si>
    <t xml:space="preserve">Primaire </t>
  </si>
  <si>
    <t xml:space="preserve">Tableau entrée de ThreeME </t>
  </si>
  <si>
    <t>Energie primaire nette des CI</t>
  </si>
  <si>
    <t>perte et autoconsommations</t>
  </si>
  <si>
    <t>Pertes de distribution et stockage</t>
  </si>
  <si>
    <t>Consommation intermédiaire</t>
  </si>
  <si>
    <t>final avec industrie</t>
  </si>
  <si>
    <t>final Iors MP</t>
  </si>
  <si>
    <t xml:space="preserve"> primaire en Mtep </t>
  </si>
  <si>
    <t>final en Mtep</t>
  </si>
  <si>
    <t>TOTAL</t>
  </si>
  <si>
    <t xml:space="preserve">Liquid Fuel  </t>
  </si>
  <si>
    <t>fuel</t>
  </si>
  <si>
    <t>biofuel and biogaz</t>
  </si>
  <si>
    <t>nuclear power</t>
  </si>
  <si>
    <t>Centrale Combiné gaz  et cogé gaz nat</t>
  </si>
  <si>
    <t>fuel power</t>
  </si>
  <si>
    <t>gaz power</t>
  </si>
  <si>
    <t>Eolien, hydrolien</t>
  </si>
  <si>
    <t>Electricity</t>
  </si>
  <si>
    <t>coal power</t>
  </si>
  <si>
    <t>Solaire</t>
  </si>
  <si>
    <t>wind power</t>
  </si>
  <si>
    <t>Hydraulique et step, énergies marines</t>
  </si>
  <si>
    <t>solar power</t>
  </si>
  <si>
    <t>Cogénération</t>
  </si>
  <si>
    <t>hydrolic</t>
  </si>
  <si>
    <t>other</t>
  </si>
  <si>
    <t>Combustibles gazeux, distribution de vapeur et bois</t>
  </si>
  <si>
    <t>natural gaz</t>
  </si>
  <si>
    <t>Incinération (UIOM)</t>
  </si>
  <si>
    <t>Natural gaz and heating</t>
  </si>
  <si>
    <t>wood and biomass</t>
  </si>
  <si>
    <t>biogaz</t>
  </si>
  <si>
    <t>waste</t>
  </si>
  <si>
    <t>geothermal</t>
  </si>
  <si>
    <t xml:space="preserve">coal </t>
  </si>
  <si>
    <t>coal</t>
  </si>
  <si>
    <t xml:space="preserve">TOTAL </t>
  </si>
  <si>
    <t>primaire</t>
  </si>
  <si>
    <t>pertes et autoconsommation</t>
  </si>
  <si>
    <t>primaire hors autoconsommation</t>
  </si>
  <si>
    <t>perte de tranformation</t>
  </si>
  <si>
    <t>perte stockage et distribution</t>
  </si>
  <si>
    <t>final</t>
  </si>
  <si>
    <t>MP</t>
  </si>
  <si>
    <t>final hors MP</t>
  </si>
  <si>
    <t>charbon</t>
  </si>
  <si>
    <t xml:space="preserve">pétrole </t>
  </si>
  <si>
    <t>pétrole hors CI des centrales électriques</t>
  </si>
  <si>
    <t>dont CI centrale électrique</t>
  </si>
  <si>
    <t>gaz fossile</t>
  </si>
  <si>
    <t>gaz fossile hors CI des centrales électriques</t>
  </si>
  <si>
    <t>gaz fossile  CI des centrales électriques</t>
  </si>
  <si>
    <t>gaz fossile cogé électrique</t>
  </si>
  <si>
    <t>uranium</t>
  </si>
  <si>
    <t xml:space="preserve">solaire thermique </t>
  </si>
  <si>
    <t>hydraulique</t>
  </si>
  <si>
    <t xml:space="preserve">énergies marine </t>
  </si>
  <si>
    <t>éolien</t>
  </si>
  <si>
    <t>solaire PV</t>
  </si>
  <si>
    <t xml:space="preserve">géothermie </t>
  </si>
  <si>
    <t>géothermie cogé élec</t>
  </si>
  <si>
    <t>géothermie (chaleur)</t>
  </si>
  <si>
    <t xml:space="preserve">biomasse solide </t>
  </si>
  <si>
    <t>biomasse solide gazeïfié</t>
  </si>
  <si>
    <t>dont combustible gazeux</t>
  </si>
  <si>
    <t>dont gaz carburant</t>
  </si>
  <si>
    <t>cogénération électrique</t>
  </si>
  <si>
    <t>cogénération gaz</t>
  </si>
  <si>
    <t>biomasse liquide</t>
  </si>
  <si>
    <t>combustible liquide</t>
  </si>
  <si>
    <t>carburant liquide</t>
  </si>
  <si>
    <t xml:space="preserve">biogaz </t>
  </si>
  <si>
    <t xml:space="preserve"> gaz réseaux</t>
  </si>
  <si>
    <t>Cogé électricité</t>
  </si>
  <si>
    <t xml:space="preserve">Déchets </t>
  </si>
  <si>
    <t xml:space="preserve"> Cogé élec </t>
  </si>
  <si>
    <t>Cogé chaleur</t>
  </si>
  <si>
    <t xml:space="preserve">Chaleur récupérée </t>
  </si>
  <si>
    <t>Cogénération électricité in situ</t>
  </si>
  <si>
    <t>combustible gazeux</t>
  </si>
  <si>
    <t>gaz carburant</t>
  </si>
  <si>
    <t xml:space="preserve">Primaire hors cogé </t>
  </si>
  <si>
    <t>Méthanation/hydrogene</t>
  </si>
  <si>
    <t>primaire en Mtep</t>
  </si>
  <si>
    <t>Biocarburants et biogaz +GNV</t>
  </si>
  <si>
    <t>Alpha_losses_2201</t>
  </si>
  <si>
    <t>Alpha_losses_2202</t>
  </si>
  <si>
    <t>Alpha_losses_2301</t>
  </si>
  <si>
    <t>Alpha_losses_2302</t>
  </si>
  <si>
    <t>Alpha_losses_2303</t>
  </si>
  <si>
    <t>Alpha_losses_2304</t>
  </si>
  <si>
    <t>Alpha_losses_2305</t>
  </si>
  <si>
    <t>Alpha_losses_2306</t>
  </si>
  <si>
    <t>Alpha_losses_2307</t>
  </si>
  <si>
    <t>Alpha_losses_2308</t>
  </si>
  <si>
    <t>Alpha_losses_2401</t>
  </si>
  <si>
    <t>Alpha_losses_2402</t>
  </si>
  <si>
    <t>Alpha_losses_2403</t>
  </si>
  <si>
    <t>Alpha_losses_2404</t>
  </si>
  <si>
    <t>Alpha_losses_2405</t>
  </si>
  <si>
    <t>Alpha_losses_2406</t>
  </si>
  <si>
    <t>Projections DGEC France 2035</t>
  </si>
  <si>
    <t xml:space="preserve">Scenario: </t>
  </si>
  <si>
    <t>Version :</t>
  </si>
  <si>
    <t>Date :</t>
  </si>
  <si>
    <t>Bilans énergétiques (format SOeS)</t>
  </si>
  <si>
    <t>Bilan 2010</t>
  </si>
  <si>
    <t>Gaz</t>
  </si>
  <si>
    <t>ENRt et déchets</t>
  </si>
  <si>
    <t>Houille, lignite</t>
  </si>
  <si>
    <t>Coke, agglomérés</t>
  </si>
  <si>
    <t>Brut</t>
  </si>
  <si>
    <t>Raffiné</t>
  </si>
  <si>
    <t>Naturel</t>
  </si>
  <si>
    <t>Industriels</t>
  </si>
  <si>
    <t>Production brute</t>
  </si>
  <si>
    <t>Consommation</t>
  </si>
  <si>
    <t>APPROVISIONNEMENT</t>
  </si>
  <si>
    <t>Production Energie Primaire (P)</t>
  </si>
  <si>
    <t/>
  </si>
  <si>
    <t>H : 6.73 | N : 111.67</t>
  </si>
  <si>
    <t>Importations</t>
  </si>
  <si>
    <t>Exportations</t>
  </si>
  <si>
    <t>Balance (imports - exports)</t>
  </si>
  <si>
    <t>Stocks (+=déstockage, -=stockage)</t>
  </si>
  <si>
    <t>Soutes maritimes internationales</t>
  </si>
  <si>
    <t>TOTAL disponibilités (D)</t>
  </si>
  <si>
    <t>Indépendance énergétique (P/D)</t>
  </si>
  <si>
    <t>EMPLOIS</t>
  </si>
  <si>
    <t>Consommation de la branche énergie</t>
  </si>
  <si>
    <t>Raffinage</t>
  </si>
  <si>
    <t>Production d'électricité thermique</t>
  </si>
  <si>
    <t>Usages internes de la branche</t>
  </si>
  <si>
    <t>1.90 | 2.77</t>
  </si>
  <si>
    <t>Pertes et ajustement</t>
  </si>
  <si>
    <t>TOTAL (A)</t>
  </si>
  <si>
    <t>Consommation finale énergétique (corrigée du climat)</t>
  </si>
  <si>
    <t>TOTAL (B)</t>
  </si>
  <si>
    <t>Consommation finale non énergétique</t>
  </si>
  <si>
    <t xml:space="preserve">TOTAL (C) </t>
  </si>
  <si>
    <t>Consommation total d'énergie primaire (corrigée du climat)</t>
  </si>
  <si>
    <t>TOTAL (A+B+C)</t>
  </si>
  <si>
    <t>Dont corrections climatiques</t>
  </si>
  <si>
    <t>Bilan 2015</t>
  </si>
  <si>
    <t>Bilan 2020</t>
  </si>
  <si>
    <t>Bilan 2025</t>
  </si>
  <si>
    <t>Bilan 2030</t>
  </si>
  <si>
    <t>Bilan 2035</t>
  </si>
  <si>
    <t>Consommation combustibles du secteur électrique  (Mtep, hors nucléaire)</t>
  </si>
  <si>
    <t>COALINEL[FRA]</t>
  </si>
  <si>
    <t>GAFINEL[FRA]</t>
  </si>
  <si>
    <t>LIFINEL[FRA]</t>
  </si>
  <si>
    <t>BIOINEL[fra]</t>
  </si>
  <si>
    <t>Biomasse et déchets</t>
  </si>
  <si>
    <t>Production d'électricité (TWh)</t>
  </si>
  <si>
    <t>EPCOAL[FRA]</t>
  </si>
  <si>
    <t>dont CCS</t>
  </si>
  <si>
    <t>EPGAS2[FRA]</t>
  </si>
  <si>
    <t>EP[FRA,GGT]</t>
  </si>
  <si>
    <t>dont pointe</t>
  </si>
  <si>
    <t>EP[FRA,GCT]</t>
  </si>
  <si>
    <t>dont conventionnel</t>
  </si>
  <si>
    <t>EP[FRA,GGC]</t>
  </si>
  <si>
    <t>dont cycles combinés</t>
  </si>
  <si>
    <t>EP[FRA,GGS]</t>
  </si>
  <si>
    <t>EPOIL[fra]</t>
  </si>
  <si>
    <t>dont base</t>
  </si>
  <si>
    <t>EP[fra,CHP]</t>
  </si>
  <si>
    <t>EPBIO[fra]</t>
  </si>
  <si>
    <t xml:space="preserve">Biomasse et déchets </t>
  </si>
  <si>
    <t>EP[fra,nuc]</t>
  </si>
  <si>
    <t>Nucléaire Conv</t>
  </si>
  <si>
    <t>EP[fra,NND]</t>
  </si>
  <si>
    <t>EPR</t>
  </si>
  <si>
    <t>EPHYT[fra]</t>
  </si>
  <si>
    <t>Hydro</t>
  </si>
  <si>
    <t>EPSOL[fra]</t>
  </si>
  <si>
    <t>EPWIN[fra]</t>
  </si>
  <si>
    <t>EP[FRA,WND]</t>
  </si>
  <si>
    <t>dont terrestre</t>
  </si>
  <si>
    <t>EP[FRA,WNO]</t>
  </si>
  <si>
    <t>dont maritime</t>
  </si>
  <si>
    <t>EP[FRA,OCE]</t>
  </si>
  <si>
    <t>Hydrolien</t>
  </si>
  <si>
    <t>EPTD[FRA]</t>
  </si>
  <si>
    <t>Pertes Transport et Distribution (TWh)</t>
  </si>
  <si>
    <t>EPAP[FRA]</t>
  </si>
  <si>
    <t>Autoconsommation (TWh)</t>
  </si>
  <si>
    <t>XMELEC[FRA]</t>
  </si>
  <si>
    <t>Exporations nettes (TWh)</t>
  </si>
  <si>
    <t>NCELETOT[FRA]</t>
  </si>
  <si>
    <t>FCFUEL[FRA,ELE]</t>
  </si>
  <si>
    <t>Consommation finale (TWh)</t>
  </si>
  <si>
    <t>ACIPTOT[fra]</t>
  </si>
  <si>
    <t>Capacités installées (GW)</t>
  </si>
  <si>
    <t>ACIPCOAL[fra]</t>
  </si>
  <si>
    <t>ACIPGAS2[fra]</t>
  </si>
  <si>
    <t>ACIP[FRA,GGT]</t>
  </si>
  <si>
    <t>ACIP[FRA,GCT]</t>
  </si>
  <si>
    <t>ACIP[FRA,GGC]</t>
  </si>
  <si>
    <t>ACIP[FRA,GGS]</t>
  </si>
  <si>
    <t>ACIPOIL[fra]</t>
  </si>
  <si>
    <t>ACIP ALL[FRA,CHP]</t>
  </si>
  <si>
    <t>ACIPBIO[fra]</t>
  </si>
  <si>
    <t>ACIPNUT[FRA]</t>
  </si>
  <si>
    <t>ACIP[FRA,NUC]</t>
  </si>
  <si>
    <t>Conv</t>
  </si>
  <si>
    <t>ACIP all[FRA,NND]</t>
  </si>
  <si>
    <t>ACIPHYT[FRA,]</t>
  </si>
  <si>
    <t>ACIPSOL[fra]</t>
  </si>
  <si>
    <t>ACIPWIN[fra]</t>
  </si>
  <si>
    <t>ACIP ALL[FRA,WND]</t>
  </si>
  <si>
    <t>Terrestre</t>
  </si>
  <si>
    <t>ACIP ALL[FRA,WNO]</t>
  </si>
  <si>
    <t>Maritime</t>
  </si>
  <si>
    <t>ACIP ALL[FRA,OCE]</t>
  </si>
  <si>
    <t>HOURS TOT[FRA]</t>
  </si>
  <si>
    <t>Heures de fonctionnement (h)</t>
  </si>
  <si>
    <t>HOURS COALTOT[FRA]</t>
  </si>
  <si>
    <t>HOURS GAS[FRA]</t>
  </si>
  <si>
    <t>HOURS OIL[FRA]</t>
  </si>
  <si>
    <t>n.a.</t>
  </si>
  <si>
    <t>HOURS[FRA,CHP]</t>
  </si>
  <si>
    <t>HOURS BIO[FRA]</t>
  </si>
  <si>
    <t>HOURS NUT[FRA]</t>
  </si>
  <si>
    <t>HOURS HYT[FRA]</t>
  </si>
  <si>
    <t>HOURS WIN[FRA]</t>
  </si>
  <si>
    <t>1 - Consommations énergétiques de l'industrie</t>
  </si>
  <si>
    <t>1.1 Ensemble des branches, usages énergétiques</t>
  </si>
  <si>
    <t>2000-2010</t>
  </si>
  <si>
    <t>2010-2015</t>
  </si>
  <si>
    <t>2015-2020</t>
  </si>
  <si>
    <t>2020-2025</t>
  </si>
  <si>
    <t>2025-2030</t>
  </si>
  <si>
    <t>2030-2035</t>
  </si>
  <si>
    <t>Elec</t>
  </si>
  <si>
    <t>Autres (ENR, déchets)</t>
  </si>
  <si>
    <t>1.2 Ensemble des branches, usages non énergétiques</t>
  </si>
  <si>
    <t>1.3 Total énergie, par branche</t>
  </si>
  <si>
    <t>métaux-primaires</t>
  </si>
  <si>
    <t xml:space="preserve">      sidérurgie</t>
  </si>
  <si>
    <t xml:space="preserve">      aluminium</t>
  </si>
  <si>
    <t>chimie</t>
  </si>
  <si>
    <t xml:space="preserve">       ammoniac</t>
  </si>
  <si>
    <t xml:space="preserve">       pétrochimie base</t>
  </si>
  <si>
    <t xml:space="preserve">        chlore</t>
  </si>
  <si>
    <t>non_metalliques</t>
  </si>
  <si>
    <t xml:space="preserve">        ciment</t>
  </si>
  <si>
    <t xml:space="preserve">         verre</t>
  </si>
  <si>
    <t>iaa</t>
  </si>
  <si>
    <t xml:space="preserve">        sucre</t>
  </si>
  <si>
    <t>équipement</t>
  </si>
  <si>
    <t>autres</t>
  </si>
  <si>
    <t xml:space="preserve">         papier-pâtes</t>
  </si>
  <si>
    <t>Total IGCE</t>
  </si>
  <si>
    <t>1.4 Electricité, par branche</t>
  </si>
  <si>
    <t>TWh</t>
  </si>
  <si>
    <t>1.5 Combustibles, par branche</t>
  </si>
  <si>
    <t>1.6 Indicateurs</t>
  </si>
  <si>
    <t>Coefficient budgétaire</t>
  </si>
  <si>
    <t>Intensité énergétique de la VA (kep/€2005)</t>
  </si>
  <si>
    <t>2 - Consommations énergétiques du résidentiel</t>
  </si>
  <si>
    <t>2.1 Consommation totale par énergie</t>
  </si>
  <si>
    <t>Autres (biomasse, ECS solaire )</t>
  </si>
  <si>
    <t>2.2 Consommation totale par usage</t>
  </si>
  <si>
    <t>Chauffage</t>
  </si>
  <si>
    <t>Eau chaude</t>
  </si>
  <si>
    <t>Cuisson</t>
  </si>
  <si>
    <t>Eclairage</t>
  </si>
  <si>
    <t>Elec specif.</t>
  </si>
  <si>
    <t>Climatisation</t>
  </si>
  <si>
    <t>2.3 Usages thermiques</t>
  </si>
  <si>
    <t>2.4 Chauffage</t>
  </si>
  <si>
    <t>Autres (biomasse)</t>
  </si>
  <si>
    <t>2.5 Eau chaude</t>
  </si>
  <si>
    <t>2.6 Indicateurs</t>
  </si>
  <si>
    <t>Logements</t>
  </si>
  <si>
    <t>Energie/capita (tep)</t>
  </si>
  <si>
    <t>Electricité/capita (kWh)</t>
  </si>
  <si>
    <t>Intensité énergétique de la consommation privée des ménages (kep/€2005)</t>
  </si>
  <si>
    <t>3 - Consommations énergétiques du tertiaire</t>
  </si>
  <si>
    <t>3.1 Consommation totale par énergie</t>
  </si>
  <si>
    <t>Autres (ENR)</t>
  </si>
  <si>
    <t>3.2 Consommation totale par usage</t>
  </si>
  <si>
    <t>Autres usages thermiques</t>
  </si>
  <si>
    <t>Elec specifique</t>
  </si>
  <si>
    <t>3.3 Usages thermiques</t>
  </si>
  <si>
    <t>3.4 Chauffage</t>
  </si>
  <si>
    <t>3.5 Autres usages thermiques</t>
  </si>
  <si>
    <t>3.6 Indicateurs</t>
  </si>
  <si>
    <t>Employés (millions)</t>
  </si>
  <si>
    <t>Energie/employé (tep)</t>
  </si>
  <si>
    <t>Electricité/employé (kWh)</t>
  </si>
  <si>
    <t>4 - Consommations énergétiques des transports</t>
  </si>
  <si>
    <t>4.1 Trafics (yc transit)</t>
  </si>
  <si>
    <t>Route</t>
  </si>
  <si>
    <t xml:space="preserve">  Voiture , VUL   Gvkm</t>
  </si>
  <si>
    <t xml:space="preserve">  Camions            Gtkm</t>
  </si>
  <si>
    <t xml:space="preserve">  Bus-taxis           Gpkm</t>
  </si>
  <si>
    <t>Fer</t>
  </si>
  <si>
    <t xml:space="preserve">  Passagers         Gpkm</t>
  </si>
  <si>
    <t xml:space="preserve">  Marchandises  Gtkm</t>
  </si>
  <si>
    <t>Voies d'eau    Gtkm</t>
  </si>
  <si>
    <t>Air                  Mpas</t>
  </si>
  <si>
    <t>4.2 Ensemble des transports, par énergie</t>
  </si>
  <si>
    <t>Essence (yc carb. subst.)</t>
  </si>
  <si>
    <t>Gazole (yc carb. subs)</t>
  </si>
  <si>
    <t>Carburéacteurs</t>
  </si>
  <si>
    <t>4.3 Ensemble des transports, par infrastructure</t>
  </si>
  <si>
    <t>Voies d'eau,divers</t>
  </si>
  <si>
    <t>Air</t>
  </si>
  <si>
    <t>4.4 Transports routiers</t>
  </si>
  <si>
    <t>Voiture particulière</t>
  </si>
  <si>
    <t>Camions</t>
  </si>
  <si>
    <t>Bus-Taxis</t>
  </si>
  <si>
    <t>2 roues</t>
  </si>
  <si>
    <t xml:space="preserve">Total </t>
  </si>
  <si>
    <t>4.5 Indicateurs</t>
  </si>
  <si>
    <t>Parcs VP, VUL (Millions)</t>
  </si>
  <si>
    <t>Intensité énergétique du PIB (kep/€2005)</t>
  </si>
  <si>
    <t>5 - Consommations énergétiques de l'agriculture</t>
  </si>
  <si>
    <t>5.1 Consommation totale par énergie</t>
  </si>
  <si>
    <t>6 - Consommations énergétiques de l'ensemble des secteurs</t>
  </si>
  <si>
    <t>6.1 Consommation totale par énergie</t>
  </si>
  <si>
    <t>ENR</t>
  </si>
  <si>
    <t>6.2 Consommation totale par secteur</t>
  </si>
  <si>
    <t>Transport</t>
  </si>
  <si>
    <t>6.3 Indicateurs</t>
  </si>
  <si>
    <t>Intensité électrique du PIB (kWh/k€2005)</t>
  </si>
  <si>
    <t>gaz</t>
  </si>
  <si>
    <t>fioul</t>
  </si>
  <si>
    <t>auto-consommation</t>
  </si>
  <si>
    <t>Données sources</t>
  </si>
  <si>
    <t>Bouquet énergétique des réseaux de chaleur en 2010</t>
  </si>
  <si>
    <t>Source : SNCU, 2012, Enquête nationale sur les réseaux de chaleur et de froid - Année 2010</t>
  </si>
  <si>
    <t>Energie consommée</t>
  </si>
  <si>
    <t>Energie produite</t>
  </si>
  <si>
    <t>Rendement</t>
  </si>
  <si>
    <t>GWh</t>
  </si>
  <si>
    <t>%</t>
  </si>
  <si>
    <t>Biomasse</t>
  </si>
  <si>
    <t>Autres</t>
  </si>
  <si>
    <t>Modélisation</t>
  </si>
  <si>
    <t>Chaleur consommée</t>
  </si>
  <si>
    <t>Chaleur consommée via les réseaux de chaleur</t>
  </si>
  <si>
    <t>Parts de marché</t>
  </si>
  <si>
    <t>Chaleur produite à partir de…</t>
  </si>
  <si>
    <t>Rendements des réseaux de chaleur</t>
  </si>
  <si>
    <t>Energie consommée par les réseaux de chaleur</t>
  </si>
  <si>
    <t>Energie consommée par les réseaux de chaleur attribuée au secteur résidentiel (comptabilisation bilan format SOeS)</t>
  </si>
  <si>
    <t>Energie consommée par les réseaux de chaleur attribuée au secteur tertiaire (comptabilisation bilan format SOeS)</t>
  </si>
  <si>
    <t>finale</t>
  </si>
  <si>
    <t>chaleur en Mtep pour les besoins de chauffage hors autres usages thermiques</t>
  </si>
  <si>
    <t xml:space="preserve">total </t>
  </si>
  <si>
    <t>elec</t>
  </si>
  <si>
    <t xml:space="preserve">UIOM et ENR </t>
  </si>
  <si>
    <t xml:space="preserve">Conso finale </t>
  </si>
  <si>
    <t>Indicateurs %</t>
  </si>
  <si>
    <t>Part EnR consommation finale brute</t>
  </si>
  <si>
    <t>n.a</t>
  </si>
  <si>
    <t>Part EnR dans la production d'électricité</t>
  </si>
  <si>
    <t>Part EnR dans la consommation finale brute d'électricité</t>
  </si>
  <si>
    <t>Variation de la consommation finale d'énergie par rapport à 2012 (périmètrre SOeS)</t>
  </si>
  <si>
    <t>Détail des calculs</t>
  </si>
  <si>
    <t>Consommation finale SOeS 2012 corrigée du climat Mtep</t>
  </si>
  <si>
    <t>Pompes à chaleur, partie EnR Mtep</t>
  </si>
  <si>
    <t>Production elec EnR tot hors pompage TWh</t>
  </si>
  <si>
    <t>Production elec EnR tot TWh</t>
  </si>
  <si>
    <t>Pompage TWh (supposé constant)</t>
  </si>
  <si>
    <t>Production elec totale nouvelle version TWh</t>
  </si>
  <si>
    <t>Perte+autoconsommation (supposée inchangée entre versions)</t>
  </si>
  <si>
    <t>Conso finale   (entrée ThreeME)</t>
  </si>
  <si>
    <t>Conso finale   (feuille demande) Medpro</t>
  </si>
  <si>
    <t>bilan complêt SOES</t>
  </si>
  <si>
    <t>ss total</t>
  </si>
  <si>
    <t xml:space="preserve">PP </t>
  </si>
  <si>
    <t>SANKEY 2035 en Mtep</t>
  </si>
  <si>
    <t>PP</t>
  </si>
  <si>
    <t>Q_Mtep_int_uses_21</t>
  </si>
  <si>
    <t>Alpha_losses_21</t>
  </si>
  <si>
    <t>alpha_int_uses_21</t>
  </si>
  <si>
    <t>QMtep_losses_losses</t>
  </si>
  <si>
    <t>QMtep_losses_2201</t>
  </si>
  <si>
    <t>QMtep_losses_2202</t>
  </si>
  <si>
    <t>QMtep_losses_2301</t>
  </si>
  <si>
    <t>QMtep_losses_2302</t>
  </si>
  <si>
    <t>QMtep_losses_2303</t>
  </si>
  <si>
    <t>QMtep_losses_2304</t>
  </si>
  <si>
    <t>QMtep_losses_2305</t>
  </si>
  <si>
    <t>QMtep_losses_2306</t>
  </si>
  <si>
    <t>QMtep_losses_2307</t>
  </si>
  <si>
    <t>QMtep_losses_2308</t>
  </si>
  <si>
    <t>QMtep_losses_2401</t>
  </si>
  <si>
    <t>QMtep_losses_2402</t>
  </si>
  <si>
    <t>QMtep_losses_2403</t>
  </si>
  <si>
    <t>QMtep_losses_2404</t>
  </si>
  <si>
    <t>QMtep_losses_2405</t>
  </si>
  <si>
    <t>QMtep_losses_2406</t>
  </si>
  <si>
    <t>QMtep_losses_21</t>
  </si>
  <si>
    <t>AMS1</t>
  </si>
  <si>
    <t>AMS2</t>
  </si>
  <si>
    <t>Voir onglet Info pour les précisions sur le périmètre des résultats</t>
  </si>
  <si>
    <t>0.72 | -1.12</t>
  </si>
  <si>
    <t>H = 8.27; N = 111.86</t>
  </si>
  <si>
    <t>H = 10.46; N = 106.67</t>
  </si>
  <si>
    <t>H = 13.43; N = 65.77</t>
  </si>
  <si>
    <t>H = 15.87; N = 66.09</t>
  </si>
  <si>
    <t>H = 17.12; N = 66.68</t>
  </si>
  <si>
    <t>AMS2 ele2</t>
  </si>
  <si>
    <t>Indicateurs synthèse %</t>
  </si>
  <si>
    <t>Objectif AMS2</t>
  </si>
  <si>
    <t>Part EnR consommation finale brute d'énergie</t>
  </si>
  <si>
    <t>Variation de la consommation finale d'énergie fossile par rapport à 2012 (périmètrre SOeS)</t>
  </si>
  <si>
    <t>Part du nucléaire dans la production d'électricité</t>
  </si>
  <si>
    <t>Indicateurs complets %</t>
  </si>
  <si>
    <t>Conso finale brute d'énergie (Mtep)</t>
  </si>
  <si>
    <t>Production d'énergie</t>
  </si>
  <si>
    <t>Part EnR dans la production d'énergie</t>
  </si>
  <si>
    <t>Consommation finale brute d'énergie (Mtep)</t>
  </si>
  <si>
    <t>Dont Elec</t>
  </si>
  <si>
    <t>Dont transports (hors électricité renouv dans les transports..)</t>
  </si>
  <si>
    <t>Dont transports regardés par la directive EnR pour l'objectif de 10%(routier+ferroviaire)</t>
  </si>
  <si>
    <t>Et idem (énergie dans routier + ferroviaire) mais hors elec dans les transports</t>
  </si>
  <si>
    <t>Conso du transport routier uniquement</t>
  </si>
  <si>
    <t>Dont autres énergies thermiques</t>
  </si>
  <si>
    <t>Production d'énergie (Mtep)</t>
  </si>
  <si>
    <t>Dont Elec (=prod RTE ? On déduit l'auto conso)</t>
  </si>
  <si>
    <t>Conso d'énergie fossile</t>
  </si>
  <si>
    <t>% réduction / 2012</t>
  </si>
  <si>
    <t>Total ENR (Mtep)</t>
  </si>
  <si>
    <t>EnR Elec (produite RTE ?)</t>
  </si>
  <si>
    <t>Part Enr Dans Elec - Prod RTE</t>
  </si>
  <si>
    <t>EnR Elec (yc auto consommation)</t>
  </si>
  <si>
    <t>Part EnR dans Elec (conso finale brute)</t>
  </si>
  <si>
    <t>Enr Transport (Mtep)</t>
  </si>
  <si>
    <t>Electricité dans les transports</t>
  </si>
  <si>
    <t>Dont élec dans le transport routier</t>
  </si>
  <si>
    <t>Elec renouvelable dans les transports</t>
  </si>
  <si>
    <t>Dont élec renouvelable dans les transports routiers</t>
  </si>
  <si>
    <t>comptage multiple electricité dans les transports hors routier (ferroviaire)</t>
  </si>
  <si>
    <t>Comptage multiple electricité dans les transports routiers</t>
  </si>
  <si>
    <t>Part EnR transports selon format directive EnR ? (objectif 10% en 2020) [hors comptes multiples]</t>
  </si>
  <si>
    <t>Part des biocarburants comptés double dans le diesel</t>
  </si>
  <si>
    <t>Part des biocarburants comptés double dans l'essence</t>
  </si>
  <si>
    <t>Part du diesel</t>
  </si>
  <si>
    <t>Part de l'essence</t>
  </si>
  <si>
    <t>Part EnR transports selon format directive EnR - avec double compte ? (objectif 10% en 2020)</t>
  </si>
  <si>
    <t>Part biocarburants dans la consommation de carburants (hors double compte) (approche PLTECV ?)</t>
  </si>
  <si>
    <t>EnR Thermique</t>
  </si>
  <si>
    <t>Part EnR dans les énergies thermiques</t>
  </si>
  <si>
    <t>Gaz consommé  (Mtep)</t>
  </si>
  <si>
    <t>Gaz renouvelable injecté (DGEC) (Mtep) [inclut le biogaz valorisé comme GNV ? A priori oui]</t>
  </si>
  <si>
    <t>biogaz méthanisé avec cogénération (DGEC) (Mtep, énergie primaier, hyp 30% rendement élec)</t>
  </si>
  <si>
    <t xml:space="preserve">% de gaz renouvelable </t>
  </si>
  <si>
    <t>Correction gaz industriels 2012 bilan SOeS Mtep</t>
  </si>
  <si>
    <t>Production elec EnR tot hors pompage TWh ajusté auto conso</t>
  </si>
  <si>
    <t>Production elec EnR+DECHETS tot TWh</t>
  </si>
  <si>
    <t>Production elec EnR+DECHETS tot TWh ajustée auto conso</t>
  </si>
  <si>
    <t>Production elec DECHETS TWh</t>
  </si>
  <si>
    <t>Production Elec BIOMASSE TWh</t>
  </si>
  <si>
    <t>Production elec totale TWh</t>
  </si>
  <si>
    <t>Production elec totale ajustée auto conso TWh</t>
  </si>
  <si>
    <t>Production Elec GENERANT DE L' AUTOCONSO (thermique + nucléaire)</t>
  </si>
  <si>
    <t>Production nucléaire</t>
  </si>
  <si>
    <t>Production nucléaire ajustée auto conso</t>
  </si>
  <si>
    <t>Taux auto-conso</t>
  </si>
  <si>
    <t>Autoconsommation non ajustée (incluant le pompage)</t>
  </si>
  <si>
    <t>Autoconsommation ajustée (incluant le pompage)</t>
  </si>
  <si>
    <t>Autoconsommation DECHETS ELEC</t>
  </si>
  <si>
    <t>Autoconsommation BIOMASSE ELEC</t>
  </si>
  <si>
    <t>Exportations nettes</t>
  </si>
  <si>
    <t>Données source</t>
  </si>
  <si>
    <t>Chaleur produite à partir de déchets (Mtep)</t>
  </si>
  <si>
    <t>Conso d'EnR dans les transports - format SOeS (Mtep)</t>
  </si>
  <si>
    <t>EnRt et Déchets - total - format SOeS (Mtep)</t>
  </si>
  <si>
    <t>Conso d'énergie dans les transports - format SOeS (Mtep)</t>
  </si>
  <si>
    <t>Conso totale d'énergie - format SOeS (Mtep)</t>
  </si>
  <si>
    <t>Conso d'électricité dans les transports - format SOeS (Mtep)</t>
  </si>
  <si>
    <t>Conso totale d'électricité - format SOeS (Mtep)</t>
  </si>
  <si>
    <t>Gaz consommé comme énergie finale</t>
  </si>
  <si>
    <t>Gaz consommé dans la branche "Energie"</t>
  </si>
  <si>
    <t xml:space="preserve">Conso d'énergie fossile (conso énergétique uniquement) : </t>
  </si>
  <si>
    <t>Et conso d'énergie fossile (énergétique) en 2012 (année de référence PLTECV) :</t>
  </si>
  <si>
    <t>selon le bilan de l'énergie</t>
  </si>
  <si>
    <t>et en 2010 (pour pouvoir ajuster les résultats Enerdata) :</t>
  </si>
  <si>
    <t>=&gt; cohérence entre les résultats Enerdate et bilan de l'énergie</t>
  </si>
  <si>
    <t xml:space="preserve">Pétrole </t>
  </si>
  <si>
    <t>&lt;== Détails calculs</t>
  </si>
  <si>
    <t xml:space="preserve">Total primaire en Mtep, consommation non energétique incluse. </t>
  </si>
  <si>
    <t>Production énergétique en pourcentage de la production énergétique primaire de chaque vecteur (hors consommation non énergétique)</t>
  </si>
  <si>
    <t>Source bilan AMS2</t>
  </si>
  <si>
    <t>Centrale au fioul</t>
  </si>
  <si>
    <t>Centrale au gaz naturel</t>
  </si>
  <si>
    <t>Centrale au charbon</t>
  </si>
  <si>
    <t>Production énergétique en Mtep primaire (hors consommation non énergétique et hors soutes maritimes et aériennes internationales)</t>
  </si>
  <si>
    <t>Centrale nucléaire</t>
  </si>
  <si>
    <t>Code NAF</t>
  </si>
  <si>
    <t>Les sources énergétiques dans ThreeME</t>
  </si>
  <si>
    <t>GG11</t>
  </si>
  <si>
    <t>GG15</t>
  </si>
  <si>
    <t>GG2A</t>
  </si>
  <si>
    <t>GG2B</t>
  </si>
  <si>
    <t>conso primaire moins usage indus et soutes</t>
  </si>
  <si>
    <t xml:space="preserve">Eolien </t>
  </si>
  <si>
    <t>Hydroélectricité et énergies marine</t>
  </si>
  <si>
    <t>Production énergétique en pourcentage de la production énergétique finale de chaque vecteur (hors consommation non énergétique)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</si>
</sst>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1" formatCode="_-* #,##0\ _€_-;\-* #,##0\ _€_-;_-* &quot;-&quot;\ _€_-;_-@_-"/>
    <numFmt numFmtId="43" formatCode="_-* #,##0.00\ _€_-;\-* #,##0.00\ _€_-;_-* &quot;-&quot;??\ _€_-;_-@_-"/>
    <numFmt numFmtId="164" formatCode="0.0"/>
    <numFmt numFmtId="165" formatCode="0.000"/>
    <numFmt numFmtId="166" formatCode="0.00000000000000"/>
    <numFmt numFmtId="167" formatCode="#,##0.00\ &quot;€&quot;"/>
    <numFmt numFmtId="168" formatCode="0.000000000000"/>
    <numFmt numFmtId="169" formatCode="0.0000000000000"/>
    <numFmt numFmtId="170" formatCode="0.0%"/>
    <numFmt numFmtId="171" formatCode="_-* #,##0\ _€_-;\-* #,##0\ _€_-;_-* &quot;-&quot;??\ _€_-;_-@_-"/>
    <numFmt numFmtId="172" formatCode="_-* #,##0.0\ _€_-;\-* #,##0.0\ _€_-;_-* &quot;-&quot;??\ _€_-;_-@_-"/>
    <numFmt numFmtId="173" formatCode="dd/mm/yy;@"/>
    <numFmt numFmtId="174" formatCode="0.000%"/>
    <numFmt numFmtId="175" formatCode="#,##0.000"/>
    <numFmt numFmtId="176" formatCode="#,##0.0"/>
    <numFmt numFmtId="177" formatCode="#,##0_ ;\-#,##0\ "/>
    <numFmt numFmtId="178" formatCode="#,##0.0_ ;\-#,##0.0\ "/>
    <numFmt numFmtId="179" formatCode="_-* #,##0.00\ _F_-;\-* #,##0.00\ _F_-;_-* &quot;-&quot;??\ _F_-;_-@_-"/>
    <numFmt numFmtId="180" formatCode="#,##0.0_)"/>
    <numFmt numFmtId="181" formatCode="_(* #,##0_);_(* \(#,##0\);_(* &quot;-&quot;_);_(@_)"/>
    <numFmt numFmtId="182" formatCode="_(&quot;$&quot;* #,##0_);_(&quot;$&quot;* \(#,##0\);_(&quot;$&quot;* &quot;-&quot;_);_(@_)"/>
    <numFmt numFmtId="183" formatCode="#,##0.00\ &quot;F&quot;;[Red]\-#,##0.00\ &quot;F&quot;"/>
    <numFmt numFmtId="184" formatCode="#,##0.00_ ;\-#,##0.00\ "/>
  </numFmts>
  <fonts count="9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11"/>
      <color theme="3" tint="0.3999755851924192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i/>
      <sz val="11"/>
      <color rgb="FF00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Times New Roman"/>
      <family val="1"/>
    </font>
    <font>
      <b/>
      <sz val="22"/>
      <color indexed="9"/>
      <name val="Calibri"/>
      <family val="2"/>
    </font>
    <font>
      <i/>
      <sz val="10"/>
      <color indexed="9"/>
      <name val="Calibri"/>
      <family val="2"/>
    </font>
    <font>
      <i/>
      <sz val="14"/>
      <color indexed="9"/>
      <name val="Calibri"/>
      <family val="2"/>
    </font>
    <font>
      <b/>
      <sz val="14"/>
      <color indexed="9"/>
      <name val="Calibri"/>
      <family val="2"/>
    </font>
    <font>
      <sz val="14"/>
      <color indexed="9"/>
      <name val="Calibri"/>
      <family val="2"/>
    </font>
    <font>
      <b/>
      <sz val="16"/>
      <color indexed="9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i/>
      <sz val="10"/>
      <name val="Calibri"/>
      <family val="2"/>
    </font>
    <font>
      <i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sz val="11"/>
      <color indexed="9"/>
      <name val="Calibri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i/>
      <sz val="16"/>
      <name val="Calibri"/>
      <family val="2"/>
    </font>
    <font>
      <b/>
      <sz val="10"/>
      <name val="Calibri"/>
      <family val="2"/>
    </font>
    <font>
      <i/>
      <sz val="8"/>
      <name val="Calibri"/>
      <family val="2"/>
    </font>
    <font>
      <sz val="8"/>
      <name val="Calibri"/>
      <family val="2"/>
    </font>
    <font>
      <i/>
      <sz val="9"/>
      <name val="Calibri"/>
      <family val="2"/>
    </font>
    <font>
      <sz val="10"/>
      <color indexed="9"/>
      <name val="Calibri"/>
      <family val="2"/>
    </font>
    <font>
      <sz val="12"/>
      <name val="Calibri"/>
      <family val="2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i/>
      <sz val="10"/>
      <color rgb="FF00B050"/>
      <name val="Calibri"/>
      <family val="2"/>
      <scheme val="minor"/>
    </font>
    <font>
      <b/>
      <sz val="12"/>
      <color indexed="8"/>
      <name val="Calibri"/>
      <family val="2"/>
    </font>
    <font>
      <i/>
      <sz val="10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23"/>
      <name val="Calibri"/>
      <family val="2"/>
    </font>
    <font>
      <sz val="10"/>
      <color theme="0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b/>
      <sz val="12"/>
      <color indexed="9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theme="3" tint="0.39997558519241921"/>
      <name val="Arial"/>
      <family val="2"/>
    </font>
    <font>
      <sz val="12"/>
      <name val="Arial"/>
      <family val="2"/>
    </font>
    <font>
      <i/>
      <sz val="10"/>
      <color theme="0" tint="-0.249977111117893"/>
      <name val="Arial"/>
      <family val="2"/>
    </font>
    <font>
      <sz val="9"/>
      <name val="Times New Roman"/>
      <family val="1"/>
    </font>
    <font>
      <sz val="7"/>
      <name val="Arial"/>
      <family val="2"/>
    </font>
    <font>
      <u/>
      <sz val="10"/>
      <color indexed="12"/>
      <name val="Geneva"/>
      <family val="2"/>
    </font>
    <font>
      <sz val="10"/>
      <name val="Geneva"/>
      <family val="2"/>
    </font>
    <font>
      <b/>
      <sz val="9"/>
      <name val="Times New Roman"/>
      <family val="1"/>
    </font>
    <font>
      <sz val="10"/>
      <color indexed="10"/>
      <name val="Calibri"/>
      <family val="2"/>
    </font>
    <font>
      <b/>
      <sz val="14"/>
      <name val="Calibri"/>
      <family val="2"/>
    </font>
    <font>
      <b/>
      <u/>
      <sz val="10"/>
      <name val="Calibri"/>
      <family val="2"/>
    </font>
    <font>
      <b/>
      <sz val="10"/>
      <color indexed="10"/>
      <name val="Calibri"/>
      <family val="2"/>
    </font>
    <font>
      <b/>
      <i/>
      <sz val="10"/>
      <name val="Calibri"/>
      <family val="2"/>
    </font>
    <font>
      <b/>
      <sz val="10"/>
      <color indexed="14"/>
      <name val="Calibri"/>
      <family val="2"/>
    </font>
    <font>
      <sz val="11"/>
      <color indexed="14"/>
      <name val="Calibri"/>
      <family val="2"/>
    </font>
    <font>
      <sz val="12"/>
      <color indexed="8"/>
      <name val="Calibri"/>
      <family val="2"/>
    </font>
    <font>
      <b/>
      <i/>
      <sz val="11"/>
      <color indexed="63"/>
      <name val="Calibri"/>
      <family val="2"/>
    </font>
    <font>
      <b/>
      <i/>
      <sz val="10"/>
      <color indexed="10"/>
      <name val="Calibri"/>
      <family val="2"/>
    </font>
    <font>
      <sz val="12"/>
      <color indexed="10"/>
      <name val="Calibri"/>
      <family val="2"/>
    </font>
    <font>
      <i/>
      <sz val="10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theme="0" tint="-0.34998626667073579"/>
      <name val="Arial"/>
      <family val="2"/>
    </font>
    <font>
      <i/>
      <sz val="9"/>
      <color theme="0" tint="-0.34998626667073579"/>
      <name val="Calibri"/>
      <family val="2"/>
      <scheme val="minor"/>
    </font>
    <font>
      <sz val="9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0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4" fillId="0" borderId="0"/>
    <xf numFmtId="9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49" fontId="72" fillId="0" borderId="8" applyNumberFormat="0" applyFont="0" applyFill="0" applyBorder="0" applyProtection="0">
      <alignment horizontal="left" vertical="center" indent="2"/>
    </xf>
    <xf numFmtId="49" fontId="72" fillId="0" borderId="33" applyNumberFormat="0" applyFont="0" applyFill="0" applyBorder="0" applyProtection="0">
      <alignment horizontal="left" vertical="center" indent="5"/>
    </xf>
    <xf numFmtId="180" fontId="73" fillId="0" borderId="0" applyAlignment="0" applyProtection="0"/>
    <xf numFmtId="181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>
      <alignment vertical="top"/>
      <protection locked="0"/>
    </xf>
    <xf numFmtId="43" fontId="61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179" fontId="28" fillId="0" borderId="0" applyFont="0" applyFill="0" applyBorder="0" applyAlignment="0" applyProtection="0"/>
    <xf numFmtId="43" fontId="5" fillId="0" borderId="0"/>
    <xf numFmtId="43" fontId="61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183" fontId="75" fillId="0" borderId="0" applyFont="0" applyFill="0" applyBorder="0" applyAlignment="0" applyProtection="0"/>
    <xf numFmtId="0" fontId="1" fillId="0" borderId="0"/>
    <xf numFmtId="0" fontId="28" fillId="0" borderId="0"/>
    <xf numFmtId="0" fontId="28" fillId="0" borderId="0"/>
    <xf numFmtId="0" fontId="5" fillId="0" borderId="0" applyNumberFormat="0" applyFont="0" applyFill="0" applyBorder="0" applyAlignment="0" applyProtection="0"/>
    <xf numFmtId="0" fontId="91" fillId="0" borderId="0"/>
    <xf numFmtId="0" fontId="28" fillId="0" borderId="0"/>
    <xf numFmtId="0" fontId="5" fillId="0" borderId="0"/>
    <xf numFmtId="0" fontId="5" fillId="0" borderId="0" applyFill="0"/>
    <xf numFmtId="0" fontId="91" fillId="0" borderId="0"/>
    <xf numFmtId="0" fontId="5" fillId="0" borderId="0"/>
    <xf numFmtId="0" fontId="1" fillId="0" borderId="0"/>
    <xf numFmtId="0" fontId="91" fillId="0" borderId="0"/>
    <xf numFmtId="0" fontId="92" fillId="0" borderId="0"/>
    <xf numFmtId="49" fontId="76" fillId="0" borderId="8" applyNumberFormat="0" applyFill="0" applyBorder="0" applyProtection="0">
      <alignment horizontal="left" vertical="center"/>
    </xf>
    <xf numFmtId="9" fontId="6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70" fillId="0" borderId="0"/>
    <xf numFmtId="0" fontId="75" fillId="0" borderId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</cellStyleXfs>
  <cellXfs count="793">
    <xf numFmtId="0" fontId="0" fillId="0" borderId="0" xfId="0"/>
    <xf numFmtId="0" fontId="7" fillId="0" borderId="0" xfId="8" applyFont="1" applyBorder="1"/>
    <xf numFmtId="164" fontId="7" fillId="0" borderId="0" xfId="8" applyNumberFormat="1" applyFont="1" applyBorder="1"/>
    <xf numFmtId="164" fontId="7" fillId="0" borderId="1" xfId="8" applyNumberFormat="1" applyFont="1" applyBorder="1"/>
    <xf numFmtId="0" fontId="7" fillId="0" borderId="0" xfId="8" applyFont="1" applyBorder="1" applyAlignment="1">
      <alignment horizontal="center" vertical="center" wrapText="1"/>
    </xf>
    <xf numFmtId="2" fontId="7" fillId="0" borderId="0" xfId="8" applyNumberFormat="1" applyFont="1" applyBorder="1"/>
    <xf numFmtId="164" fontId="6" fillId="0" borderId="0" xfId="8" applyNumberFormat="1" applyFont="1" applyBorder="1"/>
    <xf numFmtId="164" fontId="7" fillId="0" borderId="0" xfId="8" applyNumberFormat="1" applyFont="1" applyBorder="1" applyAlignment="1">
      <alignment horizontal="center" vertical="center"/>
    </xf>
    <xf numFmtId="164" fontId="9" fillId="0" borderId="1" xfId="8" applyNumberFormat="1" applyFont="1" applyBorder="1"/>
    <xf numFmtId="164" fontId="10" fillId="0" borderId="1" xfId="8" applyNumberFormat="1" applyFont="1" applyBorder="1"/>
    <xf numFmtId="0" fontId="9" fillId="0" borderId="0" xfId="8" applyFont="1" applyBorder="1"/>
    <xf numFmtId="164" fontId="10" fillId="0" borderId="3" xfId="8" applyNumberFormat="1" applyFont="1" applyBorder="1"/>
    <xf numFmtId="0" fontId="9" fillId="0" borderId="3" xfId="8" applyFont="1" applyBorder="1"/>
    <xf numFmtId="0" fontId="9" fillId="0" borderId="2" xfId="8" applyFont="1" applyBorder="1"/>
    <xf numFmtId="0" fontId="9" fillId="0" borderId="1" xfId="8" applyFont="1" applyBorder="1"/>
    <xf numFmtId="164" fontId="9" fillId="0" borderId="1" xfId="8" applyNumberFormat="1" applyFont="1" applyBorder="1" applyAlignment="1">
      <alignment horizontal="center"/>
    </xf>
    <xf numFmtId="164" fontId="9" fillId="0" borderId="0" xfId="8" applyNumberFormat="1" applyFont="1" applyBorder="1" applyAlignment="1">
      <alignment horizontal="center"/>
    </xf>
    <xf numFmtId="0" fontId="7" fillId="0" borderId="0" xfId="8" applyFont="1" applyBorder="1" applyAlignment="1">
      <alignment horizontal="right"/>
    </xf>
    <xf numFmtId="0" fontId="6" fillId="0" borderId="1" xfId="8" applyFont="1" applyBorder="1" applyAlignment="1">
      <alignment horizontal="right"/>
    </xf>
    <xf numFmtId="0" fontId="6" fillId="0" borderId="0" xfId="8" applyFont="1" applyBorder="1" applyAlignment="1">
      <alignment horizontal="right"/>
    </xf>
    <xf numFmtId="0" fontId="9" fillId="5" borderId="1" xfId="8" applyFont="1" applyFill="1" applyBorder="1"/>
    <xf numFmtId="0" fontId="9" fillId="2" borderId="1" xfId="8" applyFont="1" applyFill="1" applyBorder="1" applyAlignment="1">
      <alignment horizontal="center" vertical="center" wrapText="1"/>
    </xf>
    <xf numFmtId="0" fontId="9" fillId="3" borderId="0" xfId="8" applyFont="1" applyFill="1" applyBorder="1"/>
    <xf numFmtId="0" fontId="7" fillId="0" borderId="0" xfId="8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 wrapText="1"/>
    </xf>
    <xf numFmtId="1" fontId="7" fillId="0" borderId="0" xfId="0" applyNumberFormat="1" applyFont="1" applyBorder="1"/>
    <xf numFmtId="164" fontId="7" fillId="0" borderId="0" xfId="0" applyNumberFormat="1" applyFont="1" applyBorder="1"/>
    <xf numFmtId="0" fontId="7" fillId="0" borderId="0" xfId="0" applyFont="1" applyBorder="1" applyAlignment="1"/>
    <xf numFmtId="0" fontId="9" fillId="0" borderId="0" xfId="0" applyFont="1" applyBorder="1"/>
    <xf numFmtId="0" fontId="7" fillId="2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2" borderId="0" xfId="0" applyFont="1" applyFill="1" applyBorder="1"/>
    <xf numFmtId="0" fontId="6" fillId="2" borderId="0" xfId="0" applyFont="1" applyFill="1" applyBorder="1"/>
    <xf numFmtId="164" fontId="6" fillId="0" borderId="0" xfId="8" applyNumberFormat="1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vertical="center"/>
    </xf>
    <xf numFmtId="2" fontId="7" fillId="0" borderId="0" xfId="0" applyNumberFormat="1" applyFont="1" applyBorder="1"/>
    <xf numFmtId="0" fontId="7" fillId="0" borderId="1" xfId="0" applyFont="1" applyBorder="1"/>
    <xf numFmtId="164" fontId="7" fillId="0" borderId="3" xfId="0" applyNumberFormat="1" applyFont="1" applyBorder="1"/>
    <xf numFmtId="2" fontId="7" fillId="0" borderId="0" xfId="0" applyNumberFormat="1" applyFont="1" applyBorder="1" applyAlignment="1">
      <alignment horizontal="center" vertical="center"/>
    </xf>
    <xf numFmtId="0" fontId="0" fillId="0" borderId="8" xfId="0" applyBorder="1"/>
    <xf numFmtId="0" fontId="14" fillId="0" borderId="0" xfId="0" applyFont="1"/>
    <xf numFmtId="164" fontId="14" fillId="0" borderId="0" xfId="0" applyNumberFormat="1" applyFont="1"/>
    <xf numFmtId="164" fontId="9" fillId="12" borderId="8" xfId="0" applyNumberFormat="1" applyFont="1" applyFill="1" applyBorder="1"/>
    <xf numFmtId="164" fontId="7" fillId="6" borderId="2" xfId="8" applyNumberFormat="1" applyFont="1" applyFill="1" applyBorder="1" applyAlignment="1">
      <alignment horizontal="center" vertical="center"/>
    </xf>
    <xf numFmtId="164" fontId="7" fillId="6" borderId="1" xfId="8" applyNumberFormat="1" applyFont="1" applyFill="1" applyBorder="1" applyAlignment="1">
      <alignment horizontal="center" vertical="center"/>
    </xf>
    <xf numFmtId="164" fontId="7" fillId="12" borderId="8" xfId="0" applyNumberFormat="1" applyFont="1" applyFill="1" applyBorder="1"/>
    <xf numFmtId="164" fontId="7" fillId="0" borderId="8" xfId="0" applyNumberFormat="1" applyFont="1" applyBorder="1"/>
    <xf numFmtId="164" fontId="16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right"/>
    </xf>
    <xf numFmtId="0" fontId="3" fillId="2" borderId="0" xfId="8" applyFont="1" applyFill="1" applyBorder="1" applyAlignment="1">
      <alignment horizontal="center" vertical="center" wrapText="1"/>
    </xf>
    <xf numFmtId="164" fontId="16" fillId="0" borderId="3" xfId="0" applyNumberFormat="1" applyFont="1" applyBorder="1"/>
    <xf numFmtId="164" fontId="16" fillId="0" borderId="3" xfId="0" quotePrefix="1" applyNumberFormat="1" applyFont="1" applyBorder="1"/>
    <xf numFmtId="0" fontId="14" fillId="0" borderId="3" xfId="0" applyFont="1" applyBorder="1"/>
    <xf numFmtId="164" fontId="14" fillId="0" borderId="3" xfId="0" applyNumberFormat="1" applyFont="1" applyBorder="1"/>
    <xf numFmtId="164" fontId="7" fillId="12" borderId="7" xfId="0" applyNumberFormat="1" applyFont="1" applyFill="1" applyBorder="1"/>
    <xf numFmtId="164" fontId="7" fillId="0" borderId="7" xfId="0" applyNumberFormat="1" applyFont="1" applyBorder="1"/>
    <xf numFmtId="0" fontId="14" fillId="0" borderId="8" xfId="0" applyFont="1" applyBorder="1"/>
    <xf numFmtId="0" fontId="0" fillId="0" borderId="7" xfId="0" applyBorder="1"/>
    <xf numFmtId="0" fontId="14" fillId="0" borderId="0" xfId="0" applyFont="1" applyBorder="1"/>
    <xf numFmtId="2" fontId="14" fillId="0" borderId="0" xfId="0" applyNumberFormat="1" applyFont="1"/>
    <xf numFmtId="166" fontId="14" fillId="0" borderId="0" xfId="0" applyNumberFormat="1" applyFont="1"/>
    <xf numFmtId="164" fontId="14" fillId="0" borderId="0" xfId="0" applyNumberFormat="1" applyFont="1" applyBorder="1"/>
    <xf numFmtId="0" fontId="0" fillId="13" borderId="0" xfId="0" applyFill="1"/>
    <xf numFmtId="0" fontId="0" fillId="13" borderId="12" xfId="0" applyFill="1" applyBorder="1"/>
    <xf numFmtId="0" fontId="0" fillId="13" borderId="13" xfId="0" applyFill="1" applyBorder="1"/>
    <xf numFmtId="167" fontId="0" fillId="0" borderId="8" xfId="0" applyNumberFormat="1" applyBorder="1" applyAlignment="1">
      <alignment wrapText="1" shrinkToFit="1"/>
    </xf>
    <xf numFmtId="0" fontId="0" fillId="0" borderId="8" xfId="0" applyBorder="1" applyAlignment="1">
      <alignment wrapText="1" shrinkToFit="1"/>
    </xf>
    <xf numFmtId="167" fontId="0" fillId="0" borderId="8" xfId="0" applyNumberFormat="1" applyFill="1" applyBorder="1" applyAlignment="1">
      <alignment wrapText="1" shrinkToFit="1"/>
    </xf>
    <xf numFmtId="164" fontId="0" fillId="0" borderId="8" xfId="0" applyNumberFormat="1" applyFill="1" applyBorder="1" applyAlignment="1">
      <alignment wrapText="1" shrinkToFit="1"/>
    </xf>
    <xf numFmtId="0" fontId="18" fillId="13" borderId="13" xfId="0" applyFont="1" applyFill="1" applyBorder="1" applyAlignment="1">
      <alignment vertical="center"/>
    </xf>
    <xf numFmtId="164" fontId="0" fillId="0" borderId="8" xfId="0" applyNumberFormat="1" applyBorder="1"/>
    <xf numFmtId="164" fontId="19" fillId="0" borderId="0" xfId="0" applyNumberFormat="1" applyFont="1"/>
    <xf numFmtId="164" fontId="0" fillId="0" borderId="0" xfId="0" applyNumberFormat="1"/>
    <xf numFmtId="0" fontId="18" fillId="13" borderId="15" xfId="0" applyFont="1" applyFill="1" applyBorder="1" applyAlignment="1">
      <alignment vertical="center"/>
    </xf>
    <xf numFmtId="0" fontId="0" fillId="13" borderId="16" xfId="0" applyFont="1" applyFill="1" applyBorder="1" applyAlignment="1">
      <alignment vertical="center" wrapText="1"/>
    </xf>
    <xf numFmtId="0" fontId="18" fillId="13" borderId="17" xfId="0" applyFont="1" applyFill="1" applyBorder="1" applyAlignment="1">
      <alignment vertical="center"/>
    </xf>
    <xf numFmtId="0" fontId="0" fillId="13" borderId="18" xfId="0" applyFont="1" applyFill="1" applyBorder="1" applyAlignment="1">
      <alignment vertical="center" wrapText="1"/>
    </xf>
    <xf numFmtId="0" fontId="19" fillId="0" borderId="0" xfId="0" applyFont="1"/>
    <xf numFmtId="0" fontId="18" fillId="13" borderId="19" xfId="0" applyFont="1" applyFill="1" applyBorder="1" applyAlignment="1">
      <alignment vertical="center" wrapText="1"/>
    </xf>
    <xf numFmtId="0" fontId="18" fillId="13" borderId="16" xfId="0" applyFont="1" applyFill="1" applyBorder="1" applyAlignment="1">
      <alignment vertical="center" wrapText="1"/>
    </xf>
    <xf numFmtId="164" fontId="0" fillId="0" borderId="0" xfId="0" applyNumberFormat="1" applyBorder="1"/>
    <xf numFmtId="0" fontId="18" fillId="13" borderId="18" xfId="0" applyFont="1" applyFill="1" applyBorder="1" applyAlignment="1">
      <alignment vertical="center" wrapText="1"/>
    </xf>
    <xf numFmtId="0" fontId="20" fillId="0" borderId="0" xfId="0" applyFont="1"/>
    <xf numFmtId="164" fontId="20" fillId="0" borderId="0" xfId="0" applyNumberFormat="1" applyFont="1"/>
    <xf numFmtId="0" fontId="18" fillId="13" borderId="14" xfId="0" applyFont="1" applyFill="1" applyBorder="1"/>
    <xf numFmtId="0" fontId="18" fillId="13" borderId="20" xfId="0" applyFont="1" applyFill="1" applyBorder="1"/>
    <xf numFmtId="0" fontId="18" fillId="13" borderId="17" xfId="0" applyFont="1" applyFill="1" applyBorder="1"/>
    <xf numFmtId="0" fontId="18" fillId="13" borderId="21" xfId="0" applyFont="1" applyFill="1" applyBorder="1"/>
    <xf numFmtId="0" fontId="18" fillId="13" borderId="22" xfId="0" applyFont="1" applyFill="1" applyBorder="1"/>
    <xf numFmtId="0" fontId="0" fillId="0" borderId="8" xfId="0" applyFill="1" applyBorder="1" applyAlignment="1">
      <alignment wrapText="1" shrinkToFit="1"/>
    </xf>
    <xf numFmtId="0" fontId="0" fillId="0" borderId="0" xfId="0" applyBorder="1" applyAlignment="1">
      <alignment wrapText="1" shrinkToFit="1"/>
    </xf>
    <xf numFmtId="0" fontId="0" fillId="13" borderId="8" xfId="0" applyFill="1" applyBorder="1"/>
    <xf numFmtId="0" fontId="21" fillId="0" borderId="8" xfId="0" applyFont="1" applyBorder="1"/>
    <xf numFmtId="0" fontId="0" fillId="13" borderId="8" xfId="0" applyFont="1" applyFill="1" applyBorder="1" applyAlignment="1"/>
    <xf numFmtId="164" fontId="22" fillId="0" borderId="8" xfId="0" applyNumberFormat="1" applyFont="1" applyBorder="1"/>
    <xf numFmtId="0" fontId="0" fillId="13" borderId="8" xfId="0" applyFont="1" applyFill="1" applyBorder="1" applyAlignment="1">
      <alignment horizontal="left" indent="3"/>
    </xf>
    <xf numFmtId="164" fontId="21" fillId="0" borderId="8" xfId="0" applyNumberFormat="1" applyFont="1" applyBorder="1"/>
    <xf numFmtId="164" fontId="23" fillId="0" borderId="8" xfId="0" applyNumberFormat="1" applyFon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/>
    </xf>
    <xf numFmtId="2" fontId="0" fillId="0" borderId="8" xfId="0" applyNumberFormat="1" applyBorder="1"/>
    <xf numFmtId="0" fontId="0" fillId="0" borderId="8" xfId="0" applyFill="1" applyBorder="1" applyAlignment="1">
      <alignment horizontal="left"/>
    </xf>
    <xf numFmtId="164" fontId="0" fillId="0" borderId="2" xfId="0" applyNumberFormat="1" applyFill="1" applyBorder="1"/>
    <xf numFmtId="1" fontId="0" fillId="0" borderId="0" xfId="0" applyNumberFormat="1"/>
    <xf numFmtId="1" fontId="0" fillId="0" borderId="0" xfId="0" applyNumberFormat="1" applyBorder="1"/>
    <xf numFmtId="164" fontId="24" fillId="0" borderId="0" xfId="0" applyNumberFormat="1" applyFont="1"/>
    <xf numFmtId="168" fontId="0" fillId="0" borderId="0" xfId="0" applyNumberFormat="1"/>
    <xf numFmtId="164" fontId="5" fillId="0" borderId="8" xfId="0" applyNumberFormat="1" applyFont="1" applyBorder="1"/>
    <xf numFmtId="0" fontId="5" fillId="0" borderId="8" xfId="0" applyFont="1" applyBorder="1"/>
    <xf numFmtId="167" fontId="5" fillId="0" borderId="8" xfId="0" applyNumberFormat="1" applyFont="1" applyBorder="1" applyAlignment="1">
      <alignment wrapText="1" shrinkToFit="1"/>
    </xf>
    <xf numFmtId="0" fontId="5" fillId="13" borderId="8" xfId="0" applyFont="1" applyFill="1" applyBorder="1" applyAlignment="1">
      <alignment horizontal="left" indent="3"/>
    </xf>
    <xf numFmtId="0" fontId="5" fillId="0" borderId="7" xfId="0" applyFont="1" applyBorder="1"/>
    <xf numFmtId="169" fontId="0" fillId="0" borderId="0" xfId="0" applyNumberFormat="1"/>
    <xf numFmtId="0" fontId="29" fillId="14" borderId="0" xfId="2" applyFont="1" applyFill="1" applyAlignment="1">
      <alignment horizontal="left"/>
    </xf>
    <xf numFmtId="0" fontId="30" fillId="14" borderId="0" xfId="2" applyFont="1" applyFill="1" applyAlignment="1">
      <alignment horizontal="center"/>
    </xf>
    <xf numFmtId="0" fontId="31" fillId="14" borderId="0" xfId="2" applyFont="1" applyFill="1" applyAlignment="1">
      <alignment horizontal="center"/>
    </xf>
    <xf numFmtId="0" fontId="32" fillId="14" borderId="0" xfId="2" applyFont="1" applyFill="1" applyAlignment="1">
      <alignment horizontal="right"/>
    </xf>
    <xf numFmtId="0" fontId="32" fillId="14" borderId="0" xfId="2" applyFont="1" applyFill="1" applyAlignment="1">
      <alignment horizontal="left"/>
    </xf>
    <xf numFmtId="14" fontId="32" fillId="14" borderId="0" xfId="2" applyNumberFormat="1" applyFont="1" applyFill="1" applyAlignment="1">
      <alignment horizontal="left"/>
    </xf>
    <xf numFmtId="0" fontId="33" fillId="14" borderId="0" xfId="2" applyFont="1" applyFill="1" applyAlignment="1">
      <alignment horizontal="center"/>
    </xf>
    <xf numFmtId="0" fontId="0" fillId="15" borderId="0" xfId="0" applyFill="1"/>
    <xf numFmtId="0" fontId="36" fillId="15" borderId="0" xfId="2" applyFont="1" applyFill="1"/>
    <xf numFmtId="0" fontId="37" fillId="15" borderId="0" xfId="2" applyFont="1" applyFill="1" applyAlignment="1">
      <alignment horizontal="center"/>
    </xf>
    <xf numFmtId="0" fontId="36" fillId="15" borderId="0" xfId="2" applyFont="1" applyFill="1" applyAlignment="1">
      <alignment horizontal="center"/>
    </xf>
    <xf numFmtId="164" fontId="36" fillId="15" borderId="0" xfId="2" applyNumberFormat="1" applyFont="1" applyFill="1" applyBorder="1" applyAlignment="1">
      <alignment horizontal="center"/>
    </xf>
    <xf numFmtId="165" fontId="36" fillId="15" borderId="0" xfId="2" applyNumberFormat="1" applyFont="1" applyFill="1"/>
    <xf numFmtId="2" fontId="36" fillId="15" borderId="0" xfId="2" applyNumberFormat="1" applyFont="1" applyFill="1"/>
    <xf numFmtId="170" fontId="49" fillId="15" borderId="0" xfId="5" applyNumberFormat="1" applyFont="1" applyFill="1" applyBorder="1" applyAlignment="1">
      <alignment horizontal="center"/>
    </xf>
    <xf numFmtId="0" fontId="36" fillId="15" borderId="38" xfId="0" applyFont="1" applyFill="1" applyBorder="1"/>
    <xf numFmtId="0" fontId="48" fillId="15" borderId="0" xfId="2" applyFont="1" applyFill="1" applyBorder="1"/>
    <xf numFmtId="0" fontId="7" fillId="9" borderId="0" xfId="0" applyFont="1" applyFill="1" applyBorder="1"/>
    <xf numFmtId="164" fontId="7" fillId="9" borderId="1" xfId="0" applyNumberFormat="1" applyFont="1" applyFill="1" applyBorder="1"/>
    <xf numFmtId="0" fontId="7" fillId="9" borderId="2" xfId="0" applyFont="1" applyFill="1" applyBorder="1"/>
    <xf numFmtId="0" fontId="7" fillId="9" borderId="3" xfId="0" applyFont="1" applyFill="1" applyBorder="1"/>
    <xf numFmtId="164" fontId="7" fillId="9" borderId="2" xfId="0" applyNumberFormat="1" applyFont="1" applyFill="1" applyBorder="1"/>
    <xf numFmtId="164" fontId="7" fillId="9" borderId="3" xfId="0" applyNumberFormat="1" applyFont="1" applyFill="1" applyBorder="1"/>
    <xf numFmtId="164" fontId="7" fillId="9" borderId="0" xfId="0" applyNumberFormat="1" applyFont="1" applyFill="1" applyBorder="1"/>
    <xf numFmtId="0" fontId="7" fillId="9" borderId="0" xfId="8" applyFont="1" applyFill="1" applyBorder="1"/>
    <xf numFmtId="164" fontId="7" fillId="9" borderId="1" xfId="8" applyNumberFormat="1" applyFont="1" applyFill="1" applyBorder="1"/>
    <xf numFmtId="2" fontId="7" fillId="9" borderId="2" xfId="8" applyNumberFormat="1" applyFont="1" applyFill="1" applyBorder="1"/>
    <xf numFmtId="2" fontId="7" fillId="0" borderId="1" xfId="0" applyNumberFormat="1" applyFont="1" applyBorder="1"/>
    <xf numFmtId="0" fontId="6" fillId="2" borderId="0" xfId="8" applyFont="1" applyFill="1" applyBorder="1"/>
    <xf numFmtId="0" fontId="6" fillId="2" borderId="0" xfId="0" applyFont="1" applyFill="1" applyBorder="1" applyAlignment="1">
      <alignment horizontal="center" vertical="center" wrapText="1"/>
    </xf>
    <xf numFmtId="164" fontId="17" fillId="0" borderId="0" xfId="8" applyNumberFormat="1" applyFont="1" applyBorder="1"/>
    <xf numFmtId="164" fontId="54" fillId="9" borderId="0" xfId="0" applyNumberFormat="1" applyFont="1" applyFill="1" applyBorder="1"/>
    <xf numFmtId="164" fontId="54" fillId="9" borderId="1" xfId="0" applyNumberFormat="1" applyFont="1" applyFill="1" applyBorder="1"/>
    <xf numFmtId="164" fontId="54" fillId="9" borderId="2" xfId="0" applyNumberFormat="1" applyFont="1" applyFill="1" applyBorder="1"/>
    <xf numFmtId="164" fontId="56" fillId="0" borderId="0" xfId="8" applyNumberFormat="1" applyFont="1" applyBorder="1"/>
    <xf numFmtId="0" fontId="14" fillId="0" borderId="4" xfId="0" applyFont="1" applyBorder="1" applyAlignment="1">
      <alignment horizontal="center" vertical="center"/>
    </xf>
    <xf numFmtId="0" fontId="0" fillId="15" borderId="0" xfId="0" applyFont="1" applyFill="1"/>
    <xf numFmtId="0" fontId="34" fillId="16" borderId="0" xfId="0" applyFont="1" applyFill="1"/>
    <xf numFmtId="0" fontId="58" fillId="17" borderId="0" xfId="0" applyFont="1" applyFill="1"/>
    <xf numFmtId="0" fontId="18" fillId="17" borderId="0" xfId="0" applyFont="1" applyFill="1"/>
    <xf numFmtId="0" fontId="59" fillId="15" borderId="0" xfId="0" applyFont="1" applyFill="1"/>
    <xf numFmtId="0" fontId="60" fillId="15" borderId="25" xfId="0" applyFont="1" applyFill="1" applyBorder="1"/>
    <xf numFmtId="0" fontId="36" fillId="15" borderId="46" xfId="0" applyFont="1" applyFill="1" applyBorder="1" applyAlignment="1">
      <alignment horizontal="right" wrapText="1"/>
    </xf>
    <xf numFmtId="0" fontId="36" fillId="15" borderId="47" xfId="0" applyFont="1" applyFill="1" applyBorder="1" applyAlignment="1">
      <alignment horizontal="right" wrapText="1"/>
    </xf>
    <xf numFmtId="0" fontId="36" fillId="15" borderId="48" xfId="0" applyFont="1" applyFill="1" applyBorder="1" applyAlignment="1">
      <alignment horizontal="right" wrapText="1"/>
    </xf>
    <xf numFmtId="0" fontId="60" fillId="15" borderId="28" xfId="0" applyFont="1" applyFill="1" applyBorder="1"/>
    <xf numFmtId="0" fontId="60" fillId="15" borderId="51" xfId="0" applyFont="1" applyFill="1" applyBorder="1" applyAlignment="1">
      <alignment horizontal="right"/>
    </xf>
    <xf numFmtId="0" fontId="60" fillId="15" borderId="44" xfId="0" applyFont="1" applyFill="1" applyBorder="1" applyAlignment="1">
      <alignment horizontal="right"/>
    </xf>
    <xf numFmtId="0" fontId="60" fillId="15" borderId="52" xfId="0" applyFont="1" applyFill="1" applyBorder="1" applyAlignment="1">
      <alignment horizontal="right"/>
    </xf>
    <xf numFmtId="0" fontId="36" fillId="15" borderId="25" xfId="0" applyFont="1" applyFill="1" applyBorder="1"/>
    <xf numFmtId="3" fontId="60" fillId="15" borderId="46" xfId="0" applyNumberFormat="1" applyFont="1" applyFill="1" applyBorder="1"/>
    <xf numFmtId="3" fontId="60" fillId="15" borderId="47" xfId="0" applyNumberFormat="1" applyFont="1" applyFill="1" applyBorder="1"/>
    <xf numFmtId="2" fontId="60" fillId="15" borderId="48" xfId="0" applyNumberFormat="1" applyFont="1" applyFill="1" applyBorder="1"/>
    <xf numFmtId="0" fontId="36" fillId="15" borderId="45" xfId="0" applyFont="1" applyFill="1" applyBorder="1"/>
    <xf numFmtId="3" fontId="60" fillId="15" borderId="49" xfId="0" applyNumberFormat="1" applyFont="1" applyFill="1" applyBorder="1"/>
    <xf numFmtId="3" fontId="60" fillId="15" borderId="0" xfId="0" applyNumberFormat="1" applyFont="1" applyFill="1" applyBorder="1"/>
    <xf numFmtId="2" fontId="60" fillId="15" borderId="50" xfId="0" applyNumberFormat="1" applyFont="1" applyFill="1" applyBorder="1"/>
    <xf numFmtId="0" fontId="0" fillId="15" borderId="0" xfId="0" applyFont="1" applyFill="1" applyAlignment="1"/>
    <xf numFmtId="9" fontId="61" fillId="15" borderId="0" xfId="11" applyFont="1" applyFill="1"/>
    <xf numFmtId="0" fontId="36" fillId="15" borderId="28" xfId="0" applyFont="1" applyFill="1" applyBorder="1"/>
    <xf numFmtId="3" fontId="60" fillId="15" borderId="51" xfId="0" applyNumberFormat="1" applyFont="1" applyFill="1" applyBorder="1"/>
    <xf numFmtId="3" fontId="60" fillId="15" borderId="44" xfId="0" applyNumberFormat="1" applyFont="1" applyFill="1" applyBorder="1"/>
    <xf numFmtId="0" fontId="60" fillId="15" borderId="52" xfId="0" applyFont="1" applyFill="1" applyBorder="1"/>
    <xf numFmtId="0" fontId="60" fillId="15" borderId="38" xfId="0" applyFont="1" applyFill="1" applyBorder="1"/>
    <xf numFmtId="0" fontId="62" fillId="15" borderId="9" xfId="0" applyFont="1" applyFill="1" applyBorder="1"/>
    <xf numFmtId="0" fontId="62" fillId="15" borderId="10" xfId="0" applyFont="1" applyFill="1" applyBorder="1"/>
    <xf numFmtId="0" fontId="62" fillId="15" borderId="11" xfId="0" applyFont="1" applyFill="1" applyBorder="1"/>
    <xf numFmtId="2" fontId="60" fillId="15" borderId="46" xfId="0" applyNumberFormat="1" applyFont="1" applyFill="1" applyBorder="1"/>
    <xf numFmtId="2" fontId="60" fillId="15" borderId="47" xfId="0" applyNumberFormat="1" applyFont="1" applyFill="1" applyBorder="1"/>
    <xf numFmtId="0" fontId="60" fillId="15" borderId="45" xfId="0" applyFont="1" applyFill="1" applyBorder="1"/>
    <xf numFmtId="2" fontId="60" fillId="15" borderId="49" xfId="0" applyNumberFormat="1" applyFont="1" applyFill="1" applyBorder="1"/>
    <xf numFmtId="2" fontId="60" fillId="15" borderId="0" xfId="0" applyNumberFormat="1" applyFont="1" applyFill="1" applyBorder="1"/>
    <xf numFmtId="2" fontId="60" fillId="15" borderId="51" xfId="0" applyNumberFormat="1" applyFont="1" applyFill="1" applyBorder="1"/>
    <xf numFmtId="2" fontId="60" fillId="15" borderId="44" xfId="0" applyNumberFormat="1" applyFont="1" applyFill="1" applyBorder="1"/>
    <xf numFmtId="2" fontId="60" fillId="15" borderId="52" xfId="0" applyNumberFormat="1" applyFont="1" applyFill="1" applyBorder="1"/>
    <xf numFmtId="2" fontId="60" fillId="15" borderId="9" xfId="0" applyNumberFormat="1" applyFont="1" applyFill="1" applyBorder="1"/>
    <xf numFmtId="2" fontId="60" fillId="15" borderId="10" xfId="0" applyNumberFormat="1" applyFont="1" applyFill="1" applyBorder="1"/>
    <xf numFmtId="2" fontId="60" fillId="15" borderId="11" xfId="0" applyNumberFormat="1" applyFont="1" applyFill="1" applyBorder="1"/>
    <xf numFmtId="9" fontId="63" fillId="15" borderId="46" xfId="11" applyFont="1" applyFill="1" applyBorder="1"/>
    <xf numFmtId="9" fontId="60" fillId="15" borderId="47" xfId="11" applyFont="1" applyFill="1" applyBorder="1"/>
    <xf numFmtId="9" fontId="60" fillId="15" borderId="48" xfId="11" applyFont="1" applyFill="1" applyBorder="1"/>
    <xf numFmtId="9" fontId="63" fillId="15" borderId="49" xfId="11" applyFont="1" applyFill="1" applyBorder="1"/>
    <xf numFmtId="9" fontId="60" fillId="15" borderId="0" xfId="11" applyFont="1" applyFill="1" applyBorder="1"/>
    <xf numFmtId="9" fontId="60" fillId="15" borderId="50" xfId="11" applyFont="1" applyFill="1" applyBorder="1"/>
    <xf numFmtId="9" fontId="60" fillId="15" borderId="0" xfId="11" applyNumberFormat="1" applyFont="1" applyFill="1" applyBorder="1"/>
    <xf numFmtId="9" fontId="60" fillId="15" borderId="50" xfId="11" applyNumberFormat="1" applyFont="1" applyFill="1" applyBorder="1"/>
    <xf numFmtId="9" fontId="60" fillId="15" borderId="51" xfId="0" applyNumberFormat="1" applyFont="1" applyFill="1" applyBorder="1"/>
    <xf numFmtId="9" fontId="60" fillId="15" borderId="44" xfId="0" applyNumberFormat="1" applyFont="1" applyFill="1" applyBorder="1"/>
    <xf numFmtId="9" fontId="60" fillId="15" borderId="52" xfId="0" applyNumberFormat="1" applyFont="1" applyFill="1" applyBorder="1"/>
    <xf numFmtId="2" fontId="36" fillId="15" borderId="46" xfId="0" applyNumberFormat="1" applyFont="1" applyFill="1" applyBorder="1"/>
    <xf numFmtId="2" fontId="36" fillId="15" borderId="47" xfId="0" applyNumberFormat="1" applyFont="1" applyFill="1" applyBorder="1"/>
    <xf numFmtId="2" fontId="36" fillId="15" borderId="48" xfId="0" applyNumberFormat="1" applyFont="1" applyFill="1" applyBorder="1"/>
    <xf numFmtId="2" fontId="36" fillId="15" borderId="49" xfId="0" applyNumberFormat="1" applyFont="1" applyFill="1" applyBorder="1"/>
    <xf numFmtId="2" fontId="36" fillId="15" borderId="0" xfId="0" applyNumberFormat="1" applyFont="1" applyFill="1" applyBorder="1"/>
    <xf numFmtId="2" fontId="36" fillId="15" borderId="50" xfId="0" applyNumberFormat="1" applyFont="1" applyFill="1" applyBorder="1"/>
    <xf numFmtId="0" fontId="60" fillId="15" borderId="51" xfId="0" applyFont="1" applyFill="1" applyBorder="1"/>
    <xf numFmtId="0" fontId="60" fillId="15" borderId="44" xfId="0" applyFont="1" applyFill="1" applyBorder="1"/>
    <xf numFmtId="0" fontId="36" fillId="15" borderId="0" xfId="0" applyFont="1" applyFill="1" applyAlignment="1">
      <alignment horizontal="left" indent="1"/>
    </xf>
    <xf numFmtId="2" fontId="0" fillId="15" borderId="0" xfId="0" applyNumberFormat="1" applyFont="1" applyFill="1"/>
    <xf numFmtId="2" fontId="17" fillId="0" borderId="0" xfId="8" applyNumberFormat="1" applyFont="1" applyBorder="1"/>
    <xf numFmtId="0" fontId="7" fillId="0" borderId="0" xfId="8" applyFont="1" applyFill="1" applyBorder="1"/>
    <xf numFmtId="164" fontId="6" fillId="0" borderId="0" xfId="8" applyNumberFormat="1" applyFont="1" applyFill="1" applyBorder="1" applyAlignment="1">
      <alignment horizontal="right" vertical="center"/>
    </xf>
    <xf numFmtId="0" fontId="7" fillId="0" borderId="0" xfId="0" applyFont="1" applyFill="1" applyBorder="1"/>
    <xf numFmtId="0" fontId="6" fillId="0" borderId="0" xfId="8" quotePrefix="1" applyFont="1" applyFill="1" applyBorder="1"/>
    <xf numFmtId="164" fontId="6" fillId="0" borderId="0" xfId="8" applyNumberFormat="1" applyFont="1" applyFill="1" applyBorder="1"/>
    <xf numFmtId="164" fontId="7" fillId="0" borderId="0" xfId="8" applyNumberFormat="1" applyFont="1" applyFill="1" applyBorder="1"/>
    <xf numFmtId="0" fontId="11" fillId="0" borderId="0" xfId="8" applyFont="1" applyFill="1" applyBorder="1"/>
    <xf numFmtId="9" fontId="11" fillId="0" borderId="0" xfId="9" applyFont="1" applyFill="1" applyBorder="1"/>
    <xf numFmtId="0" fontId="7" fillId="0" borderId="8" xfId="8" applyFont="1" applyBorder="1"/>
    <xf numFmtId="0" fontId="6" fillId="0" borderId="8" xfId="8" applyFont="1" applyFill="1" applyBorder="1"/>
    <xf numFmtId="0" fontId="7" fillId="0" borderId="8" xfId="8" applyFont="1" applyFill="1" applyBorder="1"/>
    <xf numFmtId="2" fontId="7" fillId="0" borderId="8" xfId="8" applyNumberFormat="1" applyFont="1" applyBorder="1"/>
    <xf numFmtId="164" fontId="7" fillId="0" borderId="8" xfId="8" applyNumberFormat="1" applyFont="1" applyBorder="1"/>
    <xf numFmtId="2" fontId="7" fillId="0" borderId="8" xfId="8" applyNumberFormat="1" applyFont="1" applyFill="1" applyBorder="1"/>
    <xf numFmtId="170" fontId="7" fillId="0" borderId="8" xfId="11" applyNumberFormat="1" applyFont="1" applyFill="1" applyBorder="1"/>
    <xf numFmtId="164" fontId="7" fillId="7" borderId="54" xfId="8" applyNumberFormat="1" applyFont="1" applyFill="1" applyBorder="1" applyAlignment="1">
      <alignment horizontal="center" vertical="center"/>
    </xf>
    <xf numFmtId="164" fontId="7" fillId="7" borderId="55" xfId="8" applyNumberFormat="1" applyFont="1" applyFill="1" applyBorder="1" applyAlignment="1">
      <alignment horizontal="center" vertical="center"/>
    </xf>
    <xf numFmtId="0" fontId="7" fillId="7" borderId="3" xfId="0" applyFont="1" applyFill="1" applyBorder="1"/>
    <xf numFmtId="164" fontId="7" fillId="7" borderId="56" xfId="8" applyNumberFormat="1" applyFont="1" applyFill="1" applyBorder="1" applyAlignment="1">
      <alignment horizontal="center" vertical="center"/>
    </xf>
    <xf numFmtId="164" fontId="7" fillId="7" borderId="6" xfId="8" applyNumberFormat="1" applyFont="1" applyFill="1" applyBorder="1" applyAlignment="1">
      <alignment horizontal="center" vertical="center"/>
    </xf>
    <xf numFmtId="0" fontId="7" fillId="7" borderId="2" xfId="0" applyFont="1" applyFill="1" applyBorder="1"/>
    <xf numFmtId="0" fontId="7" fillId="8" borderId="54" xfId="0" applyFont="1" applyFill="1" applyBorder="1"/>
    <xf numFmtId="164" fontId="7" fillId="8" borderId="56" xfId="8" applyNumberFormat="1" applyFont="1" applyFill="1" applyBorder="1" applyAlignment="1">
      <alignment horizontal="center" vertical="center"/>
    </xf>
    <xf numFmtId="164" fontId="6" fillId="8" borderId="2" xfId="8" applyNumberFormat="1" applyFont="1" applyFill="1" applyBorder="1" applyAlignment="1">
      <alignment horizontal="center" vertical="center"/>
    </xf>
    <xf numFmtId="164" fontId="6" fillId="8" borderId="56" xfId="8" applyNumberFormat="1" applyFont="1" applyFill="1" applyBorder="1" applyAlignment="1">
      <alignment horizontal="center" vertical="center"/>
    </xf>
    <xf numFmtId="164" fontId="7" fillId="8" borderId="6" xfId="8" applyNumberFormat="1" applyFont="1" applyFill="1" applyBorder="1" applyAlignment="1">
      <alignment horizontal="center" vertical="center"/>
    </xf>
    <xf numFmtId="164" fontId="7" fillId="8" borderId="0" xfId="0" applyNumberFormat="1" applyFont="1" applyFill="1" applyBorder="1" applyAlignment="1">
      <alignment horizontal="center"/>
    </xf>
    <xf numFmtId="2" fontId="7" fillId="8" borderId="2" xfId="0" applyNumberFormat="1" applyFont="1" applyFill="1" applyBorder="1" applyAlignment="1">
      <alignment horizontal="center"/>
    </xf>
    <xf numFmtId="164" fontId="7" fillId="8" borderId="2" xfId="0" applyNumberFormat="1" applyFont="1" applyFill="1" applyBorder="1" applyAlignment="1">
      <alignment horizontal="center"/>
    </xf>
    <xf numFmtId="164" fontId="7" fillId="7" borderId="2" xfId="0" applyNumberFormat="1" applyFont="1" applyFill="1" applyBorder="1"/>
    <xf numFmtId="171" fontId="7" fillId="0" borderId="0" xfId="10" applyNumberFormat="1" applyFont="1" applyBorder="1"/>
    <xf numFmtId="171" fontId="7" fillId="0" borderId="0" xfId="10" applyNumberFormat="1" applyFont="1" applyBorder="1" applyAlignment="1"/>
    <xf numFmtId="171" fontId="7" fillId="0" borderId="0" xfId="10" applyNumberFormat="1" applyFont="1" applyBorder="1" applyAlignment="1">
      <alignment horizontal="right"/>
    </xf>
    <xf numFmtId="164" fontId="7" fillId="0" borderId="0" xfId="0" applyNumberFormat="1" applyFont="1" applyFill="1" applyBorder="1"/>
    <xf numFmtId="0" fontId="7" fillId="8" borderId="57" xfId="0" applyFont="1" applyFill="1" applyBorder="1" applyAlignment="1">
      <alignment horizontal="center"/>
    </xf>
    <xf numFmtId="0" fontId="7" fillId="9" borderId="2" xfId="8" applyFont="1" applyFill="1" applyBorder="1"/>
    <xf numFmtId="164" fontId="57" fillId="0" borderId="0" xfId="8" applyNumberFormat="1" applyFont="1" applyBorder="1"/>
    <xf numFmtId="0" fontId="7" fillId="9" borderId="54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56" xfId="0" applyFont="1" applyFill="1" applyBorder="1" applyAlignment="1">
      <alignment horizontal="center" vertical="center"/>
    </xf>
    <xf numFmtId="164" fontId="7" fillId="9" borderId="2" xfId="0" applyNumberFormat="1" applyFont="1" applyFill="1" applyBorder="1" applyAlignment="1">
      <alignment horizontal="center" vertical="center"/>
    </xf>
    <xf numFmtId="0" fontId="7" fillId="6" borderId="54" xfId="8" applyFont="1" applyFill="1" applyBorder="1"/>
    <xf numFmtId="0" fontId="7" fillId="6" borderId="2" xfId="8" applyFont="1" applyFill="1" applyBorder="1"/>
    <xf numFmtId="0" fontId="7" fillId="6" borderId="56" xfId="8" applyFont="1" applyFill="1" applyBorder="1"/>
    <xf numFmtId="164" fontId="7" fillId="6" borderId="54" xfId="8" applyNumberFormat="1" applyFont="1" applyFill="1" applyBorder="1"/>
    <xf numFmtId="164" fontId="7" fillId="6" borderId="2" xfId="8" applyNumberFormat="1" applyFont="1" applyFill="1" applyBorder="1"/>
    <xf numFmtId="164" fontId="7" fillId="6" borderId="56" xfId="8" applyNumberFormat="1" applyFont="1" applyFill="1" applyBorder="1"/>
    <xf numFmtId="164" fontId="65" fillId="0" borderId="0" xfId="8" applyNumberFormat="1" applyFont="1" applyBorder="1"/>
    <xf numFmtId="0" fontId="64" fillId="0" borderId="0" xfId="8" applyFont="1" applyBorder="1"/>
    <xf numFmtId="177" fontId="65" fillId="0" borderId="0" xfId="10" applyNumberFormat="1" applyFont="1" applyBorder="1"/>
    <xf numFmtId="2" fontId="65" fillId="0" borderId="0" xfId="8" applyNumberFormat="1" applyFont="1" applyBorder="1"/>
    <xf numFmtId="43" fontId="65" fillId="0" borderId="0" xfId="10" applyFont="1" applyBorder="1" applyAlignment="1">
      <alignment horizontal="right"/>
    </xf>
    <xf numFmtId="0" fontId="7" fillId="0" borderId="53" xfId="0" applyFont="1" applyBorder="1"/>
    <xf numFmtId="165" fontId="7" fillId="0" borderId="1" xfId="0" applyNumberFormat="1" applyFont="1" applyBorder="1"/>
    <xf numFmtId="0" fontId="7" fillId="0" borderId="4" xfId="0" applyFont="1" applyBorder="1"/>
    <xf numFmtId="0" fontId="7" fillId="11" borderId="55" xfId="0" applyFont="1" applyFill="1" applyBorder="1"/>
    <xf numFmtId="0" fontId="7" fillId="11" borderId="3" xfId="0" applyFont="1" applyFill="1" applyBorder="1"/>
    <xf numFmtId="0" fontId="7" fillId="11" borderId="6" xfId="0" applyFont="1" applyFill="1" applyBorder="1"/>
    <xf numFmtId="164" fontId="7" fillId="0" borderId="1" xfId="0" applyNumberFormat="1" applyFont="1" applyFill="1" applyBorder="1" applyAlignment="1">
      <alignment horizontal="center"/>
    </xf>
    <xf numFmtId="164" fontId="7" fillId="11" borderId="3" xfId="8" applyNumberFormat="1" applyFont="1" applyFill="1" applyBorder="1" applyAlignment="1">
      <alignment horizontal="center" vertical="center"/>
    </xf>
    <xf numFmtId="164" fontId="7" fillId="0" borderId="1" xfId="8" applyNumberFormat="1" applyFont="1" applyBorder="1" applyAlignment="1">
      <alignment horizontal="center"/>
    </xf>
    <xf numFmtId="164" fontId="7" fillId="11" borderId="3" xfId="8" applyNumberFormat="1" applyFont="1" applyFill="1" applyBorder="1" applyAlignment="1">
      <alignment horizontal="center"/>
    </xf>
    <xf numFmtId="0" fontId="7" fillId="11" borderId="54" xfId="0" applyFont="1" applyFill="1" applyBorder="1"/>
    <xf numFmtId="0" fontId="7" fillId="11" borderId="2" xfId="0" applyFont="1" applyFill="1" applyBorder="1"/>
    <xf numFmtId="164" fontId="7" fillId="11" borderId="2" xfId="8" applyNumberFormat="1" applyFont="1" applyFill="1" applyBorder="1" applyAlignment="1">
      <alignment horizontal="center" vertical="center"/>
    </xf>
    <xf numFmtId="164" fontId="7" fillId="11" borderId="2" xfId="8" applyNumberFormat="1" applyFont="1" applyFill="1" applyBorder="1" applyAlignment="1">
      <alignment horizontal="center"/>
    </xf>
    <xf numFmtId="0" fontId="7" fillId="11" borderId="56" xfId="0" applyFont="1" applyFill="1" applyBorder="1"/>
    <xf numFmtId="0" fontId="7" fillId="22" borderId="53" xfId="0" applyFont="1" applyFill="1" applyBorder="1"/>
    <xf numFmtId="164" fontId="7" fillId="22" borderId="55" xfId="0" applyNumberFormat="1" applyFont="1" applyFill="1" applyBorder="1"/>
    <xf numFmtId="0" fontId="7" fillId="22" borderId="4" xfId="0" applyFont="1" applyFill="1" applyBorder="1"/>
    <xf numFmtId="0" fontId="7" fillId="22" borderId="6" xfId="0" applyFont="1" applyFill="1" applyBorder="1"/>
    <xf numFmtId="164" fontId="7" fillId="22" borderId="54" xfId="0" applyNumberFormat="1" applyFont="1" applyFill="1" applyBorder="1"/>
    <xf numFmtId="0" fontId="7" fillId="22" borderId="56" xfId="0" applyFont="1" applyFill="1" applyBorder="1"/>
    <xf numFmtId="164" fontId="7" fillId="22" borderId="56" xfId="0" applyNumberFormat="1" applyFont="1" applyFill="1" applyBorder="1"/>
    <xf numFmtId="164" fontId="65" fillId="0" borderId="0" xfId="8" applyNumberFormat="1" applyFont="1" applyFill="1" applyBorder="1"/>
    <xf numFmtId="14" fontId="66" fillId="14" borderId="0" xfId="2" applyNumberFormat="1" applyFont="1" applyFill="1" applyAlignment="1">
      <alignment horizontal="left"/>
    </xf>
    <xf numFmtId="0" fontId="35" fillId="17" borderId="0" xfId="2" applyFont="1" applyFill="1" applyBorder="1"/>
    <xf numFmtId="0" fontId="48" fillId="17" borderId="0" xfId="2" applyFont="1" applyFill="1" applyBorder="1" applyAlignment="1">
      <alignment horizontal="center"/>
    </xf>
    <xf numFmtId="0" fontId="36" fillId="15" borderId="0" xfId="2" applyFont="1" applyFill="1" applyBorder="1"/>
    <xf numFmtId="0" fontId="48" fillId="15" borderId="0" xfId="2" applyFont="1" applyFill="1" applyBorder="1" applyAlignment="1">
      <alignment horizontal="center"/>
    </xf>
    <xf numFmtId="170" fontId="48" fillId="15" borderId="0" xfId="11" applyNumberFormat="1" applyFont="1" applyFill="1" applyBorder="1" applyAlignment="1">
      <alignment horizontal="center"/>
    </xf>
    <xf numFmtId="170" fontId="36" fillId="15" borderId="0" xfId="11" applyNumberFormat="1" applyFont="1" applyFill="1" applyBorder="1" applyAlignment="1">
      <alignment horizontal="right"/>
    </xf>
    <xf numFmtId="170" fontId="36" fillId="15" borderId="0" xfId="11" quotePrefix="1" applyNumberFormat="1" applyFont="1" applyFill="1" applyBorder="1" applyAlignment="1">
      <alignment horizontal="center"/>
    </xf>
    <xf numFmtId="170" fontId="36" fillId="15" borderId="0" xfId="11" applyNumberFormat="1" applyFont="1" applyFill="1" applyBorder="1" applyAlignment="1">
      <alignment horizontal="center"/>
    </xf>
    <xf numFmtId="2" fontId="36" fillId="15" borderId="0" xfId="11" applyNumberFormat="1" applyFont="1" applyFill="1" applyBorder="1" applyAlignment="1">
      <alignment horizontal="right"/>
    </xf>
    <xf numFmtId="43" fontId="36" fillId="15" borderId="0" xfId="10" applyFont="1" applyFill="1" applyBorder="1" applyAlignment="1">
      <alignment horizontal="right"/>
    </xf>
    <xf numFmtId="1" fontId="36" fillId="15" borderId="0" xfId="2" applyNumberFormat="1" applyFont="1" applyFill="1" applyAlignment="1">
      <alignment horizontal="right"/>
    </xf>
    <xf numFmtId="0" fontId="0" fillId="15" borderId="0" xfId="0" applyFill="1" applyAlignment="1">
      <alignment horizontal="right"/>
    </xf>
    <xf numFmtId="1" fontId="0" fillId="15" borderId="0" xfId="0" applyNumberFormat="1" applyFill="1" applyAlignment="1">
      <alignment horizontal="right"/>
    </xf>
    <xf numFmtId="0" fontId="7" fillId="7" borderId="54" xfId="0" applyFont="1" applyFill="1" applyBorder="1"/>
    <xf numFmtId="164" fontId="6" fillId="7" borderId="2" xfId="8" applyNumberFormat="1" applyFont="1" applyFill="1" applyBorder="1" applyAlignment="1">
      <alignment horizontal="center" vertical="center"/>
    </xf>
    <xf numFmtId="164" fontId="6" fillId="7" borderId="56" xfId="8" applyNumberFormat="1" applyFont="1" applyFill="1" applyBorder="1" applyAlignment="1">
      <alignment horizontal="center" vertical="center"/>
    </xf>
    <xf numFmtId="0" fontId="7" fillId="6" borderId="54" xfId="0" applyFont="1" applyFill="1" applyBorder="1"/>
    <xf numFmtId="0" fontId="7" fillId="6" borderId="55" xfId="8" applyFont="1" applyFill="1" applyBorder="1"/>
    <xf numFmtId="0" fontId="7" fillId="6" borderId="3" xfId="8" applyFont="1" applyFill="1" applyBorder="1"/>
    <xf numFmtId="164" fontId="7" fillId="6" borderId="3" xfId="8" applyNumberFormat="1" applyFont="1" applyFill="1" applyBorder="1"/>
    <xf numFmtId="0" fontId="7" fillId="6" borderId="6" xfId="8" applyFont="1" applyFill="1" applyBorder="1"/>
    <xf numFmtId="164" fontId="7" fillId="7" borderId="3" xfId="0" applyNumberFormat="1" applyFont="1" applyFill="1" applyBorder="1"/>
    <xf numFmtId="1" fontId="9" fillId="12" borderId="8" xfId="0" applyNumberFormat="1" applyFont="1" applyFill="1" applyBorder="1"/>
    <xf numFmtId="1" fontId="7" fillId="12" borderId="8" xfId="0" applyNumberFormat="1" applyFont="1" applyFill="1" applyBorder="1"/>
    <xf numFmtId="1" fontId="7" fillId="0" borderId="8" xfId="0" applyNumberFormat="1" applyFont="1" applyBorder="1"/>
    <xf numFmtId="1" fontId="17" fillId="0" borderId="1" xfId="0" applyNumberFormat="1" applyFont="1" applyBorder="1"/>
    <xf numFmtId="1" fontId="15" fillId="0" borderId="1" xfId="0" applyNumberFormat="1" applyFont="1" applyBorder="1"/>
    <xf numFmtId="164" fontId="15" fillId="0" borderId="0" xfId="0" applyNumberFormat="1" applyFont="1"/>
    <xf numFmtId="169" fontId="14" fillId="0" borderId="0" xfId="0" applyNumberFormat="1" applyFont="1"/>
    <xf numFmtId="1" fontId="7" fillId="0" borderId="8" xfId="0" quotePrefix="1" applyNumberFormat="1" applyFont="1" applyBorder="1"/>
    <xf numFmtId="1" fontId="14" fillId="0" borderId="0" xfId="0" applyNumberFormat="1" applyFont="1"/>
    <xf numFmtId="0" fontId="7" fillId="7" borderId="1" xfId="0" applyFont="1" applyFill="1" applyBorder="1"/>
    <xf numFmtId="0" fontId="9" fillId="11" borderId="1" xfId="8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9" fillId="11" borderId="1" xfId="8" applyFont="1" applyFill="1" applyBorder="1"/>
    <xf numFmtId="0" fontId="9" fillId="11" borderId="2" xfId="8" applyFont="1" applyFill="1" applyBorder="1"/>
    <xf numFmtId="0" fontId="9" fillId="11" borderId="3" xfId="8" applyFont="1" applyFill="1" applyBorder="1"/>
    <xf numFmtId="0" fontId="7" fillId="11" borderId="0" xfId="0" applyFont="1" applyFill="1" applyBorder="1"/>
    <xf numFmtId="0" fontId="7" fillId="23" borderId="0" xfId="0" applyFont="1" applyFill="1" applyBorder="1" applyAlignment="1">
      <alignment horizontal="center" vertical="center" wrapText="1"/>
    </xf>
    <xf numFmtId="178" fontId="65" fillId="0" borderId="0" xfId="10" applyNumberFormat="1" applyFont="1" applyBorder="1"/>
    <xf numFmtId="164" fontId="7" fillId="7" borderId="2" xfId="8" applyNumberFormat="1" applyFont="1" applyFill="1" applyBorder="1" applyAlignment="1">
      <alignment horizontal="center" vertical="center"/>
    </xf>
    <xf numFmtId="164" fontId="6" fillId="9" borderId="0" xfId="8" applyNumberFormat="1" applyFont="1" applyFill="1" applyBorder="1" applyAlignment="1">
      <alignment horizontal="center" vertical="center"/>
    </xf>
    <xf numFmtId="0" fontId="6" fillId="9" borderId="0" xfId="0" applyFont="1" applyFill="1" applyBorder="1" applyAlignment="1"/>
    <xf numFmtId="0" fontId="7" fillId="0" borderId="0" xfId="0" applyFont="1" applyAlignment="1">
      <alignment horizontal="center" vertical="center"/>
    </xf>
    <xf numFmtId="164" fontId="7" fillId="8" borderId="2" xfId="8" applyNumberFormat="1" applyFont="1" applyFill="1" applyBorder="1" applyAlignment="1">
      <alignment horizontal="center" vertical="center"/>
    </xf>
    <xf numFmtId="164" fontId="7" fillId="8" borderId="3" xfId="8" applyNumberFormat="1" applyFont="1" applyFill="1" applyBorder="1" applyAlignment="1">
      <alignment horizontal="center" vertical="center"/>
    </xf>
    <xf numFmtId="164" fontId="7" fillId="7" borderId="3" xfId="8" applyNumberFormat="1" applyFont="1" applyFill="1" applyBorder="1" applyAlignment="1">
      <alignment horizontal="center" vertical="center"/>
    </xf>
    <xf numFmtId="164" fontId="7" fillId="6" borderId="3" xfId="8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6" fillId="6" borderId="2" xfId="8" applyNumberFormat="1" applyFont="1" applyFill="1" applyBorder="1" applyAlignment="1">
      <alignment horizontal="center" vertical="center"/>
    </xf>
    <xf numFmtId="164" fontId="6" fillId="6" borderId="56" xfId="8" applyNumberFormat="1" applyFont="1" applyFill="1" applyBorder="1" applyAlignment="1">
      <alignment horizontal="center" vertical="center"/>
    </xf>
    <xf numFmtId="0" fontId="54" fillId="9" borderId="0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164" fontId="7" fillId="9" borderId="2" xfId="0" quotePrefix="1" applyNumberFormat="1" applyFont="1" applyFill="1" applyBorder="1"/>
    <xf numFmtId="164" fontId="67" fillId="9" borderId="1" xfId="8" applyNumberFormat="1" applyFont="1" applyFill="1" applyBorder="1"/>
    <xf numFmtId="2" fontId="7" fillId="9" borderId="3" xfId="8" quotePrefix="1" applyNumberFormat="1" applyFont="1" applyFill="1" applyBorder="1"/>
    <xf numFmtId="164" fontId="67" fillId="9" borderId="2" xfId="0" applyNumberFormat="1" applyFont="1" applyFill="1" applyBorder="1"/>
    <xf numFmtId="164" fontId="67" fillId="9" borderId="1" xfId="0" applyNumberFormat="1" applyFont="1" applyFill="1" applyBorder="1"/>
    <xf numFmtId="164" fontId="67" fillId="9" borderId="3" xfId="0" applyNumberFormat="1" applyFont="1" applyFill="1" applyBorder="1"/>
    <xf numFmtId="0" fontId="67" fillId="9" borderId="2" xfId="0" applyFont="1" applyFill="1" applyBorder="1"/>
    <xf numFmtId="0" fontId="7" fillId="9" borderId="1" xfId="0" applyFont="1" applyFill="1" applyBorder="1"/>
    <xf numFmtId="0" fontId="14" fillId="0" borderId="5" xfId="0" applyFont="1" applyBorder="1" applyAlignment="1">
      <alignment horizontal="center" vertical="center"/>
    </xf>
    <xf numFmtId="2" fontId="7" fillId="9" borderId="0" xfId="8" applyNumberFormat="1" applyFont="1" applyFill="1" applyBorder="1"/>
    <xf numFmtId="0" fontId="7" fillId="9" borderId="1" xfId="8" applyFont="1" applyFill="1" applyBorder="1"/>
    <xf numFmtId="0" fontId="2" fillId="2" borderId="0" xfId="8" applyFont="1" applyFill="1" applyBorder="1" applyAlignment="1">
      <alignment horizontal="center" vertical="center" wrapText="1"/>
    </xf>
    <xf numFmtId="164" fontId="55" fillId="0" borderId="0" xfId="8" applyNumberFormat="1" applyFont="1" applyBorder="1"/>
    <xf numFmtId="178" fontId="68" fillId="0" borderId="0" xfId="10" applyNumberFormat="1" applyFont="1" applyBorder="1" applyAlignment="1">
      <alignment horizontal="right"/>
    </xf>
    <xf numFmtId="2" fontId="7" fillId="22" borderId="56" xfId="0" applyNumberFormat="1" applyFont="1" applyFill="1" applyBorder="1"/>
    <xf numFmtId="164" fontId="68" fillId="0" borderId="0" xfId="8" applyNumberFormat="1" applyFont="1" applyBorder="1"/>
    <xf numFmtId="2" fontId="68" fillId="0" borderId="0" xfId="8" applyNumberFormat="1" applyFont="1" applyBorder="1"/>
    <xf numFmtId="164" fontId="17" fillId="0" borderId="1" xfId="0" applyNumberFormat="1" applyFont="1" applyBorder="1"/>
    <xf numFmtId="164" fontId="15" fillId="0" borderId="1" xfId="0" applyNumberFormat="1" applyFont="1" applyBorder="1"/>
    <xf numFmtId="164" fontId="7" fillId="0" borderId="8" xfId="0" quotePrefix="1" applyNumberFormat="1" applyFont="1" applyBorder="1"/>
    <xf numFmtId="164" fontId="69" fillId="0" borderId="8" xfId="0" applyNumberFormat="1" applyFont="1" applyBorder="1"/>
    <xf numFmtId="164" fontId="70" fillId="0" borderId="8" xfId="0" applyNumberFormat="1" applyFont="1" applyBorder="1"/>
    <xf numFmtId="164" fontId="71" fillId="0" borderId="0" xfId="0" applyNumberFormat="1" applyFont="1" applyFill="1"/>
    <xf numFmtId="0" fontId="71" fillId="0" borderId="0" xfId="0" applyFont="1" applyFill="1"/>
    <xf numFmtId="0" fontId="71" fillId="0" borderId="0" xfId="0" applyFont="1"/>
    <xf numFmtId="174" fontId="36" fillId="15" borderId="0" xfId="11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164" fontId="71" fillId="0" borderId="0" xfId="0" applyNumberFormat="1" applyFont="1"/>
    <xf numFmtId="0" fontId="1" fillId="0" borderId="0" xfId="12"/>
    <xf numFmtId="0" fontId="29" fillId="14" borderId="0" xfId="44" applyFont="1" applyFill="1" applyAlignment="1">
      <alignment horizontal="left"/>
    </xf>
    <xf numFmtId="0" fontId="30" fillId="14" borderId="0" xfId="44" applyFont="1" applyFill="1" applyAlignment="1">
      <alignment horizontal="center"/>
    </xf>
    <xf numFmtId="0" fontId="31" fillId="14" borderId="0" xfId="44" applyFont="1" applyFill="1" applyAlignment="1">
      <alignment horizontal="center"/>
    </xf>
    <xf numFmtId="0" fontId="32" fillId="14" borderId="0" xfId="44" applyFont="1" applyFill="1" applyAlignment="1">
      <alignment horizontal="right"/>
    </xf>
    <xf numFmtId="0" fontId="32" fillId="14" borderId="0" xfId="44" applyFont="1" applyFill="1" applyAlignment="1">
      <alignment horizontal="left"/>
    </xf>
    <xf numFmtId="14" fontId="32" fillId="14" borderId="0" xfId="44" applyNumberFormat="1" applyFont="1" applyFill="1" applyAlignment="1">
      <alignment horizontal="left"/>
    </xf>
    <xf numFmtId="0" fontId="33" fillId="14" borderId="0" xfId="44" applyFont="1" applyFill="1" applyAlignment="1">
      <alignment horizontal="center"/>
    </xf>
    <xf numFmtId="0" fontId="34" fillId="16" borderId="0" xfId="44" applyFont="1" applyFill="1"/>
    <xf numFmtId="0" fontId="35" fillId="17" borderId="0" xfId="44" applyFont="1" applyFill="1"/>
    <xf numFmtId="0" fontId="37" fillId="17" borderId="0" xfId="44" applyFont="1" applyFill="1" applyAlignment="1">
      <alignment horizontal="center"/>
    </xf>
    <xf numFmtId="0" fontId="36" fillId="17" borderId="0" xfId="44" applyFont="1" applyFill="1" applyAlignment="1">
      <alignment horizontal="center"/>
    </xf>
    <xf numFmtId="2" fontId="1" fillId="15" borderId="0" xfId="12" applyNumberFormat="1" applyFill="1"/>
    <xf numFmtId="0" fontId="18" fillId="15" borderId="0" xfId="12" applyFont="1" applyFill="1"/>
    <xf numFmtId="0" fontId="77" fillId="19" borderId="0" xfId="44" applyFont="1" applyFill="1" applyAlignment="1">
      <alignment vertical="center" wrapText="1"/>
    </xf>
    <xf numFmtId="0" fontId="1" fillId="15" borderId="23" xfId="12" applyFill="1" applyBorder="1" applyAlignment="1"/>
    <xf numFmtId="0" fontId="1" fillId="15" borderId="24" xfId="12" applyFill="1" applyBorder="1" applyAlignment="1"/>
    <xf numFmtId="0" fontId="1" fillId="15" borderId="25" xfId="12" applyFill="1" applyBorder="1" applyAlignment="1">
      <alignment vertical="center"/>
    </xf>
    <xf numFmtId="0" fontId="18" fillId="15" borderId="25" xfId="12" applyFont="1" applyFill="1" applyBorder="1" applyAlignment="1">
      <alignment horizontal="center" vertical="center"/>
    </xf>
    <xf numFmtId="0" fontId="1" fillId="15" borderId="26" xfId="12" applyFill="1" applyBorder="1" applyAlignment="1">
      <alignment horizontal="center"/>
    </xf>
    <xf numFmtId="0" fontId="1" fillId="15" borderId="27" xfId="12" applyFill="1" applyBorder="1" applyAlignment="1">
      <alignment horizontal="center"/>
    </xf>
    <xf numFmtId="0" fontId="1" fillId="15" borderId="28" xfId="12" applyFill="1" applyBorder="1" applyAlignment="1">
      <alignment vertical="center"/>
    </xf>
    <xf numFmtId="0" fontId="18" fillId="15" borderId="28" xfId="12" applyFont="1" applyFill="1" applyBorder="1" applyAlignment="1">
      <alignment horizontal="center" vertical="center"/>
    </xf>
    <xf numFmtId="0" fontId="18" fillId="15" borderId="0" xfId="12" applyFont="1" applyFill="1" applyAlignment="1"/>
    <xf numFmtId="0" fontId="18" fillId="15" borderId="0" xfId="12" applyFont="1" applyFill="1" applyAlignment="1">
      <alignment horizontal="center"/>
    </xf>
    <xf numFmtId="0" fontId="1" fillId="15" borderId="29" xfId="12" applyFill="1" applyBorder="1"/>
    <xf numFmtId="0" fontId="1" fillId="15" borderId="30" xfId="12" applyFill="1" applyBorder="1" applyAlignment="1">
      <alignment horizontal="center"/>
    </xf>
    <xf numFmtId="0" fontId="1" fillId="15" borderId="31" xfId="12" applyFill="1" applyBorder="1" applyAlignment="1">
      <alignment horizontal="center"/>
    </xf>
    <xf numFmtId="0" fontId="1" fillId="15" borderId="29" xfId="12" applyFill="1" applyBorder="1" applyAlignment="1">
      <alignment horizontal="center"/>
    </xf>
    <xf numFmtId="0" fontId="18" fillId="15" borderId="29" xfId="12" applyFont="1" applyFill="1" applyBorder="1" applyAlignment="1">
      <alignment horizontal="center"/>
    </xf>
    <xf numFmtId="0" fontId="1" fillId="15" borderId="32" xfId="12" applyFill="1" applyBorder="1"/>
    <xf numFmtId="0" fontId="1" fillId="15" borderId="33" xfId="12" applyFill="1" applyBorder="1" applyAlignment="1">
      <alignment horizontal="center"/>
    </xf>
    <xf numFmtId="0" fontId="1" fillId="15" borderId="34" xfId="12" applyFill="1" applyBorder="1" applyAlignment="1">
      <alignment horizontal="center"/>
    </xf>
    <xf numFmtId="0" fontId="1" fillId="15" borderId="32" xfId="12" applyFill="1" applyBorder="1" applyAlignment="1">
      <alignment horizontal="center"/>
    </xf>
    <xf numFmtId="0" fontId="18" fillId="15" borderId="32" xfId="12" applyFont="1" applyFill="1" applyBorder="1" applyAlignment="1">
      <alignment horizontal="center"/>
    </xf>
    <xf numFmtId="0" fontId="38" fillId="15" borderId="32" xfId="12" applyFont="1" applyFill="1" applyBorder="1"/>
    <xf numFmtId="0" fontId="38" fillId="15" borderId="33" xfId="12" applyFont="1" applyFill="1" applyBorder="1" applyAlignment="1">
      <alignment horizontal="center"/>
    </xf>
    <xf numFmtId="0" fontId="38" fillId="15" borderId="34" xfId="12" applyFont="1" applyFill="1" applyBorder="1" applyAlignment="1">
      <alignment horizontal="center"/>
    </xf>
    <xf numFmtId="0" fontId="38" fillId="15" borderId="32" xfId="12" applyFont="1" applyFill="1" applyBorder="1" applyAlignment="1">
      <alignment horizontal="center"/>
    </xf>
    <xf numFmtId="0" fontId="39" fillId="15" borderId="32" xfId="12" applyFont="1" applyFill="1" applyBorder="1" applyAlignment="1">
      <alignment horizontal="center"/>
    </xf>
    <xf numFmtId="0" fontId="1" fillId="15" borderId="35" xfId="12" applyFill="1" applyBorder="1"/>
    <xf numFmtId="0" fontId="1" fillId="15" borderId="36" xfId="12" applyFill="1" applyBorder="1" applyAlignment="1">
      <alignment horizontal="center"/>
    </xf>
    <xf numFmtId="0" fontId="1" fillId="15" borderId="37" xfId="12" applyFill="1" applyBorder="1" applyAlignment="1">
      <alignment horizontal="center"/>
    </xf>
    <xf numFmtId="0" fontId="1" fillId="15" borderId="35" xfId="12" applyFill="1" applyBorder="1" applyAlignment="1">
      <alignment horizontal="center"/>
    </xf>
    <xf numFmtId="0" fontId="18" fillId="15" borderId="35" xfId="12" applyFont="1" applyFill="1" applyBorder="1" applyAlignment="1">
      <alignment horizontal="center"/>
    </xf>
    <xf numFmtId="0" fontId="18" fillId="15" borderId="38" xfId="12" applyFont="1" applyFill="1" applyBorder="1"/>
    <xf numFmtId="0" fontId="18" fillId="15" borderId="9" xfId="12" applyFont="1" applyFill="1" applyBorder="1" applyAlignment="1"/>
    <xf numFmtId="0" fontId="18" fillId="15" borderId="11" xfId="12" applyFont="1" applyFill="1" applyBorder="1" applyAlignment="1"/>
    <xf numFmtId="0" fontId="18" fillId="15" borderId="39" xfId="12" applyFont="1" applyFill="1" applyBorder="1" applyAlignment="1">
      <alignment horizontal="center"/>
    </xf>
    <xf numFmtId="0" fontId="18" fillId="15" borderId="40" xfId="12" applyFont="1" applyFill="1" applyBorder="1" applyAlignment="1">
      <alignment horizontal="center"/>
    </xf>
    <xf numFmtId="0" fontId="18" fillId="15" borderId="38" xfId="12" applyFont="1" applyFill="1" applyBorder="1" applyAlignment="1">
      <alignment horizontal="center"/>
    </xf>
    <xf numFmtId="0" fontId="1" fillId="15" borderId="0" xfId="12" applyFill="1" applyAlignment="1">
      <alignment horizontal="center"/>
    </xf>
    <xf numFmtId="170" fontId="18" fillId="15" borderId="9" xfId="57" applyNumberFormat="1" applyFont="1" applyFill="1" applyBorder="1" applyAlignment="1"/>
    <xf numFmtId="170" fontId="18" fillId="15" borderId="11" xfId="57" applyNumberFormat="1" applyFont="1" applyFill="1" applyBorder="1" applyAlignment="1"/>
    <xf numFmtId="170" fontId="18" fillId="15" borderId="38" xfId="57" applyNumberFormat="1" applyFont="1" applyFill="1" applyBorder="1" applyAlignment="1">
      <alignment horizontal="center"/>
    </xf>
    <xf numFmtId="2" fontId="1" fillId="15" borderId="36" xfId="12" applyNumberFormat="1" applyFill="1" applyBorder="1" applyAlignment="1">
      <alignment horizontal="center"/>
    </xf>
    <xf numFmtId="2" fontId="1" fillId="15" borderId="37" xfId="12" applyNumberFormat="1" applyFill="1" applyBorder="1" applyAlignment="1">
      <alignment horizontal="center"/>
    </xf>
    <xf numFmtId="2" fontId="18" fillId="15" borderId="40" xfId="12" applyNumberFormat="1" applyFont="1" applyFill="1" applyBorder="1" applyAlignment="1">
      <alignment horizontal="center"/>
    </xf>
    <xf numFmtId="2" fontId="18" fillId="15" borderId="39" xfId="12" applyNumberFormat="1" applyFont="1" applyFill="1" applyBorder="1" applyAlignment="1">
      <alignment horizontal="center"/>
    </xf>
    <xf numFmtId="0" fontId="1" fillId="15" borderId="32" xfId="12" applyFill="1" applyBorder="1" applyAlignment="1">
      <alignment horizontal="left"/>
    </xf>
    <xf numFmtId="2" fontId="1" fillId="15" borderId="33" xfId="12" applyNumberFormat="1" applyFill="1" applyBorder="1" applyAlignment="1">
      <alignment horizontal="center"/>
    </xf>
    <xf numFmtId="2" fontId="1" fillId="15" borderId="34" xfId="12" applyNumberFormat="1" applyFill="1" applyBorder="1" applyAlignment="1">
      <alignment horizontal="center"/>
    </xf>
    <xf numFmtId="2" fontId="1" fillId="15" borderId="32" xfId="12" applyNumberFormat="1" applyFill="1" applyBorder="1" applyAlignment="1">
      <alignment horizontal="center"/>
    </xf>
    <xf numFmtId="2" fontId="18" fillId="15" borderId="41" xfId="12" applyNumberFormat="1" applyFont="1" applyFill="1" applyBorder="1" applyAlignment="1">
      <alignment horizontal="center"/>
    </xf>
    <xf numFmtId="0" fontId="1" fillId="15" borderId="35" xfId="12" applyFill="1" applyBorder="1" applyAlignment="1">
      <alignment horizontal="left"/>
    </xf>
    <xf numFmtId="0" fontId="18" fillId="15" borderId="38" xfId="12" applyFont="1" applyFill="1" applyBorder="1" applyAlignment="1">
      <alignment horizontal="left"/>
    </xf>
    <xf numFmtId="2" fontId="18" fillId="15" borderId="38" xfId="12" applyNumberFormat="1" applyFont="1" applyFill="1" applyBorder="1" applyAlignment="1">
      <alignment horizontal="center"/>
    </xf>
    <xf numFmtId="2" fontId="18" fillId="15" borderId="11" xfId="12" applyNumberFormat="1" applyFont="1" applyFill="1" applyBorder="1" applyAlignment="1">
      <alignment horizontal="center"/>
    </xf>
    <xf numFmtId="0" fontId="18" fillId="15" borderId="11" xfId="12" applyFont="1" applyFill="1" applyBorder="1" applyAlignment="1">
      <alignment horizontal="center"/>
    </xf>
    <xf numFmtId="2" fontId="18" fillId="15" borderId="9" xfId="12" applyNumberFormat="1" applyFont="1" applyFill="1" applyBorder="1" applyAlignment="1"/>
    <xf numFmtId="2" fontId="18" fillId="15" borderId="11" xfId="12" applyNumberFormat="1" applyFont="1" applyFill="1" applyBorder="1" applyAlignment="1"/>
    <xf numFmtId="0" fontId="39" fillId="15" borderId="38" xfId="12" applyFont="1" applyFill="1" applyBorder="1" applyAlignment="1">
      <alignment horizontal="left"/>
    </xf>
    <xf numFmtId="0" fontId="39" fillId="15" borderId="9" xfId="12" applyFont="1" applyFill="1" applyBorder="1" applyAlignment="1"/>
    <xf numFmtId="0" fontId="39" fillId="15" borderId="11" xfId="12" applyFont="1" applyFill="1" applyBorder="1" applyAlignment="1"/>
    <xf numFmtId="0" fontId="39" fillId="15" borderId="38" xfId="12" applyFont="1" applyFill="1" applyBorder="1" applyAlignment="1">
      <alignment horizontal="center"/>
    </xf>
    <xf numFmtId="0" fontId="39" fillId="15" borderId="11" xfId="12" applyFont="1" applyFill="1" applyBorder="1" applyAlignment="1">
      <alignment horizontal="center"/>
    </xf>
    <xf numFmtId="2" fontId="1" fillId="15" borderId="30" xfId="12" applyNumberFormat="1" applyFill="1" applyBorder="1" applyAlignment="1">
      <alignment horizontal="center"/>
    </xf>
    <xf numFmtId="2" fontId="1" fillId="16" borderId="30" xfId="12" applyNumberFormat="1" applyFill="1" applyBorder="1" applyAlignment="1">
      <alignment horizontal="center"/>
    </xf>
    <xf numFmtId="0" fontId="1" fillId="16" borderId="31" xfId="12" applyFill="1" applyBorder="1" applyAlignment="1">
      <alignment horizontal="center"/>
    </xf>
    <xf numFmtId="2" fontId="1" fillId="15" borderId="29" xfId="12" applyNumberFormat="1" applyFill="1" applyBorder="1" applyAlignment="1">
      <alignment horizontal="center"/>
    </xf>
    <xf numFmtId="2" fontId="18" fillId="15" borderId="29" xfId="12" applyNumberFormat="1" applyFont="1" applyFill="1" applyBorder="1" applyAlignment="1">
      <alignment horizontal="center"/>
    </xf>
    <xf numFmtId="0" fontId="1" fillId="18" borderId="33" xfId="12" applyFill="1" applyBorder="1" applyAlignment="1">
      <alignment horizontal="center"/>
    </xf>
    <xf numFmtId="0" fontId="1" fillId="18" borderId="34" xfId="12" applyFill="1" applyBorder="1" applyAlignment="1">
      <alignment horizontal="center"/>
    </xf>
    <xf numFmtId="0" fontId="1" fillId="18" borderId="32" xfId="12" applyFill="1" applyBorder="1" applyAlignment="1">
      <alignment horizontal="center"/>
    </xf>
    <xf numFmtId="0" fontId="18" fillId="18" borderId="32" xfId="12" applyFont="1" applyFill="1" applyBorder="1" applyAlignment="1">
      <alignment horizontal="center"/>
    </xf>
    <xf numFmtId="2" fontId="38" fillId="15" borderId="42" xfId="12" applyNumberFormat="1" applyFont="1" applyFill="1" applyBorder="1" applyAlignment="1"/>
    <xf numFmtId="2" fontId="38" fillId="15" borderId="41" xfId="12" applyNumberFormat="1" applyFont="1" applyFill="1" applyBorder="1" applyAlignment="1"/>
    <xf numFmtId="2" fontId="38" fillId="15" borderId="33" xfId="12" applyNumberFormat="1" applyFont="1" applyFill="1" applyBorder="1" applyAlignment="1">
      <alignment horizontal="center"/>
    </xf>
    <xf numFmtId="0" fontId="38" fillId="19" borderId="34" xfId="12" applyFont="1" applyFill="1" applyBorder="1" applyAlignment="1">
      <alignment horizontal="center"/>
    </xf>
    <xf numFmtId="2" fontId="38" fillId="15" borderId="32" xfId="12" applyNumberFormat="1" applyFont="1" applyFill="1" applyBorder="1" applyAlignment="1">
      <alignment horizontal="center"/>
    </xf>
    <xf numFmtId="2" fontId="39" fillId="15" borderId="32" xfId="12" applyNumberFormat="1" applyFont="1" applyFill="1" applyBorder="1" applyAlignment="1">
      <alignment horizontal="center"/>
    </xf>
    <xf numFmtId="0" fontId="1" fillId="19" borderId="37" xfId="12" applyFill="1" applyBorder="1" applyAlignment="1">
      <alignment horizontal="center"/>
    </xf>
    <xf numFmtId="170" fontId="18" fillId="15" borderId="11" xfId="57" applyNumberFormat="1" applyFont="1" applyFill="1" applyBorder="1" applyAlignment="1">
      <alignment horizontal="center"/>
    </xf>
    <xf numFmtId="0" fontId="1" fillId="19" borderId="30" xfId="12" applyFill="1" applyBorder="1" applyAlignment="1">
      <alignment horizontal="center"/>
    </xf>
    <xf numFmtId="0" fontId="1" fillId="19" borderId="31" xfId="12" applyFill="1" applyBorder="1" applyAlignment="1">
      <alignment horizontal="center"/>
    </xf>
    <xf numFmtId="2" fontId="18" fillId="15" borderId="32" xfId="12" applyNumberFormat="1" applyFont="1" applyFill="1" applyBorder="1" applyAlignment="1">
      <alignment horizontal="center"/>
    </xf>
    <xf numFmtId="0" fontId="1" fillId="16" borderId="33" xfId="12" applyFill="1" applyBorder="1" applyAlignment="1">
      <alignment horizontal="center"/>
    </xf>
    <xf numFmtId="0" fontId="1" fillId="16" borderId="32" xfId="12" applyFill="1" applyBorder="1" applyAlignment="1">
      <alignment horizontal="center"/>
    </xf>
    <xf numFmtId="2" fontId="1" fillId="15" borderId="35" xfId="12" applyNumberFormat="1" applyFill="1" applyBorder="1" applyAlignment="1">
      <alignment horizontal="center"/>
    </xf>
    <xf numFmtId="2" fontId="18" fillId="15" borderId="35" xfId="12" applyNumberFormat="1" applyFont="1" applyFill="1" applyBorder="1" applyAlignment="1">
      <alignment horizontal="center"/>
    </xf>
    <xf numFmtId="2" fontId="1" fillId="19" borderId="37" xfId="12" applyNumberFormat="1" applyFill="1" applyBorder="1" applyAlignment="1">
      <alignment horizontal="center"/>
    </xf>
    <xf numFmtId="0" fontId="48" fillId="7" borderId="0" xfId="45" applyFont="1" applyFill="1" applyBorder="1"/>
    <xf numFmtId="0" fontId="36" fillId="7" borderId="0" xfId="45" applyFont="1" applyFill="1" applyBorder="1"/>
    <xf numFmtId="184" fontId="55" fillId="0" borderId="0" xfId="10" applyNumberFormat="1" applyFont="1" applyBorder="1"/>
    <xf numFmtId="178" fontId="55" fillId="0" borderId="0" xfId="10" applyNumberFormat="1" applyFont="1" applyBorder="1"/>
    <xf numFmtId="0" fontId="1" fillId="0" borderId="0" xfId="43"/>
    <xf numFmtId="0" fontId="77" fillId="19" borderId="0" xfId="45" applyFont="1" applyFill="1" applyAlignment="1">
      <alignment vertical="center" wrapText="1"/>
    </xf>
    <xf numFmtId="0" fontId="40" fillId="14" borderId="43" xfId="43" applyFont="1" applyFill="1" applyBorder="1"/>
    <xf numFmtId="0" fontId="40" fillId="14" borderId="43" xfId="43" applyFont="1" applyFill="1" applyBorder="1" applyAlignment="1">
      <alignment horizontal="center"/>
    </xf>
    <xf numFmtId="0" fontId="41" fillId="15" borderId="10" xfId="43" applyFont="1" applyFill="1" applyBorder="1"/>
    <xf numFmtId="1" fontId="41" fillId="15" borderId="10" xfId="43" applyNumberFormat="1" applyFont="1" applyFill="1" applyBorder="1"/>
    <xf numFmtId="0" fontId="42" fillId="15" borderId="0" xfId="43" applyFont="1" applyFill="1" applyBorder="1"/>
    <xf numFmtId="0" fontId="43" fillId="20" borderId="44" xfId="43" applyFont="1" applyFill="1" applyBorder="1" applyAlignment="1">
      <alignment wrapText="1"/>
    </xf>
    <xf numFmtId="171" fontId="43" fillId="20" borderId="44" xfId="43" applyNumberFormat="1" applyFont="1" applyFill="1" applyBorder="1"/>
    <xf numFmtId="0" fontId="43" fillId="15" borderId="0" xfId="43" applyFont="1" applyFill="1" applyBorder="1" applyAlignment="1">
      <alignment horizontal="left" indent="1"/>
    </xf>
    <xf numFmtId="171" fontId="41" fillId="15" borderId="0" xfId="43" applyNumberFormat="1" applyFont="1" applyFill="1" applyBorder="1"/>
    <xf numFmtId="0" fontId="43" fillId="21" borderId="0" xfId="43" applyFont="1" applyFill="1" applyBorder="1" applyAlignment="1">
      <alignment horizontal="left" indent="1"/>
    </xf>
    <xf numFmtId="171" fontId="41" fillId="21" borderId="0" xfId="43" applyNumberFormat="1" applyFont="1" applyFill="1" applyBorder="1"/>
    <xf numFmtId="43" fontId="41" fillId="15" borderId="0" xfId="43" applyNumberFormat="1" applyFont="1" applyFill="1" applyBorder="1"/>
    <xf numFmtId="0" fontId="41" fillId="15" borderId="44" xfId="43" applyFont="1" applyFill="1" applyBorder="1"/>
    <xf numFmtId="9" fontId="41" fillId="15" borderId="44" xfId="59" applyFont="1" applyFill="1" applyBorder="1"/>
    <xf numFmtId="0" fontId="43" fillId="20" borderId="44" xfId="43" applyFont="1" applyFill="1" applyBorder="1"/>
    <xf numFmtId="171" fontId="43" fillId="20" borderId="44" xfId="66" applyNumberFormat="1" applyFont="1" applyFill="1" applyBorder="1"/>
    <xf numFmtId="172" fontId="41" fillId="15" borderId="0" xfId="43" applyNumberFormat="1" applyFont="1" applyFill="1" applyBorder="1"/>
    <xf numFmtId="9" fontId="41" fillId="15" borderId="0" xfId="59" applyFont="1" applyFill="1" applyBorder="1"/>
    <xf numFmtId="0" fontId="44" fillId="15" borderId="0" xfId="43" applyFont="1" applyFill="1" applyBorder="1" applyAlignment="1">
      <alignment horizontal="left" indent="2"/>
    </xf>
    <xf numFmtId="172" fontId="41" fillId="21" borderId="0" xfId="43" applyNumberFormat="1" applyFont="1" applyFill="1" applyBorder="1"/>
    <xf numFmtId="0" fontId="44" fillId="21" borderId="0" xfId="43" applyFont="1" applyFill="1" applyBorder="1" applyAlignment="1">
      <alignment horizontal="left" indent="2"/>
    </xf>
    <xf numFmtId="0" fontId="44" fillId="15" borderId="0" xfId="43" applyFont="1" applyFill="1" applyBorder="1" applyAlignment="1">
      <alignment horizontal="left" indent="1"/>
    </xf>
    <xf numFmtId="0" fontId="41" fillId="15" borderId="0" xfId="43" applyFont="1" applyFill="1" applyBorder="1"/>
    <xf numFmtId="0" fontId="43" fillId="20" borderId="10" xfId="43" applyFont="1" applyFill="1" applyBorder="1" applyAlignment="1">
      <alignment horizontal="left"/>
    </xf>
    <xf numFmtId="171" fontId="43" fillId="20" borderId="10" xfId="43" applyNumberFormat="1" applyFont="1" applyFill="1" applyBorder="1"/>
    <xf numFmtId="0" fontId="43" fillId="15" borderId="10" xfId="43" applyFont="1" applyFill="1" applyBorder="1" applyAlignment="1">
      <alignment horizontal="left"/>
    </xf>
    <xf numFmtId="171" fontId="43" fillId="15" borderId="10" xfId="43" applyNumberFormat="1" applyFont="1" applyFill="1" applyBorder="1"/>
    <xf numFmtId="43" fontId="41" fillId="15" borderId="10" xfId="66" applyFont="1" applyFill="1" applyBorder="1"/>
    <xf numFmtId="171" fontId="41" fillId="15" borderId="10" xfId="66" applyNumberFormat="1" applyFont="1" applyFill="1" applyBorder="1"/>
    <xf numFmtId="172" fontId="41" fillId="15" borderId="10" xfId="66" applyNumberFormat="1" applyFont="1" applyFill="1" applyBorder="1"/>
    <xf numFmtId="0" fontId="43" fillId="20" borderId="44" xfId="43" applyFont="1" applyFill="1" applyBorder="1" applyAlignment="1">
      <alignment horizontal="left"/>
    </xf>
    <xf numFmtId="0" fontId="41" fillId="15" borderId="44" xfId="43" applyFont="1" applyFill="1" applyBorder="1" applyAlignment="1">
      <alignment horizontal="left"/>
    </xf>
    <xf numFmtId="172" fontId="41" fillId="15" borderId="10" xfId="43" applyNumberFormat="1" applyFont="1" applyFill="1" applyBorder="1"/>
    <xf numFmtId="43" fontId="41" fillId="15" borderId="10" xfId="43" applyNumberFormat="1" applyFont="1" applyFill="1" applyBorder="1"/>
    <xf numFmtId="171" fontId="41" fillId="15" borderId="44" xfId="43" applyNumberFormat="1" applyFont="1" applyFill="1" applyBorder="1"/>
    <xf numFmtId="171" fontId="41" fillId="15" borderId="0" xfId="66" applyNumberFormat="1" applyFont="1" applyFill="1" applyBorder="1"/>
    <xf numFmtId="171" fontId="41" fillId="21" borderId="0" xfId="66" applyNumberFormat="1" applyFont="1" applyFill="1" applyBorder="1"/>
    <xf numFmtId="171" fontId="41" fillId="15" borderId="0" xfId="66" applyNumberFormat="1" applyFont="1" applyFill="1" applyBorder="1" applyAlignment="1">
      <alignment horizontal="right"/>
    </xf>
    <xf numFmtId="171" fontId="41" fillId="21" borderId="0" xfId="66" applyNumberFormat="1" applyFont="1" applyFill="1" applyBorder="1" applyAlignment="1">
      <alignment horizontal="right"/>
    </xf>
    <xf numFmtId="0" fontId="1" fillId="0" borderId="0" xfId="43"/>
    <xf numFmtId="0" fontId="29" fillId="14" borderId="0" xfId="45" applyFont="1" applyFill="1" applyAlignment="1">
      <alignment horizontal="left"/>
    </xf>
    <xf numFmtId="0" fontId="30" fillId="14" borderId="0" xfId="45" applyFont="1" applyFill="1" applyAlignment="1">
      <alignment horizontal="center"/>
    </xf>
    <xf numFmtId="0" fontId="31" fillId="14" borderId="0" xfId="45" applyFont="1" applyFill="1" applyAlignment="1">
      <alignment horizontal="center"/>
    </xf>
    <xf numFmtId="0" fontId="32" fillId="14" borderId="0" xfId="45" applyFont="1" applyFill="1" applyAlignment="1">
      <alignment horizontal="right"/>
    </xf>
    <xf numFmtId="0" fontId="32" fillId="14" borderId="0" xfId="45" applyFont="1" applyFill="1" applyAlignment="1">
      <alignment horizontal="left"/>
    </xf>
    <xf numFmtId="14" fontId="32" fillId="14" borderId="0" xfId="45" applyNumberFormat="1" applyFont="1" applyFill="1" applyAlignment="1">
      <alignment horizontal="left"/>
    </xf>
    <xf numFmtId="0" fontId="33" fillId="14" borderId="0" xfId="45" applyFont="1" applyFill="1" applyAlignment="1">
      <alignment horizontal="center"/>
    </xf>
    <xf numFmtId="0" fontId="36" fillId="15" borderId="0" xfId="45" applyFont="1" applyFill="1"/>
    <xf numFmtId="0" fontId="45" fillId="15" borderId="0" xfId="45" applyFont="1" applyFill="1" applyAlignment="1">
      <alignment horizontal="center"/>
    </xf>
    <xf numFmtId="0" fontId="37" fillId="15" borderId="0" xfId="45" applyFont="1" applyFill="1" applyAlignment="1">
      <alignment horizontal="center"/>
    </xf>
    <xf numFmtId="0" fontId="36" fillId="15" borderId="0" xfId="45" applyFont="1" applyFill="1" applyAlignment="1">
      <alignment horizontal="center"/>
    </xf>
    <xf numFmtId="0" fontId="46" fillId="15" borderId="0" xfId="45" applyFont="1" applyFill="1"/>
    <xf numFmtId="0" fontId="47" fillId="15" borderId="0" xfId="45" applyFont="1" applyFill="1" applyAlignment="1">
      <alignment horizontal="center"/>
    </xf>
    <xf numFmtId="0" fontId="46" fillId="15" borderId="0" xfId="43" applyFont="1" applyFill="1"/>
    <xf numFmtId="173" fontId="47" fillId="15" borderId="0" xfId="45" applyNumberFormat="1" applyFont="1" applyFill="1" applyAlignment="1">
      <alignment horizontal="center"/>
    </xf>
    <xf numFmtId="0" fontId="34" fillId="16" borderId="0" xfId="45" applyFont="1" applyFill="1"/>
    <xf numFmtId="0" fontId="36" fillId="16" borderId="0" xfId="45" applyFont="1" applyFill="1" applyAlignment="1">
      <alignment horizontal="center"/>
    </xf>
    <xf numFmtId="0" fontId="35" fillId="17" borderId="0" xfId="45" applyFont="1" applyFill="1"/>
    <xf numFmtId="0" fontId="37" fillId="17" borderId="0" xfId="45" applyFont="1" applyFill="1" applyAlignment="1">
      <alignment horizontal="center"/>
    </xf>
    <xf numFmtId="0" fontId="36" fillId="17" borderId="0" xfId="45" applyFont="1" applyFill="1" applyAlignment="1">
      <alignment horizontal="center"/>
    </xf>
    <xf numFmtId="0" fontId="36" fillId="15" borderId="38" xfId="45" applyFont="1" applyFill="1" applyBorder="1"/>
    <xf numFmtId="0" fontId="48" fillId="15" borderId="10" xfId="45" applyFont="1" applyFill="1" applyBorder="1" applyAlignment="1">
      <alignment horizontal="center"/>
    </xf>
    <xf numFmtId="0" fontId="48" fillId="15" borderId="9" xfId="45" applyFont="1" applyFill="1" applyBorder="1" applyAlignment="1">
      <alignment horizontal="center"/>
    </xf>
    <xf numFmtId="0" fontId="48" fillId="15" borderId="11" xfId="45" applyFont="1" applyFill="1" applyBorder="1" applyAlignment="1">
      <alignment horizontal="center"/>
    </xf>
    <xf numFmtId="0" fontId="36" fillId="15" borderId="45" xfId="45" applyFont="1" applyFill="1" applyBorder="1"/>
    <xf numFmtId="164" fontId="36" fillId="15" borderId="0" xfId="45" applyNumberFormat="1" applyFont="1" applyFill="1" applyBorder="1" applyAlignment="1">
      <alignment horizontal="center"/>
    </xf>
    <xf numFmtId="170" fontId="36" fillId="15" borderId="46" xfId="58" applyNumberFormat="1" applyFont="1" applyFill="1" applyBorder="1" applyAlignment="1">
      <alignment horizontal="center"/>
    </xf>
    <xf numFmtId="170" fontId="36" fillId="15" borderId="47" xfId="58" applyNumberFormat="1" applyFont="1" applyFill="1" applyBorder="1" applyAlignment="1">
      <alignment horizontal="center"/>
    </xf>
    <xf numFmtId="170" fontId="36" fillId="15" borderId="48" xfId="58" applyNumberFormat="1" applyFont="1" applyFill="1" applyBorder="1" applyAlignment="1">
      <alignment horizontal="center"/>
    </xf>
    <xf numFmtId="170" fontId="36" fillId="15" borderId="49" xfId="58" applyNumberFormat="1" applyFont="1" applyFill="1" applyBorder="1" applyAlignment="1">
      <alignment horizontal="center"/>
    </xf>
    <xf numFmtId="170" fontId="36" fillId="15" borderId="0" xfId="58" applyNumberFormat="1" applyFont="1" applyFill="1" applyBorder="1" applyAlignment="1">
      <alignment horizontal="center"/>
    </xf>
    <xf numFmtId="170" fontId="36" fillId="15" borderId="50" xfId="58" applyNumberFormat="1" applyFont="1" applyFill="1" applyBorder="1" applyAlignment="1">
      <alignment horizontal="center"/>
    </xf>
    <xf numFmtId="0" fontId="36" fillId="15" borderId="28" xfId="45" applyFont="1" applyFill="1" applyBorder="1"/>
    <xf numFmtId="164" fontId="36" fillId="15" borderId="44" xfId="45" applyNumberFormat="1" applyFont="1" applyFill="1" applyBorder="1" applyAlignment="1">
      <alignment horizontal="center"/>
    </xf>
    <xf numFmtId="170" fontId="36" fillId="15" borderId="51" xfId="58" applyNumberFormat="1" applyFont="1" applyFill="1" applyBorder="1" applyAlignment="1">
      <alignment horizontal="center"/>
    </xf>
    <xf numFmtId="170" fontId="36" fillId="15" borderId="44" xfId="58" applyNumberFormat="1" applyFont="1" applyFill="1" applyBorder="1" applyAlignment="1">
      <alignment horizontal="center"/>
    </xf>
    <xf numFmtId="170" fontId="36" fillId="15" borderId="52" xfId="58" applyNumberFormat="1" applyFont="1" applyFill="1" applyBorder="1" applyAlignment="1">
      <alignment horizontal="center"/>
    </xf>
    <xf numFmtId="14" fontId="36" fillId="15" borderId="0" xfId="45" applyNumberFormat="1" applyFont="1" applyFill="1"/>
    <xf numFmtId="0" fontId="49" fillId="15" borderId="9" xfId="45" applyFont="1" applyFill="1" applyBorder="1" applyAlignment="1">
      <alignment horizontal="center"/>
    </xf>
    <xf numFmtId="0" fontId="49" fillId="15" borderId="10" xfId="45" applyFont="1" applyFill="1" applyBorder="1" applyAlignment="1">
      <alignment horizontal="center"/>
    </xf>
    <xf numFmtId="0" fontId="49" fillId="15" borderId="11" xfId="45" applyFont="1" applyFill="1" applyBorder="1" applyAlignment="1">
      <alignment horizontal="center"/>
    </xf>
    <xf numFmtId="2" fontId="36" fillId="15" borderId="0" xfId="45" applyNumberFormat="1" applyFont="1" applyFill="1" applyBorder="1" applyAlignment="1">
      <alignment horizontal="center"/>
    </xf>
    <xf numFmtId="164" fontId="36" fillId="15" borderId="0" xfId="45" applyNumberFormat="1" applyFont="1" applyFill="1" applyAlignment="1">
      <alignment horizontal="center"/>
    </xf>
    <xf numFmtId="170" fontId="49" fillId="15" borderId="46" xfId="58" applyNumberFormat="1" applyFont="1" applyFill="1" applyBorder="1" applyAlignment="1">
      <alignment horizontal="center"/>
    </xf>
    <xf numFmtId="170" fontId="49" fillId="15" borderId="47" xfId="58" applyNumberFormat="1" applyFont="1" applyFill="1" applyBorder="1" applyAlignment="1">
      <alignment horizontal="center"/>
    </xf>
    <xf numFmtId="170" fontId="49" fillId="15" borderId="48" xfId="58" applyNumberFormat="1" applyFont="1" applyFill="1" applyBorder="1" applyAlignment="1">
      <alignment horizontal="center"/>
    </xf>
    <xf numFmtId="170" fontId="49" fillId="15" borderId="49" xfId="58" applyNumberFormat="1" applyFont="1" applyFill="1" applyBorder="1" applyAlignment="1">
      <alignment horizontal="center"/>
    </xf>
    <xf numFmtId="170" fontId="49" fillId="15" borderId="0" xfId="58" applyNumberFormat="1" applyFont="1" applyFill="1" applyBorder="1" applyAlignment="1">
      <alignment horizontal="center"/>
    </xf>
    <xf numFmtId="170" fontId="49" fillId="15" borderId="50" xfId="58" applyNumberFormat="1" applyFont="1" applyFill="1" applyBorder="1" applyAlignment="1">
      <alignment horizontal="center"/>
    </xf>
    <xf numFmtId="164" fontId="36" fillId="15" borderId="50" xfId="45" applyNumberFormat="1" applyFont="1" applyFill="1" applyBorder="1" applyAlignment="1">
      <alignment horizontal="center"/>
    </xf>
    <xf numFmtId="170" fontId="49" fillId="15" borderId="51" xfId="58" applyNumberFormat="1" applyFont="1" applyFill="1" applyBorder="1" applyAlignment="1">
      <alignment horizontal="center"/>
    </xf>
    <xf numFmtId="170" fontId="49" fillId="15" borderId="44" xfId="58" applyNumberFormat="1" applyFont="1" applyFill="1" applyBorder="1" applyAlignment="1">
      <alignment horizontal="center"/>
    </xf>
    <xf numFmtId="170" fontId="49" fillId="15" borderId="52" xfId="58" applyNumberFormat="1" applyFont="1" applyFill="1" applyBorder="1" applyAlignment="1">
      <alignment horizontal="center"/>
    </xf>
    <xf numFmtId="179" fontId="36" fillId="15" borderId="45" xfId="33" applyFont="1" applyFill="1" applyBorder="1"/>
    <xf numFmtId="164" fontId="50" fillId="15" borderId="0" xfId="45" applyNumberFormat="1" applyFont="1" applyFill="1" applyBorder="1" applyAlignment="1">
      <alignment horizontal="center"/>
    </xf>
    <xf numFmtId="179" fontId="49" fillId="15" borderId="45" xfId="33" applyFont="1" applyFill="1" applyBorder="1"/>
    <xf numFmtId="164" fontId="49" fillId="15" borderId="0" xfId="45" applyNumberFormat="1" applyFont="1" applyFill="1" applyBorder="1" applyAlignment="1">
      <alignment horizontal="center"/>
    </xf>
    <xf numFmtId="14" fontId="36" fillId="15" borderId="38" xfId="48" applyNumberFormat="1" applyFont="1" applyFill="1" applyBorder="1"/>
    <xf numFmtId="164" fontId="51" fillId="15" borderId="10" xfId="48" applyNumberFormat="1" applyFont="1" applyFill="1" applyBorder="1" applyAlignment="1">
      <alignment horizontal="center"/>
    </xf>
    <xf numFmtId="170" fontId="49" fillId="15" borderId="9" xfId="58" applyNumberFormat="1" applyFont="1" applyFill="1" applyBorder="1" applyAlignment="1">
      <alignment horizontal="center"/>
    </xf>
    <xf numFmtId="170" fontId="49" fillId="15" borderId="10" xfId="58" applyNumberFormat="1" applyFont="1" applyFill="1" applyBorder="1" applyAlignment="1">
      <alignment horizontal="center"/>
    </xf>
    <xf numFmtId="170" fontId="49" fillId="15" borderId="11" xfId="58" applyNumberFormat="1" applyFont="1" applyFill="1" applyBorder="1" applyAlignment="1">
      <alignment horizontal="center"/>
    </xf>
    <xf numFmtId="14" fontId="36" fillId="15" borderId="0" xfId="48" applyNumberFormat="1" applyFont="1" applyFill="1" applyBorder="1"/>
    <xf numFmtId="164" fontId="51" fillId="15" borderId="0" xfId="48" applyNumberFormat="1" applyFont="1" applyFill="1" applyBorder="1" applyAlignment="1">
      <alignment horizontal="center"/>
    </xf>
    <xf numFmtId="1" fontId="37" fillId="15" borderId="0" xfId="45" applyNumberFormat="1" applyFont="1" applyFill="1" applyAlignment="1">
      <alignment horizontal="center"/>
    </xf>
    <xf numFmtId="0" fontId="36" fillId="15" borderId="38" xfId="45" applyFont="1" applyFill="1" applyBorder="1" applyAlignment="1">
      <alignment horizontal="left"/>
    </xf>
    <xf numFmtId="170" fontId="36" fillId="15" borderId="0" xfId="45" applyNumberFormat="1" applyFont="1" applyFill="1" applyBorder="1" applyAlignment="1">
      <alignment horizontal="center"/>
    </xf>
    <xf numFmtId="165" fontId="36" fillId="15" borderId="44" xfId="45" applyNumberFormat="1" applyFont="1" applyFill="1" applyBorder="1" applyAlignment="1">
      <alignment horizontal="center"/>
    </xf>
    <xf numFmtId="0" fontId="50" fillId="15" borderId="0" xfId="45" applyFont="1" applyFill="1"/>
    <xf numFmtId="0" fontId="30" fillId="16" borderId="0" xfId="45" applyFont="1" applyFill="1" applyAlignment="1">
      <alignment horizontal="center"/>
    </xf>
    <xf numFmtId="0" fontId="52" fillId="16" borderId="0" xfId="45" applyFont="1" applyFill="1" applyAlignment="1">
      <alignment horizontal="center"/>
    </xf>
    <xf numFmtId="0" fontId="48" fillId="15" borderId="28" xfId="45" applyFont="1" applyFill="1" applyBorder="1"/>
    <xf numFmtId="164" fontId="48" fillId="15" borderId="44" xfId="45" applyNumberFormat="1" applyFont="1" applyFill="1" applyBorder="1" applyAlignment="1">
      <alignment horizontal="center"/>
    </xf>
    <xf numFmtId="2" fontId="48" fillId="15" borderId="44" xfId="45" applyNumberFormat="1" applyFont="1" applyFill="1" applyBorder="1" applyAlignment="1">
      <alignment horizontal="center"/>
    </xf>
    <xf numFmtId="0" fontId="36" fillId="15" borderId="38" xfId="43" applyFont="1" applyFill="1" applyBorder="1"/>
    <xf numFmtId="164" fontId="1" fillId="15" borderId="0" xfId="43" applyNumberFormat="1" applyFill="1" applyAlignment="1">
      <alignment horizontal="center"/>
    </xf>
    <xf numFmtId="2" fontId="36" fillId="15" borderId="0" xfId="33" applyNumberFormat="1" applyFont="1" applyFill="1" applyBorder="1" applyAlignment="1">
      <alignment horizontal="center"/>
    </xf>
    <xf numFmtId="3" fontId="36" fillId="15" borderId="0" xfId="33" applyNumberFormat="1" applyFont="1" applyFill="1" applyBorder="1" applyAlignment="1">
      <alignment horizontal="center"/>
    </xf>
    <xf numFmtId="165" fontId="36" fillId="15" borderId="44" xfId="33" applyNumberFormat="1" applyFont="1" applyFill="1" applyBorder="1" applyAlignment="1">
      <alignment horizontal="center"/>
    </xf>
    <xf numFmtId="164" fontId="36" fillId="17" borderId="0" xfId="45" applyNumberFormat="1" applyFont="1" applyFill="1" applyAlignment="1">
      <alignment horizontal="center"/>
    </xf>
    <xf numFmtId="1" fontId="48" fillId="15" borderId="10" xfId="45" applyNumberFormat="1" applyFont="1" applyFill="1" applyBorder="1" applyAlignment="1">
      <alignment horizontal="center"/>
    </xf>
    <xf numFmtId="165" fontId="36" fillId="15" borderId="0" xfId="33" applyNumberFormat="1" applyFont="1" applyFill="1" applyBorder="1" applyAlignment="1">
      <alignment horizontal="center"/>
    </xf>
    <xf numFmtId="4" fontId="36" fillId="15" borderId="0" xfId="45" applyNumberFormat="1" applyFont="1" applyFill="1" applyBorder="1" applyAlignment="1">
      <alignment horizontal="center"/>
    </xf>
    <xf numFmtId="3" fontId="36" fillId="15" borderId="44" xfId="45" applyNumberFormat="1" applyFont="1" applyFill="1" applyBorder="1" applyAlignment="1">
      <alignment horizontal="center"/>
    </xf>
    <xf numFmtId="0" fontId="48" fillId="15" borderId="45" xfId="45" applyFont="1" applyFill="1" applyBorder="1"/>
    <xf numFmtId="176" fontId="36" fillId="15" borderId="0" xfId="45" applyNumberFormat="1" applyFont="1" applyFill="1" applyBorder="1" applyAlignment="1">
      <alignment horizontal="center"/>
    </xf>
    <xf numFmtId="176" fontId="36" fillId="15" borderId="50" xfId="45" applyNumberFormat="1" applyFont="1" applyFill="1" applyBorder="1" applyAlignment="1">
      <alignment horizontal="center"/>
    </xf>
    <xf numFmtId="0" fontId="36" fillId="15" borderId="49" xfId="45" applyFont="1" applyFill="1" applyBorder="1" applyAlignment="1">
      <alignment horizontal="center"/>
    </xf>
    <xf numFmtId="0" fontId="36" fillId="15" borderId="0" xfId="45" applyFont="1" applyFill="1" applyBorder="1" applyAlignment="1">
      <alignment horizontal="center"/>
    </xf>
    <xf numFmtId="0" fontId="36" fillId="15" borderId="50" xfId="45" applyFont="1" applyFill="1" applyBorder="1" applyAlignment="1">
      <alignment horizontal="center"/>
    </xf>
    <xf numFmtId="1" fontId="36" fillId="15" borderId="0" xfId="45" applyNumberFormat="1" applyFont="1" applyFill="1" applyBorder="1" applyAlignment="1">
      <alignment horizontal="center"/>
    </xf>
    <xf numFmtId="1" fontId="36" fillId="15" borderId="50" xfId="45" applyNumberFormat="1" applyFont="1" applyFill="1" applyBorder="1" applyAlignment="1">
      <alignment horizontal="center"/>
    </xf>
    <xf numFmtId="10" fontId="36" fillId="15" borderId="0" xfId="59" applyNumberFormat="1" applyFont="1" applyFill="1"/>
    <xf numFmtId="1" fontId="36" fillId="15" borderId="44" xfId="45" applyNumberFormat="1" applyFont="1" applyFill="1" applyBorder="1" applyAlignment="1">
      <alignment horizontal="center"/>
    </xf>
    <xf numFmtId="3" fontId="36" fillId="15" borderId="0" xfId="45" applyNumberFormat="1" applyFont="1" applyFill="1" applyBorder="1" applyAlignment="1">
      <alignment horizontal="center"/>
    </xf>
    <xf numFmtId="3" fontId="36" fillId="17" borderId="0" xfId="45" applyNumberFormat="1" applyFont="1" applyFill="1" applyBorder="1" applyAlignment="1">
      <alignment horizontal="center"/>
    </xf>
    <xf numFmtId="164" fontId="28" fillId="15" borderId="0" xfId="43" applyNumberFormat="1" applyFont="1" applyFill="1" applyAlignment="1">
      <alignment horizontal="center"/>
    </xf>
    <xf numFmtId="14" fontId="36" fillId="15" borderId="0" xfId="45" applyNumberFormat="1" applyFont="1" applyFill="1" applyAlignment="1">
      <alignment horizontal="center"/>
    </xf>
    <xf numFmtId="0" fontId="35" fillId="17" borderId="0" xfId="45" applyFont="1" applyFill="1" applyAlignment="1">
      <alignment horizontal="center"/>
    </xf>
    <xf numFmtId="0" fontId="50" fillId="15" borderId="0" xfId="45" applyFont="1" applyFill="1" applyBorder="1"/>
    <xf numFmtId="165" fontId="36" fillId="15" borderId="0" xfId="45" applyNumberFormat="1" applyFont="1" applyFill="1" applyBorder="1" applyAlignment="1">
      <alignment horizontal="center"/>
    </xf>
    <xf numFmtId="0" fontId="53" fillId="15" borderId="0" xfId="43" applyFont="1" applyFill="1"/>
    <xf numFmtId="0" fontId="48" fillId="15" borderId="47" xfId="45" applyFont="1" applyFill="1" applyBorder="1"/>
    <xf numFmtId="49" fontId="37" fillId="15" borderId="0" xfId="45" applyNumberFormat="1" applyFont="1" applyFill="1" applyAlignment="1">
      <alignment horizontal="center"/>
    </xf>
    <xf numFmtId="0" fontId="48" fillId="15" borderId="0" xfId="45" applyFont="1" applyFill="1" applyBorder="1"/>
    <xf numFmtId="0" fontId="36" fillId="15" borderId="45" xfId="45" applyFont="1" applyFill="1" applyBorder="1" applyAlignment="1">
      <alignment horizontal="left"/>
    </xf>
    <xf numFmtId="0" fontId="36" fillId="15" borderId="28" xfId="45" applyFont="1" applyFill="1" applyBorder="1" applyAlignment="1">
      <alignment horizontal="left"/>
    </xf>
    <xf numFmtId="3" fontId="36" fillId="15" borderId="44" xfId="58" applyNumberFormat="1" applyFont="1" applyFill="1" applyBorder="1" applyAlignment="1">
      <alignment horizontal="center"/>
    </xf>
    <xf numFmtId="1" fontId="36" fillId="15" borderId="0" xfId="45" applyNumberFormat="1" applyFont="1" applyFill="1"/>
    <xf numFmtId="2" fontId="36" fillId="15" borderId="0" xfId="45" applyNumberFormat="1" applyFont="1" applyFill="1"/>
    <xf numFmtId="165" fontId="36" fillId="15" borderId="0" xfId="45" applyNumberFormat="1" applyFont="1" applyFill="1"/>
    <xf numFmtId="0" fontId="77" fillId="19" borderId="0" xfId="45" applyFont="1" applyFill="1" applyAlignment="1">
      <alignment vertical="center" wrapText="1"/>
    </xf>
    <xf numFmtId="164" fontId="36" fillId="15" borderId="0" xfId="45" applyNumberFormat="1" applyFont="1" applyFill="1"/>
    <xf numFmtId="170" fontId="36" fillId="15" borderId="0" xfId="59" applyNumberFormat="1" applyFont="1" applyFill="1"/>
    <xf numFmtId="174" fontId="36" fillId="15" borderId="0" xfId="59" applyNumberFormat="1" applyFont="1" applyFill="1"/>
    <xf numFmtId="175" fontId="36" fillId="15" borderId="0" xfId="33" applyNumberFormat="1" applyFont="1" applyFill="1" applyBorder="1" applyAlignment="1">
      <alignment horizontal="center"/>
    </xf>
    <xf numFmtId="170" fontId="36" fillId="15" borderId="0" xfId="45" applyNumberFormat="1" applyFont="1" applyFill="1"/>
    <xf numFmtId="2" fontId="37" fillId="15" borderId="0" xfId="45" applyNumberFormat="1" applyFont="1" applyFill="1" applyAlignment="1">
      <alignment horizontal="center"/>
    </xf>
    <xf numFmtId="1" fontId="49" fillId="15" borderId="0" xfId="45" applyNumberFormat="1" applyFont="1" applyFill="1" applyBorder="1" applyAlignment="1">
      <alignment horizontal="center"/>
    </xf>
    <xf numFmtId="165" fontId="36" fillId="15" borderId="0" xfId="45" applyNumberFormat="1" applyFont="1" applyFill="1" applyAlignment="1">
      <alignment horizontal="center"/>
    </xf>
    <xf numFmtId="1" fontId="36" fillId="15" borderId="0" xfId="45" applyNumberFormat="1" applyFont="1" applyFill="1" applyAlignment="1">
      <alignment horizontal="center"/>
    </xf>
    <xf numFmtId="2" fontId="28" fillId="15" borderId="0" xfId="43" applyNumberFormat="1" applyFont="1" applyFill="1" applyAlignment="1">
      <alignment horizontal="center"/>
    </xf>
    <xf numFmtId="0" fontId="48" fillId="7" borderId="0" xfId="45" applyFont="1" applyFill="1"/>
    <xf numFmtId="0" fontId="1" fillId="0" borderId="0" xfId="43"/>
    <xf numFmtId="0" fontId="29" fillId="14" borderId="0" xfId="45" applyFont="1" applyFill="1" applyAlignment="1">
      <alignment horizontal="left"/>
    </xf>
    <xf numFmtId="0" fontId="30" fillId="14" borderId="0" xfId="45" applyFont="1" applyFill="1" applyAlignment="1">
      <alignment horizontal="center"/>
    </xf>
    <xf numFmtId="0" fontId="31" fillId="14" borderId="0" xfId="45" applyFont="1" applyFill="1" applyAlignment="1">
      <alignment horizontal="center"/>
    </xf>
    <xf numFmtId="0" fontId="32" fillId="14" borderId="0" xfId="45" applyFont="1" applyFill="1" applyAlignment="1">
      <alignment horizontal="right"/>
    </xf>
    <xf numFmtId="0" fontId="32" fillId="14" borderId="0" xfId="45" applyFont="1" applyFill="1" applyAlignment="1">
      <alignment horizontal="left"/>
    </xf>
    <xf numFmtId="0" fontId="33" fillId="14" borderId="0" xfId="45" applyFont="1" applyFill="1" applyAlignment="1">
      <alignment horizontal="center"/>
    </xf>
    <xf numFmtId="0" fontId="36" fillId="15" borderId="0" xfId="45" applyFont="1" applyFill="1"/>
    <xf numFmtId="164" fontId="36" fillId="15" borderId="0" xfId="45" applyNumberFormat="1" applyFont="1" applyFill="1" applyBorder="1" applyAlignment="1">
      <alignment horizontal="center"/>
    </xf>
    <xf numFmtId="170" fontId="49" fillId="15" borderId="0" xfId="58" applyNumberFormat="1" applyFont="1" applyFill="1" applyBorder="1" applyAlignment="1">
      <alignment horizontal="center"/>
    </xf>
    <xf numFmtId="0" fontId="48" fillId="15" borderId="0" xfId="45" applyFont="1" applyFill="1" applyBorder="1"/>
    <xf numFmtId="2" fontId="36" fillId="15" borderId="0" xfId="45" applyNumberFormat="1" applyFont="1" applyFill="1"/>
    <xf numFmtId="165" fontId="36" fillId="15" borderId="0" xfId="45" applyNumberFormat="1" applyFont="1" applyFill="1"/>
    <xf numFmtId="0" fontId="1" fillId="15" borderId="0" xfId="43" applyFill="1"/>
    <xf numFmtId="14" fontId="66" fillId="14" borderId="0" xfId="45" applyNumberFormat="1" applyFont="1" applyFill="1" applyAlignment="1">
      <alignment horizontal="left"/>
    </xf>
    <xf numFmtId="2" fontId="1" fillId="15" borderId="0" xfId="43" applyNumberFormat="1" applyFill="1"/>
    <xf numFmtId="0" fontId="78" fillId="24" borderId="0" xfId="45" applyFont="1" applyFill="1" applyBorder="1"/>
    <xf numFmtId="0" fontId="78" fillId="24" borderId="0" xfId="45" applyFont="1" applyFill="1" applyBorder="1" applyAlignment="1">
      <alignment horizontal="center"/>
    </xf>
    <xf numFmtId="0" fontId="35" fillId="15" borderId="0" xfId="45" applyFont="1" applyFill="1" applyBorder="1"/>
    <xf numFmtId="0" fontId="84" fillId="15" borderId="0" xfId="43" applyFont="1" applyFill="1"/>
    <xf numFmtId="10" fontId="84" fillId="15" borderId="0" xfId="43" applyNumberFormat="1" applyFont="1" applyFill="1"/>
    <xf numFmtId="0" fontId="35" fillId="17" borderId="0" xfId="45" applyFont="1" applyFill="1" applyBorder="1"/>
    <xf numFmtId="0" fontId="48" fillId="17" borderId="0" xfId="45" applyFont="1" applyFill="1" applyBorder="1" applyAlignment="1">
      <alignment horizontal="center"/>
    </xf>
    <xf numFmtId="0" fontId="36" fillId="15" borderId="0" xfId="45" applyFont="1" applyFill="1" applyBorder="1"/>
    <xf numFmtId="0" fontId="48" fillId="15" borderId="0" xfId="45" applyFont="1" applyFill="1" applyBorder="1" applyAlignment="1">
      <alignment horizontal="center"/>
    </xf>
    <xf numFmtId="2" fontId="36" fillId="15" borderId="0" xfId="59" applyNumberFormat="1" applyFont="1" applyFill="1" applyBorder="1" applyAlignment="1">
      <alignment horizontal="right"/>
    </xf>
    <xf numFmtId="10" fontId="48" fillId="15" borderId="0" xfId="59" applyNumberFormat="1" applyFont="1" applyFill="1" applyBorder="1" applyAlignment="1">
      <alignment horizontal="right"/>
    </xf>
    <xf numFmtId="0" fontId="79" fillId="15" borderId="0" xfId="45" applyFont="1" applyFill="1" applyBorder="1"/>
    <xf numFmtId="0" fontId="80" fillId="15" borderId="0" xfId="45" applyFont="1" applyFill="1" applyBorder="1"/>
    <xf numFmtId="10" fontId="36" fillId="15" borderId="0" xfId="59" applyNumberFormat="1" applyFont="1" applyFill="1" applyBorder="1" applyAlignment="1">
      <alignment horizontal="right"/>
    </xf>
    <xf numFmtId="0" fontId="81" fillId="15" borderId="0" xfId="45" applyFont="1" applyFill="1" applyBorder="1"/>
    <xf numFmtId="164" fontId="37" fillId="15" borderId="0" xfId="45" applyNumberFormat="1" applyFont="1" applyFill="1" applyBorder="1" applyAlignment="1">
      <alignment horizontal="center"/>
    </xf>
    <xf numFmtId="2" fontId="37" fillId="17" borderId="0" xfId="59" applyNumberFormat="1" applyFont="1" applyFill="1" applyBorder="1" applyAlignment="1">
      <alignment horizontal="right"/>
    </xf>
    <xf numFmtId="0" fontId="37" fillId="15" borderId="0" xfId="45" applyFont="1" applyFill="1"/>
    <xf numFmtId="165" fontId="37" fillId="15" borderId="0" xfId="45" applyNumberFormat="1" applyFont="1" applyFill="1"/>
    <xf numFmtId="2" fontId="37" fillId="15" borderId="0" xfId="45" applyNumberFormat="1" applyFont="1" applyFill="1"/>
    <xf numFmtId="170" fontId="36" fillId="15" borderId="0" xfId="59" applyNumberFormat="1" applyFont="1" applyFill="1" applyBorder="1" applyAlignment="1">
      <alignment horizontal="right"/>
    </xf>
    <xf numFmtId="170" fontId="48" fillId="15" borderId="0" xfId="59" applyNumberFormat="1" applyFont="1" applyFill="1" applyBorder="1" applyAlignment="1">
      <alignment horizontal="right"/>
    </xf>
    <xf numFmtId="2" fontId="36" fillId="25" borderId="0" xfId="59" applyNumberFormat="1" applyFont="1" applyFill="1" applyBorder="1" applyAlignment="1">
      <alignment horizontal="right"/>
    </xf>
    <xf numFmtId="0" fontId="48" fillId="15" borderId="0" xfId="45" applyFont="1" applyFill="1"/>
    <xf numFmtId="170" fontId="36" fillId="19" borderId="0" xfId="59" applyNumberFormat="1" applyFont="1" applyFill="1" applyBorder="1" applyAlignment="1">
      <alignment horizontal="right"/>
    </xf>
    <xf numFmtId="10" fontId="36" fillId="25" borderId="0" xfId="59" applyNumberFormat="1" applyFont="1" applyFill="1" applyBorder="1" applyAlignment="1">
      <alignment horizontal="right"/>
    </xf>
    <xf numFmtId="170" fontId="36" fillId="25" borderId="0" xfId="59" applyNumberFormat="1" applyFont="1" applyFill="1" applyBorder="1" applyAlignment="1">
      <alignment horizontal="right"/>
    </xf>
    <xf numFmtId="170" fontId="48" fillId="19" borderId="0" xfId="59" applyNumberFormat="1" applyFont="1" applyFill="1" applyBorder="1" applyAlignment="1">
      <alignment horizontal="right"/>
    </xf>
    <xf numFmtId="2" fontId="36" fillId="26" borderId="0" xfId="59" applyNumberFormat="1" applyFont="1" applyFill="1" applyBorder="1" applyAlignment="1">
      <alignment horizontal="right"/>
    </xf>
    <xf numFmtId="2" fontId="36" fillId="26" borderId="0" xfId="45" applyNumberFormat="1" applyFont="1" applyFill="1"/>
    <xf numFmtId="170" fontId="36" fillId="15" borderId="0" xfId="59" quotePrefix="1" applyNumberFormat="1" applyFont="1" applyFill="1" applyBorder="1" applyAlignment="1">
      <alignment horizontal="center"/>
    </xf>
    <xf numFmtId="170" fontId="36" fillId="15" borderId="0" xfId="59" applyNumberFormat="1" applyFont="1" applyFill="1" applyBorder="1" applyAlignment="1">
      <alignment horizontal="center"/>
    </xf>
    <xf numFmtId="43" fontId="36" fillId="15" borderId="0" xfId="35" applyFont="1" applyFill="1" applyBorder="1" applyAlignment="1">
      <alignment horizontal="right"/>
    </xf>
    <xf numFmtId="1" fontId="36" fillId="15" borderId="0" xfId="45" applyNumberFormat="1" applyFont="1" applyFill="1" applyAlignment="1">
      <alignment horizontal="right"/>
    </xf>
    <xf numFmtId="1" fontId="36" fillId="19" borderId="0" xfId="45" applyNumberFormat="1" applyFont="1" applyFill="1" applyAlignment="1">
      <alignment horizontal="right"/>
    </xf>
    <xf numFmtId="1" fontId="36" fillId="17" borderId="0" xfId="45" applyNumberFormat="1" applyFont="1" applyFill="1" applyAlignment="1">
      <alignment horizontal="right"/>
    </xf>
    <xf numFmtId="164" fontId="82" fillId="17" borderId="0" xfId="45" applyNumberFormat="1" applyFont="1" applyFill="1" applyAlignment="1">
      <alignment horizontal="right"/>
    </xf>
    <xf numFmtId="0" fontId="1" fillId="25" borderId="0" xfId="43" applyFill="1" applyAlignment="1">
      <alignment horizontal="right"/>
    </xf>
    <xf numFmtId="1" fontId="1" fillId="17" borderId="0" xfId="43" applyNumberFormat="1" applyFill="1" applyAlignment="1">
      <alignment horizontal="right"/>
    </xf>
    <xf numFmtId="1" fontId="83" fillId="17" borderId="0" xfId="43" applyNumberFormat="1" applyFont="1" applyFill="1" applyAlignment="1">
      <alignment horizontal="right"/>
    </xf>
    <xf numFmtId="170" fontId="83" fillId="17" borderId="0" xfId="59" applyNumberFormat="1" applyFont="1" applyFill="1" applyAlignment="1">
      <alignment horizontal="right"/>
    </xf>
    <xf numFmtId="1" fontId="1" fillId="15" borderId="0" xfId="43" applyNumberFormat="1" applyFill="1" applyAlignment="1">
      <alignment horizontal="right"/>
    </xf>
    <xf numFmtId="164" fontId="83" fillId="17" borderId="0" xfId="43" applyNumberFormat="1" applyFont="1" applyFill="1" applyAlignment="1">
      <alignment horizontal="right"/>
    </xf>
    <xf numFmtId="0" fontId="18" fillId="27" borderId="0" xfId="43" applyFont="1" applyFill="1"/>
    <xf numFmtId="0" fontId="1" fillId="27" borderId="0" xfId="43" applyFill="1"/>
    <xf numFmtId="2" fontId="1" fillId="28" borderId="0" xfId="43" applyNumberFormat="1" applyFill="1"/>
    <xf numFmtId="2" fontId="1" fillId="17" borderId="0" xfId="43" applyNumberFormat="1" applyFill="1"/>
    <xf numFmtId="0" fontId="1" fillId="25" borderId="0" xfId="43" applyFill="1"/>
    <xf numFmtId="0" fontId="38" fillId="15" borderId="0" xfId="43" applyFont="1" applyFill="1"/>
    <xf numFmtId="0" fontId="38" fillId="25" borderId="0" xfId="43" applyFont="1" applyFill="1"/>
    <xf numFmtId="2" fontId="38" fillId="25" borderId="0" xfId="43" applyNumberFormat="1" applyFont="1" applyFill="1"/>
    <xf numFmtId="0" fontId="85" fillId="15" borderId="0" xfId="43" applyFont="1" applyFill="1"/>
    <xf numFmtId="0" fontId="86" fillId="15" borderId="0" xfId="45" applyFont="1" applyFill="1" applyBorder="1" applyAlignment="1">
      <alignment horizontal="left" indent="1"/>
    </xf>
    <xf numFmtId="0" fontId="87" fillId="15" borderId="0" xfId="43" applyFont="1" applyFill="1"/>
    <xf numFmtId="10" fontId="87" fillId="15" borderId="0" xfId="43" applyNumberFormat="1" applyFont="1" applyFill="1"/>
    <xf numFmtId="9" fontId="88" fillId="15" borderId="0" xfId="43" applyNumberFormat="1" applyFont="1" applyFill="1"/>
    <xf numFmtId="9" fontId="87" fillId="15" borderId="0" xfId="43" applyNumberFormat="1" applyFont="1" applyFill="1"/>
    <xf numFmtId="0" fontId="58" fillId="15" borderId="0" xfId="43" applyFont="1" applyFill="1"/>
    <xf numFmtId="170" fontId="1" fillId="15" borderId="0" xfId="43" applyNumberFormat="1" applyFill="1"/>
    <xf numFmtId="2" fontId="77" fillId="25" borderId="0" xfId="45" applyNumberFormat="1" applyFont="1" applyFill="1"/>
    <xf numFmtId="10" fontId="88" fillId="15" borderId="0" xfId="43" applyNumberFormat="1" applyFont="1" applyFill="1"/>
    <xf numFmtId="0" fontId="49" fillId="15" borderId="0" xfId="58" applyNumberFormat="1" applyFont="1" applyFill="1" applyBorder="1" applyAlignment="1">
      <alignment horizontal="center"/>
    </xf>
    <xf numFmtId="170" fontId="1" fillId="15" borderId="0" xfId="59" applyNumberFormat="1" applyFont="1" applyFill="1"/>
    <xf numFmtId="0" fontId="14" fillId="0" borderId="5" xfId="0" applyFont="1" applyBorder="1" applyAlignment="1">
      <alignment horizontal="center" vertical="center"/>
    </xf>
    <xf numFmtId="164" fontId="9" fillId="12" borderId="8" xfId="0" applyNumberFormat="1" applyFont="1" applyFill="1" applyBorder="1" applyAlignment="1">
      <alignment wrapText="1" shrinkToFit="1"/>
    </xf>
    <xf numFmtId="164" fontId="9" fillId="12" borderId="7" xfId="0" applyNumberFormat="1" applyFont="1" applyFill="1" applyBorder="1" applyAlignment="1">
      <alignment wrapText="1" shrinkToFit="1"/>
    </xf>
    <xf numFmtId="170" fontId="7" fillId="0" borderId="8" xfId="11" applyNumberFormat="1" applyFont="1" applyBorder="1"/>
    <xf numFmtId="0" fontId="0" fillId="0" borderId="54" xfId="0" applyBorder="1"/>
    <xf numFmtId="0" fontId="0" fillId="0" borderId="2" xfId="0" applyBorder="1"/>
    <xf numFmtId="43" fontId="0" fillId="15" borderId="0" xfId="0" applyNumberFormat="1" applyFill="1"/>
    <xf numFmtId="1" fontId="71" fillId="0" borderId="0" xfId="0" applyNumberFormat="1" applyFont="1" applyFill="1"/>
    <xf numFmtId="164" fontId="93" fillId="0" borderId="0" xfId="0" applyNumberFormat="1" applyFont="1"/>
    <xf numFmtId="164" fontId="94" fillId="0" borderId="0" xfId="0" applyNumberFormat="1" applyFont="1"/>
    <xf numFmtId="2" fontId="15" fillId="0" borderId="0" xfId="0" applyNumberFormat="1" applyFont="1"/>
    <xf numFmtId="0" fontId="1" fillId="29" borderId="33" xfId="12" applyFill="1" applyBorder="1" applyAlignment="1">
      <alignment horizontal="center"/>
    </xf>
    <xf numFmtId="0" fontId="1" fillId="29" borderId="34" xfId="12" applyFill="1" applyBorder="1" applyAlignment="1">
      <alignment horizontal="center"/>
    </xf>
    <xf numFmtId="2" fontId="1" fillId="29" borderId="34" xfId="12" applyNumberFormat="1" applyFill="1" applyBorder="1" applyAlignment="1">
      <alignment horizontal="center"/>
    </xf>
    <xf numFmtId="0" fontId="1" fillId="29" borderId="32" xfId="12" applyFill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2" fontId="14" fillId="0" borderId="8" xfId="0" applyNumberFormat="1" applyFont="1" applyBorder="1"/>
    <xf numFmtId="0" fontId="95" fillId="0" borderId="8" xfId="0" applyFont="1" applyBorder="1"/>
    <xf numFmtId="0" fontId="18" fillId="13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wrapText="1"/>
    </xf>
    <xf numFmtId="0" fontId="18" fillId="13" borderId="12" xfId="0" applyFont="1" applyFill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0" xfId="8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8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3" borderId="0" xfId="8" applyFont="1" applyFill="1" applyBorder="1" applyAlignment="1">
      <alignment horizontal="center" vertical="center"/>
    </xf>
    <xf numFmtId="0" fontId="7" fillId="0" borderId="0" xfId="0" applyFont="1" applyAlignment="1"/>
    <xf numFmtId="0" fontId="9" fillId="3" borderId="1" xfId="8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4" borderId="1" xfId="8" applyFont="1" applyFill="1" applyBorder="1" applyAlignment="1">
      <alignment horizontal="center" vertical="center"/>
    </xf>
    <xf numFmtId="0" fontId="9" fillId="2" borderId="1" xfId="8" applyFont="1" applyFill="1" applyBorder="1" applyAlignment="1">
      <alignment horizontal="center" vertical="center"/>
    </xf>
    <xf numFmtId="164" fontId="6" fillId="6" borderId="53" xfId="8" applyNumberFormat="1" applyFont="1" applyFill="1" applyBorder="1" applyAlignment="1">
      <alignment horizontal="center" vertical="center"/>
    </xf>
    <xf numFmtId="164" fontId="6" fillId="6" borderId="1" xfId="8" applyNumberFormat="1" applyFont="1" applyFill="1" applyBorder="1" applyAlignment="1">
      <alignment horizontal="center" vertical="center"/>
    </xf>
    <xf numFmtId="164" fontId="6" fillId="6" borderId="4" xfId="8" applyNumberFormat="1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6" borderId="0" xfId="8" applyFont="1" applyFill="1" applyBorder="1" applyAlignment="1">
      <alignment horizontal="center" vertical="center" wrapText="1"/>
    </xf>
    <xf numFmtId="164" fontId="6" fillId="6" borderId="0" xfId="8" applyNumberFormat="1" applyFont="1" applyFill="1" applyBorder="1" applyAlignment="1">
      <alignment horizontal="center" vertical="center"/>
    </xf>
    <xf numFmtId="164" fontId="7" fillId="6" borderId="0" xfId="8" applyNumberFormat="1" applyFont="1" applyFill="1" applyBorder="1" applyAlignment="1">
      <alignment horizontal="center" vertical="center"/>
    </xf>
    <xf numFmtId="164" fontId="6" fillId="8" borderId="0" xfId="8" applyNumberFormat="1" applyFont="1" applyFill="1" applyBorder="1" applyAlignment="1">
      <alignment horizontal="center" vertical="center"/>
    </xf>
    <xf numFmtId="164" fontId="7" fillId="8" borderId="1" xfId="8" applyNumberFormat="1" applyFont="1" applyFill="1" applyBorder="1" applyAlignment="1">
      <alignment horizontal="center" vertical="center"/>
    </xf>
    <xf numFmtId="164" fontId="6" fillId="6" borderId="54" xfId="8" applyNumberFormat="1" applyFont="1" applyFill="1" applyBorder="1" applyAlignment="1">
      <alignment horizontal="center" vertical="center"/>
    </xf>
    <xf numFmtId="164" fontId="6" fillId="6" borderId="2" xfId="8" applyNumberFormat="1" applyFont="1" applyFill="1" applyBorder="1" applyAlignment="1">
      <alignment horizontal="center" vertical="center"/>
    </xf>
    <xf numFmtId="164" fontId="6" fillId="6" borderId="56" xfId="8" applyNumberFormat="1" applyFont="1" applyFill="1" applyBorder="1" applyAlignment="1">
      <alignment horizontal="center" vertical="center"/>
    </xf>
    <xf numFmtId="0" fontId="7" fillId="7" borderId="0" xfId="8" applyFont="1" applyFill="1" applyBorder="1" applyAlignment="1">
      <alignment horizontal="center" vertical="center" wrapText="1"/>
    </xf>
    <xf numFmtId="164" fontId="6" fillId="7" borderId="3" xfId="8" applyNumberFormat="1" applyFont="1" applyFill="1" applyBorder="1" applyAlignment="1">
      <alignment horizontal="center" vertical="center"/>
    </xf>
    <xf numFmtId="164" fontId="6" fillId="7" borderId="0" xfId="8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7" borderId="1" xfId="8" applyNumberFormat="1" applyFont="1" applyFill="1" applyBorder="1" applyAlignment="1">
      <alignment horizontal="center" vertical="center"/>
    </xf>
    <xf numFmtId="164" fontId="6" fillId="7" borderId="53" xfId="8" applyNumberFormat="1" applyFont="1" applyFill="1" applyBorder="1" applyAlignment="1">
      <alignment horizontal="center" vertical="center"/>
    </xf>
    <xf numFmtId="164" fontId="6" fillId="7" borderId="1" xfId="8" applyNumberFormat="1" applyFont="1" applyFill="1" applyBorder="1" applyAlignment="1">
      <alignment horizontal="center" vertical="center"/>
    </xf>
    <xf numFmtId="164" fontId="6" fillId="7" borderId="4" xfId="8" applyNumberFormat="1" applyFont="1" applyFill="1" applyBorder="1" applyAlignment="1">
      <alignment horizontal="center" vertical="center"/>
    </xf>
    <xf numFmtId="164" fontId="7" fillId="6" borderId="3" xfId="8" applyNumberFormat="1" applyFont="1" applyFill="1" applyBorder="1" applyAlignment="1">
      <alignment horizontal="center" vertical="center"/>
    </xf>
    <xf numFmtId="164" fontId="6" fillId="9" borderId="0" xfId="8" applyNumberFormat="1" applyFont="1" applyFill="1" applyBorder="1" applyAlignment="1">
      <alignment horizontal="center" vertical="center"/>
    </xf>
    <xf numFmtId="0" fontId="6" fillId="9" borderId="0" xfId="0" applyFont="1" applyFill="1" applyBorder="1" applyAlignment="1"/>
    <xf numFmtId="164" fontId="6" fillId="9" borderId="3" xfId="8" applyNumberFormat="1" applyFont="1" applyFill="1" applyBorder="1" applyAlignment="1">
      <alignment horizontal="center" vertical="center"/>
    </xf>
    <xf numFmtId="0" fontId="6" fillId="9" borderId="3" xfId="0" applyFont="1" applyFill="1" applyBorder="1" applyAlignment="1"/>
    <xf numFmtId="0" fontId="7" fillId="8" borderId="0" xfId="8" applyFont="1" applyFill="1" applyBorder="1" applyAlignment="1">
      <alignment horizontal="center" vertical="center" wrapText="1"/>
    </xf>
    <xf numFmtId="164" fontId="7" fillId="8" borderId="0" xfId="8" applyNumberFormat="1" applyFont="1" applyFill="1" applyBorder="1" applyAlignment="1">
      <alignment horizontal="center" vertical="center"/>
    </xf>
    <xf numFmtId="164" fontId="7" fillId="8" borderId="2" xfId="8" applyNumberFormat="1" applyFont="1" applyFill="1" applyBorder="1" applyAlignment="1">
      <alignment horizontal="center" vertical="center"/>
    </xf>
    <xf numFmtId="164" fontId="7" fillId="8" borderId="3" xfId="8" applyNumberFormat="1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</cellXfs>
  <cellStyles count="70">
    <cellStyle name="2x indented GHG Textfiels" xfId="13"/>
    <cellStyle name="5x indented GHG Textfiels" xfId="14"/>
    <cellStyle name="AZ1" xfId="15"/>
    <cellStyle name="Comma [0]" xfId="16"/>
    <cellStyle name="Currency [0]" xfId="17"/>
    <cellStyle name="Lien hypertexte 2" xfId="18"/>
    <cellStyle name="Lien hypertexte 3" xfId="19"/>
    <cellStyle name="Lien hypertexte 4" xfId="20"/>
    <cellStyle name="Milliers" xfId="10" builtinId="3"/>
    <cellStyle name="Milliers [0] 2" xfId="22"/>
    <cellStyle name="Milliers 10" xfId="23"/>
    <cellStyle name="Milliers 11" xfId="24"/>
    <cellStyle name="Milliers 12" xfId="25"/>
    <cellStyle name="Milliers 13" xfId="26"/>
    <cellStyle name="Milliers 14" xfId="27"/>
    <cellStyle name="Milliers 15" xfId="28"/>
    <cellStyle name="Milliers 16" xfId="29"/>
    <cellStyle name="Milliers 17" xfId="30"/>
    <cellStyle name="Milliers 18" xfId="31"/>
    <cellStyle name="Milliers 19" xfId="32"/>
    <cellStyle name="Milliers 2" xfId="1"/>
    <cellStyle name="Milliers 2 2" xfId="34"/>
    <cellStyle name="Milliers 2 3" xfId="33"/>
    <cellStyle name="Milliers 20" xfId="21"/>
    <cellStyle name="Milliers 21" xfId="66"/>
    <cellStyle name="Milliers 22" xfId="69"/>
    <cellStyle name="Milliers 23" xfId="67"/>
    <cellStyle name="Milliers 24" xfId="68"/>
    <cellStyle name="Milliers 3" xfId="6"/>
    <cellStyle name="Milliers 3 2" xfId="35"/>
    <cellStyle name="Milliers 4" xfId="36"/>
    <cellStyle name="Milliers 5" xfId="37"/>
    <cellStyle name="Milliers 6" xfId="38"/>
    <cellStyle name="Milliers 7" xfId="39"/>
    <cellStyle name="Milliers 8" xfId="40"/>
    <cellStyle name="Milliers 9" xfId="41"/>
    <cellStyle name="Monétaire 2" xfId="42"/>
    <cellStyle name="Normal" xfId="0" builtinId="0"/>
    <cellStyle name="Normal 10" xfId="43"/>
    <cellStyle name="Normal 2" xfId="2"/>
    <cellStyle name="Normal 2 2" xfId="8"/>
    <cellStyle name="Normal 2 2 2" xfId="45"/>
    <cellStyle name="Normal 2 3" xfId="46"/>
    <cellStyle name="Normal 2 4" xfId="47"/>
    <cellStyle name="Normal 2 5" xfId="44"/>
    <cellStyle name="Normal 3" xfId="3"/>
    <cellStyle name="Normal 3 2" xfId="49"/>
    <cellStyle name="Normal 3 3" xfId="50"/>
    <cellStyle name="Normal 3 4" xfId="51"/>
    <cellStyle name="Normal 3 5" xfId="48"/>
    <cellStyle name="Normal 4" xfId="4"/>
    <cellStyle name="Normal 4 2" xfId="52"/>
    <cellStyle name="Normal 5" xfId="7"/>
    <cellStyle name="Normal 5 2" xfId="53"/>
    <cellStyle name="Normal 6" xfId="54"/>
    <cellStyle name="Normal 7" xfId="55"/>
    <cellStyle name="Normal 8" xfId="12"/>
    <cellStyle name="Normal GHG Textfiels Bold" xfId="56"/>
    <cellStyle name="Pourcentage" xfId="11" builtinId="5"/>
    <cellStyle name="Pourcentage 2" xfId="5"/>
    <cellStyle name="Pourcentage 2 2" xfId="9"/>
    <cellStyle name="Pourcentage 2 3" xfId="58"/>
    <cellStyle name="Pourcentage 3" xfId="59"/>
    <cellStyle name="Pourcentage 4" xfId="60"/>
    <cellStyle name="Pourcentage 5" xfId="61"/>
    <cellStyle name="Pourcentage 6" xfId="62"/>
    <cellStyle name="Pourcentage 7" xfId="63"/>
    <cellStyle name="Pourcentage 8" xfId="57"/>
    <cellStyle name="Standard_ENR_REF" xfId="64"/>
    <cellStyle name="Βασικό_Φύλλο1" xfId="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eme.intra\PARIS$\windows\temp\notes39779E\summaryvADEME_20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notes1BC4DD/Resultats_DGEC2014%20-%20AMS1%20v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5"/>
      <sheetName val="Feuil3"/>
      <sheetName val="tab_labor"/>
      <sheetName val="Shock_data"/>
      <sheetName val="Baseline_data"/>
      <sheetName val="t_Macro_B"/>
      <sheetName val="t_Macro_S"/>
      <sheetName val="Feuil1"/>
      <sheetName val="t_Emp_ProdSect_B"/>
      <sheetName val="t_Emp_ProdSect_S"/>
      <sheetName val="t_CO2Sect_B"/>
      <sheetName val="t_CO2Sect_S"/>
      <sheetName val="tCO2Sect_10"/>
      <sheetName val="t_PartNRJ_B"/>
      <sheetName val="t_PartNRJ_S"/>
      <sheetName val="t_Mtep_B"/>
      <sheetName val="Graph8"/>
      <sheetName val="Graph3"/>
      <sheetName val="Feuil2"/>
      <sheetName val="EN_buil"/>
      <sheetName val="Graph4"/>
      <sheetName val="coût de prod énergie"/>
      <sheetName val="t_Mtep_S"/>
      <sheetName val="d INV"/>
      <sheetName val="prix énergie"/>
      <sheetName val="EMS"/>
      <sheetName val="voiture"/>
      <sheetName val="ex élasticité"/>
      <sheetName val="tab_PIB"/>
      <sheetName val="scénario ADEME"/>
      <sheetName val="Feuil4"/>
      <sheetName val="Feuil5"/>
      <sheetName val="SIock_data"/>
      <sheetName val="SNock_data"/>
    </sheetNames>
    <sheetDataSet>
      <sheetData sheetId="0" refreshError="1"/>
      <sheetData sheetId="1" refreshError="1"/>
      <sheetData sheetId="2" refreshError="1"/>
      <sheetData sheetId="3" refreshError="1">
        <row r="1">
          <cell r="B1">
            <v>2004</v>
          </cell>
        </row>
        <row r="143">
          <cell r="A143" t="str">
            <v>Q_MTEP_22_2</v>
          </cell>
        </row>
        <row r="144">
          <cell r="A144" t="str">
            <v>Q_MTEP_2201_2</v>
          </cell>
        </row>
        <row r="145">
          <cell r="A145" t="str">
            <v>Q_MTEP_2202_2</v>
          </cell>
        </row>
        <row r="146">
          <cell r="A146" t="str">
            <v>Q_MTEP_23_2</v>
          </cell>
        </row>
        <row r="147">
          <cell r="A147" t="str">
            <v>Q_MTEP_EP_2301_2</v>
          </cell>
        </row>
        <row r="148">
          <cell r="A148" t="str">
            <v>Q_MTEP_2302_2</v>
          </cell>
        </row>
        <row r="149">
          <cell r="A149" t="str">
            <v>Q_MTEP_2303_2</v>
          </cell>
        </row>
        <row r="150">
          <cell r="A150" t="str">
            <v>Q_MTEP_2304_2</v>
          </cell>
        </row>
        <row r="151">
          <cell r="A151" t="str">
            <v>Q_MTEP_2305_2</v>
          </cell>
        </row>
        <row r="152">
          <cell r="A152" t="str">
            <v>Q_MTEP_2306_2</v>
          </cell>
        </row>
        <row r="153">
          <cell r="A153" t="str">
            <v>Q_MTEP_2307_2</v>
          </cell>
        </row>
        <row r="154">
          <cell r="A154" t="str">
            <v>Q_MTEP_2308_2</v>
          </cell>
        </row>
        <row r="155">
          <cell r="A155" t="str">
            <v>Q_MTEP_24_2</v>
          </cell>
        </row>
        <row r="156">
          <cell r="A156" t="str">
            <v>Q_MTEP_2401_2</v>
          </cell>
        </row>
        <row r="157">
          <cell r="A157" t="str">
            <v>Q_MTEP_2402_2</v>
          </cell>
        </row>
        <row r="158">
          <cell r="A158" t="str">
            <v>Q_MTEP_2403_2</v>
          </cell>
        </row>
        <row r="159">
          <cell r="A159" t="str">
            <v>Q_MTEP_2404_2</v>
          </cell>
        </row>
        <row r="160">
          <cell r="A160" t="str">
            <v>Q_MTEP_2405_2</v>
          </cell>
        </row>
        <row r="161">
          <cell r="A161" t="str">
            <v>Q_MTEP_2406_2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énarios demande"/>
      <sheetName val="Réseaux de chaleur"/>
      <sheetName val="Indicateurs"/>
      <sheetName val="Electricité"/>
      <sheetName val="Bilans complets"/>
    </sheetNames>
    <sheetDataSet>
      <sheetData sheetId="0" refreshError="1"/>
      <sheetData sheetId="1">
        <row r="75">
          <cell r="C75">
            <v>0.49605472896895636</v>
          </cell>
          <cell r="D75">
            <v>0.49605472888061158</v>
          </cell>
          <cell r="E75">
            <v>0.4960547288806117</v>
          </cell>
          <cell r="F75">
            <v>0.49605472888061164</v>
          </cell>
          <cell r="G75">
            <v>0.49605472888061164</v>
          </cell>
          <cell r="H75">
            <v>0.49605472888061158</v>
          </cell>
        </row>
      </sheetData>
      <sheetData sheetId="2" refreshError="1"/>
      <sheetData sheetId="3">
        <row r="9">
          <cell r="C9">
            <v>568.57309495863296</v>
          </cell>
          <cell r="D9">
            <v>586.81134436798084</v>
          </cell>
          <cell r="E9">
            <v>589.85102563476562</v>
          </cell>
          <cell r="F9">
            <v>582.9400081176758</v>
          </cell>
          <cell r="G9">
            <v>576.08166333007807</v>
          </cell>
          <cell r="H9">
            <v>575.24687670898436</v>
          </cell>
        </row>
        <row r="21">
          <cell r="C21">
            <v>6.8</v>
          </cell>
          <cell r="D21">
            <v>8.6821533203124996</v>
          </cell>
          <cell r="E21">
            <v>10.6523720703125</v>
          </cell>
          <cell r="F21">
            <v>15.517610351562499</v>
          </cell>
          <cell r="G21">
            <v>17.531554687500002</v>
          </cell>
          <cell r="H21">
            <v>20.481816406250001</v>
          </cell>
        </row>
        <row r="25">
          <cell r="C25">
            <v>66.825000000000003</v>
          </cell>
          <cell r="D25">
            <v>70.145656250000002</v>
          </cell>
          <cell r="E25">
            <v>65.4969296875</v>
          </cell>
          <cell r="F25">
            <v>65.515652343750006</v>
          </cell>
          <cell r="G25">
            <v>65.525164062499996</v>
          </cell>
          <cell r="H25">
            <v>65.529914062499998</v>
          </cell>
        </row>
        <row r="26">
          <cell r="C26">
            <v>0.56409484863281245</v>
          </cell>
          <cell r="D26">
            <v>5.5189677734374998</v>
          </cell>
          <cell r="E26">
            <v>12.982134765625</v>
          </cell>
          <cell r="F26">
            <v>18.407267578125001</v>
          </cell>
          <cell r="G26">
            <v>25.115468750000002</v>
          </cell>
          <cell r="H26">
            <v>33.448332031249997</v>
          </cell>
        </row>
        <row r="27">
          <cell r="C27">
            <v>9.9689999999999994</v>
          </cell>
          <cell r="D27">
            <v>21.074658203125001</v>
          </cell>
          <cell r="E27">
            <v>40.988085937500003</v>
          </cell>
          <cell r="F27">
            <v>68.449203124999997</v>
          </cell>
          <cell r="G27">
            <v>82.201296874999997</v>
          </cell>
          <cell r="H27">
            <v>86.891796874999997</v>
          </cell>
        </row>
        <row r="30">
          <cell r="C30">
            <v>9.9999997473787516E-9</v>
          </cell>
          <cell r="D30">
            <v>7.5019538879394526E-2</v>
          </cell>
          <cell r="E30">
            <v>0.66111730957031245</v>
          </cell>
          <cell r="F30">
            <v>1.3507587890624999</v>
          </cell>
          <cell r="G30">
            <v>2.1919787597656248</v>
          </cell>
          <cell r="H30">
            <v>3.0746149902343749</v>
          </cell>
        </row>
        <row r="32">
          <cell r="C32">
            <v>35.414000000000001</v>
          </cell>
          <cell r="D32">
            <v>35.984398437499998</v>
          </cell>
          <cell r="E32">
            <v>36.910187499999999</v>
          </cell>
          <cell r="F32">
            <v>37.249644531249999</v>
          </cell>
          <cell r="G32">
            <v>37.32763671875</v>
          </cell>
          <cell r="H32">
            <v>37.379855468750002</v>
          </cell>
        </row>
        <row r="34">
          <cell r="C34">
            <v>58.254480133051516</v>
          </cell>
          <cell r="D34">
            <v>60.123122436563612</v>
          </cell>
          <cell r="E34">
            <v>60.434560057402152</v>
          </cell>
          <cell r="F34">
            <v>59.726475668221248</v>
          </cell>
          <cell r="G34">
            <v>59.023787986167285</v>
          </cell>
          <cell r="H34">
            <v>58.938257979445147</v>
          </cell>
        </row>
        <row r="36">
          <cell r="C36">
            <v>30.749000726744189</v>
          </cell>
          <cell r="D36">
            <v>41.275066996729656</v>
          </cell>
          <cell r="E36">
            <v>34.183380836664249</v>
          </cell>
          <cell r="F36">
            <v>27.091688998909884</v>
          </cell>
          <cell r="G36">
            <v>20</v>
          </cell>
        </row>
      </sheetData>
      <sheetData sheetId="4">
        <row r="39">
          <cell r="J39">
            <v>2.42</v>
          </cell>
        </row>
        <row r="40">
          <cell r="I40">
            <v>38.099999999999994</v>
          </cell>
          <cell r="J40">
            <v>13.410000000000002</v>
          </cell>
          <cell r="K40">
            <v>154.91999999999999</v>
          </cell>
        </row>
        <row r="82">
          <cell r="J82">
            <v>2.5296655054077961</v>
          </cell>
        </row>
        <row r="83">
          <cell r="I83">
            <v>38.958071734671087</v>
          </cell>
          <cell r="J83">
            <v>16.307308933701989</v>
          </cell>
          <cell r="K83">
            <v>152.31232624066345</v>
          </cell>
        </row>
        <row r="125">
          <cell r="J125">
            <v>2.6663544784184383</v>
          </cell>
        </row>
        <row r="126">
          <cell r="I126">
            <v>39.942585977151779</v>
          </cell>
          <cell r="J126">
            <v>18.461892942977148</v>
          </cell>
          <cell r="K126">
            <v>148.49214438572577</v>
          </cell>
        </row>
        <row r="168">
          <cell r="J168">
            <v>2.7710803985614239</v>
          </cell>
        </row>
        <row r="169">
          <cell r="I169">
            <v>40.172411796717675</v>
          </cell>
          <cell r="J169">
            <v>20.430312892500588</v>
          </cell>
          <cell r="K169">
            <v>144.62773223230508</v>
          </cell>
        </row>
        <row r="211">
          <cell r="J211">
            <v>2.8635563647266671</v>
          </cell>
        </row>
        <row r="212">
          <cell r="I212">
            <v>40.402237616283585</v>
          </cell>
          <cell r="J212">
            <v>22.323401447340515</v>
          </cell>
          <cell r="K212">
            <v>140.87008254111703</v>
          </cell>
        </row>
        <row r="254">
          <cell r="J254">
            <v>2.8233157135449711</v>
          </cell>
        </row>
        <row r="255">
          <cell r="I255">
            <v>40.186410839206147</v>
          </cell>
          <cell r="J255">
            <v>23.511120283295615</v>
          </cell>
          <cell r="K255">
            <v>138.64894395170194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1"/>
  <sheetViews>
    <sheetView topLeftCell="E1" workbookViewId="0">
      <pane xSplit="3" ySplit="1" topLeftCell="H17" activePane="bottomRight" state="frozen"/>
      <selection activeCell="E1" sqref="E1"/>
      <selection pane="topRight" activeCell="H1" sqref="H1"/>
      <selection pane="bottomLeft" activeCell="E2" sqref="E2"/>
      <selection pane="bottomRight" activeCell="L42" sqref="L42"/>
    </sheetView>
  </sheetViews>
  <sheetFormatPr baseColWidth="10" defaultRowHeight="12.75"/>
  <cols>
    <col min="1" max="1" width="3" customWidth="1"/>
    <col min="2" max="2" width="12.5703125" hidden="1" customWidth="1"/>
    <col min="3" max="4" width="0" hidden="1" customWidth="1"/>
    <col min="5" max="5" width="3.7109375" customWidth="1"/>
    <col min="6" max="6" width="0" hidden="1" customWidth="1"/>
    <col min="7" max="7" width="47.85546875" customWidth="1"/>
    <col min="8" max="10" width="12.5703125" customWidth="1"/>
    <col min="11" max="11" width="13.85546875" customWidth="1"/>
    <col min="12" max="12" width="18.85546875" customWidth="1"/>
    <col min="13" max="13" width="12.5703125" customWidth="1"/>
    <col min="14" max="14" width="24" bestFit="1" customWidth="1"/>
    <col min="16" max="16" width="18.85546875" bestFit="1" customWidth="1"/>
  </cols>
  <sheetData>
    <row r="1" spans="1:21" ht="39" thickBot="1">
      <c r="B1" s="64"/>
      <c r="C1" s="65"/>
      <c r="D1" s="65"/>
      <c r="E1" s="65"/>
      <c r="F1" s="66"/>
      <c r="G1" s="93" t="s">
        <v>135</v>
      </c>
      <c r="H1" s="111" t="s">
        <v>219</v>
      </c>
      <c r="I1" s="68" t="s">
        <v>136</v>
      </c>
      <c r="J1" s="67" t="s">
        <v>137</v>
      </c>
      <c r="K1" s="67" t="s">
        <v>138</v>
      </c>
      <c r="L1" s="69" t="s">
        <v>139</v>
      </c>
      <c r="M1" s="67" t="s">
        <v>140</v>
      </c>
      <c r="N1" s="67" t="s">
        <v>141</v>
      </c>
      <c r="O1" s="70" t="s">
        <v>142</v>
      </c>
      <c r="P1" s="70" t="s">
        <v>143</v>
      </c>
    </row>
    <row r="2" spans="1:21" ht="15.75" thickBot="1">
      <c r="A2" t="e">
        <f>[1]SIock_data!A142</f>
        <v>#REF!</v>
      </c>
      <c r="B2" s="64"/>
      <c r="C2" s="743">
        <v>22</v>
      </c>
      <c r="D2" s="71"/>
      <c r="E2" s="744" t="s">
        <v>67</v>
      </c>
      <c r="F2" s="80" t="s">
        <v>144</v>
      </c>
      <c r="G2" s="97" t="s">
        <v>51</v>
      </c>
      <c r="H2" s="72">
        <f>H27</f>
        <v>48.431098059909033</v>
      </c>
      <c r="I2" s="41"/>
      <c r="J2" s="72">
        <f>I27+K27</f>
        <v>3.6131722176210737</v>
      </c>
      <c r="K2" s="72">
        <f>L27</f>
        <v>0</v>
      </c>
      <c r="L2" s="72"/>
      <c r="M2" s="72">
        <f>H2-J2-K2+L2</f>
        <v>44.817925842287963</v>
      </c>
      <c r="N2" s="72"/>
      <c r="O2" s="72">
        <f>H2</f>
        <v>48.431098059909033</v>
      </c>
      <c r="P2" s="72">
        <f>M2</f>
        <v>44.817925842287963</v>
      </c>
      <c r="Q2" s="73"/>
      <c r="R2" s="73"/>
      <c r="S2" s="73"/>
      <c r="T2" s="74"/>
      <c r="U2" s="74"/>
    </row>
    <row r="3" spans="1:21" ht="15.75" thickBot="1">
      <c r="A3" t="str">
        <f>[1]Shock_data!A143</f>
        <v>Q_MTEP_22_2</v>
      </c>
      <c r="B3" s="64"/>
      <c r="C3" s="743"/>
      <c r="D3" s="75" t="s">
        <v>145</v>
      </c>
      <c r="E3" s="744"/>
      <c r="F3" s="76" t="s">
        <v>146</v>
      </c>
      <c r="G3" s="112" t="s">
        <v>220</v>
      </c>
      <c r="H3" s="72">
        <f>H46+H51</f>
        <v>11.419741924923583</v>
      </c>
      <c r="I3" s="72"/>
      <c r="J3" s="72">
        <f>I46+I51+K46+K51</f>
        <v>0</v>
      </c>
      <c r="K3" s="72">
        <f>L46+L51</f>
        <v>0</v>
      </c>
      <c r="L3" s="72">
        <f>-M51</f>
        <v>0</v>
      </c>
      <c r="M3" s="72">
        <f t="shared" ref="M3:M19" si="0">H3-J3-K3+L3</f>
        <v>11.419741924923583</v>
      </c>
      <c r="N3" s="72"/>
      <c r="O3" s="72">
        <f t="shared" ref="O3:O19" si="1">H3</f>
        <v>11.419741924923583</v>
      </c>
      <c r="P3" s="72">
        <f t="shared" ref="P3:P19" si="2">M3</f>
        <v>11.419741924923583</v>
      </c>
      <c r="Q3" s="73"/>
      <c r="R3" s="73"/>
      <c r="S3" s="73"/>
      <c r="T3" s="74"/>
      <c r="U3" s="74"/>
    </row>
    <row r="4" spans="1:21" ht="26.25" thickBot="1">
      <c r="A4" t="str">
        <f>[1]Shock_data!A144</f>
        <v>Q_MTEP_2201_2</v>
      </c>
      <c r="B4" s="64"/>
      <c r="C4" s="743"/>
      <c r="D4" s="77"/>
      <c r="E4" s="744"/>
      <c r="F4" s="78" t="s">
        <v>147</v>
      </c>
      <c r="G4" s="97" t="s">
        <v>24</v>
      </c>
      <c r="H4" s="72">
        <f>H33</f>
        <v>64.960000000000008</v>
      </c>
      <c r="I4" s="41"/>
      <c r="J4" s="72">
        <f>I33+K33</f>
        <v>44.677417834990521</v>
      </c>
      <c r="K4" s="72">
        <f>L33</f>
        <v>3.6556867943074485</v>
      </c>
      <c r="L4" s="72"/>
      <c r="M4" s="72">
        <f t="shared" si="0"/>
        <v>16.626895370702037</v>
      </c>
      <c r="N4" s="72"/>
      <c r="O4" s="72">
        <f t="shared" si="1"/>
        <v>64.960000000000008</v>
      </c>
      <c r="P4" s="72">
        <f t="shared" si="2"/>
        <v>16.626895370702037</v>
      </c>
      <c r="Q4" s="73"/>
      <c r="R4" s="79"/>
      <c r="S4" s="73"/>
      <c r="T4" s="74"/>
      <c r="U4" s="74"/>
    </row>
    <row r="5" spans="1:21" ht="15.75" thickBot="1">
      <c r="A5" t="str">
        <f>[1]Shock_data!A145</f>
        <v>Q_MTEP_2202_2</v>
      </c>
      <c r="B5" s="64"/>
      <c r="C5" s="743">
        <v>23</v>
      </c>
      <c r="D5" s="71"/>
      <c r="E5" s="744" t="s">
        <v>54</v>
      </c>
      <c r="F5" s="80" t="s">
        <v>144</v>
      </c>
      <c r="G5" s="97" t="s">
        <v>68</v>
      </c>
      <c r="H5" s="72">
        <f>H28</f>
        <v>4.2883472442626955E-2</v>
      </c>
      <c r="I5" s="41"/>
      <c r="J5" s="72">
        <f>I28+K28</f>
        <v>2.5683472442626955E-2</v>
      </c>
      <c r="K5" s="72">
        <f>L28</f>
        <v>0</v>
      </c>
      <c r="L5" s="72"/>
      <c r="M5" s="72">
        <f t="shared" si="0"/>
        <v>1.72E-2</v>
      </c>
      <c r="N5" s="72"/>
      <c r="O5" s="72">
        <f t="shared" si="1"/>
        <v>4.2883472442626955E-2</v>
      </c>
      <c r="P5" s="72">
        <f t="shared" si="2"/>
        <v>1.72E-2</v>
      </c>
      <c r="Q5" s="73"/>
      <c r="R5" s="73"/>
      <c r="S5" s="73"/>
      <c r="T5" s="74"/>
      <c r="U5" s="74"/>
    </row>
    <row r="6" spans="1:21" ht="26.25" thickBot="1">
      <c r="A6" t="str">
        <f>[1]Shock_data!A146</f>
        <v>Q_MTEP_23_2</v>
      </c>
      <c r="B6" s="64"/>
      <c r="C6" s="743"/>
      <c r="D6" s="75"/>
      <c r="E6" s="744"/>
      <c r="F6" s="76" t="s">
        <v>148</v>
      </c>
      <c r="G6" s="97" t="s">
        <v>149</v>
      </c>
      <c r="H6" s="72">
        <f>H31+H32</f>
        <v>2.7080589509125863</v>
      </c>
      <c r="I6" s="41"/>
      <c r="J6" s="72">
        <f>I31+K31+I32+K32</f>
        <v>1.5893276989594614</v>
      </c>
      <c r="K6" s="72">
        <f>L31+L32</f>
        <v>0.18585213235293768</v>
      </c>
      <c r="L6" s="72">
        <f>+M31+M32</f>
        <v>0</v>
      </c>
      <c r="M6" s="72">
        <f t="shared" si="0"/>
        <v>0.93287911960018732</v>
      </c>
      <c r="N6" s="72"/>
      <c r="O6" s="72">
        <f t="shared" si="1"/>
        <v>2.7080589509125863</v>
      </c>
      <c r="P6" s="72">
        <f t="shared" si="2"/>
        <v>0.93287911960018732</v>
      </c>
      <c r="Q6" s="73"/>
      <c r="R6" s="73"/>
      <c r="S6" s="73"/>
      <c r="T6" s="74"/>
      <c r="U6" s="74"/>
    </row>
    <row r="7" spans="1:21" ht="15.75" thickBot="1">
      <c r="A7" t="str">
        <f>[1]Shock_data!A147</f>
        <v>Q_MTEP_EP_2301_2</v>
      </c>
      <c r="B7" s="64"/>
      <c r="C7" s="743"/>
      <c r="D7" s="75"/>
      <c r="E7" s="744"/>
      <c r="F7" s="76" t="s">
        <v>150</v>
      </c>
      <c r="G7" s="97" t="s">
        <v>40</v>
      </c>
      <c r="H7" s="72">
        <f>'FLUX 2035'!G18</f>
        <v>1.3912541503906251</v>
      </c>
      <c r="I7" s="41"/>
      <c r="J7" s="72">
        <f>I25</f>
        <v>0.91654741992187505</v>
      </c>
      <c r="K7" s="72">
        <f>L25</f>
        <v>7.8861887469292846E-2</v>
      </c>
      <c r="L7" s="72">
        <v>0</v>
      </c>
      <c r="M7" s="72">
        <f t="shared" si="0"/>
        <v>0.39584484299945716</v>
      </c>
      <c r="N7" s="72"/>
      <c r="O7" s="72">
        <f t="shared" si="1"/>
        <v>1.3912541503906251</v>
      </c>
      <c r="P7" s="72">
        <f t="shared" si="2"/>
        <v>0.39584484299945716</v>
      </c>
      <c r="Q7" s="73"/>
      <c r="R7" s="79"/>
      <c r="S7" s="73"/>
      <c r="T7" s="74"/>
      <c r="U7" s="74"/>
    </row>
    <row r="8" spans="1:21" ht="15.75" thickBot="1">
      <c r="A8" t="str">
        <f>[1]Shock_data!A148</f>
        <v>Q_MTEP_2302_2</v>
      </c>
      <c r="B8" s="64"/>
      <c r="C8" s="743"/>
      <c r="D8" s="75"/>
      <c r="E8" s="744"/>
      <c r="F8" s="76" t="s">
        <v>151</v>
      </c>
      <c r="G8" s="97" t="s">
        <v>152</v>
      </c>
      <c r="H8" s="72">
        <f>H37</f>
        <v>7.498974921874999</v>
      </c>
      <c r="I8" s="41"/>
      <c r="J8" s="72">
        <f>I37+K37</f>
        <v>0</v>
      </c>
      <c r="K8" s="72">
        <f>L37</f>
        <v>1.2457866688344461</v>
      </c>
      <c r="L8" s="72">
        <f>-M37</f>
        <v>0</v>
      </c>
      <c r="M8" s="72">
        <f t="shared" si="0"/>
        <v>6.2531882530405527</v>
      </c>
      <c r="N8" s="72"/>
      <c r="O8" s="72">
        <f t="shared" si="1"/>
        <v>7.498974921874999</v>
      </c>
      <c r="P8" s="72">
        <f t="shared" si="2"/>
        <v>6.2531882530405527</v>
      </c>
      <c r="Q8" s="73"/>
      <c r="R8" s="73"/>
      <c r="S8" s="73"/>
      <c r="T8" s="74"/>
      <c r="U8" s="74"/>
    </row>
    <row r="9" spans="1:21" ht="15.75" thickBot="1">
      <c r="A9" t="str">
        <f>[1]Shock_data!A149</f>
        <v>Q_MTEP_2303_2</v>
      </c>
      <c r="B9" s="64"/>
      <c r="C9" s="743"/>
      <c r="D9" s="75" t="s">
        <v>153</v>
      </c>
      <c r="E9" s="744"/>
      <c r="F9" s="76" t="s">
        <v>154</v>
      </c>
      <c r="G9" s="97" t="s">
        <v>155</v>
      </c>
      <c r="H9" s="72">
        <f>H38</f>
        <v>3.7478238984374999</v>
      </c>
      <c r="I9" s="41"/>
      <c r="J9" s="72">
        <f>I38+K38</f>
        <v>0</v>
      </c>
      <c r="K9" s="72">
        <f>L38</f>
        <v>0.62261697077994416</v>
      </c>
      <c r="L9" s="72">
        <f t="shared" ref="L9" si="3">M38</f>
        <v>0</v>
      </c>
      <c r="M9" s="72">
        <f t="shared" si="0"/>
        <v>3.1252069276575556</v>
      </c>
      <c r="N9" s="72"/>
      <c r="O9" s="72">
        <f t="shared" si="1"/>
        <v>3.7478238984374999</v>
      </c>
      <c r="P9" s="72">
        <f t="shared" si="2"/>
        <v>3.1252069276575556</v>
      </c>
      <c r="Q9" s="73"/>
      <c r="R9" s="73"/>
      <c r="S9" s="73"/>
      <c r="T9" s="74"/>
      <c r="U9" s="74"/>
    </row>
    <row r="10" spans="1:21" ht="15.75" thickBot="1">
      <c r="A10" t="str">
        <f>[1]Shock_data!A150</f>
        <v>Q_MTEP_2304_2</v>
      </c>
      <c r="B10" s="64"/>
      <c r="C10" s="743"/>
      <c r="D10" s="75"/>
      <c r="E10" s="744"/>
      <c r="F10" s="76" t="s">
        <v>156</v>
      </c>
      <c r="G10" s="97" t="s">
        <v>157</v>
      </c>
      <c r="H10" s="72">
        <f>H35+H36</f>
        <v>6.4565953349609373</v>
      </c>
      <c r="I10" s="41"/>
      <c r="J10" s="72">
        <f>I35+K35+I36+K36</f>
        <v>0</v>
      </c>
      <c r="K10" s="72">
        <f>L35+L36</f>
        <v>1.0726186549696917</v>
      </c>
      <c r="L10" s="72">
        <f>M35+M36</f>
        <v>0</v>
      </c>
      <c r="M10" s="72">
        <f t="shared" si="0"/>
        <v>5.3839766799912461</v>
      </c>
      <c r="N10" s="72"/>
      <c r="O10" s="72">
        <f t="shared" si="1"/>
        <v>6.4565953349609373</v>
      </c>
      <c r="P10" s="72">
        <f t="shared" si="2"/>
        <v>5.3839766799912461</v>
      </c>
      <c r="Q10" s="73"/>
      <c r="R10" s="73"/>
      <c r="S10" s="73"/>
      <c r="T10" s="74"/>
      <c r="U10" s="74"/>
    </row>
    <row r="11" spans="1:21" ht="15.75" thickBot="1">
      <c r="A11" t="str">
        <f>[1]Shock_data!A151</f>
        <v>Q_MTEP_2305_2</v>
      </c>
      <c r="B11" s="64"/>
      <c r="C11" s="743"/>
      <c r="D11" s="75"/>
      <c r="E11" s="744"/>
      <c r="F11" s="76" t="s">
        <v>158</v>
      </c>
      <c r="G11" s="97" t="s">
        <v>159</v>
      </c>
      <c r="H11" s="72">
        <f>H40+H47+H54+H56+H59</f>
        <v>6.3523770344099795</v>
      </c>
      <c r="I11" s="41"/>
      <c r="J11" s="72">
        <f>+I40+I47+I54+I56+I59+K40+K47+K54+K56+K59</f>
        <v>3.9951907306990426</v>
      </c>
      <c r="K11" s="72">
        <f>L40+L47+L54+L56+L59</f>
        <v>0.39159369163325486</v>
      </c>
      <c r="L11" s="72">
        <f>M40+M47+M54+M56+M59</f>
        <v>0</v>
      </c>
      <c r="M11" s="72">
        <f t="shared" si="0"/>
        <v>1.9655926120776819</v>
      </c>
      <c r="N11" s="72"/>
      <c r="O11" s="72">
        <f t="shared" si="1"/>
        <v>6.3523770344099795</v>
      </c>
      <c r="P11" s="72">
        <f t="shared" si="2"/>
        <v>1.9655926120776819</v>
      </c>
      <c r="Q11" s="73"/>
      <c r="R11" s="73"/>
      <c r="S11" s="73"/>
      <c r="T11" s="74"/>
      <c r="U11" s="74"/>
    </row>
    <row r="12" spans="1:21" ht="15.75" thickBot="1">
      <c r="A12" t="str">
        <f>[1]Shock_data!A152</f>
        <v>Q_MTEP_2306_2</v>
      </c>
      <c r="B12" s="64"/>
      <c r="C12" s="743"/>
      <c r="D12" s="75"/>
      <c r="E12" s="744"/>
      <c r="F12" s="76" t="s">
        <v>160</v>
      </c>
      <c r="G12" s="97" t="s">
        <v>34</v>
      </c>
      <c r="H12" s="72">
        <f>H30</f>
        <v>17.134756647444586</v>
      </c>
      <c r="I12" s="41"/>
      <c r="J12" s="72">
        <f>I30+K30</f>
        <v>0.15184744351761426</v>
      </c>
      <c r="K12" s="72"/>
      <c r="L12" s="72">
        <f>M30</f>
        <v>0</v>
      </c>
      <c r="M12" s="72">
        <f t="shared" si="0"/>
        <v>16.982909203926972</v>
      </c>
      <c r="N12" s="72"/>
      <c r="O12" s="72">
        <f t="shared" si="1"/>
        <v>17.134756647444586</v>
      </c>
      <c r="P12" s="72">
        <f t="shared" si="2"/>
        <v>16.982909203926972</v>
      </c>
      <c r="Q12" s="73"/>
      <c r="R12" s="73"/>
      <c r="S12" s="73"/>
      <c r="T12" s="74"/>
      <c r="U12" s="74"/>
    </row>
    <row r="13" spans="1:21" ht="15.75" thickBot="1">
      <c r="A13" t="str">
        <f>[1]Shock_data!A153</f>
        <v>Q_MTEP_2307_2</v>
      </c>
      <c r="B13" s="64"/>
      <c r="C13" s="743"/>
      <c r="D13" s="77"/>
      <c r="E13" s="744"/>
      <c r="F13" s="78" t="s">
        <v>161</v>
      </c>
      <c r="G13" s="97" t="s">
        <v>89</v>
      </c>
      <c r="H13" s="72">
        <f>H43+H50</f>
        <v>16.910062755583041</v>
      </c>
      <c r="I13" s="41"/>
      <c r="J13" s="72">
        <f>I43+K43+I50+K50</f>
        <v>0.32781457146131365</v>
      </c>
      <c r="K13" s="72">
        <f>L43+L50</f>
        <v>0</v>
      </c>
      <c r="L13" s="72">
        <f>M43+M50</f>
        <v>0</v>
      </c>
      <c r="M13" s="72">
        <f t="shared" si="0"/>
        <v>16.582248184121728</v>
      </c>
      <c r="N13" s="72"/>
      <c r="O13" s="72">
        <f t="shared" si="1"/>
        <v>16.910062755583041</v>
      </c>
      <c r="P13" s="72">
        <f t="shared" si="2"/>
        <v>16.582248184121728</v>
      </c>
      <c r="Q13" s="73"/>
      <c r="R13" s="73"/>
      <c r="S13" s="73"/>
      <c r="T13" s="74"/>
      <c r="U13" s="74"/>
    </row>
    <row r="14" spans="1:21" ht="15.75" thickBot="1">
      <c r="A14" t="str">
        <f>[1]Shock_data!A154</f>
        <v>Q_MTEP_2308_2</v>
      </c>
      <c r="B14" s="64"/>
      <c r="C14" s="745">
        <v>24</v>
      </c>
      <c r="D14" s="71"/>
      <c r="E14" s="744" t="s">
        <v>162</v>
      </c>
      <c r="F14" s="80" t="s">
        <v>144</v>
      </c>
      <c r="G14" s="97" t="s">
        <v>47</v>
      </c>
      <c r="H14" s="72">
        <f>H45+H53</f>
        <v>0</v>
      </c>
      <c r="I14" s="72"/>
      <c r="J14" s="72">
        <f>I45+I53+I60+K45+K53+K60</f>
        <v>0</v>
      </c>
      <c r="K14" s="72">
        <f>L45+L53+L60</f>
        <v>0</v>
      </c>
      <c r="L14" s="72">
        <f>-M53</f>
        <v>0</v>
      </c>
      <c r="M14" s="72">
        <f t="shared" si="0"/>
        <v>0</v>
      </c>
      <c r="N14" s="72"/>
      <c r="O14" s="72">
        <f t="shared" si="1"/>
        <v>0</v>
      </c>
      <c r="P14" s="72">
        <f t="shared" si="2"/>
        <v>0</v>
      </c>
      <c r="Q14" s="73"/>
      <c r="R14" s="73"/>
      <c r="S14" s="73"/>
      <c r="T14" s="74"/>
      <c r="U14" s="74"/>
    </row>
    <row r="15" spans="1:21" ht="15.75" thickBot="1">
      <c r="A15" t="str">
        <f>[1]Shock_data!A155</f>
        <v>Q_MTEP_24_2</v>
      </c>
      <c r="B15" s="64"/>
      <c r="C15" s="745"/>
      <c r="D15" s="75"/>
      <c r="E15" s="744"/>
      <c r="F15" s="81" t="s">
        <v>163</v>
      </c>
      <c r="G15" s="97" t="s">
        <v>164</v>
      </c>
      <c r="H15" s="72">
        <f>H57</f>
        <v>0.72971592769660609</v>
      </c>
      <c r="I15" s="41"/>
      <c r="J15" s="72">
        <f>I57+K57</f>
        <v>0</v>
      </c>
      <c r="K15" s="72">
        <f>L57</f>
        <v>0</v>
      </c>
      <c r="L15" s="72">
        <f>M57</f>
        <v>0</v>
      </c>
      <c r="M15" s="72">
        <f t="shared" si="0"/>
        <v>0.72971592769660609</v>
      </c>
      <c r="N15" s="72"/>
      <c r="O15" s="72">
        <f t="shared" si="1"/>
        <v>0.72971592769660609</v>
      </c>
      <c r="P15" s="72">
        <f t="shared" si="2"/>
        <v>0.72971592769660609</v>
      </c>
      <c r="Q15" s="73"/>
      <c r="R15" s="73"/>
      <c r="S15" s="73"/>
      <c r="T15" s="74"/>
      <c r="U15" s="74"/>
    </row>
    <row r="16" spans="1:21" ht="30.75" thickBot="1">
      <c r="A16" t="str">
        <f>[1]Shock_data!A156</f>
        <v>Q_MTEP_2401_2</v>
      </c>
      <c r="B16" s="64"/>
      <c r="C16" s="745"/>
      <c r="D16" s="75" t="s">
        <v>165</v>
      </c>
      <c r="E16" s="744"/>
      <c r="F16" s="81" t="s">
        <v>166</v>
      </c>
      <c r="G16" s="97" t="s">
        <v>28</v>
      </c>
      <c r="H16" s="72">
        <f>H41</f>
        <v>0.1997019839016457</v>
      </c>
      <c r="J16" s="72">
        <f>I41+K41</f>
        <v>0</v>
      </c>
      <c r="K16" s="72">
        <f>L41</f>
        <v>0.17979928825077976</v>
      </c>
      <c r="L16" s="72">
        <f>M41</f>
        <v>0</v>
      </c>
      <c r="M16" s="72">
        <f t="shared" si="0"/>
        <v>1.9902695650865943E-2</v>
      </c>
      <c r="N16" s="72"/>
      <c r="O16" s="72">
        <f t="shared" si="1"/>
        <v>0.1997019839016457</v>
      </c>
      <c r="P16" s="72">
        <f t="shared" si="2"/>
        <v>1.9902695650865943E-2</v>
      </c>
      <c r="Q16" s="73"/>
      <c r="R16" s="73"/>
      <c r="S16" s="73"/>
      <c r="T16" s="74"/>
      <c r="U16" s="74"/>
    </row>
    <row r="17" spans="1:21" ht="15.75" thickBot="1">
      <c r="A17" t="str">
        <f>[1]Shock_data!A157</f>
        <v>Q_MTEP_2402_2</v>
      </c>
      <c r="B17" s="64"/>
      <c r="C17" s="745"/>
      <c r="D17" s="75"/>
      <c r="E17" s="744"/>
      <c r="F17" s="81" t="s">
        <v>167</v>
      </c>
      <c r="G17" s="97" t="s">
        <v>35</v>
      </c>
      <c r="H17" s="72">
        <f>H34</f>
        <v>0.69296349659968226</v>
      </c>
      <c r="I17" s="41"/>
      <c r="J17" s="41">
        <f>I34+K34</f>
        <v>0</v>
      </c>
      <c r="K17" s="72">
        <f>L34</f>
        <v>0</v>
      </c>
      <c r="L17" s="72">
        <f>M33</f>
        <v>0</v>
      </c>
      <c r="M17" s="72">
        <f t="shared" si="0"/>
        <v>0.69296349659968226</v>
      </c>
      <c r="N17" s="72"/>
      <c r="O17" s="72">
        <f t="shared" si="1"/>
        <v>0.69296349659968226</v>
      </c>
      <c r="P17" s="72">
        <f t="shared" si="2"/>
        <v>0.69296349659968226</v>
      </c>
      <c r="Q17" s="73"/>
      <c r="R17" s="73"/>
      <c r="S17" s="73"/>
      <c r="T17" s="74"/>
      <c r="U17" s="74"/>
    </row>
    <row r="18" spans="1:21" ht="15.75" thickBot="1">
      <c r="A18" t="str">
        <f>[1]Shock_data!A158</f>
        <v>Q_MTEP_2403_2</v>
      </c>
      <c r="B18" s="64"/>
      <c r="C18" s="745"/>
      <c r="D18" s="75"/>
      <c r="E18" s="744"/>
      <c r="F18" s="81" t="s">
        <v>168</v>
      </c>
      <c r="G18" s="97" t="s">
        <v>159</v>
      </c>
      <c r="H18" s="72">
        <f>H48+H58</f>
        <v>2.57</v>
      </c>
      <c r="I18" s="41"/>
      <c r="J18" s="72">
        <f>I48+I58+K48+K58</f>
        <v>0</v>
      </c>
      <c r="K18" s="72">
        <f>L48+L58</f>
        <v>0</v>
      </c>
      <c r="L18" s="72">
        <f>M48</f>
        <v>0</v>
      </c>
      <c r="M18" s="72">
        <f t="shared" si="0"/>
        <v>2.57</v>
      </c>
      <c r="N18" s="72"/>
      <c r="O18" s="72">
        <f t="shared" si="1"/>
        <v>2.57</v>
      </c>
      <c r="P18" s="72">
        <f t="shared" si="2"/>
        <v>2.57</v>
      </c>
      <c r="Q18" s="73"/>
      <c r="R18" s="73"/>
      <c r="S18" s="73"/>
      <c r="T18" s="74"/>
      <c r="U18" s="74"/>
    </row>
    <row r="19" spans="1:21" ht="15.75" thickBot="1">
      <c r="A19" t="str">
        <f>[1]Shock_data!A159</f>
        <v>Q_MTEP_2404_2</v>
      </c>
      <c r="B19" s="64"/>
      <c r="C19" s="745"/>
      <c r="D19" s="75"/>
      <c r="E19" s="744"/>
      <c r="F19" s="81" t="s">
        <v>169</v>
      </c>
      <c r="G19" s="93" t="s">
        <v>40</v>
      </c>
      <c r="H19" s="72">
        <f>'FLUX 2035'!G44</f>
        <v>4.4635546527266818</v>
      </c>
      <c r="I19" s="41"/>
      <c r="J19" s="41">
        <f>K25</f>
        <v>0</v>
      </c>
      <c r="K19" s="72">
        <v>0</v>
      </c>
      <c r="L19" s="72">
        <f>M25</f>
        <v>0</v>
      </c>
      <c r="M19" s="72">
        <f t="shared" si="0"/>
        <v>4.4635546527266818</v>
      </c>
      <c r="N19" s="72"/>
      <c r="O19" s="72">
        <f t="shared" si="1"/>
        <v>4.4635546527266818</v>
      </c>
      <c r="P19" s="72">
        <f t="shared" si="2"/>
        <v>4.4635546527266818</v>
      </c>
      <c r="Q19" s="73"/>
      <c r="R19" s="79"/>
      <c r="S19" s="73"/>
      <c r="T19" s="74"/>
      <c r="U19" s="74"/>
    </row>
    <row r="20" spans="1:21" ht="15.75" thickBot="1">
      <c r="B20" s="64"/>
      <c r="C20" s="745"/>
      <c r="D20" s="75"/>
      <c r="E20" s="744"/>
      <c r="F20" s="81"/>
      <c r="H20" s="74">
        <f>SUM(H2:H3,H4:H11,H12:H19)</f>
        <v>195.70956321221416</v>
      </c>
      <c r="I20" s="74">
        <f t="shared" ref="I20:O20" si="4">SUM(I2:I3,I4:I11,I12:I19)</f>
        <v>0</v>
      </c>
      <c r="J20" s="74">
        <f t="shared" si="4"/>
        <v>55.297001389613527</v>
      </c>
      <c r="K20" s="74">
        <f>SUM(K2:K19)</f>
        <v>7.4328160885977965</v>
      </c>
      <c r="L20" s="74">
        <f>SUM(L2:L3,L4:L11,L12:L19)</f>
        <v>0</v>
      </c>
      <c r="M20" s="74">
        <f t="shared" si="4"/>
        <v>132.97974573400282</v>
      </c>
      <c r="N20" s="74">
        <f t="shared" si="4"/>
        <v>0</v>
      </c>
      <c r="O20" s="74">
        <f t="shared" si="4"/>
        <v>195.70956321221416</v>
      </c>
      <c r="P20" s="82">
        <f>M20</f>
        <v>132.97974573400282</v>
      </c>
      <c r="R20" s="73"/>
      <c r="T20" s="74"/>
      <c r="U20" s="74"/>
    </row>
    <row r="21" spans="1:21" ht="15.75" thickBot="1">
      <c r="A21" t="str">
        <f>[1]Shock_data!A160</f>
        <v>Q_MTEP_2405_2</v>
      </c>
      <c r="B21" s="64"/>
      <c r="C21" s="745"/>
      <c r="D21" s="75"/>
      <c r="E21" s="744"/>
      <c r="F21" s="83" t="s">
        <v>161</v>
      </c>
      <c r="H21" s="73">
        <f>H20-H63</f>
        <v>0</v>
      </c>
      <c r="I21" s="84"/>
      <c r="J21" s="73">
        <f>J20-I63-K63</f>
        <v>0</v>
      </c>
      <c r="K21" s="73">
        <f>K20-L63</f>
        <v>0</v>
      </c>
      <c r="L21" s="85"/>
      <c r="M21" s="73">
        <f>M20-N63</f>
        <v>0</v>
      </c>
      <c r="N21" s="73"/>
      <c r="T21" s="74"/>
      <c r="U21" s="74"/>
    </row>
    <row r="22" spans="1:21" ht="15.75" thickBot="1">
      <c r="A22" t="str">
        <f>[1]Shock_data!A161</f>
        <v>Q_MTEP_2406_2</v>
      </c>
      <c r="B22" s="64"/>
      <c r="C22" s="86">
        <v>21</v>
      </c>
      <c r="D22" s="86" t="s">
        <v>170</v>
      </c>
      <c r="E22" s="87"/>
      <c r="F22" s="86" t="s">
        <v>171</v>
      </c>
      <c r="G22" t="s">
        <v>638</v>
      </c>
      <c r="H22" s="74">
        <f>H20-O63-('FLUX 2035'!AH39-'FLUX 2035'!AA40)*1.2</f>
        <v>172.83072583696429</v>
      </c>
      <c r="M22" s="74"/>
      <c r="N22" s="74"/>
      <c r="T22" s="74"/>
      <c r="U22" s="74"/>
    </row>
    <row r="23" spans="1:21" ht="15.75" thickBot="1">
      <c r="B23" s="64"/>
      <c r="C23" s="88"/>
      <c r="D23" s="88" t="s">
        <v>172</v>
      </c>
      <c r="E23" s="89"/>
      <c r="F23" s="90"/>
      <c r="G23" t="s">
        <v>512</v>
      </c>
      <c r="T23" s="74"/>
      <c r="U23" s="74"/>
    </row>
    <row r="24" spans="1:21" ht="38.25">
      <c r="G24" s="72"/>
      <c r="H24" s="68" t="s">
        <v>173</v>
      </c>
      <c r="I24" s="68" t="s">
        <v>174</v>
      </c>
      <c r="J24" s="68" t="s">
        <v>175</v>
      </c>
      <c r="K24" s="68" t="s">
        <v>176</v>
      </c>
      <c r="L24" s="68" t="s">
        <v>177</v>
      </c>
      <c r="M24" s="91" t="s">
        <v>139</v>
      </c>
      <c r="N24" s="68" t="s">
        <v>178</v>
      </c>
      <c r="O24" s="68" t="s">
        <v>179</v>
      </c>
      <c r="P24" s="68" t="s">
        <v>180</v>
      </c>
      <c r="Q24" s="92"/>
      <c r="R24" s="92"/>
      <c r="T24" s="74"/>
      <c r="U24" s="74"/>
    </row>
    <row r="25" spans="1:21" ht="14.25">
      <c r="G25" s="93" t="s">
        <v>181</v>
      </c>
      <c r="H25" s="96">
        <f>'FLUX 2035'!G44+'FLUX 2035'!G18</f>
        <v>5.8548088031173071</v>
      </c>
      <c r="I25" s="96">
        <f>'FLUX 2035'!I18</f>
        <v>0.91654741992187505</v>
      </c>
      <c r="J25" s="72">
        <f>H25-I25</f>
        <v>4.9382613831954316</v>
      </c>
      <c r="K25" s="41"/>
      <c r="L25" s="109">
        <f>('FLUX 2035'!M13+'FLUX 2035'!O12)*'FLUX 2035'!K18/'FLUX 2035'!L7</f>
        <v>7.8861887469292846E-2</v>
      </c>
      <c r="M25" s="41"/>
      <c r="N25" s="72">
        <f>J25-K25-L25-M25</f>
        <v>4.8593994957261391</v>
      </c>
      <c r="O25" s="94"/>
      <c r="P25" s="72">
        <f t="shared" ref="P25:P62" si="5">N25-O25</f>
        <v>4.8593994957261391</v>
      </c>
      <c r="Q25" s="82"/>
      <c r="R25" s="82"/>
      <c r="T25" s="74"/>
      <c r="U25" s="74"/>
    </row>
    <row r="26" spans="1:21" ht="14.25">
      <c r="G26" s="95" t="s">
        <v>182</v>
      </c>
      <c r="H26" s="96">
        <f>SUM(H27:H28)</f>
        <v>48.473981532351658</v>
      </c>
      <c r="I26" s="96">
        <f>SUM(I27:I28)</f>
        <v>3.6388556900637008</v>
      </c>
      <c r="J26" s="72">
        <f t="shared" ref="J26:J62" si="6">H26-I26</f>
        <v>44.835125842287958</v>
      </c>
      <c r="K26" s="41"/>
      <c r="L26" s="109">
        <f>SUM(L27:L28)</f>
        <v>0</v>
      </c>
      <c r="M26" s="41"/>
      <c r="N26" s="72">
        <f t="shared" ref="N26:N62" si="7">J26-K26-L26-M26</f>
        <v>44.835125842287958</v>
      </c>
      <c r="O26" s="96">
        <f>O27</f>
        <v>13.47979378973306</v>
      </c>
      <c r="P26" s="72">
        <f t="shared" si="5"/>
        <v>31.3553320525549</v>
      </c>
      <c r="Q26" s="82"/>
      <c r="R26" s="82"/>
      <c r="T26" s="74"/>
      <c r="U26" s="74"/>
    </row>
    <row r="27" spans="1:21" ht="14.25">
      <c r="G27" s="97" t="s">
        <v>183</v>
      </c>
      <c r="H27" s="109">
        <f>'FLUX 2035'!G40+'FLUX 2035'!G41</f>
        <v>48.431098059909033</v>
      </c>
      <c r="I27" s="96">
        <f>'FLUX 2035'!I41+'FLUX 2035'!I40+'FLUX 2035'!I17</f>
        <v>3.6131722176210737</v>
      </c>
      <c r="J27" s="72">
        <f t="shared" si="6"/>
        <v>44.817925842287963</v>
      </c>
      <c r="K27" s="41"/>
      <c r="L27" s="109">
        <v>0</v>
      </c>
      <c r="M27" s="41"/>
      <c r="N27" s="72">
        <f t="shared" si="7"/>
        <v>44.817925842287963</v>
      </c>
      <c r="O27" s="368">
        <f>'FLUX 2035'!K41</f>
        <v>13.47979378973306</v>
      </c>
      <c r="P27" s="72">
        <f t="shared" si="5"/>
        <v>31.338132052554904</v>
      </c>
      <c r="Q27" s="82"/>
      <c r="R27" s="82"/>
      <c r="T27" s="74"/>
      <c r="U27" s="74"/>
    </row>
    <row r="28" spans="1:21" ht="14.25">
      <c r="G28" s="97" t="s">
        <v>184</v>
      </c>
      <c r="H28" s="109">
        <f>'FLUX 2035'!G17</f>
        <v>4.2883472442626955E-2</v>
      </c>
      <c r="I28" s="109">
        <f>'FLUX 2035'!I17</f>
        <v>2.5683472442626955E-2</v>
      </c>
      <c r="J28" s="72">
        <f t="shared" si="6"/>
        <v>1.72E-2</v>
      </c>
      <c r="K28" s="99"/>
      <c r="L28" s="96">
        <v>0</v>
      </c>
      <c r="M28" s="41"/>
      <c r="N28" s="72">
        <f t="shared" si="7"/>
        <v>1.72E-2</v>
      </c>
      <c r="O28" s="94"/>
      <c r="P28" s="72">
        <f t="shared" si="5"/>
        <v>1.72E-2</v>
      </c>
      <c r="Q28" s="82"/>
      <c r="R28" s="82"/>
      <c r="T28" s="74"/>
      <c r="U28" s="74"/>
    </row>
    <row r="29" spans="1:21" ht="15">
      <c r="G29" s="41" t="s">
        <v>185</v>
      </c>
      <c r="H29" s="96">
        <f>SUM(H30:H32)</f>
        <v>19.842815598357173</v>
      </c>
      <c r="I29" s="96">
        <f>SUM(I30:I32)</f>
        <v>1.7411751424770756</v>
      </c>
      <c r="J29" s="72">
        <f t="shared" si="6"/>
        <v>18.101640455880098</v>
      </c>
      <c r="K29" s="72"/>
      <c r="L29" s="369">
        <f>L30+L31+L32</f>
        <v>0.18585213235293768</v>
      </c>
      <c r="M29" s="41"/>
      <c r="N29" s="72">
        <f>J29-K29-L29-M29</f>
        <v>17.91578832352716</v>
      </c>
      <c r="O29" s="96">
        <f>O30</f>
        <v>1.6935393320234915</v>
      </c>
      <c r="P29" s="72">
        <f t="shared" si="5"/>
        <v>16.222248991503669</v>
      </c>
      <c r="Q29" s="82"/>
      <c r="R29" s="82"/>
      <c r="T29" s="74"/>
      <c r="U29" s="74"/>
    </row>
    <row r="30" spans="1:21" ht="14.25">
      <c r="G30" s="100" t="s">
        <v>186</v>
      </c>
      <c r="H30" s="109">
        <f>'FLUX 2035'!G24-'FLUX 2035'!G19+'FLUX 2035'!G43</f>
        <v>17.134756647444586</v>
      </c>
      <c r="I30" s="109">
        <f>'FLUX 2035'!I32</f>
        <v>0.15184744351761426</v>
      </c>
      <c r="J30" s="72">
        <f t="shared" si="6"/>
        <v>16.982909203926972</v>
      </c>
      <c r="K30" s="72"/>
      <c r="L30" s="96">
        <f>'FLUX 2035'!O21*'FLUX 2035'!K24/'FLUX 2035'!L21</f>
        <v>0</v>
      </c>
      <c r="M30" s="72"/>
      <c r="N30" s="72">
        <f>J30-K30-L30-M30</f>
        <v>16.982909203926972</v>
      </c>
      <c r="O30" s="368">
        <f>'FLUX 2035'!K43</f>
        <v>1.6935393320234915</v>
      </c>
      <c r="P30" s="72">
        <f>N30-O30</f>
        <v>15.289369871903482</v>
      </c>
      <c r="Q30" s="82"/>
      <c r="R30" s="82"/>
      <c r="T30" s="74"/>
      <c r="U30" s="74"/>
    </row>
    <row r="31" spans="1:21" ht="14.25">
      <c r="G31" s="100" t="s">
        <v>187</v>
      </c>
      <c r="H31" s="109">
        <f>'FLUX 2035'!G19</f>
        <v>2.7080589509125863</v>
      </c>
      <c r="I31" s="109">
        <f>'FLUX 2035'!I19</f>
        <v>1.5893276989594614</v>
      </c>
      <c r="J31" s="72">
        <f t="shared" si="6"/>
        <v>1.1187312519531249</v>
      </c>
      <c r="K31" s="99"/>
      <c r="L31" s="109">
        <f>('FLUX 2035'!M13+'FLUX 2035'!O12)*'FLUX 2035'!K19/'FLUX 2035'!L7</f>
        <v>0.18585213235293768</v>
      </c>
      <c r="M31" s="41"/>
      <c r="N31" s="72">
        <f>J31-K31-L31-M31</f>
        <v>0.93287911960018732</v>
      </c>
      <c r="O31" s="94"/>
      <c r="P31" s="72">
        <f t="shared" si="5"/>
        <v>0.93287911960018732</v>
      </c>
      <c r="Q31" s="82"/>
      <c r="R31" s="82"/>
      <c r="T31" s="74"/>
      <c r="U31" s="74"/>
    </row>
    <row r="32" spans="1:21" ht="14.25">
      <c r="G32" s="100" t="s">
        <v>188</v>
      </c>
      <c r="H32" s="109">
        <v>0</v>
      </c>
      <c r="I32" s="109">
        <f>0</f>
        <v>0</v>
      </c>
      <c r="J32" s="72">
        <f t="shared" si="6"/>
        <v>0</v>
      </c>
      <c r="K32" s="99"/>
      <c r="L32" s="109">
        <v>0</v>
      </c>
      <c r="M32" s="41"/>
      <c r="N32" s="72">
        <f t="shared" si="7"/>
        <v>0</v>
      </c>
      <c r="O32" s="94"/>
      <c r="P32" s="72">
        <f t="shared" si="5"/>
        <v>0</v>
      </c>
      <c r="Q32" s="82"/>
      <c r="R32" s="82"/>
      <c r="T32" s="74"/>
      <c r="U32" s="74"/>
    </row>
    <row r="33" spans="7:21" ht="14.25">
      <c r="G33" s="41" t="s">
        <v>189</v>
      </c>
      <c r="H33" s="96">
        <f>'FLUX 2035'!G10</f>
        <v>64.960000000000008</v>
      </c>
      <c r="I33" s="96">
        <f>'FLUX 2035'!I10</f>
        <v>44.677417834990521</v>
      </c>
      <c r="J33" s="72">
        <f t="shared" si="6"/>
        <v>20.282582165009487</v>
      </c>
      <c r="K33" s="41"/>
      <c r="L33" s="109">
        <f>('FLUX 2035'!M13+'FLUX 2035'!O12)*'FLUX 2035'!K10/SUM('FLUX 2035'!K7:K19)</f>
        <v>3.6556867943074485</v>
      </c>
      <c r="M33" s="41"/>
      <c r="N33" s="72">
        <f t="shared" si="7"/>
        <v>16.626895370702037</v>
      </c>
      <c r="O33" s="94"/>
      <c r="P33" s="72">
        <f t="shared" si="5"/>
        <v>16.626895370702037</v>
      </c>
      <c r="Q33" s="82"/>
      <c r="R33" s="82"/>
      <c r="T33" s="74"/>
      <c r="U33" s="74"/>
    </row>
    <row r="34" spans="7:21" ht="14.25">
      <c r="G34" s="41" t="s">
        <v>190</v>
      </c>
      <c r="H34" s="96">
        <f>'FLUX 2035'!G36+'FLUX 2035'!G31</f>
        <v>0.69296349659968226</v>
      </c>
      <c r="I34" s="96">
        <f>'FLUX 2035'!I31</f>
        <v>0</v>
      </c>
      <c r="J34" s="72">
        <f t="shared" si="6"/>
        <v>0.69296349659968226</v>
      </c>
      <c r="K34" s="41"/>
      <c r="L34" s="109">
        <v>0</v>
      </c>
      <c r="M34" s="41"/>
      <c r="N34" s="72">
        <f t="shared" si="7"/>
        <v>0.69296349659968226</v>
      </c>
      <c r="O34" s="94"/>
      <c r="P34" s="72">
        <f t="shared" si="5"/>
        <v>0.69296349659968226</v>
      </c>
      <c r="Q34" s="82"/>
      <c r="R34" s="82"/>
      <c r="T34" s="74"/>
      <c r="U34" s="74"/>
    </row>
    <row r="35" spans="7:21" ht="14.25">
      <c r="G35" s="41" t="s">
        <v>191</v>
      </c>
      <c r="H35" s="96">
        <f>'FLUX 2035'!G8</f>
        <v>5.8722378906249997</v>
      </c>
      <c r="I35" s="96">
        <f>'FLUX 2035'!I8</f>
        <v>0</v>
      </c>
      <c r="J35" s="72">
        <f t="shared" si="6"/>
        <v>5.8722378906249997</v>
      </c>
      <c r="K35" s="94"/>
      <c r="L35" s="96">
        <f>('FLUX 2035'!M13+'FLUX 2035'!O12)*('FLUX 2035'!K8)/SUM('FLUX 2035'!K7:K19)</f>
        <v>0.97554075811417629</v>
      </c>
      <c r="M35" s="41"/>
      <c r="N35" s="72">
        <f t="shared" si="7"/>
        <v>4.8966971325108233</v>
      </c>
      <c r="O35" s="94"/>
      <c r="P35" s="72">
        <f t="shared" si="5"/>
        <v>4.8966971325108233</v>
      </c>
      <c r="Q35" s="82"/>
      <c r="R35" s="82"/>
      <c r="T35" s="74"/>
      <c r="U35" s="74"/>
    </row>
    <row r="36" spans="7:21" ht="14.25">
      <c r="G36" s="41" t="s">
        <v>192</v>
      </c>
      <c r="H36" s="96">
        <f>'FLUX 2035'!G15</f>
        <v>0.5843574443359375</v>
      </c>
      <c r="I36" s="96">
        <f>'FLUX 2035'!I15</f>
        <v>0</v>
      </c>
      <c r="J36" s="72">
        <f t="shared" si="6"/>
        <v>0.5843574443359375</v>
      </c>
      <c r="K36" s="41"/>
      <c r="L36" s="96">
        <f>('FLUX 2035'!M13+'FLUX 2035'!O12)*'FLUX 2035'!K15/SUM('FLUX 2035'!K7:K19)</f>
        <v>9.7077896855515419E-2</v>
      </c>
      <c r="M36" s="41"/>
      <c r="N36" s="72">
        <f t="shared" si="7"/>
        <v>0.48727954748042207</v>
      </c>
      <c r="O36" s="94"/>
      <c r="P36" s="72">
        <f t="shared" si="5"/>
        <v>0.48727954748042207</v>
      </c>
      <c r="Q36" s="82"/>
      <c r="R36" s="82"/>
      <c r="T36" s="74"/>
      <c r="U36" s="74"/>
    </row>
    <row r="37" spans="7:21" ht="14.25">
      <c r="G37" s="41" t="s">
        <v>193</v>
      </c>
      <c r="H37" s="96">
        <f>'FLUX 2035'!G7</f>
        <v>7.498974921874999</v>
      </c>
      <c r="I37" s="96">
        <f>'FLUX 2035'!I7</f>
        <v>0</v>
      </c>
      <c r="J37" s="72">
        <f t="shared" si="6"/>
        <v>7.498974921874999</v>
      </c>
      <c r="K37" s="102">
        <f>'FLUX 2035'!I23</f>
        <v>0</v>
      </c>
      <c r="L37" s="96">
        <f>('FLUX 2035'!M13+'FLUX 2035'!O12)*'FLUX 2035'!K7/SUM('FLUX 2035'!K7:K19)</f>
        <v>1.2457866688344461</v>
      </c>
      <c r="M37" s="102">
        <f>'FLUX 2035'!K23</f>
        <v>0</v>
      </c>
      <c r="N37" s="72">
        <f t="shared" si="7"/>
        <v>6.2531882530405527</v>
      </c>
      <c r="O37" s="94"/>
      <c r="P37" s="72">
        <f t="shared" si="5"/>
        <v>6.2531882530405527</v>
      </c>
      <c r="Q37" s="82"/>
      <c r="R37" s="82"/>
      <c r="T37" s="74"/>
      <c r="U37" s="74"/>
    </row>
    <row r="38" spans="7:21" ht="14.25">
      <c r="G38" s="41" t="s">
        <v>194</v>
      </c>
      <c r="H38" s="96">
        <f>'FLUX 2035'!G9</f>
        <v>3.7478238984374999</v>
      </c>
      <c r="I38" s="96">
        <f>'FLUX 2035'!I9</f>
        <v>0</v>
      </c>
      <c r="J38" s="72">
        <f t="shared" si="6"/>
        <v>3.7478238984374999</v>
      </c>
      <c r="K38" s="41"/>
      <c r="L38" s="96">
        <f>('FLUX 2035'!M13+'FLUX 2035'!O12)*'FLUX 2035'!K9/SUM('FLUX 2035'!K7:K19)</f>
        <v>0.62261697077994416</v>
      </c>
      <c r="M38" s="41"/>
      <c r="N38" s="72">
        <f t="shared" si="7"/>
        <v>3.1252069276575556</v>
      </c>
      <c r="O38" s="94"/>
      <c r="P38" s="72">
        <f t="shared" si="5"/>
        <v>3.1252069276575556</v>
      </c>
      <c r="Q38" s="82"/>
      <c r="R38" s="82"/>
      <c r="T38" s="74"/>
      <c r="U38" s="74"/>
    </row>
    <row r="39" spans="7:21" ht="14.25">
      <c r="G39" s="41" t="s">
        <v>195</v>
      </c>
      <c r="H39" s="96">
        <f>SUM(H40:H41)</f>
        <v>0.1997019839016457</v>
      </c>
      <c r="I39" s="96">
        <f>SUM(I40:I41)</f>
        <v>0</v>
      </c>
      <c r="J39" s="72">
        <f t="shared" si="6"/>
        <v>0.1997019839016457</v>
      </c>
      <c r="K39" s="72"/>
      <c r="L39" s="109">
        <f>SUM(L40:L41)</f>
        <v>0.17979928825077976</v>
      </c>
      <c r="M39" s="41"/>
      <c r="N39" s="72">
        <f t="shared" si="7"/>
        <v>1.9902695650865943E-2</v>
      </c>
      <c r="O39" s="94"/>
      <c r="P39" s="72">
        <f t="shared" si="5"/>
        <v>1.9902695650865943E-2</v>
      </c>
      <c r="Q39" s="82"/>
      <c r="R39" s="82"/>
      <c r="T39" s="74"/>
      <c r="U39" s="74"/>
    </row>
    <row r="40" spans="7:21" ht="14.25">
      <c r="G40" s="100" t="s">
        <v>196</v>
      </c>
      <c r="H40" s="109">
        <f>'FLUX 2035'!G14</f>
        <v>0</v>
      </c>
      <c r="I40" s="109">
        <f>'FLUX 2035'!I14</f>
        <v>0</v>
      </c>
      <c r="J40" s="72">
        <f t="shared" si="6"/>
        <v>0</v>
      </c>
      <c r="K40" s="99"/>
      <c r="L40" s="96">
        <f>('FLUX 2035'!M13+'FLUX 2035'!O12)*'FLUX 2035'!K14/'FLUX 2035'!L7</f>
        <v>0</v>
      </c>
      <c r="M40" s="41"/>
      <c r="N40" s="72">
        <f t="shared" si="7"/>
        <v>0</v>
      </c>
      <c r="O40" s="94"/>
      <c r="P40" s="72">
        <f t="shared" si="5"/>
        <v>0</v>
      </c>
      <c r="Q40" s="82"/>
      <c r="R40" s="82"/>
      <c r="T40" s="74"/>
      <c r="U40" s="74"/>
    </row>
    <row r="41" spans="7:21" ht="14.25">
      <c r="G41" s="100" t="s">
        <v>197</v>
      </c>
      <c r="H41" s="109">
        <f>'FLUX 2035'!G30+'FLUX 2035'!G37</f>
        <v>0.1997019839016457</v>
      </c>
      <c r="I41" s="109">
        <f>'FLUX 2035'!I30+'FLUX 2035'!I37+'FLUX 2035'!I38</f>
        <v>0</v>
      </c>
      <c r="J41" s="72">
        <f t="shared" si="6"/>
        <v>0.1997019839016457</v>
      </c>
      <c r="K41" s="99"/>
      <c r="L41" s="96">
        <f>('FLUX 2035'!M13+'FLUX 2035'!O26)*'FLUX 2035'!H53/'FLUX 2035'!L26</f>
        <v>0.17979928825077976</v>
      </c>
      <c r="M41" s="41"/>
      <c r="N41" s="72">
        <f t="shared" si="7"/>
        <v>1.9902695650865943E-2</v>
      </c>
      <c r="O41" s="94"/>
      <c r="P41" s="72">
        <f t="shared" si="5"/>
        <v>1.9902695650865943E-2</v>
      </c>
      <c r="Q41" s="82"/>
      <c r="R41" s="82"/>
      <c r="T41" s="74"/>
      <c r="U41" s="74"/>
    </row>
    <row r="42" spans="7:21" ht="14.25">
      <c r="G42" s="41" t="s">
        <v>198</v>
      </c>
      <c r="H42" s="96">
        <f>SUM(H43:H44,H47:H48)</f>
        <v>21.158273713569407</v>
      </c>
      <c r="I42" s="96">
        <f>SUM(I43:I44,I47:I48)</f>
        <v>0.32781457146131365</v>
      </c>
      <c r="J42" s="72">
        <f t="shared" si="6"/>
        <v>20.830459142108094</v>
      </c>
      <c r="K42" s="72"/>
      <c r="L42" s="109">
        <f>L43+L44+L47+L48</f>
        <v>0</v>
      </c>
      <c r="M42" s="41"/>
      <c r="N42" s="72">
        <f t="shared" si="7"/>
        <v>20.830459142108094</v>
      </c>
      <c r="O42" s="96"/>
      <c r="P42" s="72">
        <f t="shared" si="5"/>
        <v>20.830459142108094</v>
      </c>
      <c r="Q42" s="82"/>
      <c r="R42" s="82"/>
      <c r="T42" s="74"/>
      <c r="U42" s="74"/>
    </row>
    <row r="43" spans="7:21" ht="14.25">
      <c r="G43" s="100" t="s">
        <v>198</v>
      </c>
      <c r="H43" s="109">
        <f>'FLUX 2035'!G35+'FLUX 2035'!G29-H44</f>
        <v>16.910062755583041</v>
      </c>
      <c r="I43" s="109">
        <f>'FLUX 2035'!I29+'FLUX 2035'!I35</f>
        <v>0.32781457146131365</v>
      </c>
      <c r="J43" s="72">
        <f t="shared" si="6"/>
        <v>16.582248184121728</v>
      </c>
      <c r="K43" s="41"/>
      <c r="L43" s="109">
        <f>'FLUX 2035'!O26*'FLUX 2035'!H52/'FLUX 2035'!L26</f>
        <v>0</v>
      </c>
      <c r="M43" s="41"/>
      <c r="N43" s="72">
        <f t="shared" si="7"/>
        <v>16.582248184121728</v>
      </c>
      <c r="O43" s="98"/>
      <c r="P43" s="72">
        <f t="shared" si="5"/>
        <v>16.582248184121728</v>
      </c>
      <c r="Q43" s="82"/>
      <c r="R43" s="82"/>
      <c r="T43" s="74"/>
      <c r="U43" s="74"/>
    </row>
    <row r="44" spans="7:21" ht="14.25">
      <c r="G44" s="100" t="s">
        <v>199</v>
      </c>
      <c r="H44" s="109">
        <f>'FLUX 2035'!AO35</f>
        <v>4.2482109579863652</v>
      </c>
      <c r="I44" s="109">
        <f>'FLUX 2035'!I22</f>
        <v>0</v>
      </c>
      <c r="J44" s="72">
        <f t="shared" si="6"/>
        <v>4.2482109579863652</v>
      </c>
      <c r="K44" s="41"/>
      <c r="L44" s="96">
        <f>L45+L46</f>
        <v>0</v>
      </c>
      <c r="M44" s="41"/>
      <c r="N44" s="72">
        <f t="shared" si="7"/>
        <v>4.2482109579863652</v>
      </c>
      <c r="O44" s="98"/>
      <c r="P44" s="72">
        <f t="shared" si="5"/>
        <v>4.2482109579863652</v>
      </c>
      <c r="Q44" s="82"/>
      <c r="R44" s="82"/>
      <c r="T44" s="74"/>
      <c r="U44" s="74"/>
    </row>
    <row r="45" spans="7:21" ht="14.25">
      <c r="G45" s="101" t="s">
        <v>200</v>
      </c>
      <c r="H45" s="109">
        <f>H44-H46</f>
        <v>0</v>
      </c>
      <c r="I45" s="109">
        <f t="shared" ref="I45" si="8">I44-I46</f>
        <v>0</v>
      </c>
      <c r="J45" s="72">
        <f t="shared" si="6"/>
        <v>0</v>
      </c>
      <c r="K45" s="41"/>
      <c r="L45" s="96">
        <f>'FLUX 2035'!O21*'FLUX 2035'!K22/'FLUX 2035'!L21</f>
        <v>0</v>
      </c>
      <c r="M45" s="41"/>
      <c r="N45" s="72">
        <f t="shared" si="7"/>
        <v>0</v>
      </c>
      <c r="O45" s="98"/>
      <c r="P45" s="72">
        <f t="shared" si="5"/>
        <v>0</v>
      </c>
      <c r="Q45" s="82"/>
      <c r="R45" s="82"/>
      <c r="T45" s="74"/>
      <c r="U45" s="74"/>
    </row>
    <row r="46" spans="7:21" ht="14.25">
      <c r="G46" s="101" t="s">
        <v>201</v>
      </c>
      <c r="H46" s="109">
        <f>'FLUX 2035'!AO35</f>
        <v>4.2482109579863652</v>
      </c>
      <c r="I46" s="109">
        <v>0</v>
      </c>
      <c r="J46" s="72">
        <f t="shared" si="6"/>
        <v>4.2482109579863652</v>
      </c>
      <c r="K46" s="41"/>
      <c r="L46" s="96">
        <v>0</v>
      </c>
      <c r="M46" s="41"/>
      <c r="N46" s="72">
        <f t="shared" si="7"/>
        <v>4.2482109579863652</v>
      </c>
      <c r="O46" s="94"/>
      <c r="P46" s="72">
        <f t="shared" si="5"/>
        <v>4.2482109579863652</v>
      </c>
      <c r="Q46" s="82"/>
      <c r="R46" s="82"/>
      <c r="T46" s="74"/>
      <c r="U46" s="74"/>
    </row>
    <row r="47" spans="7:21" ht="14.25">
      <c r="G47" s="100" t="s">
        <v>202</v>
      </c>
      <c r="H47" s="109">
        <f>'FLUX 2035'!G13</f>
        <v>0</v>
      </c>
      <c r="I47" s="109">
        <f>'FLUX 2035'!I13</f>
        <v>0</v>
      </c>
      <c r="J47" s="72">
        <f t="shared" si="6"/>
        <v>0</v>
      </c>
      <c r="K47" s="99"/>
      <c r="L47" s="96">
        <f>('FLUX 2035'!O12+'FLUX 2035'!M13)*'FLUX 2035'!K13/'FLUX 2035'!L7+('FLUX 2035'!O12+'FLUX 2035'!M13)*('FLUX 2035'!K19*'FLUX 2035'!K22/'FLUX 2035'!L21)/'FLUX 2035'!L7</f>
        <v>0</v>
      </c>
      <c r="M47" s="41"/>
      <c r="N47" s="72">
        <f t="shared" si="7"/>
        <v>0</v>
      </c>
      <c r="O47" s="94"/>
      <c r="P47" s="72">
        <f t="shared" si="5"/>
        <v>0</v>
      </c>
      <c r="Q47" s="82"/>
      <c r="R47" s="82"/>
      <c r="T47" s="74"/>
      <c r="U47" s="74"/>
    </row>
    <row r="48" spans="7:21" ht="14.25">
      <c r="G48" s="100" t="s">
        <v>203</v>
      </c>
      <c r="H48" s="109">
        <v>0</v>
      </c>
      <c r="I48" s="109"/>
      <c r="J48" s="72">
        <f t="shared" si="6"/>
        <v>0</v>
      </c>
      <c r="K48" s="41"/>
      <c r="L48" s="109">
        <v>0</v>
      </c>
      <c r="M48" s="41"/>
      <c r="N48" s="72">
        <f t="shared" si="7"/>
        <v>0</v>
      </c>
      <c r="O48" s="94"/>
      <c r="P48" s="72">
        <f t="shared" si="5"/>
        <v>0</v>
      </c>
      <c r="Q48" s="82"/>
      <c r="R48" s="82"/>
      <c r="T48" s="74"/>
      <c r="U48" s="74"/>
    </row>
    <row r="49" spans="7:21" ht="14.25">
      <c r="G49" s="41" t="s">
        <v>204</v>
      </c>
      <c r="H49" s="96">
        <f>SUM(H50:H51)</f>
        <v>7.171530966937218</v>
      </c>
      <c r="I49" s="96">
        <f>SUM(I50:I51)</f>
        <v>0</v>
      </c>
      <c r="J49" s="72">
        <f t="shared" si="6"/>
        <v>7.171530966937218</v>
      </c>
      <c r="K49" s="41"/>
      <c r="L49" s="109">
        <f>L50+L51</f>
        <v>0</v>
      </c>
      <c r="M49" s="109">
        <f>M50+M51</f>
        <v>0</v>
      </c>
      <c r="N49" s="72">
        <f t="shared" si="7"/>
        <v>7.171530966937218</v>
      </c>
      <c r="O49" s="96"/>
      <c r="P49" s="72">
        <f t="shared" si="5"/>
        <v>7.171530966937218</v>
      </c>
      <c r="Q49" s="82"/>
      <c r="R49" s="82"/>
      <c r="T49" s="74"/>
      <c r="U49" s="74"/>
    </row>
    <row r="50" spans="7:21" ht="14.25">
      <c r="G50" s="100" t="s">
        <v>205</v>
      </c>
      <c r="H50" s="109">
        <v>0</v>
      </c>
      <c r="I50" s="109">
        <v>0</v>
      </c>
      <c r="J50" s="72">
        <f t="shared" si="6"/>
        <v>0</v>
      </c>
      <c r="K50" s="41"/>
      <c r="L50" s="109">
        <f>0</f>
        <v>0</v>
      </c>
      <c r="M50" s="41"/>
      <c r="N50" s="72">
        <f t="shared" si="7"/>
        <v>0</v>
      </c>
      <c r="O50" s="98"/>
      <c r="P50" s="72">
        <f t="shared" si="5"/>
        <v>0</v>
      </c>
      <c r="Q50" s="82"/>
      <c r="R50" s="82"/>
      <c r="T50" s="74"/>
      <c r="U50" s="74"/>
    </row>
    <row r="51" spans="7:21" ht="14.25">
      <c r="G51" s="100" t="s">
        <v>206</v>
      </c>
      <c r="H51" s="109">
        <f>'FLUX 2035'!G39</f>
        <v>7.171530966937218</v>
      </c>
      <c r="I51" s="109">
        <f>'FLUX 2035'!I39</f>
        <v>0</v>
      </c>
      <c r="J51" s="72">
        <f t="shared" si="6"/>
        <v>7.171530966937218</v>
      </c>
      <c r="K51" s="41"/>
      <c r="L51" s="109">
        <f>0</f>
        <v>0</v>
      </c>
      <c r="M51" s="72">
        <v>0</v>
      </c>
      <c r="N51" s="72">
        <f t="shared" si="7"/>
        <v>7.171530966937218</v>
      </c>
      <c r="O51" s="94"/>
      <c r="P51" s="72">
        <f t="shared" si="5"/>
        <v>7.171530966937218</v>
      </c>
      <c r="Q51" s="82"/>
      <c r="R51" s="82"/>
      <c r="T51" s="74"/>
      <c r="U51" s="74"/>
    </row>
    <row r="52" spans="7:21" ht="14.25">
      <c r="G52" s="41" t="s">
        <v>207</v>
      </c>
      <c r="H52" s="96">
        <f>SUM(H53:H54)</f>
        <v>0</v>
      </c>
      <c r="I52" s="96">
        <f>SUM(I53:I54)</f>
        <v>0</v>
      </c>
      <c r="J52" s="72">
        <f t="shared" si="6"/>
        <v>0</v>
      </c>
      <c r="K52" s="96"/>
      <c r="L52" s="96">
        <f>SUM(L53:L54)</f>
        <v>0</v>
      </c>
      <c r="M52" s="109">
        <v>0</v>
      </c>
      <c r="N52" s="72">
        <f t="shared" si="7"/>
        <v>0</v>
      </c>
      <c r="O52" s="96"/>
      <c r="P52" s="72">
        <f t="shared" si="5"/>
        <v>0</v>
      </c>
      <c r="Q52" s="82"/>
      <c r="R52" s="82"/>
      <c r="T52" s="74"/>
      <c r="U52" s="74"/>
    </row>
    <row r="53" spans="7:21" ht="15" customHeight="1">
      <c r="G53" s="100" t="s">
        <v>208</v>
      </c>
      <c r="H53" s="109">
        <f>'FLUX 2035'!G21+'FLUX 2035'!G34</f>
        <v>0</v>
      </c>
      <c r="I53" s="109">
        <f>'FLUX 2035'!I21</f>
        <v>0</v>
      </c>
      <c r="J53" s="72">
        <f t="shared" si="6"/>
        <v>0</v>
      </c>
      <c r="K53" s="41"/>
      <c r="L53" s="109">
        <f>'FLUX 2035'!O26*'FLUX 2035'!H49/'FLUX 2035'!L26</f>
        <v>0</v>
      </c>
      <c r="M53" s="72">
        <v>0</v>
      </c>
      <c r="N53" s="72">
        <f t="shared" si="7"/>
        <v>0</v>
      </c>
      <c r="O53" s="98"/>
      <c r="P53" s="72">
        <f t="shared" si="5"/>
        <v>0</v>
      </c>
      <c r="Q53" s="82"/>
      <c r="R53" s="82"/>
      <c r="T53" s="74"/>
      <c r="U53" s="74"/>
    </row>
    <row r="54" spans="7:21" ht="14.25">
      <c r="G54" s="100" t="s">
        <v>209</v>
      </c>
      <c r="H54" s="109">
        <f>'FLUX 2035'!G11</f>
        <v>0</v>
      </c>
      <c r="I54" s="109">
        <f>'FLUX 2035'!I11</f>
        <v>0</v>
      </c>
      <c r="J54" s="72">
        <f t="shared" si="6"/>
        <v>0</v>
      </c>
      <c r="K54" s="99"/>
      <c r="L54" s="96">
        <f>('FLUX 2035'!O12+'FLUX 2035'!M13)*'FLUX 2035'!K11/'FLUX 2035'!L7+('FLUX 2035'!O12+'FLUX 2035'!M13)*('FLUX 2035'!K19*SUM('FLUX 2035'!K21:K23)/'FLUX 2035'!L21)/'FLUX 2035'!L7</f>
        <v>0</v>
      </c>
      <c r="M54" s="41"/>
      <c r="N54" s="72">
        <f t="shared" si="7"/>
        <v>0</v>
      </c>
      <c r="O54" s="94"/>
      <c r="P54" s="72">
        <f t="shared" si="5"/>
        <v>0</v>
      </c>
      <c r="Q54" s="82"/>
      <c r="R54" s="82"/>
      <c r="T54" s="74"/>
      <c r="U54" s="74"/>
    </row>
    <row r="55" spans="7:21" ht="14.25">
      <c r="G55" s="41" t="s">
        <v>210</v>
      </c>
      <c r="H55" s="96">
        <f>SUM(H56:H57)</f>
        <v>6.7116067677706486</v>
      </c>
      <c r="I55" s="96">
        <f>SUM(I56:I57)</f>
        <v>3.9951907306990426</v>
      </c>
      <c r="J55" s="72">
        <f t="shared" si="6"/>
        <v>2.7164160370716059</v>
      </c>
      <c r="K55" s="72"/>
      <c r="L55" s="109">
        <f>L56+L57</f>
        <v>0.33004571118267928</v>
      </c>
      <c r="M55" s="41"/>
      <c r="N55" s="72">
        <f t="shared" si="7"/>
        <v>2.3863703258889268</v>
      </c>
      <c r="O55" s="94"/>
      <c r="P55" s="72">
        <f t="shared" si="5"/>
        <v>2.3863703258889268</v>
      </c>
      <c r="Q55" s="82"/>
      <c r="R55" s="82"/>
      <c r="T55" s="74"/>
      <c r="U55" s="74"/>
    </row>
    <row r="56" spans="7:21" ht="14.25">
      <c r="G56" s="100" t="s">
        <v>211</v>
      </c>
      <c r="H56" s="109">
        <f>'FLUX 2035'!G12</f>
        <v>5.9818908400740423</v>
      </c>
      <c r="I56" s="109">
        <f>'FLUX 2035'!I12+'FLUX 2035'!I27+'FLUX 2035'!I42</f>
        <v>3.9951907306990426</v>
      </c>
      <c r="J56" s="72">
        <f t="shared" si="6"/>
        <v>1.9867001093749996</v>
      </c>
      <c r="K56" s="99"/>
      <c r="L56" s="96">
        <f>('FLUX 2035'!O12+'FLUX 2035'!M13)*'FLUX 2035'!K12/'FLUX 2035'!L7</f>
        <v>0.33004571118267928</v>
      </c>
      <c r="M56" s="41"/>
      <c r="N56" s="72">
        <f t="shared" si="7"/>
        <v>1.6566543981923203</v>
      </c>
      <c r="O56" s="94"/>
      <c r="P56" s="72">
        <f t="shared" si="5"/>
        <v>1.6566543981923203</v>
      </c>
      <c r="Q56" s="82"/>
      <c r="R56" s="82"/>
      <c r="T56" s="74"/>
      <c r="U56" s="74"/>
    </row>
    <row r="57" spans="7:21" ht="14.25">
      <c r="G57" s="100" t="s">
        <v>212</v>
      </c>
      <c r="H57" s="109">
        <f>'FLUX 2035'!G42+'FLUX 2035'!G27</f>
        <v>0.72971592769660609</v>
      </c>
      <c r="I57" s="109">
        <f>'FLUX 2035'!I27+'FLUX 2035'!I42</f>
        <v>0</v>
      </c>
      <c r="J57" s="72">
        <f t="shared" si="6"/>
        <v>0.72971592769660609</v>
      </c>
      <c r="K57" s="41"/>
      <c r="L57" s="109">
        <f>'FLUX 2035'!O26*'FLUX 2035'!H50/'FLUX 2035'!L26</f>
        <v>0</v>
      </c>
      <c r="M57" s="41"/>
      <c r="N57" s="72">
        <f t="shared" si="7"/>
        <v>0.72971592769660609</v>
      </c>
      <c r="O57" s="94"/>
      <c r="P57" s="72">
        <f t="shared" si="5"/>
        <v>0.72971592769660609</v>
      </c>
      <c r="Q57" s="82"/>
      <c r="R57" s="82"/>
      <c r="T57" s="74"/>
      <c r="U57" s="74"/>
    </row>
    <row r="58" spans="7:21" ht="14.25">
      <c r="G58" s="103" t="s">
        <v>213</v>
      </c>
      <c r="H58" s="109">
        <f>'FLUX 2035'!G28+'FLUX 2035'!G38</f>
        <v>2.57</v>
      </c>
      <c r="I58" s="109">
        <f>'FLUX 2035'!I28</f>
        <v>0</v>
      </c>
      <c r="J58" s="72">
        <f t="shared" si="6"/>
        <v>2.57</v>
      </c>
      <c r="K58" s="41"/>
      <c r="L58" s="109">
        <f>'FLUX 2035'!O26*'FLUX 2035'!H51/'FLUX 2035'!L26</f>
        <v>0</v>
      </c>
      <c r="M58" s="41"/>
      <c r="N58" s="72">
        <f t="shared" si="7"/>
        <v>2.57</v>
      </c>
      <c r="O58" s="94"/>
      <c r="P58" s="72">
        <f t="shared" si="5"/>
        <v>2.57</v>
      </c>
      <c r="Q58" s="82"/>
      <c r="R58" s="82"/>
      <c r="T58" s="74"/>
      <c r="U58" s="74"/>
    </row>
    <row r="59" spans="7:21" ht="14.25">
      <c r="G59" s="103" t="s">
        <v>214</v>
      </c>
      <c r="H59" s="109">
        <f>'FLUX 2035'!K16</f>
        <v>0.37048619433593749</v>
      </c>
      <c r="I59" s="109">
        <f>+'FLUX 2035'!I16</f>
        <v>0</v>
      </c>
      <c r="J59" s="72">
        <f t="shared" si="6"/>
        <v>0.37048619433593749</v>
      </c>
      <c r="K59" s="41"/>
      <c r="L59" s="96">
        <f>('FLUX 2035'!O12+'FLUX 2035'!M13)*'FLUX 2035'!K16/'FLUX 2035'!L7</f>
        <v>6.1547980450575558E-2</v>
      </c>
      <c r="M59" s="41"/>
      <c r="N59" s="72">
        <f t="shared" si="7"/>
        <v>0.30893821388536191</v>
      </c>
      <c r="O59" s="94"/>
      <c r="P59" s="72">
        <f t="shared" si="5"/>
        <v>0.30893821388536191</v>
      </c>
      <c r="Q59" s="82"/>
      <c r="R59" s="82"/>
      <c r="T59" s="74"/>
      <c r="U59" s="74"/>
    </row>
    <row r="60" spans="7:21" ht="14.25">
      <c r="G60" s="110" t="s">
        <v>218</v>
      </c>
      <c r="H60" s="96">
        <f>M37</f>
        <v>0</v>
      </c>
      <c r="I60" s="96">
        <f>SUM(I61:I62)</f>
        <v>0</v>
      </c>
      <c r="J60" s="72">
        <f t="shared" si="6"/>
        <v>0</v>
      </c>
      <c r="K60" s="98"/>
      <c r="L60" s="98">
        <f>SUM(L61:L62)</f>
        <v>0</v>
      </c>
      <c r="M60" s="41"/>
      <c r="N60" s="72">
        <f t="shared" si="7"/>
        <v>0</v>
      </c>
      <c r="O60" s="104"/>
      <c r="P60" s="72">
        <f t="shared" si="5"/>
        <v>0</v>
      </c>
      <c r="Q60" s="82"/>
      <c r="R60" s="82"/>
      <c r="T60" s="74"/>
      <c r="U60" s="74"/>
    </row>
    <row r="61" spans="7:21" ht="14.25">
      <c r="G61" s="101" t="s">
        <v>215</v>
      </c>
      <c r="H61" s="109">
        <f>H60-H62</f>
        <v>0</v>
      </c>
      <c r="I61" s="109"/>
      <c r="J61" s="72">
        <f t="shared" si="6"/>
        <v>0</v>
      </c>
      <c r="K61" s="72"/>
      <c r="L61" s="109">
        <f>'FLUX 2035'!O21*'FLUX 2035'!K23/'FLUX 2035'!L21</f>
        <v>0</v>
      </c>
      <c r="M61" s="72"/>
      <c r="N61" s="72">
        <f t="shared" si="7"/>
        <v>0</v>
      </c>
      <c r="O61" s="98"/>
      <c r="P61" s="72">
        <f t="shared" si="5"/>
        <v>0</v>
      </c>
      <c r="Q61" s="82"/>
      <c r="R61" s="82"/>
      <c r="T61" s="74"/>
      <c r="U61" s="74"/>
    </row>
    <row r="62" spans="7:21" ht="14.25">
      <c r="G62" s="101" t="s">
        <v>216</v>
      </c>
      <c r="H62" s="109">
        <v>0</v>
      </c>
      <c r="I62" s="109"/>
      <c r="J62" s="72">
        <f t="shared" si="6"/>
        <v>0</v>
      </c>
      <c r="K62" s="72"/>
      <c r="L62" s="109">
        <v>0</v>
      </c>
      <c r="M62" s="72"/>
      <c r="N62" s="72">
        <f t="shared" si="7"/>
        <v>0</v>
      </c>
      <c r="O62" s="94"/>
      <c r="P62" s="72">
        <f t="shared" si="5"/>
        <v>0</v>
      </c>
      <c r="Q62" s="82"/>
      <c r="R62" s="82"/>
      <c r="T62" s="74"/>
      <c r="U62" s="74"/>
    </row>
    <row r="63" spans="7:21">
      <c r="G63" t="s">
        <v>144</v>
      </c>
      <c r="H63" s="74">
        <f>SUM(H58:H60,H55,H52,H49,H42,H33:H39,H29,H25:H26)</f>
        <v>195.70956321221411</v>
      </c>
      <c r="I63" s="74">
        <f>SUM(I25:I26,I29,I33:I39,I42,I49,I52,I55,I58:I60)</f>
        <v>55.297001389613527</v>
      </c>
      <c r="J63" s="105">
        <f>SUM(J25:J26,J29,J33:J39,J42,J49,J52,J55,J58:J60)</f>
        <v>140.41256182260062</v>
      </c>
      <c r="K63" s="74">
        <f>SUM(K25:K26,K29,K33:K39,K42,K49,K52,K55,K58:K60)</f>
        <v>0</v>
      </c>
      <c r="L63" s="74">
        <f>SUM(L25:L26,L29,L33:L39,L42,L49,L52,L55,L58:L60)</f>
        <v>7.4328160885977965</v>
      </c>
      <c r="M63" s="105"/>
      <c r="N63" s="74">
        <f>SUM(N25:N26,N29,N33:N39,N42,N49,N52,N55,N58:N59,M60)</f>
        <v>132.97974573400282</v>
      </c>
      <c r="O63" s="105">
        <f>SUM(O58:O59,O55,O52,O49,O42,O39,O33:O38,O29,O25:O26,O60)</f>
        <v>15.173333121756551</v>
      </c>
      <c r="P63" s="105">
        <f>SUM(P58:P59,P55,P52,P49,P42,P39,P33:P38,P29,P25:P26,P60,M62)</f>
        <v>117.80641261224625</v>
      </c>
      <c r="Q63" s="106"/>
      <c r="R63" s="106"/>
      <c r="T63" s="74"/>
      <c r="U63" s="74"/>
    </row>
    <row r="64" spans="7:21" ht="14.25">
      <c r="G64" t="s">
        <v>217</v>
      </c>
      <c r="H64" s="105">
        <f>H63-H58-H59</f>
        <v>192.76907701787817</v>
      </c>
      <c r="N64" s="114"/>
      <c r="O64" s="107"/>
      <c r="P64" s="108"/>
      <c r="T64" s="74"/>
      <c r="U64" s="74"/>
    </row>
    <row r="65" spans="7:16">
      <c r="H65" s="733">
        <f>H63-'FLUX 2035'!G5</f>
        <v>0.37048619433593899</v>
      </c>
    </row>
    <row r="66" spans="7:16">
      <c r="G66" s="371"/>
      <c r="H66" s="370">
        <f>H64-('FLUX 2035'!G5-'FLUX 2035'!G38)</f>
        <v>0</v>
      </c>
      <c r="I66" s="370">
        <f>I63-SUM('FLUX 2035'!I7:I44)+'FLUX 2035'!I23</f>
        <v>2.5683472442622701E-2</v>
      </c>
      <c r="J66" s="371"/>
      <c r="K66" s="371"/>
      <c r="L66" s="370">
        <f>L63-'FLUX 2035'!M13-'FLUX 2035'!O12-'FLUX 2035'!O21-'FLUX 2035'!O26</f>
        <v>0.17694189361655654</v>
      </c>
      <c r="M66" s="371"/>
      <c r="N66" s="370">
        <f>N63-O63-'FLUX 2035'!T5</f>
        <v>-0.20533855261217582</v>
      </c>
      <c r="O66" s="371"/>
      <c r="P66" s="370">
        <f>P63-'FLUX 2035'!T5</f>
        <v>-0.20533855261219003</v>
      </c>
    </row>
    <row r="67" spans="7:16">
      <c r="G67" s="371"/>
      <c r="H67" s="732">
        <f>H64-'FLUX 2035'!G41-('FLUX 2035'!AH39-'FLUX 2035'!AA40)</f>
        <v>171.7896461803887</v>
      </c>
      <c r="I67" s="371"/>
      <c r="J67" s="371"/>
      <c r="K67" s="371"/>
      <c r="L67" s="371"/>
      <c r="M67" s="371"/>
      <c r="N67" s="371"/>
      <c r="O67" s="371"/>
      <c r="P67" s="371"/>
    </row>
    <row r="68" spans="7:16">
      <c r="G68" s="371" t="s">
        <v>490</v>
      </c>
      <c r="H68" s="371"/>
      <c r="I68" s="371"/>
      <c r="J68" s="371"/>
      <c r="K68" s="371"/>
      <c r="L68" s="371"/>
      <c r="M68" s="371"/>
      <c r="N68" s="370">
        <f>SUM(N33:N38,N40,N47,N54,N56,N59,N25-'FLUX 2035'!G44,N28,N31)-'FLUX 2035'!AJ13</f>
        <v>0.80443374655725108</v>
      </c>
      <c r="O68" s="371"/>
      <c r="P68" s="371"/>
    </row>
    <row r="69" spans="7:16">
      <c r="G69" s="371" t="s">
        <v>513</v>
      </c>
      <c r="H69" s="371"/>
      <c r="I69" s="371"/>
      <c r="J69" s="371"/>
      <c r="K69" s="371"/>
      <c r="L69" s="371"/>
      <c r="M69" s="371"/>
      <c r="N69" s="370">
        <f>N27-O27-'FLUX 2035'!K40</f>
        <v>-2.5683472442615596E-2</v>
      </c>
      <c r="O69" s="371"/>
      <c r="P69" s="371"/>
    </row>
    <row r="70" spans="7:16">
      <c r="G70" s="371" t="s">
        <v>243</v>
      </c>
      <c r="H70" s="371"/>
      <c r="I70" s="371"/>
      <c r="J70" s="371"/>
      <c r="K70" s="371"/>
      <c r="L70" s="371"/>
      <c r="M70" s="371"/>
      <c r="N70" s="370">
        <f>N30-('FLUX 2035'!K24-'FLUX 2035'!R23-'FLUX 2035'!S23+'FLUX 2035'!K32+'FLUX 2035'!K43)+N31-('FLUX 2035'!K19-'FLUX 2035'!O12*'FLUX 2035'!K19/'FLUX 2035'!L7)</f>
        <v>-0.11463606757171219</v>
      </c>
      <c r="O70" s="371"/>
      <c r="P70" s="371"/>
    </row>
    <row r="71" spans="7:16">
      <c r="G71" s="372" t="s">
        <v>460</v>
      </c>
      <c r="N71" s="375">
        <f>N34+N35+N36+N37+N38+N39+N42+N49+N52+N55+N58+N59-('FLUX 2035'!K7+'FLUX 2035'!K8+'FLUX 2035'!K9+'FLUX 2035'!K11+'FLUX 2035'!K12+'FLUX 2035'!K13+'FLUX 2035'!K14+'FLUX 2035'!K15+'FLUX 2035'!K16)*(1-1*'FLUX 2035'!O12/'FLUX 2035'!L7)-SUM('FLUX 2035'!K26:K31)-SUM('FLUX 2035'!K34:K39)</f>
        <v>-2.2354011613628906</v>
      </c>
    </row>
  </sheetData>
  <mergeCells count="6">
    <mergeCell ref="C2:C4"/>
    <mergeCell ref="E2:E4"/>
    <mergeCell ref="C5:C13"/>
    <mergeCell ref="E5:E13"/>
    <mergeCell ref="C14:C21"/>
    <mergeCell ref="E14:E21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8"/>
  <sheetViews>
    <sheetView topLeftCell="A349" zoomScale="115" zoomScaleNormal="115" workbookViewId="0">
      <selection activeCell="A277" sqref="A277"/>
    </sheetView>
  </sheetViews>
  <sheetFormatPr baseColWidth="10" defaultColWidth="10.28515625" defaultRowHeight="12.75"/>
  <cols>
    <col min="1" max="1" width="35.85546875" style="123" customWidth="1"/>
    <col min="2" max="6" width="13.140625" style="124" customWidth="1"/>
    <col min="7" max="14" width="13.140625" style="125" customWidth="1"/>
    <col min="15" max="256" width="10.28515625" style="123"/>
    <col min="257" max="257" width="35.85546875" style="123" customWidth="1"/>
    <col min="258" max="270" width="13.140625" style="123" customWidth="1"/>
    <col min="271" max="512" width="10.28515625" style="123"/>
    <col min="513" max="513" width="35.85546875" style="123" customWidth="1"/>
    <col min="514" max="526" width="13.140625" style="123" customWidth="1"/>
    <col min="527" max="768" width="10.28515625" style="123"/>
    <col min="769" max="769" width="35.85546875" style="123" customWidth="1"/>
    <col min="770" max="782" width="13.140625" style="123" customWidth="1"/>
    <col min="783" max="1024" width="10.28515625" style="123"/>
    <col min="1025" max="1025" width="35.85546875" style="123" customWidth="1"/>
    <col min="1026" max="1038" width="13.140625" style="123" customWidth="1"/>
    <col min="1039" max="1280" width="10.28515625" style="123"/>
    <col min="1281" max="1281" width="35.85546875" style="123" customWidth="1"/>
    <col min="1282" max="1294" width="13.140625" style="123" customWidth="1"/>
    <col min="1295" max="1536" width="10.28515625" style="123"/>
    <col min="1537" max="1537" width="35.85546875" style="123" customWidth="1"/>
    <col min="1538" max="1550" width="13.140625" style="123" customWidth="1"/>
    <col min="1551" max="1792" width="10.28515625" style="123"/>
    <col min="1793" max="1793" width="35.85546875" style="123" customWidth="1"/>
    <col min="1794" max="1806" width="13.140625" style="123" customWidth="1"/>
    <col min="1807" max="2048" width="10.28515625" style="123"/>
    <col min="2049" max="2049" width="35.85546875" style="123" customWidth="1"/>
    <col min="2050" max="2062" width="13.140625" style="123" customWidth="1"/>
    <col min="2063" max="2304" width="10.28515625" style="123"/>
    <col min="2305" max="2305" width="35.85546875" style="123" customWidth="1"/>
    <col min="2306" max="2318" width="13.140625" style="123" customWidth="1"/>
    <col min="2319" max="2560" width="10.28515625" style="123"/>
    <col min="2561" max="2561" width="35.85546875" style="123" customWidth="1"/>
    <col min="2562" max="2574" width="13.140625" style="123" customWidth="1"/>
    <col min="2575" max="2816" width="10.28515625" style="123"/>
    <col min="2817" max="2817" width="35.85546875" style="123" customWidth="1"/>
    <col min="2818" max="2830" width="13.140625" style="123" customWidth="1"/>
    <col min="2831" max="3072" width="10.28515625" style="123"/>
    <col min="3073" max="3073" width="35.85546875" style="123" customWidth="1"/>
    <col min="3074" max="3086" width="13.140625" style="123" customWidth="1"/>
    <col min="3087" max="3328" width="10.28515625" style="123"/>
    <col min="3329" max="3329" width="35.85546875" style="123" customWidth="1"/>
    <col min="3330" max="3342" width="13.140625" style="123" customWidth="1"/>
    <col min="3343" max="3584" width="10.28515625" style="123"/>
    <col min="3585" max="3585" width="35.85546875" style="123" customWidth="1"/>
    <col min="3586" max="3598" width="13.140625" style="123" customWidth="1"/>
    <col min="3599" max="3840" width="10.28515625" style="123"/>
    <col min="3841" max="3841" width="35.85546875" style="123" customWidth="1"/>
    <col min="3842" max="3854" width="13.140625" style="123" customWidth="1"/>
    <col min="3855" max="4096" width="10.28515625" style="123"/>
    <col min="4097" max="4097" width="35.85546875" style="123" customWidth="1"/>
    <col min="4098" max="4110" width="13.140625" style="123" customWidth="1"/>
    <col min="4111" max="4352" width="10.28515625" style="123"/>
    <col min="4353" max="4353" width="35.85546875" style="123" customWidth="1"/>
    <col min="4354" max="4366" width="13.140625" style="123" customWidth="1"/>
    <col min="4367" max="4608" width="10.28515625" style="123"/>
    <col min="4609" max="4609" width="35.85546875" style="123" customWidth="1"/>
    <col min="4610" max="4622" width="13.140625" style="123" customWidth="1"/>
    <col min="4623" max="4864" width="10.28515625" style="123"/>
    <col min="4865" max="4865" width="35.85546875" style="123" customWidth="1"/>
    <col min="4866" max="4878" width="13.140625" style="123" customWidth="1"/>
    <col min="4879" max="5120" width="10.28515625" style="123"/>
    <col min="5121" max="5121" width="35.85546875" style="123" customWidth="1"/>
    <col min="5122" max="5134" width="13.140625" style="123" customWidth="1"/>
    <col min="5135" max="5376" width="10.28515625" style="123"/>
    <col min="5377" max="5377" width="35.85546875" style="123" customWidth="1"/>
    <col min="5378" max="5390" width="13.140625" style="123" customWidth="1"/>
    <col min="5391" max="5632" width="10.28515625" style="123"/>
    <col min="5633" max="5633" width="35.85546875" style="123" customWidth="1"/>
    <col min="5634" max="5646" width="13.140625" style="123" customWidth="1"/>
    <col min="5647" max="5888" width="10.28515625" style="123"/>
    <col min="5889" max="5889" width="35.85546875" style="123" customWidth="1"/>
    <col min="5890" max="5902" width="13.140625" style="123" customWidth="1"/>
    <col min="5903" max="6144" width="10.28515625" style="123"/>
    <col min="6145" max="6145" width="35.85546875" style="123" customWidth="1"/>
    <col min="6146" max="6158" width="13.140625" style="123" customWidth="1"/>
    <col min="6159" max="6400" width="10.28515625" style="123"/>
    <col min="6401" max="6401" width="35.85546875" style="123" customWidth="1"/>
    <col min="6402" max="6414" width="13.140625" style="123" customWidth="1"/>
    <col min="6415" max="6656" width="10.28515625" style="123"/>
    <col min="6657" max="6657" width="35.85546875" style="123" customWidth="1"/>
    <col min="6658" max="6670" width="13.140625" style="123" customWidth="1"/>
    <col min="6671" max="6912" width="10.28515625" style="123"/>
    <col min="6913" max="6913" width="35.85546875" style="123" customWidth="1"/>
    <col min="6914" max="6926" width="13.140625" style="123" customWidth="1"/>
    <col min="6927" max="7168" width="10.28515625" style="123"/>
    <col min="7169" max="7169" width="35.85546875" style="123" customWidth="1"/>
    <col min="7170" max="7182" width="13.140625" style="123" customWidth="1"/>
    <col min="7183" max="7424" width="10.28515625" style="123"/>
    <col min="7425" max="7425" width="35.85546875" style="123" customWidth="1"/>
    <col min="7426" max="7438" width="13.140625" style="123" customWidth="1"/>
    <col min="7439" max="7680" width="10.28515625" style="123"/>
    <col min="7681" max="7681" width="35.85546875" style="123" customWidth="1"/>
    <col min="7682" max="7694" width="13.140625" style="123" customWidth="1"/>
    <col min="7695" max="7936" width="10.28515625" style="123"/>
    <col min="7937" max="7937" width="35.85546875" style="123" customWidth="1"/>
    <col min="7938" max="7950" width="13.140625" style="123" customWidth="1"/>
    <col min="7951" max="8192" width="10.28515625" style="123"/>
    <col min="8193" max="8193" width="35.85546875" style="123" customWidth="1"/>
    <col min="8194" max="8206" width="13.140625" style="123" customWidth="1"/>
    <col min="8207" max="8448" width="10.28515625" style="123"/>
    <col min="8449" max="8449" width="35.85546875" style="123" customWidth="1"/>
    <col min="8450" max="8462" width="13.140625" style="123" customWidth="1"/>
    <col min="8463" max="8704" width="10.28515625" style="123"/>
    <col min="8705" max="8705" width="35.85546875" style="123" customWidth="1"/>
    <col min="8706" max="8718" width="13.140625" style="123" customWidth="1"/>
    <col min="8719" max="8960" width="10.28515625" style="123"/>
    <col min="8961" max="8961" width="35.85546875" style="123" customWidth="1"/>
    <col min="8962" max="8974" width="13.140625" style="123" customWidth="1"/>
    <col min="8975" max="9216" width="10.28515625" style="123"/>
    <col min="9217" max="9217" width="35.85546875" style="123" customWidth="1"/>
    <col min="9218" max="9230" width="13.140625" style="123" customWidth="1"/>
    <col min="9231" max="9472" width="10.28515625" style="123"/>
    <col min="9473" max="9473" width="35.85546875" style="123" customWidth="1"/>
    <col min="9474" max="9486" width="13.140625" style="123" customWidth="1"/>
    <col min="9487" max="9728" width="10.28515625" style="123"/>
    <col min="9729" max="9729" width="35.85546875" style="123" customWidth="1"/>
    <col min="9730" max="9742" width="13.140625" style="123" customWidth="1"/>
    <col min="9743" max="9984" width="10.28515625" style="123"/>
    <col min="9985" max="9985" width="35.85546875" style="123" customWidth="1"/>
    <col min="9986" max="9998" width="13.140625" style="123" customWidth="1"/>
    <col min="9999" max="10240" width="10.28515625" style="123"/>
    <col min="10241" max="10241" width="35.85546875" style="123" customWidth="1"/>
    <col min="10242" max="10254" width="13.140625" style="123" customWidth="1"/>
    <col min="10255" max="10496" width="10.28515625" style="123"/>
    <col min="10497" max="10497" width="35.85546875" style="123" customWidth="1"/>
    <col min="10498" max="10510" width="13.140625" style="123" customWidth="1"/>
    <col min="10511" max="10752" width="10.28515625" style="123"/>
    <col min="10753" max="10753" width="35.85546875" style="123" customWidth="1"/>
    <col min="10754" max="10766" width="13.140625" style="123" customWidth="1"/>
    <col min="10767" max="11008" width="10.28515625" style="123"/>
    <col min="11009" max="11009" width="35.85546875" style="123" customWidth="1"/>
    <col min="11010" max="11022" width="13.140625" style="123" customWidth="1"/>
    <col min="11023" max="11264" width="10.28515625" style="123"/>
    <col min="11265" max="11265" width="35.85546875" style="123" customWidth="1"/>
    <col min="11266" max="11278" width="13.140625" style="123" customWidth="1"/>
    <col min="11279" max="11520" width="10.28515625" style="123"/>
    <col min="11521" max="11521" width="35.85546875" style="123" customWidth="1"/>
    <col min="11522" max="11534" width="13.140625" style="123" customWidth="1"/>
    <col min="11535" max="11776" width="10.28515625" style="123"/>
    <col min="11777" max="11777" width="35.85546875" style="123" customWidth="1"/>
    <col min="11778" max="11790" width="13.140625" style="123" customWidth="1"/>
    <col min="11791" max="12032" width="10.28515625" style="123"/>
    <col min="12033" max="12033" width="35.85546875" style="123" customWidth="1"/>
    <col min="12034" max="12046" width="13.140625" style="123" customWidth="1"/>
    <col min="12047" max="12288" width="10.28515625" style="123"/>
    <col min="12289" max="12289" width="35.85546875" style="123" customWidth="1"/>
    <col min="12290" max="12302" width="13.140625" style="123" customWidth="1"/>
    <col min="12303" max="12544" width="10.28515625" style="123"/>
    <col min="12545" max="12545" width="35.85546875" style="123" customWidth="1"/>
    <col min="12546" max="12558" width="13.140625" style="123" customWidth="1"/>
    <col min="12559" max="12800" width="10.28515625" style="123"/>
    <col min="12801" max="12801" width="35.85546875" style="123" customWidth="1"/>
    <col min="12802" max="12814" width="13.140625" style="123" customWidth="1"/>
    <col min="12815" max="13056" width="10.28515625" style="123"/>
    <col min="13057" max="13057" width="35.85546875" style="123" customWidth="1"/>
    <col min="13058" max="13070" width="13.140625" style="123" customWidth="1"/>
    <col min="13071" max="13312" width="10.28515625" style="123"/>
    <col min="13313" max="13313" width="35.85546875" style="123" customWidth="1"/>
    <col min="13314" max="13326" width="13.140625" style="123" customWidth="1"/>
    <col min="13327" max="13568" width="10.28515625" style="123"/>
    <col min="13569" max="13569" width="35.85546875" style="123" customWidth="1"/>
    <col min="13570" max="13582" width="13.140625" style="123" customWidth="1"/>
    <col min="13583" max="13824" width="10.28515625" style="123"/>
    <col min="13825" max="13825" width="35.85546875" style="123" customWidth="1"/>
    <col min="13826" max="13838" width="13.140625" style="123" customWidth="1"/>
    <col min="13839" max="14080" width="10.28515625" style="123"/>
    <col min="14081" max="14081" width="35.85546875" style="123" customWidth="1"/>
    <col min="14082" max="14094" width="13.140625" style="123" customWidth="1"/>
    <col min="14095" max="14336" width="10.28515625" style="123"/>
    <col min="14337" max="14337" width="35.85546875" style="123" customWidth="1"/>
    <col min="14338" max="14350" width="13.140625" style="123" customWidth="1"/>
    <col min="14351" max="14592" width="10.28515625" style="123"/>
    <col min="14593" max="14593" width="35.85546875" style="123" customWidth="1"/>
    <col min="14594" max="14606" width="13.140625" style="123" customWidth="1"/>
    <col min="14607" max="14848" width="10.28515625" style="123"/>
    <col min="14849" max="14849" width="35.85546875" style="123" customWidth="1"/>
    <col min="14850" max="14862" width="13.140625" style="123" customWidth="1"/>
    <col min="14863" max="15104" width="10.28515625" style="123"/>
    <col min="15105" max="15105" width="35.85546875" style="123" customWidth="1"/>
    <col min="15106" max="15118" width="13.140625" style="123" customWidth="1"/>
    <col min="15119" max="15360" width="10.28515625" style="123"/>
    <col min="15361" max="15361" width="35.85546875" style="123" customWidth="1"/>
    <col min="15362" max="15374" width="13.140625" style="123" customWidth="1"/>
    <col min="15375" max="15616" width="10.28515625" style="123"/>
    <col min="15617" max="15617" width="35.85546875" style="123" customWidth="1"/>
    <col min="15618" max="15630" width="13.140625" style="123" customWidth="1"/>
    <col min="15631" max="15872" width="10.28515625" style="123"/>
    <col min="15873" max="15873" width="35.85546875" style="123" customWidth="1"/>
    <col min="15874" max="15886" width="13.140625" style="123" customWidth="1"/>
    <col min="15887" max="16128" width="10.28515625" style="123"/>
    <col min="16129" max="16129" width="35.85546875" style="123" customWidth="1"/>
    <col min="16130" max="16142" width="13.140625" style="123" customWidth="1"/>
    <col min="16143" max="16384" width="10.28515625" style="123"/>
  </cols>
  <sheetData>
    <row r="1" spans="1:20" ht="30.75" customHeight="1">
      <c r="A1" s="523" t="s">
        <v>237</v>
      </c>
      <c r="B1" s="524"/>
      <c r="C1" s="524"/>
      <c r="D1" s="524"/>
      <c r="E1" s="524"/>
      <c r="F1" s="525"/>
      <c r="G1" s="526" t="s">
        <v>238</v>
      </c>
      <c r="H1" s="527" t="s">
        <v>536</v>
      </c>
      <c r="I1" s="527"/>
      <c r="J1" s="526" t="s">
        <v>239</v>
      </c>
      <c r="K1" s="527">
        <v>2</v>
      </c>
      <c r="L1" s="526" t="s">
        <v>240</v>
      </c>
      <c r="M1" s="528">
        <v>42097</v>
      </c>
      <c r="N1" s="529"/>
      <c r="O1" s="634" t="s">
        <v>537</v>
      </c>
      <c r="P1" s="522"/>
      <c r="Q1" s="522"/>
      <c r="R1" s="522"/>
      <c r="S1" s="522"/>
      <c r="T1" s="522"/>
    </row>
    <row r="2" spans="1:20" ht="22.5" customHeight="1">
      <c r="A2" s="522"/>
      <c r="B2" s="531"/>
      <c r="C2" s="522"/>
      <c r="D2" s="522"/>
      <c r="E2" s="522"/>
      <c r="F2" s="522"/>
      <c r="G2" s="522"/>
      <c r="H2" s="522"/>
      <c r="I2" s="522"/>
      <c r="J2" s="522"/>
      <c r="K2" s="522"/>
      <c r="L2" s="522"/>
      <c r="M2" s="522"/>
      <c r="N2" s="522"/>
      <c r="O2" s="522"/>
      <c r="P2" s="522"/>
      <c r="Q2" s="522"/>
      <c r="R2" s="522"/>
      <c r="S2" s="522"/>
      <c r="T2" s="522"/>
    </row>
    <row r="3" spans="1:20" ht="21">
      <c r="A3" s="534"/>
      <c r="B3" s="535"/>
      <c r="C3" s="530"/>
      <c r="D3" s="536"/>
      <c r="E3" s="535"/>
      <c r="F3" s="534"/>
      <c r="G3" s="537"/>
      <c r="H3" s="522"/>
      <c r="I3" s="522"/>
      <c r="J3" s="522"/>
      <c r="K3" s="522"/>
      <c r="L3" s="522"/>
      <c r="M3" s="522"/>
      <c r="N3" s="522"/>
      <c r="O3" s="522"/>
      <c r="P3" s="522"/>
      <c r="Q3" s="522"/>
      <c r="R3" s="522"/>
      <c r="S3" s="522"/>
      <c r="T3" s="522"/>
    </row>
    <row r="4" spans="1:20" ht="10.5" customHeight="1">
      <c r="A4" s="522"/>
      <c r="B4" s="530"/>
      <c r="C4" s="522"/>
      <c r="D4" s="522"/>
      <c r="E4" s="522"/>
      <c r="F4" s="522"/>
      <c r="G4" s="522"/>
      <c r="H4" s="522"/>
      <c r="I4" s="522"/>
      <c r="J4" s="522"/>
      <c r="K4" s="522"/>
      <c r="L4" s="522"/>
      <c r="M4" s="522"/>
      <c r="N4" s="522"/>
      <c r="O4" s="522"/>
      <c r="P4" s="522"/>
      <c r="Q4" s="522"/>
      <c r="R4" s="522"/>
      <c r="S4" s="522"/>
      <c r="T4" s="522"/>
    </row>
    <row r="5" spans="1:20" ht="21">
      <c r="A5" s="538" t="s">
        <v>363</v>
      </c>
      <c r="B5" s="539"/>
      <c r="C5" s="539"/>
      <c r="D5" s="539"/>
      <c r="E5" s="539"/>
      <c r="F5" s="539"/>
      <c r="G5" s="539"/>
      <c r="H5" s="539"/>
      <c r="I5" s="539"/>
      <c r="J5" s="539"/>
      <c r="K5" s="539"/>
      <c r="L5" s="539"/>
      <c r="M5" s="539"/>
      <c r="N5" s="539"/>
      <c r="O5" s="522"/>
      <c r="P5" s="522"/>
      <c r="Q5" s="522"/>
      <c r="R5" s="522"/>
      <c r="S5" s="522"/>
      <c r="T5" s="522"/>
    </row>
    <row r="6" spans="1:20" ht="15">
      <c r="A6" s="522"/>
      <c r="B6" s="533"/>
      <c r="C6" s="533"/>
      <c r="D6" s="533"/>
      <c r="E6" s="533"/>
      <c r="F6" s="533"/>
      <c r="G6" s="522"/>
      <c r="H6" s="522"/>
      <c r="I6" s="522"/>
      <c r="J6" s="522"/>
      <c r="K6" s="522"/>
      <c r="L6" s="522"/>
      <c r="M6" s="522"/>
      <c r="N6" s="522"/>
      <c r="O6" s="522"/>
      <c r="P6" s="522"/>
      <c r="Q6" s="522"/>
      <c r="R6" s="522"/>
      <c r="S6" s="522"/>
      <c r="T6" s="522"/>
    </row>
    <row r="7" spans="1:20" ht="16.5" thickBot="1">
      <c r="A7" s="540" t="s">
        <v>364</v>
      </c>
      <c r="B7" s="541"/>
      <c r="C7" s="541"/>
      <c r="D7" s="541"/>
      <c r="E7" s="541"/>
      <c r="F7" s="541"/>
      <c r="G7" s="542"/>
      <c r="H7" s="542"/>
      <c r="I7" s="542"/>
      <c r="J7" s="542"/>
      <c r="K7" s="542"/>
      <c r="L7" s="542"/>
      <c r="M7" s="542"/>
      <c r="N7" s="542"/>
      <c r="O7" s="522"/>
      <c r="P7" s="522"/>
      <c r="Q7" s="522"/>
      <c r="R7" s="522"/>
      <c r="S7" s="522"/>
      <c r="T7" s="522"/>
    </row>
    <row r="8" spans="1:20" ht="15.75" thickBot="1">
      <c r="A8" s="543" t="s">
        <v>64</v>
      </c>
      <c r="B8" s="544">
        <v>2000</v>
      </c>
      <c r="C8" s="544">
        <v>2010</v>
      </c>
      <c r="D8" s="544">
        <v>2015</v>
      </c>
      <c r="E8" s="544">
        <v>2020</v>
      </c>
      <c r="F8" s="544">
        <v>2025</v>
      </c>
      <c r="G8" s="544">
        <v>2030</v>
      </c>
      <c r="H8" s="544">
        <v>2035</v>
      </c>
      <c r="I8" s="545" t="s">
        <v>365</v>
      </c>
      <c r="J8" s="544" t="s">
        <v>366</v>
      </c>
      <c r="K8" s="544" t="s">
        <v>367</v>
      </c>
      <c r="L8" s="544" t="s">
        <v>368</v>
      </c>
      <c r="M8" s="544" t="s">
        <v>369</v>
      </c>
      <c r="N8" s="546" t="s">
        <v>370</v>
      </c>
      <c r="O8" s="522"/>
      <c r="P8" s="522"/>
      <c r="Q8" s="522"/>
      <c r="R8" s="522"/>
      <c r="S8" s="522"/>
      <c r="T8" s="522"/>
    </row>
    <row r="9" spans="1:20" ht="15">
      <c r="A9" s="547" t="s">
        <v>51</v>
      </c>
      <c r="B9" s="548">
        <v>7.0701246683357635</v>
      </c>
      <c r="C9" s="548">
        <v>5.0245729337058327</v>
      </c>
      <c r="D9" s="548">
        <v>4.0349521584216408</v>
      </c>
      <c r="E9" s="548">
        <v>3.1537846486931311</v>
      </c>
      <c r="F9" s="548">
        <v>2.699197137428154</v>
      </c>
      <c r="G9" s="548">
        <v>2.2446096261631769</v>
      </c>
      <c r="H9" s="548">
        <v>2.122120922847575</v>
      </c>
      <c r="I9" s="549">
        <v>-3.357710891640775E-2</v>
      </c>
      <c r="J9" s="550">
        <v>-4.2920868019516112E-2</v>
      </c>
      <c r="K9" s="550">
        <v>-4.8083775480061153E-2</v>
      </c>
      <c r="L9" s="550">
        <v>-3.0650224724606212E-2</v>
      </c>
      <c r="M9" s="550">
        <v>-3.6212602224313439E-2</v>
      </c>
      <c r="N9" s="551">
        <v>-1.1160375003314016E-2</v>
      </c>
      <c r="O9" s="522"/>
      <c r="P9" s="522"/>
      <c r="Q9" s="522"/>
      <c r="R9" s="522"/>
      <c r="S9" s="522"/>
      <c r="T9" s="522"/>
    </row>
    <row r="10" spans="1:20" ht="15">
      <c r="A10" s="547" t="s">
        <v>243</v>
      </c>
      <c r="B10" s="548">
        <v>11.571449204860542</v>
      </c>
      <c r="C10" s="548">
        <v>9.9107738805141281</v>
      </c>
      <c r="D10" s="548">
        <v>9.809545978704854</v>
      </c>
      <c r="E10" s="548">
        <v>9.7143239970026105</v>
      </c>
      <c r="F10" s="548">
        <v>8.4368572918976454</v>
      </c>
      <c r="G10" s="548">
        <v>7.1593905867926795</v>
      </c>
      <c r="H10" s="548">
        <v>6.2728623327071933</v>
      </c>
      <c r="I10" s="552">
        <v>-1.5372454052136053E-2</v>
      </c>
      <c r="J10" s="553">
        <v>-2.0511824708298043E-3</v>
      </c>
      <c r="K10" s="553">
        <v>-1.9489970433799186E-3</v>
      </c>
      <c r="L10" s="553">
        <v>-2.7804461345917741E-2</v>
      </c>
      <c r="M10" s="553">
        <v>-3.2303722006116975E-2</v>
      </c>
      <c r="N10" s="554">
        <v>-2.6091984931800871E-2</v>
      </c>
      <c r="O10" s="522"/>
      <c r="P10" s="522"/>
      <c r="Q10" s="522"/>
      <c r="R10" s="522"/>
      <c r="S10" s="522"/>
      <c r="T10" s="522"/>
    </row>
    <row r="11" spans="1:20" ht="15">
      <c r="A11" s="547" t="s">
        <v>40</v>
      </c>
      <c r="B11" s="548">
        <v>6.7234161396414596</v>
      </c>
      <c r="C11" s="548">
        <v>5.0366741831630186</v>
      </c>
      <c r="D11" s="548">
        <v>5.1928717436033791</v>
      </c>
      <c r="E11" s="548">
        <v>4.8086679734538702</v>
      </c>
      <c r="F11" s="548">
        <v>4.5503185269774002</v>
      </c>
      <c r="G11" s="548">
        <v>4.2919690805009303</v>
      </c>
      <c r="H11" s="548">
        <v>4.2858048247203362</v>
      </c>
      <c r="I11" s="552">
        <v>-2.8471855029710835E-2</v>
      </c>
      <c r="J11" s="553">
        <v>6.1268702852348422E-3</v>
      </c>
      <c r="K11" s="553">
        <v>-1.5255783181989391E-2</v>
      </c>
      <c r="L11" s="553">
        <v>-1.0983808737059286E-2</v>
      </c>
      <c r="M11" s="553">
        <v>-1.1622256806423703E-2</v>
      </c>
      <c r="N11" s="554">
        <v>-2.8741121084008281E-4</v>
      </c>
      <c r="O11" s="522"/>
      <c r="P11" s="522"/>
      <c r="Q11" s="522"/>
      <c r="R11" s="522"/>
      <c r="S11" s="522"/>
      <c r="T11" s="522"/>
    </row>
    <row r="12" spans="1:20" ht="15">
      <c r="A12" s="547" t="s">
        <v>371</v>
      </c>
      <c r="B12" s="548">
        <v>11.364979417529158</v>
      </c>
      <c r="C12" s="548">
        <v>10.378846275490286</v>
      </c>
      <c r="D12" s="548">
        <v>9.9455691627380958</v>
      </c>
      <c r="E12" s="548">
        <v>9.9071664227127147</v>
      </c>
      <c r="F12" s="548">
        <v>9.5467787862414486</v>
      </c>
      <c r="G12" s="548">
        <v>9.1863911497701825</v>
      </c>
      <c r="H12" s="548">
        <v>9.4256333023496612</v>
      </c>
      <c r="I12" s="552">
        <v>-9.0356235281949804E-3</v>
      </c>
      <c r="J12" s="553">
        <v>-8.4922515834814361E-3</v>
      </c>
      <c r="K12" s="553">
        <v>-7.734538034348537E-4</v>
      </c>
      <c r="L12" s="553">
        <v>-7.3835225997834764E-3</v>
      </c>
      <c r="M12" s="553">
        <v>-7.666586977965073E-3</v>
      </c>
      <c r="N12" s="554">
        <v>5.1551942990217814E-3</v>
      </c>
      <c r="O12" s="522"/>
      <c r="P12" s="522"/>
      <c r="Q12" s="522"/>
      <c r="R12" s="522"/>
      <c r="S12" s="522"/>
      <c r="T12" s="522"/>
    </row>
    <row r="13" spans="1:20" ht="15">
      <c r="A13" s="547" t="s">
        <v>55</v>
      </c>
      <c r="B13" s="548">
        <v>1.1102234242608253</v>
      </c>
      <c r="C13" s="548">
        <v>1.936149277849109</v>
      </c>
      <c r="D13" s="548">
        <v>1.7857463505903328</v>
      </c>
      <c r="E13" s="548">
        <v>1.6662481828381108</v>
      </c>
      <c r="F13" s="548">
        <v>1.4819753099038921</v>
      </c>
      <c r="G13" s="548">
        <v>1.2977024369696735</v>
      </c>
      <c r="H13" s="548">
        <v>1.1220898934655481</v>
      </c>
      <c r="I13" s="552">
        <v>5.7189510148011324E-2</v>
      </c>
      <c r="J13" s="553">
        <v>-1.6042848554834066E-2</v>
      </c>
      <c r="K13" s="553">
        <v>-1.3756887033009479E-2</v>
      </c>
      <c r="L13" s="553">
        <v>-2.3167150496074318E-2</v>
      </c>
      <c r="M13" s="553">
        <v>-2.6206591807072299E-2</v>
      </c>
      <c r="N13" s="554">
        <v>-2.8661716225339418E-2</v>
      </c>
      <c r="O13" s="522"/>
      <c r="P13" s="522"/>
      <c r="Q13" s="635"/>
      <c r="R13" s="635"/>
      <c r="S13" s="635"/>
      <c r="T13" s="635"/>
    </row>
    <row r="14" spans="1:20" ht="15">
      <c r="A14" s="547" t="s">
        <v>372</v>
      </c>
      <c r="B14" s="548">
        <v>1.6139532103368055</v>
      </c>
      <c r="C14" s="548">
        <v>1.744226258237324</v>
      </c>
      <c r="D14" s="548">
        <v>2.395121960868253</v>
      </c>
      <c r="E14" s="548">
        <v>3.4781585272262574</v>
      </c>
      <c r="F14" s="548">
        <v>4.585166059591784</v>
      </c>
      <c r="G14" s="548">
        <v>5.6921735919573102</v>
      </c>
      <c r="H14" s="548">
        <v>6.9341294059733922</v>
      </c>
      <c r="I14" s="552">
        <v>7.7926531755261319E-3</v>
      </c>
      <c r="J14" s="553">
        <v>6.547916703669987E-2</v>
      </c>
      <c r="K14" s="553">
        <v>7.7467918394805713E-2</v>
      </c>
      <c r="L14" s="553">
        <v>5.6820281676017714E-2</v>
      </c>
      <c r="M14" s="553">
        <v>4.4202222949175862E-2</v>
      </c>
      <c r="N14" s="554">
        <v>4.0262064456144886E-2</v>
      </c>
      <c r="O14" s="522"/>
      <c r="P14" s="522"/>
      <c r="Q14" s="522"/>
      <c r="R14" s="522"/>
      <c r="S14" s="522"/>
      <c r="T14" s="522"/>
    </row>
    <row r="15" spans="1:20" ht="15">
      <c r="A15" s="547"/>
      <c r="B15" s="548"/>
      <c r="C15" s="548"/>
      <c r="D15" s="548"/>
      <c r="E15" s="548"/>
      <c r="F15" s="548"/>
      <c r="G15" s="548"/>
      <c r="H15" s="548"/>
      <c r="I15" s="552"/>
      <c r="J15" s="553"/>
      <c r="K15" s="553"/>
      <c r="L15" s="553"/>
      <c r="M15" s="553"/>
      <c r="N15" s="554"/>
      <c r="O15" s="522"/>
      <c r="P15" s="522"/>
      <c r="Q15" s="635"/>
      <c r="R15" s="635"/>
      <c r="S15" s="635"/>
      <c r="T15" s="522"/>
    </row>
    <row r="16" spans="1:20" ht="15.75" thickBot="1">
      <c r="A16" s="555" t="s">
        <v>9</v>
      </c>
      <c r="B16" s="556">
        <v>39.454146064964554</v>
      </c>
      <c r="C16" s="556">
        <v>34.031242808959696</v>
      </c>
      <c r="D16" s="556">
        <v>33.163807354926554</v>
      </c>
      <c r="E16" s="556">
        <v>32.728349751926693</v>
      </c>
      <c r="F16" s="556">
        <v>31.300293112040325</v>
      </c>
      <c r="G16" s="556">
        <v>29.872236472153951</v>
      </c>
      <c r="H16" s="556">
        <v>30.16264068206371</v>
      </c>
      <c r="I16" s="557">
        <v>-1.4677236657589798E-2</v>
      </c>
      <c r="J16" s="558">
        <v>-5.1506631003249703E-3</v>
      </c>
      <c r="K16" s="558">
        <v>-2.6400038800999948E-3</v>
      </c>
      <c r="L16" s="558">
        <v>-8.8831506107558411E-3</v>
      </c>
      <c r="M16" s="558">
        <v>-9.2961133057871681E-3</v>
      </c>
      <c r="N16" s="559">
        <v>1.9367915884904718E-3</v>
      </c>
      <c r="O16" s="522"/>
      <c r="P16" s="522"/>
      <c r="Q16" s="522"/>
      <c r="R16" s="522"/>
      <c r="S16" s="522"/>
      <c r="T16" s="522"/>
    </row>
    <row r="17" spans="1:21" ht="15">
      <c r="A17" s="560"/>
      <c r="B17" s="522"/>
      <c r="C17" s="522"/>
      <c r="D17" s="640"/>
      <c r="E17" s="640"/>
      <c r="F17" s="640"/>
      <c r="G17" s="640"/>
      <c r="H17" s="640"/>
      <c r="I17" s="522"/>
      <c r="J17" s="522"/>
      <c r="K17" s="522"/>
      <c r="L17" s="522"/>
      <c r="M17" s="522"/>
      <c r="N17" s="522"/>
      <c r="O17" s="522"/>
      <c r="P17" s="522"/>
      <c r="Q17" s="522"/>
      <c r="R17" s="522"/>
      <c r="S17" s="522"/>
      <c r="T17" s="522"/>
      <c r="U17" s="522"/>
    </row>
    <row r="18" spans="1:21" ht="15">
      <c r="A18" s="522"/>
      <c r="B18" s="522"/>
      <c r="C18" s="522"/>
      <c r="D18" s="522"/>
      <c r="E18" s="522"/>
      <c r="F18" s="522"/>
      <c r="G18" s="532"/>
      <c r="H18" s="522"/>
      <c r="I18" s="522"/>
      <c r="J18" s="522"/>
      <c r="K18" s="522"/>
      <c r="L18" s="522"/>
      <c r="M18" s="522"/>
      <c r="N18" s="522"/>
      <c r="O18" s="522"/>
      <c r="P18" s="522"/>
      <c r="Q18" s="522"/>
      <c r="R18" s="522"/>
      <c r="S18" s="522"/>
      <c r="T18" s="522"/>
      <c r="U18" s="522"/>
    </row>
    <row r="19" spans="1:21" ht="16.5" thickBot="1">
      <c r="A19" s="540" t="s">
        <v>373</v>
      </c>
      <c r="B19" s="541"/>
      <c r="C19" s="541"/>
      <c r="D19" s="541"/>
      <c r="E19" s="541"/>
      <c r="F19" s="541"/>
      <c r="G19" s="541"/>
      <c r="H19" s="542"/>
      <c r="I19" s="542"/>
      <c r="J19" s="542"/>
      <c r="K19" s="542"/>
      <c r="L19" s="542"/>
      <c r="M19" s="542"/>
      <c r="N19" s="542"/>
      <c r="O19" s="522"/>
      <c r="P19" s="522"/>
      <c r="Q19" s="522"/>
      <c r="R19" s="522"/>
      <c r="S19" s="522"/>
      <c r="T19" s="522"/>
      <c r="U19" s="522"/>
    </row>
    <row r="20" spans="1:21" ht="15.75" thickBot="1">
      <c r="A20" s="543" t="s">
        <v>64</v>
      </c>
      <c r="B20" s="544">
        <v>2000</v>
      </c>
      <c r="C20" s="544">
        <v>2010</v>
      </c>
      <c r="D20" s="544">
        <v>2015</v>
      </c>
      <c r="E20" s="544">
        <v>2020</v>
      </c>
      <c r="F20" s="544">
        <v>2025</v>
      </c>
      <c r="G20" s="544">
        <v>2030</v>
      </c>
      <c r="H20" s="544">
        <v>2035</v>
      </c>
      <c r="I20" s="561" t="s">
        <v>365</v>
      </c>
      <c r="J20" s="562" t="s">
        <v>366</v>
      </c>
      <c r="K20" s="562" t="s">
        <v>367</v>
      </c>
      <c r="L20" s="562" t="s">
        <v>368</v>
      </c>
      <c r="M20" s="562" t="s">
        <v>369</v>
      </c>
      <c r="N20" s="563" t="s">
        <v>370</v>
      </c>
      <c r="O20" s="522"/>
      <c r="P20" s="522"/>
      <c r="Q20" s="522"/>
      <c r="R20" s="522"/>
      <c r="S20" s="522"/>
      <c r="T20" s="522"/>
      <c r="U20" s="522"/>
    </row>
    <row r="21" spans="1:21" ht="15">
      <c r="A21" s="547" t="s">
        <v>51</v>
      </c>
      <c r="B21" s="548">
        <v>14.909000000000001</v>
      </c>
      <c r="C21" s="564">
        <v>10.798999999999999</v>
      </c>
      <c r="D21" s="548">
        <v>11.144633021332247</v>
      </c>
      <c r="E21" s="548">
        <v>11.714343009096154</v>
      </c>
      <c r="F21" s="565">
        <v>12.33774608125403</v>
      </c>
      <c r="G21" s="548">
        <v>12.961149153411906</v>
      </c>
      <c r="H21" s="548">
        <v>13.47979378973306</v>
      </c>
      <c r="I21" s="566">
        <v>-3.1736629762001645E-2</v>
      </c>
      <c r="J21" s="567">
        <v>6.320792709152423E-3</v>
      </c>
      <c r="K21" s="567">
        <v>1.0021068073664541E-2</v>
      </c>
      <c r="L21" s="567">
        <v>1.042382568836131E-2</v>
      </c>
      <c r="M21" s="567">
        <v>9.9073572754997397E-3</v>
      </c>
      <c r="N21" s="568">
        <v>7.8779594310074419E-3</v>
      </c>
      <c r="O21" s="522"/>
      <c r="P21" s="522"/>
      <c r="Q21" s="522"/>
      <c r="R21" s="522"/>
      <c r="S21" s="522"/>
      <c r="T21" s="633"/>
      <c r="U21" s="632"/>
    </row>
    <row r="22" spans="1:21" ht="15">
      <c r="A22" s="547" t="s">
        <v>243</v>
      </c>
      <c r="B22" s="548">
        <v>2.31</v>
      </c>
      <c r="C22" s="548">
        <v>1.327673954</v>
      </c>
      <c r="D22" s="548">
        <v>1.5089908688723002</v>
      </c>
      <c r="E22" s="548">
        <v>1.5540152218446721</v>
      </c>
      <c r="F22" s="565">
        <v>1.6032829555473309</v>
      </c>
      <c r="G22" s="548">
        <v>1.6525506892499897</v>
      </c>
      <c r="H22" s="548">
        <v>1.6935393320234915</v>
      </c>
      <c r="I22" s="569">
        <v>-5.3876247622216544E-2</v>
      </c>
      <c r="J22" s="570">
        <v>2.5933084526932104E-2</v>
      </c>
      <c r="K22" s="570">
        <v>5.8975059178869582E-3</v>
      </c>
      <c r="L22" s="570">
        <v>6.2617889684082328E-3</v>
      </c>
      <c r="M22" s="570">
        <v>6.0716768074886573E-3</v>
      </c>
      <c r="N22" s="571">
        <v>4.9121556201532357E-3</v>
      </c>
      <c r="O22" s="522"/>
      <c r="P22" s="522"/>
      <c r="Q22" s="522"/>
      <c r="R22" s="522"/>
      <c r="S22" s="522"/>
      <c r="T22" s="522"/>
      <c r="U22" s="522"/>
    </row>
    <row r="23" spans="1:21" ht="15">
      <c r="A23" s="547" t="s">
        <v>40</v>
      </c>
      <c r="B23" s="548"/>
      <c r="C23" s="548"/>
      <c r="D23" s="548"/>
      <c r="E23" s="548"/>
      <c r="F23" s="522"/>
      <c r="G23" s="548"/>
      <c r="H23" s="572"/>
      <c r="I23" s="569"/>
      <c r="J23" s="570"/>
      <c r="K23" s="570"/>
      <c r="L23" s="570"/>
      <c r="M23" s="570"/>
      <c r="N23" s="571"/>
      <c r="O23" s="522"/>
      <c r="P23" s="522"/>
      <c r="Q23" s="522"/>
      <c r="R23" s="522"/>
      <c r="S23" s="522"/>
      <c r="T23" s="522"/>
      <c r="U23" s="522"/>
    </row>
    <row r="24" spans="1:21" ht="15.75" thickBot="1">
      <c r="A24" s="555" t="s">
        <v>9</v>
      </c>
      <c r="B24" s="556">
        <v>17.219000000000001</v>
      </c>
      <c r="C24" s="556">
        <v>12.126673953999999</v>
      </c>
      <c r="D24" s="556">
        <v>12.653623890204546</v>
      </c>
      <c r="E24" s="556">
        <v>13.268358230940827</v>
      </c>
      <c r="F24" s="556">
        <v>13.941029036801361</v>
      </c>
      <c r="G24" s="556">
        <v>14.613699842661896</v>
      </c>
      <c r="H24" s="556">
        <v>15.173333121756551</v>
      </c>
      <c r="I24" s="573">
        <v>-3.4453091859345975E-2</v>
      </c>
      <c r="J24" s="574">
        <v>8.5435218014875414E-3</v>
      </c>
      <c r="K24" s="574">
        <v>9.5328453847411954E-3</v>
      </c>
      <c r="L24" s="574">
        <v>9.9398960821908133E-3</v>
      </c>
      <c r="M24" s="574">
        <v>9.4691943002815915E-3</v>
      </c>
      <c r="N24" s="575">
        <v>7.5443267196499963E-3</v>
      </c>
      <c r="O24" s="522"/>
      <c r="P24" s="522"/>
      <c r="Q24" s="522"/>
      <c r="R24" s="522"/>
      <c r="S24" s="522"/>
      <c r="T24" s="522"/>
      <c r="U24" s="632"/>
    </row>
    <row r="25" spans="1:21" ht="15">
      <c r="A25" s="560"/>
      <c r="B25" s="522"/>
      <c r="C25" s="522"/>
      <c r="D25" s="522"/>
      <c r="E25" s="522"/>
      <c r="F25" s="522"/>
      <c r="G25" s="532"/>
      <c r="H25" s="522"/>
      <c r="I25" s="522"/>
      <c r="J25" s="522"/>
      <c r="K25" s="522"/>
      <c r="L25" s="522"/>
      <c r="M25" s="522"/>
      <c r="N25" s="522"/>
      <c r="O25" s="522"/>
      <c r="P25" s="522"/>
      <c r="Q25" s="522"/>
      <c r="R25" s="522"/>
      <c r="S25" s="522"/>
      <c r="T25" s="522"/>
      <c r="U25" s="522"/>
    </row>
    <row r="26" spans="1:21" ht="15">
      <c r="A26" s="560"/>
      <c r="B26" s="522"/>
      <c r="C26" s="522"/>
      <c r="D26" s="522"/>
      <c r="E26" s="522"/>
      <c r="F26" s="522"/>
      <c r="G26" s="532"/>
      <c r="H26" s="522"/>
      <c r="I26" s="522"/>
      <c r="J26" s="522"/>
      <c r="K26" s="522"/>
      <c r="L26" s="522"/>
      <c r="M26" s="522"/>
      <c r="N26" s="522"/>
      <c r="O26" s="522"/>
      <c r="P26" s="522"/>
      <c r="Q26" s="522"/>
      <c r="R26" s="522"/>
      <c r="S26" s="522"/>
      <c r="T26" s="522"/>
      <c r="U26" s="522"/>
    </row>
    <row r="27" spans="1:21" ht="16.5" thickBot="1">
      <c r="A27" s="540" t="s">
        <v>374</v>
      </c>
      <c r="B27" s="541"/>
      <c r="C27" s="541"/>
      <c r="D27" s="541"/>
      <c r="E27" s="541"/>
      <c r="F27" s="541"/>
      <c r="G27" s="541"/>
      <c r="H27" s="542"/>
      <c r="I27" s="542"/>
      <c r="J27" s="542"/>
      <c r="K27" s="542"/>
      <c r="L27" s="542"/>
      <c r="M27" s="542"/>
      <c r="N27" s="542"/>
      <c r="O27" s="522"/>
      <c r="P27" s="522"/>
      <c r="Q27" s="522"/>
      <c r="R27" s="522"/>
      <c r="S27" s="522"/>
      <c r="T27" s="632"/>
      <c r="U27" s="632"/>
    </row>
    <row r="28" spans="1:21" ht="15.75" thickBot="1">
      <c r="A28" s="543" t="s">
        <v>64</v>
      </c>
      <c r="B28" s="544">
        <v>2000</v>
      </c>
      <c r="C28" s="544">
        <v>2010</v>
      </c>
      <c r="D28" s="544">
        <v>2015</v>
      </c>
      <c r="E28" s="544">
        <v>2020</v>
      </c>
      <c r="F28" s="544">
        <v>2025</v>
      </c>
      <c r="G28" s="544">
        <v>2030</v>
      </c>
      <c r="H28" s="544">
        <v>2035</v>
      </c>
      <c r="I28" s="561" t="s">
        <v>365</v>
      </c>
      <c r="J28" s="562" t="s">
        <v>366</v>
      </c>
      <c r="K28" s="562" t="s">
        <v>367</v>
      </c>
      <c r="L28" s="562" t="s">
        <v>368</v>
      </c>
      <c r="M28" s="562" t="s">
        <v>369</v>
      </c>
      <c r="N28" s="563" t="s">
        <v>370</v>
      </c>
      <c r="O28" s="522"/>
      <c r="P28" s="522"/>
      <c r="Q28" s="522"/>
      <c r="R28" s="522"/>
      <c r="S28" s="522"/>
      <c r="T28" s="522"/>
      <c r="U28" s="522"/>
    </row>
    <row r="29" spans="1:21" ht="15">
      <c r="A29" s="576" t="s">
        <v>375</v>
      </c>
      <c r="B29" s="577">
        <v>8.1803259004370812</v>
      </c>
      <c r="C29" s="577">
        <v>6.4021289082833981</v>
      </c>
      <c r="D29" s="577">
        <v>6.8072126785253975</v>
      </c>
      <c r="E29" s="577">
        <v>7.1077204552599156</v>
      </c>
      <c r="F29" s="577">
        <v>6.8109003238457468</v>
      </c>
      <c r="G29" s="577">
        <v>6.5140801924315781</v>
      </c>
      <c r="H29" s="577">
        <v>6.5378190883565139</v>
      </c>
      <c r="I29" s="566">
        <v>-2.4212206983987739E-2</v>
      </c>
      <c r="J29" s="567">
        <v>1.2346022832837589E-2</v>
      </c>
      <c r="K29" s="567">
        <v>8.6771991736351861E-3</v>
      </c>
      <c r="L29" s="567">
        <v>-8.4951631844364384E-3</v>
      </c>
      <c r="M29" s="567">
        <v>-8.8720688544717818E-3</v>
      </c>
      <c r="N29" s="568">
        <v>7.2778862300260094E-4</v>
      </c>
      <c r="O29" s="522"/>
      <c r="P29" s="636"/>
      <c r="Q29" s="637"/>
      <c r="R29" s="522"/>
      <c r="S29" s="522"/>
      <c r="T29" s="522"/>
      <c r="U29" s="522"/>
    </row>
    <row r="30" spans="1:21" ht="15">
      <c r="A30" s="578" t="s">
        <v>376</v>
      </c>
      <c r="B30" s="579">
        <v>6.7675630057365286</v>
      </c>
      <c r="C30" s="579">
        <v>5.4300283160620744</v>
      </c>
      <c r="D30" s="579">
        <v>5.8248632614431548</v>
      </c>
      <c r="E30" s="579">
        <v>6.107736666824132</v>
      </c>
      <c r="F30" s="579">
        <v>5.9049204229354082</v>
      </c>
      <c r="G30" s="579">
        <v>5.7021041790466844</v>
      </c>
      <c r="H30" s="579">
        <v>5.7021041790466844</v>
      </c>
      <c r="I30" s="569">
        <v>-2.1779007119860139E-2</v>
      </c>
      <c r="J30" s="570">
        <v>1.4137233951211803E-2</v>
      </c>
      <c r="K30" s="570">
        <v>9.5292668378621492E-3</v>
      </c>
      <c r="L30" s="570">
        <v>-6.7313026510567031E-3</v>
      </c>
      <c r="M30" s="570">
        <v>-6.965768260690397E-3</v>
      </c>
      <c r="N30" s="571">
        <v>0</v>
      </c>
      <c r="O30" s="522"/>
      <c r="P30" s="636"/>
      <c r="Q30" s="637"/>
      <c r="R30" s="522"/>
      <c r="S30" s="522"/>
      <c r="T30" s="522"/>
      <c r="U30" s="522"/>
    </row>
    <row r="31" spans="1:21" ht="15">
      <c r="A31" s="578" t="s">
        <v>377</v>
      </c>
      <c r="B31" s="579">
        <v>0.77559051401547718</v>
      </c>
      <c r="C31" s="579">
        <v>0.60790550779449692</v>
      </c>
      <c r="D31" s="579">
        <v>0.60605889696481507</v>
      </c>
      <c r="E31" s="579">
        <v>0.59672240188336212</v>
      </c>
      <c r="F31" s="579">
        <v>0.47371154754370171</v>
      </c>
      <c r="G31" s="579">
        <v>0.35070069320404124</v>
      </c>
      <c r="H31" s="579">
        <v>0.33699852498598448</v>
      </c>
      <c r="I31" s="569">
        <v>-2.4066201007456156E-2</v>
      </c>
      <c r="J31" s="570">
        <v>-6.0827173144395452E-4</v>
      </c>
      <c r="K31" s="570">
        <v>-3.1002152323542642E-3</v>
      </c>
      <c r="L31" s="570">
        <v>-4.5121036154963101E-2</v>
      </c>
      <c r="M31" s="570">
        <v>-5.8360798118688106E-2</v>
      </c>
      <c r="N31" s="571">
        <v>-7.9392325520949436E-3</v>
      </c>
      <c r="O31" s="522"/>
      <c r="P31" s="636"/>
      <c r="Q31" s="637"/>
      <c r="R31" s="522"/>
      <c r="S31" s="522"/>
      <c r="T31" s="522"/>
      <c r="U31" s="522"/>
    </row>
    <row r="32" spans="1:21" ht="15">
      <c r="A32" s="576" t="s">
        <v>378</v>
      </c>
      <c r="B32" s="548">
        <v>11.068099999999998</v>
      </c>
      <c r="C32" s="548">
        <v>9.1836184234520584</v>
      </c>
      <c r="D32" s="548">
        <v>8.7267706415218651</v>
      </c>
      <c r="E32" s="548">
        <v>8.479795425420642</v>
      </c>
      <c r="F32" s="548">
        <v>8.0927822842993464</v>
      </c>
      <c r="G32" s="548">
        <v>7.7057691431780508</v>
      </c>
      <c r="H32" s="548">
        <v>7.7927072026204867</v>
      </c>
      <c r="I32" s="569">
        <v>-1.8491475982806316E-2</v>
      </c>
      <c r="J32" s="570">
        <v>-1.0153284706149068E-2</v>
      </c>
      <c r="K32" s="570">
        <v>-5.7253595412984915E-3</v>
      </c>
      <c r="L32" s="570">
        <v>-9.299239481827648E-3</v>
      </c>
      <c r="M32" s="570">
        <v>-9.7527901893246227E-3</v>
      </c>
      <c r="N32" s="571">
        <v>2.2463261422109859E-3</v>
      </c>
      <c r="O32" s="522"/>
      <c r="P32" s="636"/>
      <c r="Q32" s="637"/>
      <c r="R32" s="522"/>
      <c r="S32" s="522"/>
      <c r="T32" s="522"/>
      <c r="U32" s="522"/>
    </row>
    <row r="33" spans="1:17" ht="15">
      <c r="A33" s="578" t="s">
        <v>379</v>
      </c>
      <c r="B33" s="579">
        <v>0.68757786398448273</v>
      </c>
      <c r="C33" s="579">
        <v>0.38393569088535984</v>
      </c>
      <c r="D33" s="579">
        <v>0.36068044088919204</v>
      </c>
      <c r="E33" s="579">
        <v>0.33662314181944897</v>
      </c>
      <c r="F33" s="579">
        <v>0.31995708360253045</v>
      </c>
      <c r="G33" s="579">
        <v>0.30329102538561192</v>
      </c>
      <c r="H33" s="579">
        <v>0.3028541368658596</v>
      </c>
      <c r="I33" s="569">
        <v>-5.660480487514763E-2</v>
      </c>
      <c r="J33" s="570">
        <v>-1.2418783645545939E-2</v>
      </c>
      <c r="K33" s="570">
        <v>-1.3710804821431721E-2</v>
      </c>
      <c r="L33" s="570">
        <v>-1.0104039327348269E-2</v>
      </c>
      <c r="M33" s="570">
        <v>-1.064178103470792E-2</v>
      </c>
      <c r="N33" s="571">
        <v>-2.8826469288678602E-4</v>
      </c>
      <c r="O33" s="522"/>
      <c r="P33" s="636"/>
      <c r="Q33" s="637"/>
    </row>
    <row r="34" spans="1:17" ht="15">
      <c r="A34" s="578" t="s">
        <v>380</v>
      </c>
      <c r="B34" s="579">
        <v>5.789753398388287</v>
      </c>
      <c r="C34" s="579">
        <v>4.7093585353399039</v>
      </c>
      <c r="D34" s="579">
        <v>4.4231640641743679</v>
      </c>
      <c r="E34" s="579">
        <v>4.2886936565562941</v>
      </c>
      <c r="F34" s="579">
        <v>4.0996320538055393</v>
      </c>
      <c r="G34" s="579">
        <v>3.9105704510547836</v>
      </c>
      <c r="H34" s="579">
        <v>3.8814330614061179</v>
      </c>
      <c r="I34" s="569">
        <v>-2.0441970455062464E-2</v>
      </c>
      <c r="J34" s="570">
        <v>-1.2460993776289842E-2</v>
      </c>
      <c r="K34" s="570">
        <v>-6.1555989930732746E-3</v>
      </c>
      <c r="L34" s="570">
        <v>-8.976459038016027E-3</v>
      </c>
      <c r="M34" s="570">
        <v>-9.3983504124488526E-3</v>
      </c>
      <c r="N34" s="571">
        <v>-1.4946474200835391E-3</v>
      </c>
      <c r="O34" s="522"/>
      <c r="P34" s="636"/>
      <c r="Q34" s="637"/>
    </row>
    <row r="35" spans="1:17" ht="15">
      <c r="A35" s="578" t="s">
        <v>381</v>
      </c>
      <c r="B35" s="579">
        <v>0.54880121578115937</v>
      </c>
      <c r="C35" s="579">
        <v>0.37367998572287053</v>
      </c>
      <c r="D35" s="579">
        <v>0.31301613203357731</v>
      </c>
      <c r="E35" s="579">
        <v>0.29592626961232193</v>
      </c>
      <c r="F35" s="579">
        <v>0.27885360021161104</v>
      </c>
      <c r="G35" s="579">
        <v>0.26178093081090015</v>
      </c>
      <c r="H35" s="579">
        <v>0.26178093081090015</v>
      </c>
      <c r="I35" s="569">
        <v>-3.7704450393279854E-2</v>
      </c>
      <c r="J35" s="570">
        <v>-3.4808749030288411E-2</v>
      </c>
      <c r="K35" s="570">
        <v>-1.1166070469007416E-2</v>
      </c>
      <c r="L35" s="570">
        <v>-1.1814340183644245E-2</v>
      </c>
      <c r="M35" s="570">
        <v>-1.2556284036920884E-2</v>
      </c>
      <c r="N35" s="571">
        <v>0</v>
      </c>
      <c r="O35" s="522"/>
      <c r="P35" s="636"/>
      <c r="Q35" s="637"/>
    </row>
    <row r="36" spans="1:17" ht="15">
      <c r="A36" s="576" t="s">
        <v>382</v>
      </c>
      <c r="B36" s="548">
        <v>4.9113662193223995</v>
      </c>
      <c r="C36" s="548">
        <v>4.5484370584578286</v>
      </c>
      <c r="D36" s="548">
        <v>4.5533459371681673</v>
      </c>
      <c r="E36" s="548">
        <v>4.7935605860249826</v>
      </c>
      <c r="F36" s="548">
        <v>4.8478504936023032</v>
      </c>
      <c r="G36" s="548">
        <v>4.902140401179623</v>
      </c>
      <c r="H36" s="548">
        <v>5.15370547116955</v>
      </c>
      <c r="I36" s="569">
        <v>-7.6474567777695679E-3</v>
      </c>
      <c r="J36" s="570">
        <v>2.1575591197775523E-4</v>
      </c>
      <c r="K36" s="570">
        <v>1.0335271579869021E-2</v>
      </c>
      <c r="L36" s="570">
        <v>2.2549259007775824E-3</v>
      </c>
      <c r="M36" s="570">
        <v>2.2297856415527395E-3</v>
      </c>
      <c r="N36" s="571">
        <v>1.0059063364596943E-2</v>
      </c>
      <c r="O36" s="522"/>
      <c r="P36" s="636"/>
      <c r="Q36" s="637"/>
    </row>
    <row r="37" spans="1:17" ht="15">
      <c r="A37" s="578" t="s">
        <v>383</v>
      </c>
      <c r="B37" s="579">
        <v>1.706829036364901</v>
      </c>
      <c r="C37" s="579">
        <v>1.631768569958151</v>
      </c>
      <c r="D37" s="579">
        <v>1.6163515141504843</v>
      </c>
      <c r="E37" s="579">
        <v>1.8278353752601959</v>
      </c>
      <c r="F37" s="579">
        <v>1.7242008649096847</v>
      </c>
      <c r="G37" s="579">
        <v>1.6205663545591735</v>
      </c>
      <c r="H37" s="579">
        <v>1.6470645950821579</v>
      </c>
      <c r="I37" s="569">
        <v>-4.487186907876195E-3</v>
      </c>
      <c r="J37" s="570">
        <v>-1.8967950632687858E-3</v>
      </c>
      <c r="K37" s="570">
        <v>2.4897072853873992E-2</v>
      </c>
      <c r="L37" s="570">
        <v>-1.1605873236729347E-2</v>
      </c>
      <c r="M37" s="570">
        <v>-1.232106373330133E-2</v>
      </c>
      <c r="N37" s="571">
        <v>3.2490629083123945E-3</v>
      </c>
      <c r="O37" s="522"/>
      <c r="P37" s="636"/>
      <c r="Q37" s="637"/>
    </row>
    <row r="38" spans="1:17" ht="15">
      <c r="A38" s="578" t="s">
        <v>384</v>
      </c>
      <c r="B38" s="579">
        <v>1.4500461716890958</v>
      </c>
      <c r="C38" s="579">
        <v>1.2427746584136752</v>
      </c>
      <c r="D38" s="579">
        <v>1.2379730882780369</v>
      </c>
      <c r="E38" s="579">
        <v>1.1146175880468978</v>
      </c>
      <c r="F38" s="579">
        <v>1.0842249442747915</v>
      </c>
      <c r="G38" s="579">
        <v>1.0538323005026855</v>
      </c>
      <c r="H38" s="579">
        <v>1.0439634661187414</v>
      </c>
      <c r="I38" s="569">
        <v>-1.5306534799710114E-2</v>
      </c>
      <c r="J38" s="570">
        <v>-7.7391470263687978E-4</v>
      </c>
      <c r="K38" s="570">
        <v>-2.0773996826404351E-2</v>
      </c>
      <c r="L38" s="570">
        <v>-5.5139383417401877E-3</v>
      </c>
      <c r="M38" s="570">
        <v>-5.670275931613844E-3</v>
      </c>
      <c r="N38" s="571">
        <v>-1.8799976002491503E-3</v>
      </c>
      <c r="O38" s="522"/>
      <c r="P38" s="636"/>
      <c r="Q38" s="637"/>
    </row>
    <row r="39" spans="1:17" ht="15">
      <c r="A39" s="576" t="s">
        <v>385</v>
      </c>
      <c r="B39" s="548">
        <v>5.0991999999999997</v>
      </c>
      <c r="C39" s="548">
        <v>5.3618215009306631</v>
      </c>
      <c r="D39" s="548">
        <v>4.9955130159532999</v>
      </c>
      <c r="E39" s="548">
        <v>4.6436290385396291</v>
      </c>
      <c r="F39" s="548">
        <v>4.0723144361486732</v>
      </c>
      <c r="G39" s="548">
        <v>3.5009998337577168</v>
      </c>
      <c r="H39" s="548">
        <v>3.2741780308339106</v>
      </c>
      <c r="I39" s="569">
        <v>5.0346399143419429E-3</v>
      </c>
      <c r="J39" s="570">
        <v>-1.4053048329980111E-2</v>
      </c>
      <c r="K39" s="570">
        <v>-1.450259577599633E-2</v>
      </c>
      <c r="L39" s="570">
        <v>-2.5915221076059258E-2</v>
      </c>
      <c r="M39" s="570">
        <v>-2.9780146597581547E-2</v>
      </c>
      <c r="N39" s="571">
        <v>-1.3307016252519954E-2</v>
      </c>
      <c r="O39" s="522"/>
      <c r="P39" s="636"/>
      <c r="Q39" s="637"/>
    </row>
    <row r="40" spans="1:17" ht="15">
      <c r="A40" s="578" t="s">
        <v>386</v>
      </c>
      <c r="B40" s="579">
        <v>0.86338443280209554</v>
      </c>
      <c r="C40" s="579">
        <v>0.82892396317459438</v>
      </c>
      <c r="D40" s="579">
        <v>1.0020716517375456</v>
      </c>
      <c r="E40" s="579">
        <v>1.0255036610868866</v>
      </c>
      <c r="F40" s="579">
        <v>0.94876987002957114</v>
      </c>
      <c r="G40" s="579">
        <v>0.87203607897225566</v>
      </c>
      <c r="H40" s="579">
        <v>0.87203607897225566</v>
      </c>
      <c r="I40" s="569">
        <v>-4.0648782316429211E-3</v>
      </c>
      <c r="J40" s="570">
        <v>3.8668154312210046E-2</v>
      </c>
      <c r="K40" s="570">
        <v>4.6335739071101667E-3</v>
      </c>
      <c r="L40" s="570">
        <v>-1.5434227527129418E-2</v>
      </c>
      <c r="M40" s="570">
        <v>-1.6725641743552622E-2</v>
      </c>
      <c r="N40" s="571">
        <v>0</v>
      </c>
      <c r="O40" s="522"/>
      <c r="P40" s="636"/>
      <c r="Q40" s="522"/>
    </row>
    <row r="41" spans="1:17" ht="15">
      <c r="A41" s="576" t="s">
        <v>387</v>
      </c>
      <c r="B41" s="548">
        <v>4.5672999999999995</v>
      </c>
      <c r="C41" s="548">
        <v>4.0633678599223586</v>
      </c>
      <c r="D41" s="548">
        <v>4.0724768411509693</v>
      </c>
      <c r="E41" s="548">
        <v>4.1611544841394075</v>
      </c>
      <c r="F41" s="548">
        <v>4.2176891963158241</v>
      </c>
      <c r="G41" s="548">
        <v>4.2742239084922407</v>
      </c>
      <c r="H41" s="548">
        <v>4.408581422623131</v>
      </c>
      <c r="I41" s="569">
        <v>-1.1622932601219604E-2</v>
      </c>
      <c r="J41" s="570">
        <v>4.4794488483201889E-4</v>
      </c>
      <c r="K41" s="570">
        <v>4.3175300238111891E-3</v>
      </c>
      <c r="L41" s="570">
        <v>2.7026131442160484E-3</v>
      </c>
      <c r="M41" s="570">
        <v>2.6665789693707254E-3</v>
      </c>
      <c r="N41" s="571">
        <v>6.2092823235666561E-3</v>
      </c>
      <c r="O41" s="522"/>
      <c r="P41" s="636"/>
      <c r="Q41" s="522"/>
    </row>
    <row r="42" spans="1:17" ht="15">
      <c r="A42" s="576" t="s">
        <v>388</v>
      </c>
      <c r="B42" s="548">
        <v>5.6278539452050786</v>
      </c>
      <c r="C42" s="548">
        <v>4.4718690579133877</v>
      </c>
      <c r="D42" s="548">
        <v>4.0084882406068596</v>
      </c>
      <c r="E42" s="548">
        <v>3.5424897625421194</v>
      </c>
      <c r="F42" s="548">
        <v>3.2587563778284325</v>
      </c>
      <c r="G42" s="548">
        <v>2.9750229931147452</v>
      </c>
      <c r="H42" s="548">
        <v>2.995649466460117</v>
      </c>
      <c r="I42" s="569">
        <v>-2.2729867404322479E-2</v>
      </c>
      <c r="J42" s="570">
        <v>-2.1640858904704796E-2</v>
      </c>
      <c r="K42" s="570">
        <v>-2.441391332227616E-2</v>
      </c>
      <c r="L42" s="570">
        <v>-1.6558212333343425E-2</v>
      </c>
      <c r="M42" s="570">
        <v>-1.8053816548031065E-2</v>
      </c>
      <c r="N42" s="571">
        <v>1.3828133158753086E-3</v>
      </c>
      <c r="O42" s="522"/>
      <c r="P42" s="636"/>
      <c r="Q42" s="522"/>
    </row>
    <row r="43" spans="1:17" ht="15">
      <c r="A43" s="578" t="s">
        <v>389</v>
      </c>
      <c r="B43" s="579">
        <v>3.7454704732988979</v>
      </c>
      <c r="C43" s="579">
        <v>3.2384298717516438</v>
      </c>
      <c r="D43" s="579">
        <v>2.9365627744183644</v>
      </c>
      <c r="E43" s="579">
        <v>2.5917585001687806</v>
      </c>
      <c r="F43" s="579">
        <v>2.4659936747750488</v>
      </c>
      <c r="G43" s="579">
        <v>2.340228849381317</v>
      </c>
      <c r="H43" s="579">
        <v>2.4409004330051278</v>
      </c>
      <c r="I43" s="569">
        <v>-1.4440583140648888E-2</v>
      </c>
      <c r="J43" s="570">
        <v>-1.9379521522349008E-2</v>
      </c>
      <c r="K43" s="570">
        <v>-2.4671199961586399E-2</v>
      </c>
      <c r="L43" s="570">
        <v>-9.8990314608463637E-3</v>
      </c>
      <c r="M43" s="570">
        <v>-1.0414611687915465E-2</v>
      </c>
      <c r="N43" s="571">
        <v>8.4592343537517323E-3</v>
      </c>
      <c r="O43" s="522"/>
      <c r="P43" s="636"/>
      <c r="Q43" s="522"/>
    </row>
    <row r="44" spans="1:17" ht="15">
      <c r="A44" s="547"/>
      <c r="B44" s="548"/>
      <c r="C44" s="548"/>
      <c r="D44" s="548"/>
      <c r="E44" s="548"/>
      <c r="F44" s="548"/>
      <c r="G44" s="548"/>
      <c r="H44" s="548"/>
      <c r="I44" s="569"/>
      <c r="J44" s="570"/>
      <c r="K44" s="570"/>
      <c r="L44" s="570"/>
      <c r="M44" s="570"/>
      <c r="N44" s="571"/>
      <c r="O44" s="522"/>
      <c r="P44" s="522"/>
      <c r="Q44" s="522"/>
    </row>
    <row r="45" spans="1:17" ht="15">
      <c r="A45" s="547"/>
      <c r="B45" s="548"/>
      <c r="C45" s="548"/>
      <c r="D45" s="548"/>
      <c r="E45" s="548"/>
      <c r="F45" s="548"/>
      <c r="G45" s="548"/>
      <c r="H45" s="548"/>
      <c r="I45" s="569"/>
      <c r="J45" s="570"/>
      <c r="K45" s="570"/>
      <c r="L45" s="570"/>
      <c r="M45" s="570"/>
      <c r="N45" s="571"/>
      <c r="O45" s="522"/>
      <c r="P45" s="522"/>
      <c r="Q45" s="522"/>
    </row>
    <row r="46" spans="1:17" ht="15.75" thickBot="1">
      <c r="A46" s="555" t="s">
        <v>9</v>
      </c>
      <c r="B46" s="556">
        <v>39.454146064964554</v>
      </c>
      <c r="C46" s="556">
        <v>34.031242808959689</v>
      </c>
      <c r="D46" s="556">
        <v>33.163807354926554</v>
      </c>
      <c r="E46" s="556">
        <v>32.728349751926693</v>
      </c>
      <c r="F46" s="556">
        <v>31.300293112040325</v>
      </c>
      <c r="G46" s="556">
        <v>29.872236472153958</v>
      </c>
      <c r="H46" s="556">
        <v>30.16264068206371</v>
      </c>
      <c r="I46" s="573">
        <v>-1.4677236657589909E-2</v>
      </c>
      <c r="J46" s="574">
        <v>-5.1506631003248593E-3</v>
      </c>
      <c r="K46" s="574">
        <v>-2.6400038800999948E-3</v>
      </c>
      <c r="L46" s="574">
        <v>-8.8831506107558411E-3</v>
      </c>
      <c r="M46" s="574">
        <v>-9.2961133057871681E-3</v>
      </c>
      <c r="N46" s="575">
        <v>1.9367915884904718E-3</v>
      </c>
      <c r="O46" s="522"/>
      <c r="P46" s="522"/>
      <c r="Q46" s="522"/>
    </row>
    <row r="47" spans="1:17" ht="15.75" thickBot="1">
      <c r="A47" s="560"/>
      <c r="B47" s="522"/>
      <c r="C47" s="522"/>
      <c r="D47" s="522"/>
      <c r="E47" s="522"/>
      <c r="F47" s="522"/>
      <c r="G47" s="532"/>
      <c r="H47" s="522"/>
      <c r="I47" s="522"/>
      <c r="J47" s="522"/>
      <c r="K47" s="522"/>
      <c r="L47" s="522"/>
      <c r="M47" s="522"/>
      <c r="N47" s="522"/>
      <c r="O47" s="522"/>
      <c r="P47" s="522"/>
      <c r="Q47" s="522"/>
    </row>
    <row r="48" spans="1:17" ht="15.75" thickBot="1">
      <c r="A48" s="580" t="s">
        <v>390</v>
      </c>
      <c r="B48" s="581">
        <v>22.335016112060927</v>
      </c>
      <c r="C48" s="581">
        <v>18.446805099102772</v>
      </c>
      <c r="D48" s="581">
        <v>18.320741824089538</v>
      </c>
      <c r="E48" s="581">
        <v>18.185417261258319</v>
      </c>
      <c r="F48" s="581">
        <v>17.300264062087887</v>
      </c>
      <c r="G48" s="581">
        <v>16.415110862917452</v>
      </c>
      <c r="H48" s="581">
        <v>16.48913540629383</v>
      </c>
      <c r="I48" s="582">
        <v>-1.8944698675381288E-2</v>
      </c>
      <c r="J48" s="583">
        <v>-1.3705277925756265E-3</v>
      </c>
      <c r="K48" s="583">
        <v>-1.4816667419754737E-3</v>
      </c>
      <c r="L48" s="583">
        <v>-9.9300202025026651E-3</v>
      </c>
      <c r="M48" s="583">
        <v>-1.0448918852403399E-2</v>
      </c>
      <c r="N48" s="584">
        <v>9.0028483617676791E-4</v>
      </c>
      <c r="O48" s="522"/>
      <c r="P48" s="522"/>
      <c r="Q48" s="522"/>
    </row>
    <row r="49" spans="1:16" ht="15">
      <c r="A49" s="585"/>
      <c r="B49" s="586"/>
      <c r="C49" s="586"/>
      <c r="D49" s="586"/>
      <c r="E49" s="586"/>
      <c r="F49" s="586"/>
      <c r="G49" s="586"/>
      <c r="H49" s="586"/>
      <c r="I49" s="570"/>
      <c r="J49" s="570"/>
      <c r="K49" s="570"/>
      <c r="L49" s="570"/>
      <c r="M49" s="570"/>
      <c r="N49" s="570"/>
      <c r="O49" s="522"/>
      <c r="P49" s="522"/>
    </row>
    <row r="50" spans="1:16" ht="15">
      <c r="A50" s="522"/>
      <c r="B50" s="587"/>
      <c r="C50" s="587"/>
      <c r="D50" s="522"/>
      <c r="E50" s="533"/>
      <c r="F50" s="522"/>
      <c r="G50" s="522"/>
      <c r="H50" s="522"/>
      <c r="I50" s="522"/>
      <c r="J50" s="522"/>
      <c r="K50" s="522"/>
      <c r="L50" s="522"/>
      <c r="M50" s="522"/>
      <c r="N50" s="522"/>
      <c r="O50" s="522"/>
      <c r="P50" s="522"/>
    </row>
    <row r="51" spans="1:16" ht="16.5" thickBot="1">
      <c r="A51" s="540" t="s">
        <v>391</v>
      </c>
      <c r="B51" s="541"/>
      <c r="C51" s="541"/>
      <c r="D51" s="541"/>
      <c r="E51" s="542"/>
      <c r="F51" s="541"/>
      <c r="G51" s="542"/>
      <c r="H51" s="542"/>
      <c r="I51" s="542"/>
      <c r="J51" s="542"/>
      <c r="K51" s="542"/>
      <c r="L51" s="542"/>
      <c r="M51" s="542"/>
      <c r="N51" s="542"/>
      <c r="O51" s="522"/>
      <c r="P51" s="522"/>
    </row>
    <row r="52" spans="1:16" ht="15.75" thickBot="1">
      <c r="A52" s="588" t="s">
        <v>392</v>
      </c>
      <c r="B52" s="544">
        <v>2000</v>
      </c>
      <c r="C52" s="544">
        <v>2010</v>
      </c>
      <c r="D52" s="544">
        <v>2015</v>
      </c>
      <c r="E52" s="544">
        <v>2020</v>
      </c>
      <c r="F52" s="544">
        <v>2025</v>
      </c>
      <c r="G52" s="544">
        <v>2030</v>
      </c>
      <c r="H52" s="544">
        <v>2035</v>
      </c>
      <c r="I52" s="561" t="s">
        <v>365</v>
      </c>
      <c r="J52" s="562" t="s">
        <v>366</v>
      </c>
      <c r="K52" s="562" t="s">
        <v>367</v>
      </c>
      <c r="L52" s="562" t="s">
        <v>368</v>
      </c>
      <c r="M52" s="562" t="s">
        <v>369</v>
      </c>
      <c r="N52" s="563" t="s">
        <v>370</v>
      </c>
      <c r="O52" s="522"/>
      <c r="P52" s="522"/>
    </row>
    <row r="53" spans="1:16" ht="15">
      <c r="A53" s="576" t="s">
        <v>375</v>
      </c>
      <c r="B53" s="548">
        <v>21.062772196372091</v>
      </c>
      <c r="C53" s="548">
        <v>17.913730242111459</v>
      </c>
      <c r="D53" s="548">
        <v>17.077850974871577</v>
      </c>
      <c r="E53" s="548">
        <v>18.655408920210032</v>
      </c>
      <c r="F53" s="548">
        <v>17.835938108215515</v>
      </c>
      <c r="G53" s="548">
        <v>17.016467296221002</v>
      </c>
      <c r="H53" s="548">
        <v>17.185884453984027</v>
      </c>
      <c r="I53" s="566">
        <v>-1.6063548658574844E-2</v>
      </c>
      <c r="J53" s="567">
        <v>-9.5114992272963272E-3</v>
      </c>
      <c r="K53" s="567">
        <v>1.7827804926981994E-2</v>
      </c>
      <c r="L53" s="567">
        <v>-8.9439051568339645E-3</v>
      </c>
      <c r="M53" s="567">
        <v>-9.3626700975497634E-3</v>
      </c>
      <c r="N53" s="568">
        <v>1.983331388467402E-3</v>
      </c>
      <c r="O53" s="522"/>
      <c r="P53" s="636"/>
    </row>
    <row r="54" spans="1:16" ht="15">
      <c r="A54" s="578" t="s">
        <v>376</v>
      </c>
      <c r="B54" s="579">
        <v>11.143006708</v>
      </c>
      <c r="C54" s="579">
        <v>10.251366302999999</v>
      </c>
      <c r="D54" s="579">
        <v>9.3260327850934992</v>
      </c>
      <c r="E54" s="579">
        <v>10.772225261299999</v>
      </c>
      <c r="F54" s="579">
        <v>10.70183639195</v>
      </c>
      <c r="G54" s="641">
        <v>10.631447522599998</v>
      </c>
      <c r="H54" s="579">
        <v>10.631447522599998</v>
      </c>
      <c r="I54" s="569">
        <v>-8.3054283131074325E-3</v>
      </c>
      <c r="J54" s="570">
        <v>-1.87423916124283E-2</v>
      </c>
      <c r="K54" s="570">
        <v>2.9251948228832481E-2</v>
      </c>
      <c r="L54" s="570">
        <v>-1.3102876857595813E-3</v>
      </c>
      <c r="M54" s="570">
        <v>-1.3189285951479279E-3</v>
      </c>
      <c r="N54" s="571">
        <v>0</v>
      </c>
      <c r="O54" s="522"/>
      <c r="P54" s="636"/>
    </row>
    <row r="55" spans="1:16" ht="15">
      <c r="A55" s="578" t="s">
        <v>377</v>
      </c>
      <c r="B55" s="579">
        <v>6.4558120000000008</v>
      </c>
      <c r="C55" s="579">
        <v>5.0361650999999998</v>
      </c>
      <c r="D55" s="579">
        <v>5.0381412232000002</v>
      </c>
      <c r="E55" s="579">
        <v>4.9751731890000013</v>
      </c>
      <c r="F55" s="579">
        <v>4.0166171955000003</v>
      </c>
      <c r="G55" s="579">
        <v>3.0580612019999998</v>
      </c>
      <c r="H55" s="579">
        <v>2.9572984980000001</v>
      </c>
      <c r="I55" s="569">
        <v>-2.4527774192334872E-2</v>
      </c>
      <c r="J55" s="570">
        <v>7.8464985644455254E-5</v>
      </c>
      <c r="K55" s="570">
        <v>-2.5122444733275406E-3</v>
      </c>
      <c r="L55" s="570">
        <v>-4.1900865263112874E-2</v>
      </c>
      <c r="M55" s="570">
        <v>-5.3071591383639372E-2</v>
      </c>
      <c r="N55" s="571">
        <v>-6.6785862538781826E-3</v>
      </c>
      <c r="O55" s="522"/>
      <c r="P55" s="636"/>
    </row>
    <row r="56" spans="1:16" ht="15">
      <c r="A56" s="576" t="s">
        <v>378</v>
      </c>
      <c r="B56" s="548">
        <v>34.569767441860463</v>
      </c>
      <c r="C56" s="548">
        <v>30.521575420820632</v>
      </c>
      <c r="D56" s="548">
        <v>28.789446957176299</v>
      </c>
      <c r="E56" s="548">
        <v>27.510032974842147</v>
      </c>
      <c r="F56" s="548">
        <v>25.826412601890745</v>
      </c>
      <c r="G56" s="548">
        <v>24.142792228939342</v>
      </c>
      <c r="H56" s="548">
        <v>24.04869249493948</v>
      </c>
      <c r="I56" s="569">
        <v>-1.2377333061334816E-2</v>
      </c>
      <c r="J56" s="570">
        <v>-1.1616981583140173E-2</v>
      </c>
      <c r="K56" s="570">
        <v>-9.0504204104109309E-3</v>
      </c>
      <c r="L56" s="570">
        <v>-1.2551180805084328E-2</v>
      </c>
      <c r="M56" s="570">
        <v>-1.3391887052954354E-2</v>
      </c>
      <c r="N56" s="571">
        <v>-7.8074469271016689E-4</v>
      </c>
      <c r="O56" s="522"/>
      <c r="P56" s="636"/>
    </row>
    <row r="57" spans="1:16" ht="15">
      <c r="A57" s="578" t="s">
        <v>379</v>
      </c>
      <c r="B57" s="579">
        <v>1.4302325581395348</v>
      </c>
      <c r="C57" s="579">
        <v>0.76518546359430162</v>
      </c>
      <c r="D57" s="579">
        <v>0.68343423170583217</v>
      </c>
      <c r="E57" s="579">
        <v>0.59235516909168384</v>
      </c>
      <c r="F57" s="579">
        <v>0.58723623759588461</v>
      </c>
      <c r="G57" s="579">
        <v>0.58211730610008527</v>
      </c>
      <c r="H57" s="579">
        <v>0.57703629261536593</v>
      </c>
      <c r="I57" s="569">
        <v>-6.0631473477360087E-2</v>
      </c>
      <c r="J57" s="570">
        <v>-2.2344149870811791E-2</v>
      </c>
      <c r="K57" s="570">
        <v>-2.8199560919313416E-2</v>
      </c>
      <c r="L57" s="570">
        <v>-1.7343372667518731E-3</v>
      </c>
      <c r="M57" s="570">
        <v>-1.7495085483483219E-3</v>
      </c>
      <c r="N57" s="571">
        <v>-1.7518279452186647E-3</v>
      </c>
      <c r="O57" s="522"/>
      <c r="P57" s="636"/>
    </row>
    <row r="58" spans="1:16" ht="15">
      <c r="A58" s="578" t="s">
        <v>380</v>
      </c>
      <c r="B58" s="579">
        <v>9.4720930232558125</v>
      </c>
      <c r="C58" s="579">
        <v>7.6804124248384804</v>
      </c>
      <c r="D58" s="579">
        <v>7.4325874671286574</v>
      </c>
      <c r="E58" s="579">
        <v>7.0745380369490549</v>
      </c>
      <c r="F58" s="579">
        <v>6.9023573250518231</v>
      </c>
      <c r="G58" s="579">
        <v>6.7301766131545913</v>
      </c>
      <c r="H58" s="579">
        <v>6.7301766131545913</v>
      </c>
      <c r="I58" s="569">
        <v>-2.0749372078285533E-2</v>
      </c>
      <c r="J58" s="570">
        <v>-6.5383717854532453E-3</v>
      </c>
      <c r="K58" s="570">
        <v>-9.8257879334966436E-3</v>
      </c>
      <c r="L58" s="570">
        <v>-4.9157085032249803E-3</v>
      </c>
      <c r="M58" s="570">
        <v>-5.0395802074951757E-3</v>
      </c>
      <c r="N58" s="571">
        <v>0</v>
      </c>
      <c r="O58" s="522"/>
      <c r="P58" s="636"/>
    </row>
    <row r="59" spans="1:16" ht="15">
      <c r="A59" s="578" t="s">
        <v>381</v>
      </c>
      <c r="B59" s="579">
        <v>6.3825581395348845</v>
      </c>
      <c r="C59" s="579">
        <v>4.3458982339569845</v>
      </c>
      <c r="D59" s="579">
        <v>3.6403776155505043</v>
      </c>
      <c r="E59" s="579">
        <v>3.4416225155913041</v>
      </c>
      <c r="F59" s="579">
        <v>3.2430673704610364</v>
      </c>
      <c r="G59" s="579">
        <v>3.0445122253307688</v>
      </c>
      <c r="H59" s="579">
        <v>3.0445122253307688</v>
      </c>
      <c r="I59" s="569">
        <v>-3.7704450393279854E-2</v>
      </c>
      <c r="J59" s="570">
        <v>-3.4808749030288411E-2</v>
      </c>
      <c r="K59" s="570">
        <v>-1.1166070469007416E-2</v>
      </c>
      <c r="L59" s="570">
        <v>-1.1814340183644245E-2</v>
      </c>
      <c r="M59" s="570">
        <v>-1.2556284036920884E-2</v>
      </c>
      <c r="N59" s="571">
        <v>0</v>
      </c>
      <c r="O59" s="522"/>
      <c r="P59" s="636"/>
    </row>
    <row r="60" spans="1:16" ht="15">
      <c r="A60" s="576" t="s">
        <v>382</v>
      </c>
      <c r="B60" s="548">
        <v>10.205920570493024</v>
      </c>
      <c r="C60" s="548">
        <v>9.5977379899154371</v>
      </c>
      <c r="D60" s="548">
        <v>9.8116363228962555</v>
      </c>
      <c r="E60" s="548">
        <v>10.386650856426758</v>
      </c>
      <c r="F60" s="548">
        <v>10.994502933225196</v>
      </c>
      <c r="G60" s="548">
        <v>11.602355010023633</v>
      </c>
      <c r="H60" s="548">
        <v>12.303274740141383</v>
      </c>
      <c r="I60" s="569">
        <v>-6.1252194196393939E-3</v>
      </c>
      <c r="J60" s="570">
        <v>4.4180542563443392E-3</v>
      </c>
      <c r="K60" s="570">
        <v>1.1455588205413925E-2</v>
      </c>
      <c r="L60" s="570">
        <v>1.1439739912880054E-2</v>
      </c>
      <c r="M60" s="570">
        <v>1.0820660640909363E-2</v>
      </c>
      <c r="N60" s="571">
        <v>1.1800557701890035E-2</v>
      </c>
      <c r="O60" s="522"/>
      <c r="P60" s="636"/>
    </row>
    <row r="61" spans="1:16" ht="15">
      <c r="A61" s="578" t="s">
        <v>383</v>
      </c>
      <c r="B61" s="579">
        <v>2.4024321984000006</v>
      </c>
      <c r="C61" s="579">
        <v>2.2753838920800002</v>
      </c>
      <c r="D61" s="579">
        <v>2.2937123553710079</v>
      </c>
      <c r="E61" s="579">
        <v>2.6430302829232644</v>
      </c>
      <c r="F61" s="579">
        <v>2.4534423128708482</v>
      </c>
      <c r="G61" s="579">
        <v>2.2638543428184321</v>
      </c>
      <c r="H61" s="579">
        <v>2.3011570899200002</v>
      </c>
      <c r="I61" s="569">
        <v>-5.4185522241878559E-3</v>
      </c>
      <c r="J61" s="570">
        <v>1.6058557916933669E-3</v>
      </c>
      <c r="K61" s="570">
        <v>2.8756606126197015E-2</v>
      </c>
      <c r="L61" s="570">
        <v>-1.477654517643856E-2</v>
      </c>
      <c r="M61" s="570">
        <v>-1.5955981228518601E-2</v>
      </c>
      <c r="N61" s="571">
        <v>3.2739992551482633E-3</v>
      </c>
      <c r="O61" s="522"/>
      <c r="P61" s="636"/>
    </row>
    <row r="62" spans="1:16" ht="15">
      <c r="A62" s="578" t="s">
        <v>384</v>
      </c>
      <c r="B62" s="579">
        <v>3.4779069767441859</v>
      </c>
      <c r="C62" s="579">
        <v>3.224695661341296</v>
      </c>
      <c r="D62" s="579">
        <v>3.1969364224842529</v>
      </c>
      <c r="E62" s="579">
        <v>2.8638135611691116</v>
      </c>
      <c r="F62" s="579">
        <v>2.8390412153178879</v>
      </c>
      <c r="G62" s="579">
        <v>2.8142688694666638</v>
      </c>
      <c r="H62" s="579">
        <v>2.7898224755345344</v>
      </c>
      <c r="I62" s="569">
        <v>-7.5307102495079103E-3</v>
      </c>
      <c r="J62" s="570">
        <v>-1.7276247265277656E-3</v>
      </c>
      <c r="K62" s="570">
        <v>-2.1767362645161992E-2</v>
      </c>
      <c r="L62" s="570">
        <v>-1.736042270126692E-3</v>
      </c>
      <c r="M62" s="570">
        <v>-1.7512435266563431E-3</v>
      </c>
      <c r="N62" s="571">
        <v>-1.7433857811801623E-3</v>
      </c>
      <c r="O62" s="522"/>
      <c r="P62" s="636"/>
    </row>
    <row r="63" spans="1:16" ht="15">
      <c r="A63" s="576" t="s">
        <v>385</v>
      </c>
      <c r="B63" s="548">
        <v>16.847674418604655</v>
      </c>
      <c r="C63" s="548">
        <v>20.174996894709341</v>
      </c>
      <c r="D63" s="548">
        <v>18.481828861409003</v>
      </c>
      <c r="E63" s="548">
        <v>17.282327797832544</v>
      </c>
      <c r="F63" s="548">
        <v>15.499165422882701</v>
      </c>
      <c r="G63" s="548">
        <v>13.716003047932858</v>
      </c>
      <c r="H63" s="548">
        <v>13.145665047278888</v>
      </c>
      <c r="I63" s="569">
        <v>1.8186539974120564E-2</v>
      </c>
      <c r="J63" s="570">
        <v>-1.7378429398170581E-2</v>
      </c>
      <c r="K63" s="570">
        <v>-1.3331055944625803E-2</v>
      </c>
      <c r="L63" s="570">
        <v>-2.1544193014260804E-2</v>
      </c>
      <c r="M63" s="570">
        <v>-2.4148235163527043E-2</v>
      </c>
      <c r="N63" s="571">
        <v>-8.4582672099724476E-3</v>
      </c>
      <c r="O63" s="522"/>
      <c r="P63" s="636"/>
    </row>
    <row r="64" spans="1:16" ht="15">
      <c r="A64" s="578" t="s">
        <v>386</v>
      </c>
      <c r="B64" s="579">
        <v>1.0058139534883719</v>
      </c>
      <c r="C64" s="579">
        <v>1.0150786833105334</v>
      </c>
      <c r="D64" s="579">
        <v>1.2270272837817295</v>
      </c>
      <c r="E64" s="579">
        <v>1.2558430865886405</v>
      </c>
      <c r="F64" s="579">
        <v>1.1618958998328011</v>
      </c>
      <c r="G64" s="579">
        <v>1.0679487130769618</v>
      </c>
      <c r="H64" s="579">
        <v>1.0679487130769618</v>
      </c>
      <c r="I64" s="569">
        <v>9.1732171322278511E-4</v>
      </c>
      <c r="J64" s="570">
        <v>3.8654010581786968E-2</v>
      </c>
      <c r="K64" s="570">
        <v>4.6533388165326262E-3</v>
      </c>
      <c r="L64" s="570">
        <v>-1.5430522823531523E-2</v>
      </c>
      <c r="M64" s="570">
        <v>-1.6721290859970317E-2</v>
      </c>
      <c r="N64" s="571">
        <v>0</v>
      </c>
      <c r="O64" s="522"/>
      <c r="P64" s="636"/>
    </row>
    <row r="65" spans="1:16" ht="15">
      <c r="A65" s="576" t="s">
        <v>387</v>
      </c>
      <c r="B65" s="548">
        <v>27.20930232558139</v>
      </c>
      <c r="C65" s="548">
        <v>23.636729416842481</v>
      </c>
      <c r="D65" s="548">
        <v>23.980861854972506</v>
      </c>
      <c r="E65" s="548">
        <v>24.998108326295558</v>
      </c>
      <c r="F65" s="548">
        <v>25.965800431172589</v>
      </c>
      <c r="G65" s="548">
        <v>26.93349253604962</v>
      </c>
      <c r="H65" s="548">
        <v>29.488499625079612</v>
      </c>
      <c r="I65" s="569">
        <v>-1.3977108253224402E-2</v>
      </c>
      <c r="J65" s="570">
        <v>2.8950337602826615E-3</v>
      </c>
      <c r="K65" s="570">
        <v>8.343427094108069E-3</v>
      </c>
      <c r="L65" s="570">
        <v>7.6249528368013131E-3</v>
      </c>
      <c r="M65" s="570">
        <v>7.3448991553091147E-3</v>
      </c>
      <c r="N65" s="571">
        <v>1.8291223372989718E-2</v>
      </c>
      <c r="O65" s="522"/>
      <c r="P65" s="636"/>
    </row>
    <row r="66" spans="1:16" ht="15">
      <c r="A66" s="576" t="s">
        <v>388</v>
      </c>
      <c r="B66" s="548">
        <v>22.255486506729753</v>
      </c>
      <c r="C66" s="548">
        <v>18.839489052929522</v>
      </c>
      <c r="D66" s="548">
        <v>17.50452808376852</v>
      </c>
      <c r="E66" s="548">
        <v>16.367080690819897</v>
      </c>
      <c r="F66" s="548">
        <v>14.887236156583594</v>
      </c>
      <c r="G66" s="548">
        <v>13.407391622347291</v>
      </c>
      <c r="H66" s="548">
        <v>13.428370875200581</v>
      </c>
      <c r="I66" s="569">
        <v>-1.6525275901517533E-2</v>
      </c>
      <c r="J66" s="570">
        <v>-1.4591606126475254E-2</v>
      </c>
      <c r="K66" s="570">
        <v>-1.3347630195399751E-2</v>
      </c>
      <c r="L66" s="570">
        <v>-1.8775076726636031E-2</v>
      </c>
      <c r="M66" s="570">
        <v>-2.0721897350864715E-2</v>
      </c>
      <c r="N66" s="571">
        <v>3.127548567383176E-4</v>
      </c>
      <c r="O66" s="522"/>
      <c r="P66" s="636"/>
    </row>
    <row r="67" spans="1:16" ht="15">
      <c r="A67" s="578" t="s">
        <v>389</v>
      </c>
      <c r="B67" s="579">
        <v>11.854323716032082</v>
      </c>
      <c r="C67" s="579">
        <v>10.574457529824958</v>
      </c>
      <c r="D67" s="579">
        <v>10.119916622491557</v>
      </c>
      <c r="E67" s="579">
        <v>9.59849394542384</v>
      </c>
      <c r="F67" s="579">
        <v>8.9930435041148602</v>
      </c>
      <c r="G67" s="579">
        <v>8.3875930628058804</v>
      </c>
      <c r="H67" s="579">
        <v>8.8013301533402881</v>
      </c>
      <c r="I67" s="569">
        <v>-1.1360105654776409E-2</v>
      </c>
      <c r="J67" s="570">
        <v>-8.7487056435329169E-3</v>
      </c>
      <c r="K67" s="570">
        <v>-1.0524074195007116E-2</v>
      </c>
      <c r="L67" s="570">
        <v>-1.2946438649197534E-2</v>
      </c>
      <c r="M67" s="570">
        <v>-1.3842841739540757E-2</v>
      </c>
      <c r="N67" s="571">
        <v>9.6763694711352599E-3</v>
      </c>
      <c r="O67" s="522"/>
      <c r="P67" s="636"/>
    </row>
    <row r="68" spans="1:16" ht="15">
      <c r="A68" s="547"/>
      <c r="B68" s="548"/>
      <c r="C68" s="548"/>
      <c r="D68" s="548"/>
      <c r="E68" s="548"/>
      <c r="F68" s="548"/>
      <c r="G68" s="548"/>
      <c r="H68" s="548"/>
      <c r="I68" s="569"/>
      <c r="J68" s="570"/>
      <c r="K68" s="570"/>
      <c r="L68" s="570"/>
      <c r="M68" s="570"/>
      <c r="N68" s="571"/>
      <c r="O68" s="522"/>
      <c r="P68" s="522"/>
    </row>
    <row r="69" spans="1:16" ht="15">
      <c r="A69" s="547"/>
      <c r="B69" s="548"/>
      <c r="C69" s="548"/>
      <c r="D69" s="548"/>
      <c r="E69" s="548"/>
      <c r="F69" s="548"/>
      <c r="G69" s="548"/>
      <c r="H69" s="548"/>
      <c r="I69" s="569"/>
      <c r="J69" s="570"/>
      <c r="K69" s="570"/>
      <c r="L69" s="570"/>
      <c r="M69" s="570"/>
      <c r="N69" s="571"/>
      <c r="O69" s="522"/>
      <c r="P69" s="522"/>
    </row>
    <row r="70" spans="1:16" ht="15.75" thickBot="1">
      <c r="A70" s="555" t="s">
        <v>9</v>
      </c>
      <c r="B70" s="556">
        <v>132.15092345964138</v>
      </c>
      <c r="C70" s="556">
        <v>120.68425901732886</v>
      </c>
      <c r="D70" s="556">
        <v>115.64615305509415</v>
      </c>
      <c r="E70" s="556">
        <v>115.19960956642694</v>
      </c>
      <c r="F70" s="556">
        <v>111.00905565397034</v>
      </c>
      <c r="G70" s="556">
        <v>106.81850174151376</v>
      </c>
      <c r="H70" s="556">
        <v>109.60038723662397</v>
      </c>
      <c r="I70" s="573">
        <v>-9.0356235281949804E-3</v>
      </c>
      <c r="J70" s="574">
        <v>-8.492251583481325E-3</v>
      </c>
      <c r="K70" s="574">
        <v>-7.7345380343474268E-4</v>
      </c>
      <c r="L70" s="574">
        <v>-7.3835225997835874E-3</v>
      </c>
      <c r="M70" s="574">
        <v>-7.666586977965073E-3</v>
      </c>
      <c r="N70" s="575">
        <v>5.1551942990217814E-3</v>
      </c>
      <c r="O70" s="522"/>
      <c r="P70" s="522"/>
    </row>
    <row r="71" spans="1:16" ht="15.75" thickBot="1">
      <c r="A71" s="560"/>
      <c r="B71" s="522"/>
      <c r="C71" s="522"/>
      <c r="D71" s="522"/>
      <c r="E71" s="533"/>
      <c r="F71" s="533"/>
      <c r="G71" s="522"/>
      <c r="H71" s="522"/>
      <c r="I71" s="522"/>
      <c r="J71" s="522"/>
      <c r="K71" s="522"/>
      <c r="L71" s="522"/>
      <c r="M71" s="522"/>
      <c r="N71" s="522"/>
      <c r="O71" s="522"/>
      <c r="P71" s="522"/>
    </row>
    <row r="72" spans="1:16" ht="15.75" thickBot="1">
      <c r="A72" s="580" t="s">
        <v>390</v>
      </c>
      <c r="B72" s="581">
        <v>53.624179273594883</v>
      </c>
      <c r="C72" s="581">
        <v>45.168643291946552</v>
      </c>
      <c r="D72" s="581">
        <v>42.958166006807048</v>
      </c>
      <c r="E72" s="581">
        <v>43.217095048036903</v>
      </c>
      <c r="F72" s="581">
        <v>40.898537452695145</v>
      </c>
      <c r="G72" s="581">
        <v>38.579979857353379</v>
      </c>
      <c r="H72" s="581">
        <v>38.900729583572513</v>
      </c>
      <c r="I72" s="582">
        <v>-1.7013306804981032E-2</v>
      </c>
      <c r="J72" s="583">
        <v>-9.9850856911773977E-3</v>
      </c>
      <c r="K72" s="583">
        <v>1.202597962917995E-3</v>
      </c>
      <c r="L72" s="583">
        <v>-1.0967776979795785E-2</v>
      </c>
      <c r="M72" s="583">
        <v>-1.1604308147771025E-2</v>
      </c>
      <c r="N72" s="584">
        <v>1.6572758529542764E-3</v>
      </c>
      <c r="O72" s="522"/>
      <c r="P72" s="522"/>
    </row>
    <row r="73" spans="1:16" ht="15">
      <c r="A73" s="585"/>
      <c r="B73" s="586"/>
      <c r="C73" s="586"/>
      <c r="D73" s="586"/>
      <c r="E73" s="586"/>
      <c r="F73" s="586"/>
      <c r="G73" s="586"/>
      <c r="H73" s="586"/>
      <c r="I73" s="570"/>
      <c r="J73" s="570"/>
      <c r="K73" s="570"/>
      <c r="L73" s="570"/>
      <c r="M73" s="570"/>
      <c r="N73" s="570"/>
      <c r="O73" s="522"/>
      <c r="P73" s="522"/>
    </row>
    <row r="74" spans="1:16" ht="15">
      <c r="A74" s="522"/>
      <c r="B74" s="522"/>
      <c r="C74" s="522"/>
      <c r="D74" s="522"/>
      <c r="E74" s="533"/>
      <c r="F74" s="533"/>
      <c r="G74" s="522"/>
      <c r="H74" s="522"/>
      <c r="I74" s="522"/>
      <c r="J74" s="522"/>
      <c r="K74" s="522"/>
      <c r="L74" s="522"/>
      <c r="M74" s="522"/>
      <c r="N74" s="522"/>
      <c r="O74" s="522"/>
      <c r="P74" s="522"/>
    </row>
    <row r="75" spans="1:16" ht="16.5" thickBot="1">
      <c r="A75" s="540" t="s">
        <v>393</v>
      </c>
      <c r="B75" s="541"/>
      <c r="C75" s="541"/>
      <c r="D75" s="541"/>
      <c r="E75" s="542"/>
      <c r="F75" s="542"/>
      <c r="G75" s="542"/>
      <c r="H75" s="542"/>
      <c r="I75" s="542"/>
      <c r="J75" s="542"/>
      <c r="K75" s="542"/>
      <c r="L75" s="542"/>
      <c r="M75" s="542"/>
      <c r="N75" s="542"/>
      <c r="O75" s="522"/>
      <c r="P75" s="522"/>
    </row>
    <row r="76" spans="1:16" ht="15.75" thickBot="1">
      <c r="A76" s="588" t="s">
        <v>64</v>
      </c>
      <c r="B76" s="544">
        <v>2000</v>
      </c>
      <c r="C76" s="544">
        <v>2010</v>
      </c>
      <c r="D76" s="544">
        <v>2015</v>
      </c>
      <c r="E76" s="544">
        <v>2020</v>
      </c>
      <c r="F76" s="544">
        <v>2025</v>
      </c>
      <c r="G76" s="544">
        <v>2030</v>
      </c>
      <c r="H76" s="544">
        <v>2035</v>
      </c>
      <c r="I76" s="561" t="s">
        <v>365</v>
      </c>
      <c r="J76" s="562" t="s">
        <v>366</v>
      </c>
      <c r="K76" s="562" t="s">
        <v>367</v>
      </c>
      <c r="L76" s="562" t="s">
        <v>368</v>
      </c>
      <c r="M76" s="562" t="s">
        <v>369</v>
      </c>
      <c r="N76" s="563" t="s">
        <v>370</v>
      </c>
      <c r="O76" s="522"/>
      <c r="P76" s="522"/>
    </row>
    <row r="77" spans="1:16" ht="15">
      <c r="A77" s="576" t="s">
        <v>375</v>
      </c>
      <c r="B77" s="548">
        <v>6.3689274915490817</v>
      </c>
      <c r="C77" s="548">
        <v>4.8615481074618128</v>
      </c>
      <c r="D77" s="548">
        <v>5.3385174946864415</v>
      </c>
      <c r="E77" s="548">
        <v>5.5033552881218526</v>
      </c>
      <c r="F77" s="548">
        <v>5.2770096465392129</v>
      </c>
      <c r="G77" s="548">
        <v>5.0506640049565723</v>
      </c>
      <c r="H77" s="548">
        <v>5.0598330253138872</v>
      </c>
      <c r="I77" s="566">
        <v>-2.6645976790328763E-2</v>
      </c>
      <c r="J77" s="567">
        <v>1.8894496711858277E-2</v>
      </c>
      <c r="K77" s="567">
        <v>6.1005262565740903E-3</v>
      </c>
      <c r="L77" s="567">
        <v>-8.3644965257376747E-3</v>
      </c>
      <c r="M77" s="567">
        <v>-8.7296457643599723E-3</v>
      </c>
      <c r="N77" s="568">
        <v>3.6281840894969442E-4</v>
      </c>
      <c r="O77" s="522"/>
      <c r="P77" s="522"/>
    </row>
    <row r="78" spans="1:16" ht="15">
      <c r="A78" s="578" t="s">
        <v>376</v>
      </c>
      <c r="B78" s="579">
        <v>5.8094368915490824</v>
      </c>
      <c r="C78" s="579">
        <v>4.5485694765951781</v>
      </c>
      <c r="D78" s="579">
        <v>5.0229687829312457</v>
      </c>
      <c r="E78" s="579">
        <v>5.1814920183890507</v>
      </c>
      <c r="F78" s="579">
        <v>4.9847281278408255</v>
      </c>
      <c r="G78" s="579">
        <v>4.7879642372926003</v>
      </c>
      <c r="H78" s="579">
        <v>4.7879642372926003</v>
      </c>
      <c r="I78" s="569">
        <v>-2.4170193423756037E-2</v>
      </c>
      <c r="J78" s="570">
        <v>2.0039827832578627E-2</v>
      </c>
      <c r="K78" s="570">
        <v>6.2337291815990348E-3</v>
      </c>
      <c r="L78" s="570">
        <v>-7.7129385243165371E-3</v>
      </c>
      <c r="M78" s="570">
        <v>-8.0223568416362134E-3</v>
      </c>
      <c r="N78" s="571">
        <v>0</v>
      </c>
      <c r="O78" s="522"/>
      <c r="P78" s="522"/>
    </row>
    <row r="79" spans="1:16" ht="15">
      <c r="A79" s="578" t="s">
        <v>377</v>
      </c>
      <c r="B79" s="579">
        <v>0.22049059999999998</v>
      </c>
      <c r="C79" s="579">
        <v>0.17487325499999998</v>
      </c>
      <c r="D79" s="579">
        <v>0.17285672816000003</v>
      </c>
      <c r="E79" s="579">
        <v>0.16893450944999999</v>
      </c>
      <c r="F79" s="579">
        <v>0.12834463477499999</v>
      </c>
      <c r="G79" s="579">
        <v>8.7754760100000009E-2</v>
      </c>
      <c r="H79" s="579">
        <v>8.2716624900000008E-2</v>
      </c>
      <c r="I79" s="569">
        <v>-2.2912783207667542E-2</v>
      </c>
      <c r="J79" s="570">
        <v>-2.3169844225016112E-3</v>
      </c>
      <c r="K79" s="570">
        <v>-4.5798739828288859E-3</v>
      </c>
      <c r="L79" s="570">
        <v>-5.3475480634605499E-2</v>
      </c>
      <c r="M79" s="570">
        <v>-7.3215860336533711E-2</v>
      </c>
      <c r="N79" s="571">
        <v>-1.1755458005312747E-2</v>
      </c>
      <c r="O79" s="522"/>
      <c r="P79" s="522"/>
    </row>
    <row r="80" spans="1:16" ht="15">
      <c r="A80" s="576" t="s">
        <v>378</v>
      </c>
      <c r="B80" s="548">
        <v>8.0950999999999986</v>
      </c>
      <c r="C80" s="548">
        <v>6.5587629372614842</v>
      </c>
      <c r="D80" s="548">
        <v>6.250878203204703</v>
      </c>
      <c r="E80" s="548">
        <v>6.1139325895842171</v>
      </c>
      <c r="F80" s="548">
        <v>5.871710800536742</v>
      </c>
      <c r="G80" s="548">
        <v>5.6294890114892668</v>
      </c>
      <c r="H80" s="548">
        <v>5.7245196480556917</v>
      </c>
      <c r="I80" s="569">
        <v>-2.0825778038837894E-2</v>
      </c>
      <c r="J80" s="570">
        <v>-9.5699224594899546E-3</v>
      </c>
      <c r="K80" s="570">
        <v>-4.4205541732309506E-3</v>
      </c>
      <c r="L80" s="570">
        <v>-8.0522373106045597E-3</v>
      </c>
      <c r="M80" s="570">
        <v>-8.390077821552433E-3</v>
      </c>
      <c r="N80" s="571">
        <v>3.3536038572152815E-3</v>
      </c>
      <c r="O80" s="522"/>
      <c r="P80" s="522"/>
    </row>
    <row r="81" spans="1:14">
      <c r="A81" s="578" t="s">
        <v>379</v>
      </c>
      <c r="B81" s="579">
        <v>0.56459999999999999</v>
      </c>
      <c r="C81" s="579">
        <v>0.3181415839554973</v>
      </c>
      <c r="D81" s="579">
        <v>0.30191567462041885</v>
      </c>
      <c r="E81" s="579">
        <v>0.28568976528534029</v>
      </c>
      <c r="F81" s="579">
        <v>0.26946385595026179</v>
      </c>
      <c r="G81" s="579">
        <v>0.25323794661518328</v>
      </c>
      <c r="H81" s="579">
        <v>0.25323794661518328</v>
      </c>
      <c r="I81" s="569">
        <v>-5.5747906186158103E-2</v>
      </c>
      <c r="J81" s="570">
        <v>-1.0415135116629504E-2</v>
      </c>
      <c r="K81" s="570">
        <v>-1.0987446182129212E-2</v>
      </c>
      <c r="L81" s="570">
        <v>-1.1626329601666985E-2</v>
      </c>
      <c r="M81" s="570">
        <v>-1.2344122262533119E-2</v>
      </c>
      <c r="N81" s="571">
        <v>0</v>
      </c>
    </row>
    <row r="82" spans="1:14">
      <c r="A82" s="578" t="s">
        <v>380</v>
      </c>
      <c r="B82" s="579">
        <v>4.9752999999999972</v>
      </c>
      <c r="C82" s="579">
        <v>4.0489619381912814</v>
      </c>
      <c r="D82" s="579">
        <v>3.7840765777488601</v>
      </c>
      <c r="E82" s="579">
        <v>3.6803928795185423</v>
      </c>
      <c r="F82" s="579">
        <v>3.5061361531132071</v>
      </c>
      <c r="G82" s="579">
        <v>3.3318794267078715</v>
      </c>
      <c r="H82" s="579">
        <v>3.3027420370592058</v>
      </c>
      <c r="I82" s="569">
        <v>-2.039173160736707E-2</v>
      </c>
      <c r="J82" s="570">
        <v>-1.3440587407920646E-2</v>
      </c>
      <c r="K82" s="570">
        <v>-5.5410675410926258E-3</v>
      </c>
      <c r="L82" s="570">
        <v>-9.6540747402147353E-3</v>
      </c>
      <c r="M82" s="570">
        <v>-1.0143817466831906E-2</v>
      </c>
      <c r="N82" s="571">
        <v>-1.7551565914768474E-3</v>
      </c>
    </row>
    <row r="83" spans="1:14">
      <c r="A83" s="578" t="s">
        <v>381</v>
      </c>
      <c r="B83" s="579">
        <v>0</v>
      </c>
      <c r="C83" s="579">
        <v>0</v>
      </c>
      <c r="D83" s="579">
        <v>0</v>
      </c>
      <c r="E83" s="579">
        <v>0</v>
      </c>
      <c r="F83" s="579">
        <v>0</v>
      </c>
      <c r="G83" s="579">
        <v>0</v>
      </c>
      <c r="H83" s="579">
        <v>0</v>
      </c>
      <c r="I83" s="569"/>
      <c r="J83" s="570"/>
      <c r="K83" s="570"/>
      <c r="L83" s="570"/>
      <c r="M83" s="570"/>
      <c r="N83" s="571"/>
    </row>
    <row r="84" spans="1:14">
      <c r="A84" s="576" t="s">
        <v>382</v>
      </c>
      <c r="B84" s="548">
        <v>4.0336570502599995</v>
      </c>
      <c r="C84" s="548">
        <v>3.7230315913251006</v>
      </c>
      <c r="D84" s="548">
        <v>3.7095452133990894</v>
      </c>
      <c r="E84" s="548">
        <v>3.9003086123722812</v>
      </c>
      <c r="F84" s="548">
        <v>3.902323241344936</v>
      </c>
      <c r="G84" s="548">
        <v>3.9043378703175908</v>
      </c>
      <c r="H84" s="548">
        <v>4.0956238435173908</v>
      </c>
      <c r="I84" s="569">
        <v>-7.9814914715837793E-3</v>
      </c>
      <c r="J84" s="570">
        <v>-7.2553570905431464E-4</v>
      </c>
      <c r="K84" s="570">
        <v>1.0079741031812972E-2</v>
      </c>
      <c r="L84" s="570">
        <v>1.0328479383248101E-4</v>
      </c>
      <c r="M84" s="570">
        <v>1.032314826192593E-4</v>
      </c>
      <c r="N84" s="571">
        <v>9.6120698321091602E-3</v>
      </c>
    </row>
    <row r="85" spans="1:14">
      <c r="A85" s="578" t="s">
        <v>383</v>
      </c>
      <c r="B85" s="579">
        <v>1.5002570502599999</v>
      </c>
      <c r="C85" s="579">
        <v>1.4361207718429316</v>
      </c>
      <c r="D85" s="579">
        <v>1.4191277518657888</v>
      </c>
      <c r="E85" s="579">
        <v>1.6005756776743607</v>
      </c>
      <c r="F85" s="579">
        <v>1.5132427984547538</v>
      </c>
      <c r="G85" s="579">
        <v>1.4259099192351468</v>
      </c>
      <c r="H85" s="579">
        <v>1.4492007008499996</v>
      </c>
      <c r="I85" s="569">
        <v>-4.3595584378285368E-3</v>
      </c>
      <c r="J85" s="570">
        <v>-2.3777978324410753E-3</v>
      </c>
      <c r="K85" s="570">
        <v>2.4356067035209206E-2</v>
      </c>
      <c r="L85" s="570">
        <v>-1.1158964917719283E-2</v>
      </c>
      <c r="M85" s="570">
        <v>-1.181855509484564E-2</v>
      </c>
      <c r="N85" s="571">
        <v>3.2456585595741494E-3</v>
      </c>
    </row>
    <row r="86" spans="1:14">
      <c r="A86" s="578" t="s">
        <v>384</v>
      </c>
      <c r="B86" s="579">
        <v>1.1509999999999998</v>
      </c>
      <c r="C86" s="579">
        <v>0.96550074084348636</v>
      </c>
      <c r="D86" s="579">
        <v>0.96308603561387063</v>
      </c>
      <c r="E86" s="579">
        <v>0.868373945641987</v>
      </c>
      <c r="F86" s="579">
        <v>0.84011134020618572</v>
      </c>
      <c r="G86" s="579">
        <v>0.81184873477038433</v>
      </c>
      <c r="H86" s="579">
        <v>0.80408191190253042</v>
      </c>
      <c r="I86" s="569">
        <v>-1.7420432665849139E-2</v>
      </c>
      <c r="J86" s="570">
        <v>-5.0069863597734798E-4</v>
      </c>
      <c r="K86" s="570">
        <v>-2.0491205269167034E-2</v>
      </c>
      <c r="L86" s="570">
        <v>-6.5957526846006642E-3</v>
      </c>
      <c r="M86" s="570">
        <v>-6.8207116983639571E-3</v>
      </c>
      <c r="N86" s="571">
        <v>-1.9207312531618337E-3</v>
      </c>
    </row>
    <row r="87" spans="1:14">
      <c r="A87" s="576" t="s">
        <v>385</v>
      </c>
      <c r="B87" s="548">
        <v>3.6502999999999992</v>
      </c>
      <c r="C87" s="548">
        <v>3.6267717679856601</v>
      </c>
      <c r="D87" s="548">
        <v>3.4060757338721257</v>
      </c>
      <c r="E87" s="548">
        <v>3.1573488479260305</v>
      </c>
      <c r="F87" s="548">
        <v>2.7393862097807609</v>
      </c>
      <c r="G87" s="548">
        <v>2.3214235716354912</v>
      </c>
      <c r="H87" s="548">
        <v>2.1436508367679261</v>
      </c>
      <c r="I87" s="569">
        <v>-6.464333233712205E-4</v>
      </c>
      <c r="J87" s="570">
        <v>-1.2477920048291402E-2</v>
      </c>
      <c r="K87" s="570">
        <v>-1.5051203910409705E-2</v>
      </c>
      <c r="L87" s="570">
        <v>-2.8000281180908582E-2</v>
      </c>
      <c r="M87" s="570">
        <v>-3.2568498108522359E-2</v>
      </c>
      <c r="N87" s="571">
        <v>-1.5807771064659693E-2</v>
      </c>
    </row>
    <row r="88" spans="1:14">
      <c r="A88" s="578" t="s">
        <v>386</v>
      </c>
      <c r="B88" s="579">
        <v>0.77689999999999992</v>
      </c>
      <c r="C88" s="579">
        <v>0.74164290699999991</v>
      </c>
      <c r="D88" s="579">
        <v>0.89656629629629636</v>
      </c>
      <c r="E88" s="579">
        <v>0.91752059259259255</v>
      </c>
      <c r="F88" s="579">
        <v>0.84886480555555566</v>
      </c>
      <c r="G88" s="579">
        <v>0.78020901851851865</v>
      </c>
      <c r="H88" s="579">
        <v>0.78020901851851865</v>
      </c>
      <c r="I88" s="569">
        <v>-4.633608761836161E-3</v>
      </c>
      <c r="J88" s="570">
        <v>3.8669818781918774E-2</v>
      </c>
      <c r="K88" s="570">
        <v>4.6312479268542095E-3</v>
      </c>
      <c r="L88" s="570">
        <v>-1.5434663537645665E-2</v>
      </c>
      <c r="M88" s="570">
        <v>-1.6726153815205813E-2</v>
      </c>
      <c r="N88" s="571">
        <v>0</v>
      </c>
    </row>
    <row r="89" spans="1:14">
      <c r="A89" s="576" t="s">
        <v>387</v>
      </c>
      <c r="B89" s="548">
        <v>2.2272999999999996</v>
      </c>
      <c r="C89" s="548">
        <v>2.0306091300739051</v>
      </c>
      <c r="D89" s="548">
        <v>2.0101227216233331</v>
      </c>
      <c r="E89" s="548">
        <v>2.0113171680779893</v>
      </c>
      <c r="F89" s="548">
        <v>1.984630359234981</v>
      </c>
      <c r="G89" s="548">
        <v>1.9579435503919727</v>
      </c>
      <c r="H89" s="548">
        <v>1.8725704548662843</v>
      </c>
      <c r="I89" s="569">
        <v>-9.2028201879711391E-3</v>
      </c>
      <c r="J89" s="570">
        <v>-2.0259522583009337E-3</v>
      </c>
      <c r="K89" s="570">
        <v>1.1881490015119844E-4</v>
      </c>
      <c r="L89" s="570">
        <v>-2.6678619468809561E-3</v>
      </c>
      <c r="M89" s="570">
        <v>-2.7039310423360163E-3</v>
      </c>
      <c r="N89" s="571">
        <v>-8.8768959623520827E-3</v>
      </c>
    </row>
    <row r="90" spans="1:14">
      <c r="A90" s="576" t="s">
        <v>388</v>
      </c>
      <c r="B90" s="548">
        <v>3.71388210562632</v>
      </c>
      <c r="C90" s="548">
        <v>2.8516729993614489</v>
      </c>
      <c r="D90" s="548">
        <v>2.5030988254027671</v>
      </c>
      <c r="E90" s="548">
        <v>2.1349208231316084</v>
      </c>
      <c r="F90" s="548">
        <v>1.9784540683622434</v>
      </c>
      <c r="G90" s="548">
        <v>1.8219873135928784</v>
      </c>
      <c r="H90" s="548">
        <v>1.8408095711928669</v>
      </c>
      <c r="I90" s="569">
        <v>-2.6071306503286928E-2</v>
      </c>
      <c r="J90" s="570">
        <v>-2.5738244843798719E-2</v>
      </c>
      <c r="K90" s="570">
        <v>-3.1319058189590798E-2</v>
      </c>
      <c r="L90" s="570">
        <v>-1.5107478432866639E-2</v>
      </c>
      <c r="M90" s="570">
        <v>-1.6342573213520617E-2</v>
      </c>
      <c r="N90" s="571">
        <v>2.0576386967299243E-3</v>
      </c>
    </row>
    <row r="91" spans="1:14">
      <c r="A91" s="578" t="s">
        <v>389</v>
      </c>
      <c r="B91" s="579">
        <v>2.7261821056263202</v>
      </c>
      <c r="C91" s="579">
        <v>2.3291901873298935</v>
      </c>
      <c r="D91" s="579">
        <v>2.066406573000346</v>
      </c>
      <c r="E91" s="579">
        <v>1.7664365788081753</v>
      </c>
      <c r="F91" s="579">
        <v>1.6927311206809077</v>
      </c>
      <c r="G91" s="579">
        <v>1.6190256625536401</v>
      </c>
      <c r="H91" s="579">
        <v>1.6841222598890242</v>
      </c>
      <c r="I91" s="569">
        <v>-1.5614951106192709E-2</v>
      </c>
      <c r="J91" s="570">
        <v>-2.3657567251801459E-2</v>
      </c>
      <c r="K91" s="570">
        <v>-3.0882457674285546E-2</v>
      </c>
      <c r="L91" s="570">
        <v>-8.487974541369625E-3</v>
      </c>
      <c r="M91" s="570">
        <v>-8.8642283732447424E-3</v>
      </c>
      <c r="N91" s="571">
        <v>7.915158272573608E-3</v>
      </c>
    </row>
    <row r="92" spans="1:14">
      <c r="A92" s="547"/>
      <c r="B92" s="548"/>
      <c r="C92" s="548"/>
      <c r="D92" s="548"/>
      <c r="E92" s="548"/>
      <c r="F92" s="548"/>
      <c r="G92" s="548"/>
      <c r="H92" s="548"/>
      <c r="I92" s="569"/>
      <c r="J92" s="570"/>
      <c r="K92" s="570"/>
      <c r="L92" s="570"/>
      <c r="M92" s="570"/>
      <c r="N92" s="571"/>
    </row>
    <row r="93" spans="1:14">
      <c r="A93" s="547"/>
      <c r="B93" s="548"/>
      <c r="C93" s="548"/>
      <c r="D93" s="548"/>
      <c r="E93" s="548"/>
      <c r="F93" s="548"/>
      <c r="G93" s="548"/>
      <c r="H93" s="548"/>
      <c r="I93" s="569"/>
      <c r="J93" s="570"/>
      <c r="K93" s="570"/>
      <c r="L93" s="570"/>
      <c r="M93" s="570"/>
      <c r="N93" s="571"/>
    </row>
    <row r="94" spans="1:14" ht="13.5" thickBot="1">
      <c r="A94" s="555" t="s">
        <v>9</v>
      </c>
      <c r="B94" s="556">
        <v>28.089166647435398</v>
      </c>
      <c r="C94" s="556">
        <v>23.652396533469414</v>
      </c>
      <c r="D94" s="556">
        <v>23.218238192188458</v>
      </c>
      <c r="E94" s="556">
        <v>22.82118332921398</v>
      </c>
      <c r="F94" s="556">
        <v>21.753514325798875</v>
      </c>
      <c r="G94" s="556">
        <v>20.685845322383773</v>
      </c>
      <c r="H94" s="556">
        <v>20.737007379714047</v>
      </c>
      <c r="I94" s="573">
        <v>-1.7045014663029212E-2</v>
      </c>
      <c r="J94" s="574">
        <v>-3.6984128287040896E-3</v>
      </c>
      <c r="K94" s="574">
        <v>-3.4438365054563214E-3</v>
      </c>
      <c r="L94" s="574">
        <v>-9.5370065894067046E-3</v>
      </c>
      <c r="M94" s="574">
        <v>-1.001464751398351E-2</v>
      </c>
      <c r="N94" s="575">
        <v>4.9416899440712925E-4</v>
      </c>
    </row>
    <row r="95" spans="1:14" ht="15.75" thickBot="1">
      <c r="A95" s="560"/>
      <c r="B95" s="522"/>
      <c r="C95" s="522"/>
      <c r="D95" s="522"/>
      <c r="E95" s="533"/>
      <c r="F95" s="533"/>
      <c r="G95" s="522"/>
      <c r="H95" s="522"/>
      <c r="I95" s="522"/>
      <c r="J95" s="522"/>
      <c r="K95" s="522"/>
      <c r="L95" s="522"/>
      <c r="M95" s="522"/>
      <c r="N95" s="522"/>
    </row>
    <row r="96" spans="1:14" ht="13.5" thickBot="1">
      <c r="A96" s="580" t="s">
        <v>390</v>
      </c>
      <c r="B96" s="581">
        <v>17.7241666474354</v>
      </c>
      <c r="C96" s="581">
        <v>14.563000860758269</v>
      </c>
      <c r="D96" s="581">
        <v>14.627004420236826</v>
      </c>
      <c r="E96" s="581">
        <v>14.46941596736005</v>
      </c>
      <c r="F96" s="581">
        <v>13.783622836576697</v>
      </c>
      <c r="G96" s="581">
        <v>13.097829705793345</v>
      </c>
      <c r="H96" s="581">
        <v>13.144274737027061</v>
      </c>
      <c r="I96" s="582">
        <v>-1.9452797357514262E-2</v>
      </c>
      <c r="J96" s="583">
        <v>8.7744743110262924E-4</v>
      </c>
      <c r="K96" s="583">
        <v>-2.164106915317765E-3</v>
      </c>
      <c r="L96" s="583">
        <v>-9.6642068393836267E-3</v>
      </c>
      <c r="M96" s="583">
        <v>-1.0155004441738447E-2</v>
      </c>
      <c r="N96" s="584">
        <v>7.0819814088229904E-4</v>
      </c>
    </row>
    <row r="97" spans="1:14">
      <c r="A97" s="585"/>
      <c r="B97" s="586"/>
      <c r="C97" s="586"/>
      <c r="D97" s="586"/>
      <c r="E97" s="586"/>
      <c r="F97" s="586"/>
      <c r="G97" s="586"/>
      <c r="H97" s="586"/>
      <c r="I97" s="570"/>
      <c r="J97" s="570"/>
      <c r="K97" s="570"/>
      <c r="L97" s="570"/>
      <c r="M97" s="570"/>
      <c r="N97" s="570"/>
    </row>
    <row r="98" spans="1:14" ht="15">
      <c r="A98" s="522"/>
      <c r="B98" s="522"/>
      <c r="C98" s="522"/>
      <c r="D98" s="522"/>
      <c r="E98" s="522"/>
      <c r="F98" s="522"/>
      <c r="G98" s="532"/>
      <c r="H98" s="522"/>
      <c r="I98" s="522"/>
      <c r="J98" s="522"/>
      <c r="K98" s="522"/>
      <c r="L98" s="522"/>
      <c r="M98" s="522"/>
      <c r="N98" s="522"/>
    </row>
    <row r="99" spans="1:14" ht="16.5" thickBot="1">
      <c r="A99" s="540" t="s">
        <v>394</v>
      </c>
      <c r="B99" s="541"/>
      <c r="C99" s="541"/>
      <c r="D99" s="541"/>
      <c r="E99" s="541"/>
      <c r="F99" s="541"/>
      <c r="G99" s="541"/>
      <c r="H99" s="542"/>
      <c r="I99" s="542"/>
      <c r="J99" s="542"/>
      <c r="K99" s="542"/>
      <c r="L99" s="542"/>
      <c r="M99" s="542"/>
      <c r="N99" s="542"/>
    </row>
    <row r="100" spans="1:14" ht="13.5" thickBot="1">
      <c r="A100" s="543"/>
      <c r="B100" s="544">
        <v>2000</v>
      </c>
      <c r="C100" s="544">
        <v>2010</v>
      </c>
      <c r="D100" s="544">
        <v>2015</v>
      </c>
      <c r="E100" s="544">
        <v>2020</v>
      </c>
      <c r="F100" s="544">
        <v>2025</v>
      </c>
      <c r="G100" s="544">
        <v>2030</v>
      </c>
      <c r="H100" s="544">
        <v>2035</v>
      </c>
      <c r="I100" s="561" t="s">
        <v>365</v>
      </c>
      <c r="J100" s="562" t="s">
        <v>366</v>
      </c>
      <c r="K100" s="562" t="s">
        <v>367</v>
      </c>
      <c r="L100" s="562" t="s">
        <v>368</v>
      </c>
      <c r="M100" s="562" t="s">
        <v>369</v>
      </c>
      <c r="N100" s="563" t="s">
        <v>370</v>
      </c>
    </row>
    <row r="101" spans="1:14">
      <c r="A101" s="547" t="s">
        <v>395</v>
      </c>
      <c r="B101" s="589">
        <v>5.6026175267773849E-2</v>
      </c>
      <c r="C101" s="589">
        <v>6.9678864646534694E-2</v>
      </c>
      <c r="D101" s="589">
        <v>7.2616095110219991E-2</v>
      </c>
      <c r="E101" s="589">
        <v>6.6550032733252232E-2</v>
      </c>
      <c r="F101" s="589">
        <v>5.9343271336007371E-2</v>
      </c>
      <c r="G101" s="589">
        <v>5.213650993876251E-2</v>
      </c>
      <c r="H101" s="589">
        <v>5.0549692805935367E-2</v>
      </c>
      <c r="I101" s="569">
        <v>2.2047332343135162E-2</v>
      </c>
      <c r="J101" s="570">
        <v>8.2921014760908296E-3</v>
      </c>
      <c r="K101" s="570">
        <v>-1.7295202097758477E-2</v>
      </c>
      <c r="L101" s="570">
        <v>-2.2662321717720091E-2</v>
      </c>
      <c r="M101" s="570">
        <v>-2.5562263091335247E-2</v>
      </c>
      <c r="N101" s="571">
        <v>-6.1626527777083329E-3</v>
      </c>
    </row>
    <row r="102" spans="1:14" ht="13.5" thickBot="1">
      <c r="A102" s="555" t="s">
        <v>396</v>
      </c>
      <c r="B102" s="590">
        <v>0.15910236005465264</v>
      </c>
      <c r="C102" s="590">
        <v>0.14696166713932993</v>
      </c>
      <c r="D102" s="590">
        <v>0.13581283764295629</v>
      </c>
      <c r="E102" s="590">
        <v>0.12212167648703624</v>
      </c>
      <c r="F102" s="590">
        <v>0.10772067241042077</v>
      </c>
      <c r="G102" s="590">
        <v>9.3319668333805297E-2</v>
      </c>
      <c r="H102" s="590">
        <v>8.8250945973510672E-2</v>
      </c>
      <c r="I102" s="573">
        <v>-7.9061788529015686E-3</v>
      </c>
      <c r="J102" s="574">
        <v>-1.5654974955950807E-2</v>
      </c>
      <c r="K102" s="574">
        <v>-2.1027737787413625E-2</v>
      </c>
      <c r="L102" s="574">
        <v>-2.4783008310660604E-2</v>
      </c>
      <c r="M102" s="574">
        <v>-2.8294130209456592E-2</v>
      </c>
      <c r="N102" s="575">
        <v>-1.1107150618934303E-2</v>
      </c>
    </row>
    <row r="103" spans="1:14" ht="15">
      <c r="A103" s="591"/>
      <c r="B103" s="522"/>
      <c r="C103" s="522"/>
      <c r="D103" s="522"/>
      <c r="E103" s="522"/>
      <c r="F103" s="522"/>
      <c r="G103" s="532"/>
      <c r="H103" s="522"/>
      <c r="I103" s="522"/>
      <c r="J103" s="522"/>
      <c r="K103" s="522"/>
      <c r="L103" s="522"/>
      <c r="M103" s="522"/>
      <c r="N103" s="522"/>
    </row>
    <row r="104" spans="1:14" ht="15">
      <c r="A104" s="522"/>
      <c r="B104" s="522"/>
      <c r="C104" s="522"/>
      <c r="D104" s="522"/>
      <c r="E104" s="522"/>
      <c r="F104" s="522"/>
      <c r="G104" s="532"/>
      <c r="H104" s="522"/>
      <c r="I104" s="522"/>
      <c r="J104" s="522"/>
      <c r="K104" s="522"/>
      <c r="L104" s="522"/>
      <c r="M104" s="522"/>
      <c r="N104" s="522"/>
    </row>
    <row r="105" spans="1:14" ht="21">
      <c r="A105" s="538" t="s">
        <v>397</v>
      </c>
      <c r="B105" s="592"/>
      <c r="C105" s="592"/>
      <c r="D105" s="592"/>
      <c r="E105" s="592"/>
      <c r="F105" s="592"/>
      <c r="G105" s="592"/>
      <c r="H105" s="593"/>
      <c r="I105" s="593"/>
      <c r="J105" s="593"/>
      <c r="K105" s="593"/>
      <c r="L105" s="593"/>
      <c r="M105" s="593"/>
      <c r="N105" s="593"/>
    </row>
    <row r="106" spans="1:14" ht="15">
      <c r="A106" s="522"/>
      <c r="B106" s="522"/>
      <c r="C106" s="522"/>
      <c r="D106" s="522"/>
      <c r="E106" s="522"/>
      <c r="F106" s="522"/>
      <c r="G106" s="532"/>
      <c r="H106" s="522"/>
      <c r="I106" s="522"/>
      <c r="J106" s="522"/>
      <c r="K106" s="522"/>
      <c r="L106" s="522"/>
      <c r="M106" s="522"/>
      <c r="N106" s="522"/>
    </row>
    <row r="107" spans="1:14" ht="16.5" thickBot="1">
      <c r="A107" s="540" t="s">
        <v>398</v>
      </c>
      <c r="B107" s="541"/>
      <c r="C107" s="541"/>
      <c r="D107" s="541"/>
      <c r="E107" s="541"/>
      <c r="F107" s="541"/>
      <c r="G107" s="541"/>
      <c r="H107" s="542"/>
      <c r="I107" s="542"/>
      <c r="J107" s="542"/>
      <c r="K107" s="542"/>
      <c r="L107" s="542"/>
      <c r="M107" s="542"/>
      <c r="N107" s="542"/>
    </row>
    <row r="108" spans="1:14" ht="13.5" thickBot="1">
      <c r="A108" s="543" t="s">
        <v>64</v>
      </c>
      <c r="B108" s="544">
        <v>2000</v>
      </c>
      <c r="C108" s="544">
        <v>2010</v>
      </c>
      <c r="D108" s="544">
        <v>2015</v>
      </c>
      <c r="E108" s="544">
        <v>2020</v>
      </c>
      <c r="F108" s="544">
        <v>2025</v>
      </c>
      <c r="G108" s="544">
        <v>2030</v>
      </c>
      <c r="H108" s="544">
        <v>2035</v>
      </c>
      <c r="I108" s="561" t="s">
        <v>365</v>
      </c>
      <c r="J108" s="562" t="s">
        <v>366</v>
      </c>
      <c r="K108" s="562" t="s">
        <v>367</v>
      </c>
      <c r="L108" s="562" t="s">
        <v>368</v>
      </c>
      <c r="M108" s="562" t="s">
        <v>369</v>
      </c>
      <c r="N108" s="563" t="s">
        <v>370</v>
      </c>
    </row>
    <row r="109" spans="1:14">
      <c r="A109" s="547" t="s">
        <v>68</v>
      </c>
      <c r="B109" s="548">
        <v>8.7309185971473457</v>
      </c>
      <c r="C109" s="548">
        <v>6.1069677194810854</v>
      </c>
      <c r="D109" s="548">
        <v>3.8858296581976375</v>
      </c>
      <c r="E109" s="548">
        <v>1.647655165592177</v>
      </c>
      <c r="F109" s="548">
        <v>0.90221312323801151</v>
      </c>
      <c r="G109" s="548">
        <v>0.15677108088384614</v>
      </c>
      <c r="H109" s="548">
        <v>0.16263828216742238</v>
      </c>
      <c r="I109" s="566">
        <v>-3.5112748116163384E-2</v>
      </c>
      <c r="J109" s="567">
        <v>-8.6451462140773483E-2</v>
      </c>
      <c r="K109" s="567">
        <v>-0.15768116285100953</v>
      </c>
      <c r="L109" s="567">
        <v>-0.11347994827232732</v>
      </c>
      <c r="M109" s="567">
        <v>-0.29532094614557058</v>
      </c>
      <c r="N109" s="568">
        <v>7.3754555363376717E-3</v>
      </c>
    </row>
    <row r="110" spans="1:14">
      <c r="A110" s="547" t="s">
        <v>243</v>
      </c>
      <c r="B110" s="548">
        <v>12.517664854057456</v>
      </c>
      <c r="C110" s="548">
        <v>13.726094749896308</v>
      </c>
      <c r="D110" s="548">
        <v>12.27115918684208</v>
      </c>
      <c r="E110" s="548">
        <v>10.649627928519838</v>
      </c>
      <c r="F110" s="548">
        <v>9.1130794402702868</v>
      </c>
      <c r="G110" s="548">
        <v>7.5765309520207342</v>
      </c>
      <c r="H110" s="548">
        <v>6.7853382783007818</v>
      </c>
      <c r="I110" s="569">
        <v>9.2583873950500273E-3</v>
      </c>
      <c r="J110" s="570">
        <v>-2.2160178422838017E-2</v>
      </c>
      <c r="K110" s="570">
        <v>-2.7947393868710702E-2</v>
      </c>
      <c r="L110" s="570">
        <v>-3.0682297534791125E-2</v>
      </c>
      <c r="M110" s="570">
        <v>-3.6257416094737649E-2</v>
      </c>
      <c r="N110" s="571">
        <v>-2.1816753221189367E-2</v>
      </c>
    </row>
    <row r="111" spans="1:14">
      <c r="A111" s="547" t="s">
        <v>40</v>
      </c>
      <c r="B111" s="548">
        <v>0.49109997507097003</v>
      </c>
      <c r="C111" s="548">
        <v>0.19111626916827876</v>
      </c>
      <c r="D111" s="548">
        <v>7.940101021092565E-3</v>
      </c>
      <c r="E111" s="548">
        <v>3.167805967189203E-3</v>
      </c>
      <c r="F111" s="548">
        <v>2.6060540525163975E-3</v>
      </c>
      <c r="G111" s="548">
        <v>2.044302137843592E-3</v>
      </c>
      <c r="H111" s="548">
        <v>2.5277350440004345E-3</v>
      </c>
      <c r="I111" s="569">
        <v>-9.0059962076729061E-2</v>
      </c>
      <c r="J111" s="570">
        <v>-0.47069539328223986</v>
      </c>
      <c r="K111" s="570">
        <v>-0.16787894902047096</v>
      </c>
      <c r="L111" s="570">
        <v>-3.8288145623344816E-2</v>
      </c>
      <c r="M111" s="570">
        <v>-4.7396149317884162E-2</v>
      </c>
      <c r="N111" s="571">
        <v>4.3367472689475495E-2</v>
      </c>
    </row>
    <row r="112" spans="1:14">
      <c r="A112" s="547" t="s">
        <v>53</v>
      </c>
      <c r="B112" s="548">
        <v>1.6183101287282695</v>
      </c>
      <c r="C112" s="548">
        <v>1.0290261829726015</v>
      </c>
      <c r="D112" s="548">
        <v>0.97648342857000148</v>
      </c>
      <c r="E112" s="548">
        <v>0.82979542936337136</v>
      </c>
      <c r="F112" s="548">
        <v>0.73586787510806984</v>
      </c>
      <c r="G112" s="548">
        <v>0.6419403208527682</v>
      </c>
      <c r="H112" s="548">
        <v>0.586419744964364</v>
      </c>
      <c r="I112" s="569">
        <v>-4.4267251967159527E-2</v>
      </c>
      <c r="J112" s="570">
        <v>-1.0427334574240832E-2</v>
      </c>
      <c r="K112" s="570">
        <v>-3.2031483039319908E-2</v>
      </c>
      <c r="L112" s="570">
        <v>-2.3739402851542746E-2</v>
      </c>
      <c r="M112" s="570">
        <v>-2.6941474220536499E-2</v>
      </c>
      <c r="N112" s="571">
        <v>-1.7929227961754113E-2</v>
      </c>
    </row>
    <row r="113" spans="1:14">
      <c r="A113" s="547" t="s">
        <v>54</v>
      </c>
      <c r="B113" s="548">
        <v>10.409311072316866</v>
      </c>
      <c r="C113" s="548">
        <v>12.955978398574327</v>
      </c>
      <c r="D113" s="548">
        <v>12.775833612242735</v>
      </c>
      <c r="E113" s="548">
        <v>12.636560075423329</v>
      </c>
      <c r="F113" s="548">
        <v>11.42328337074772</v>
      </c>
      <c r="G113" s="548">
        <v>10.210006666072111</v>
      </c>
      <c r="H113" s="548">
        <v>9.8652256438590662</v>
      </c>
      <c r="I113" s="569">
        <v>2.2126911170279984E-2</v>
      </c>
      <c r="J113" s="570">
        <v>-2.7964718976412062E-3</v>
      </c>
      <c r="K113" s="570">
        <v>-2.1898351282917394E-3</v>
      </c>
      <c r="L113" s="570">
        <v>-1.9985691049409948E-2</v>
      </c>
      <c r="M113" s="570">
        <v>-2.2206794555521769E-2</v>
      </c>
      <c r="N113" s="571">
        <v>-6.8469069228929147E-3</v>
      </c>
    </row>
    <row r="114" spans="1:14">
      <c r="A114" s="547" t="s">
        <v>55</v>
      </c>
      <c r="B114" s="548">
        <v>1.8195989444434046</v>
      </c>
      <c r="C114" s="548">
        <v>1.4185456086851327</v>
      </c>
      <c r="D114" s="548">
        <v>1.4784472789554459</v>
      </c>
      <c r="E114" s="548">
        <v>1.576860016461153</v>
      </c>
      <c r="F114" s="548">
        <v>1.5386020056116005</v>
      </c>
      <c r="G114" s="548">
        <v>1.5003439947620478</v>
      </c>
      <c r="H114" s="548">
        <v>1.3636251677681144</v>
      </c>
      <c r="I114" s="569">
        <v>-2.4590990387731826E-2</v>
      </c>
      <c r="J114" s="570">
        <v>8.3063627188180167E-3</v>
      </c>
      <c r="K114" s="570">
        <v>1.2972043770280717E-2</v>
      </c>
      <c r="L114" s="570">
        <v>-4.9002191100157022E-3</v>
      </c>
      <c r="M114" s="570">
        <v>-5.0233015917300339E-3</v>
      </c>
      <c r="N114" s="571">
        <v>-1.8928109020184158E-2</v>
      </c>
    </row>
    <row r="115" spans="1:14">
      <c r="A115" s="547" t="s">
        <v>399</v>
      </c>
      <c r="B115" s="548">
        <v>6.9335999999999984</v>
      </c>
      <c r="C115" s="548">
        <v>6.1965326108492178</v>
      </c>
      <c r="D115" s="548">
        <v>7.5517007504062583</v>
      </c>
      <c r="E115" s="548">
        <v>7.48689064046998</v>
      </c>
      <c r="F115" s="548">
        <v>6.7656999566358582</v>
      </c>
      <c r="G115" s="548">
        <v>6.0445092728017364</v>
      </c>
      <c r="H115" s="548">
        <v>5.3102477325673405</v>
      </c>
      <c r="I115" s="569">
        <v>-1.1176007145011546E-2</v>
      </c>
      <c r="J115" s="570">
        <v>4.034936508718423E-2</v>
      </c>
      <c r="K115" s="570">
        <v>-1.7223602909594016E-3</v>
      </c>
      <c r="L115" s="570">
        <v>-2.0053764528405904E-2</v>
      </c>
      <c r="M115" s="570">
        <v>-2.2290887700047279E-2</v>
      </c>
      <c r="N115" s="571">
        <v>-2.556977432183738E-2</v>
      </c>
    </row>
    <row r="116" spans="1:14">
      <c r="A116" s="547"/>
      <c r="B116" s="548"/>
      <c r="C116" s="548"/>
      <c r="D116" s="548"/>
      <c r="E116" s="548"/>
      <c r="F116" s="548"/>
      <c r="G116" s="548"/>
      <c r="H116" s="548"/>
      <c r="I116" s="569"/>
      <c r="J116" s="570"/>
      <c r="K116" s="570"/>
      <c r="L116" s="570"/>
      <c r="M116" s="570"/>
      <c r="N116" s="571"/>
    </row>
    <row r="117" spans="1:14" ht="13.5" thickBot="1">
      <c r="A117" s="594" t="s">
        <v>9</v>
      </c>
      <c r="B117" s="595">
        <v>42.520503571764309</v>
      </c>
      <c r="C117" s="596">
        <v>41.624261539626957</v>
      </c>
      <c r="D117" s="595">
        <v>38.947394016235251</v>
      </c>
      <c r="E117" s="595">
        <v>34.830557061797037</v>
      </c>
      <c r="F117" s="595">
        <v>30.481351825664063</v>
      </c>
      <c r="G117" s="595">
        <v>26.132146589531086</v>
      </c>
      <c r="H117" s="595">
        <v>24.076022584671087</v>
      </c>
      <c r="I117" s="573">
        <v>-2.128051403535558E-3</v>
      </c>
      <c r="J117" s="574">
        <v>-1.3206290141886567E-2</v>
      </c>
      <c r="K117" s="574">
        <v>-2.2095593162034022E-2</v>
      </c>
      <c r="L117" s="574">
        <v>-2.6323337737261365E-2</v>
      </c>
      <c r="M117" s="574">
        <v>-3.0320593527176753E-2</v>
      </c>
      <c r="N117" s="575">
        <v>-1.625637439349048E-2</v>
      </c>
    </row>
    <row r="118" spans="1:14" ht="15">
      <c r="A118" s="560"/>
      <c r="B118" s="533"/>
      <c r="C118" s="533"/>
      <c r="D118" s="533"/>
      <c r="E118" s="533"/>
      <c r="F118" s="533"/>
      <c r="G118" s="522"/>
      <c r="H118" s="522"/>
      <c r="I118" s="522"/>
      <c r="J118" s="522"/>
      <c r="K118" s="522"/>
      <c r="L118" s="522"/>
      <c r="M118" s="522"/>
      <c r="N118" s="522"/>
    </row>
    <row r="119" spans="1:14" ht="15">
      <c r="A119" s="522"/>
      <c r="B119" s="533"/>
      <c r="C119" s="533"/>
      <c r="D119" s="533"/>
      <c r="E119" s="533"/>
      <c r="F119" s="533"/>
      <c r="G119" s="522"/>
      <c r="H119" s="522"/>
      <c r="I119" s="522"/>
      <c r="J119" s="522"/>
      <c r="K119" s="522"/>
      <c r="L119" s="522"/>
      <c r="M119" s="522"/>
      <c r="N119" s="522"/>
    </row>
    <row r="120" spans="1:14" ht="16.5" thickBot="1">
      <c r="A120" s="540" t="s">
        <v>400</v>
      </c>
      <c r="B120" s="542"/>
      <c r="C120" s="542"/>
      <c r="D120" s="542"/>
      <c r="E120" s="542"/>
      <c r="F120" s="542"/>
      <c r="G120" s="542"/>
      <c r="H120" s="542"/>
      <c r="I120" s="542"/>
      <c r="J120" s="542"/>
      <c r="K120" s="542"/>
      <c r="L120" s="542"/>
      <c r="M120" s="542"/>
      <c r="N120" s="542"/>
    </row>
    <row r="121" spans="1:14" ht="13.5" thickBot="1">
      <c r="A121" s="543" t="s">
        <v>64</v>
      </c>
      <c r="B121" s="544">
        <v>2000</v>
      </c>
      <c r="C121" s="544">
        <v>2010</v>
      </c>
      <c r="D121" s="544">
        <v>2015</v>
      </c>
      <c r="E121" s="544">
        <v>2020</v>
      </c>
      <c r="F121" s="544">
        <v>2025</v>
      </c>
      <c r="G121" s="544">
        <v>2030</v>
      </c>
      <c r="H121" s="544">
        <v>2035</v>
      </c>
      <c r="I121" s="561" t="s">
        <v>365</v>
      </c>
      <c r="J121" s="562" t="s">
        <v>366</v>
      </c>
      <c r="K121" s="562" t="s">
        <v>367</v>
      </c>
      <c r="L121" s="562" t="s">
        <v>368</v>
      </c>
      <c r="M121" s="562" t="s">
        <v>369</v>
      </c>
      <c r="N121" s="563" t="s">
        <v>370</v>
      </c>
    </row>
    <row r="122" spans="1:14">
      <c r="A122" s="547" t="s">
        <v>401</v>
      </c>
      <c r="B122" s="548">
        <v>31.113699999999991</v>
      </c>
      <c r="C122" s="548">
        <v>28.365257844469831</v>
      </c>
      <c r="D122" s="548">
        <v>25.665463916379164</v>
      </c>
      <c r="E122" s="548">
        <v>21.483183670826662</v>
      </c>
      <c r="F122" s="548">
        <v>17.836153602730974</v>
      </c>
      <c r="G122" s="548">
        <v>14.189123534635282</v>
      </c>
      <c r="H122" s="548">
        <v>11.883610633426283</v>
      </c>
      <c r="I122" s="566">
        <v>-9.205681430726087E-3</v>
      </c>
      <c r="J122" s="567">
        <v>-1.980501405331736E-2</v>
      </c>
      <c r="K122" s="567">
        <v>-3.4949801174882889E-2</v>
      </c>
      <c r="L122" s="567">
        <v>-3.6524861819635102E-2</v>
      </c>
      <c r="M122" s="567">
        <v>-4.471958675318477E-2</v>
      </c>
      <c r="N122" s="568">
        <v>-3.4841657821465422E-2</v>
      </c>
    </row>
    <row r="123" spans="1:14">
      <c r="A123" s="547" t="s">
        <v>402</v>
      </c>
      <c r="B123" s="548">
        <v>4.1635857815741222</v>
      </c>
      <c r="C123" s="548">
        <v>4.2965436283653231</v>
      </c>
      <c r="D123" s="548">
        <v>4.1807208011614216</v>
      </c>
      <c r="E123" s="548">
        <v>4.1034045917180091</v>
      </c>
      <c r="F123" s="548">
        <v>3.8583553716366179</v>
      </c>
      <c r="G123" s="548">
        <v>3.6133061515552263</v>
      </c>
      <c r="H123" s="548">
        <v>3.6171870266415098</v>
      </c>
      <c r="I123" s="569">
        <v>3.1483679723585123E-3</v>
      </c>
      <c r="J123" s="570">
        <v>-5.4505356289146212E-3</v>
      </c>
      <c r="K123" s="570">
        <v>-3.7263707417006797E-3</v>
      </c>
      <c r="L123" s="570">
        <v>-1.2239677117052539E-2</v>
      </c>
      <c r="M123" s="570">
        <v>-1.3037829155745029E-2</v>
      </c>
      <c r="N123" s="571">
        <v>2.1471797263350467E-4</v>
      </c>
    </row>
    <row r="124" spans="1:14">
      <c r="A124" s="547" t="s">
        <v>403</v>
      </c>
      <c r="B124" s="548">
        <v>2.3686796274396418</v>
      </c>
      <c r="C124" s="548">
        <v>2.5272258737164752</v>
      </c>
      <c r="D124" s="548">
        <v>2.5974931478004564</v>
      </c>
      <c r="E124" s="548">
        <v>2.656464971339827</v>
      </c>
      <c r="F124" s="548">
        <v>2.7078096356540353</v>
      </c>
      <c r="G124" s="548">
        <v>2.7591542999682441</v>
      </c>
      <c r="H124" s="548">
        <v>2.8063798765509866</v>
      </c>
      <c r="I124" s="569">
        <v>6.4999866032497966E-3</v>
      </c>
      <c r="J124" s="570">
        <v>5.4999891984333082E-3</v>
      </c>
      <c r="K124" s="570">
        <v>4.4999896433106645E-3</v>
      </c>
      <c r="L124" s="570">
        <v>3.8360939958297369E-3</v>
      </c>
      <c r="M124" s="570">
        <v>3.7638985753210008E-3</v>
      </c>
      <c r="N124" s="571">
        <v>3.3999934886774774E-3</v>
      </c>
    </row>
    <row r="125" spans="1:14">
      <c r="A125" s="547" t="s">
        <v>404</v>
      </c>
      <c r="B125" s="548">
        <v>0.96693834760930275</v>
      </c>
      <c r="C125" s="548">
        <v>0.84781134964300175</v>
      </c>
      <c r="D125" s="548">
        <v>0.82335082304373619</v>
      </c>
      <c r="E125" s="548">
        <v>0.79346216760793331</v>
      </c>
      <c r="F125" s="548">
        <v>0.62008203018049068</v>
      </c>
      <c r="G125" s="548">
        <v>0.44670189275304811</v>
      </c>
      <c r="H125" s="548">
        <v>0.31721851081280872</v>
      </c>
      <c r="I125" s="569">
        <v>-1.3061606181475227E-2</v>
      </c>
      <c r="J125" s="570">
        <v>-5.8380445421690741E-3</v>
      </c>
      <c r="K125" s="570">
        <v>-7.3680264872284518E-3</v>
      </c>
      <c r="L125" s="570">
        <v>-4.8114778380760392E-2</v>
      </c>
      <c r="M125" s="570">
        <v>-6.3487174544756164E-2</v>
      </c>
      <c r="N125" s="571">
        <v>-6.6169303312256122E-2</v>
      </c>
    </row>
    <row r="126" spans="1:14">
      <c r="A126" s="547" t="s">
        <v>405</v>
      </c>
      <c r="B126" s="548">
        <v>3.9075998151412508</v>
      </c>
      <c r="C126" s="548">
        <v>5.5874228434323321</v>
      </c>
      <c r="D126" s="548">
        <v>5.6803653278504749</v>
      </c>
      <c r="E126" s="548">
        <v>5.7940416603046057</v>
      </c>
      <c r="F126" s="548">
        <v>5.4589511854619452</v>
      </c>
      <c r="G126" s="548">
        <v>5.1238607106192857</v>
      </c>
      <c r="H126" s="548">
        <v>5.4516265372394992</v>
      </c>
      <c r="I126" s="569">
        <v>3.6406542452698032E-2</v>
      </c>
      <c r="J126" s="570">
        <v>3.3049288514686026E-3</v>
      </c>
      <c r="K126" s="570">
        <v>3.9707708278358123E-3</v>
      </c>
      <c r="L126" s="570">
        <v>-1.1843983010212833E-2</v>
      </c>
      <c r="M126" s="570">
        <v>-1.2589773444912855E-2</v>
      </c>
      <c r="N126" s="571">
        <v>1.2478375541582931E-2</v>
      </c>
    </row>
    <row r="127" spans="1:14">
      <c r="A127" s="547" t="s">
        <v>406</v>
      </c>
      <c r="B127" s="548">
        <v>0</v>
      </c>
      <c r="C127" s="548">
        <v>0</v>
      </c>
      <c r="D127" s="548">
        <v>0</v>
      </c>
      <c r="E127" s="548">
        <v>0</v>
      </c>
      <c r="F127" s="548">
        <v>0</v>
      </c>
      <c r="G127" s="548">
        <v>0</v>
      </c>
      <c r="H127" s="548">
        <v>0</v>
      </c>
      <c r="I127" s="569"/>
      <c r="J127" s="570"/>
      <c r="K127" s="570"/>
      <c r="L127" s="570"/>
      <c r="M127" s="570"/>
      <c r="N127" s="571"/>
    </row>
    <row r="128" spans="1:14">
      <c r="A128" s="547"/>
      <c r="B128" s="548"/>
      <c r="C128" s="548"/>
      <c r="D128" s="548"/>
      <c r="E128" s="548"/>
      <c r="F128" s="548"/>
      <c r="G128" s="548"/>
      <c r="H128" s="548"/>
      <c r="I128" s="569"/>
      <c r="J128" s="570"/>
      <c r="K128" s="570"/>
      <c r="L128" s="570"/>
      <c r="M128" s="570"/>
      <c r="N128" s="571"/>
    </row>
    <row r="129" spans="1:14" ht="13.5" thickBot="1">
      <c r="A129" s="594" t="s">
        <v>9</v>
      </c>
      <c r="B129" s="595">
        <v>42.520503571764309</v>
      </c>
      <c r="C129" s="595">
        <v>41.624261539626957</v>
      </c>
      <c r="D129" s="595">
        <v>38.947394016235251</v>
      </c>
      <c r="E129" s="595">
        <v>34.830557061797037</v>
      </c>
      <c r="F129" s="595">
        <v>30.481351825664063</v>
      </c>
      <c r="G129" s="595">
        <v>26.132146589531086</v>
      </c>
      <c r="H129" s="595">
        <v>24.076022584671087</v>
      </c>
      <c r="I129" s="573">
        <v>-2.128051403535558E-3</v>
      </c>
      <c r="J129" s="574">
        <v>-1.3206290141886567E-2</v>
      </c>
      <c r="K129" s="574">
        <v>-2.2095593162034022E-2</v>
      </c>
      <c r="L129" s="574">
        <v>-2.6323337737261365E-2</v>
      </c>
      <c r="M129" s="574">
        <v>-3.0320593527176753E-2</v>
      </c>
      <c r="N129" s="575">
        <v>-1.625637439349048E-2</v>
      </c>
    </row>
    <row r="130" spans="1:14" ht="15">
      <c r="A130" s="560"/>
      <c r="B130" s="533"/>
      <c r="C130" s="533"/>
      <c r="D130" s="533"/>
      <c r="E130" s="533"/>
      <c r="F130" s="533"/>
      <c r="G130" s="522"/>
      <c r="H130" s="522"/>
      <c r="I130" s="522"/>
      <c r="J130" s="522"/>
      <c r="K130" s="522"/>
      <c r="L130" s="522"/>
      <c r="M130" s="522"/>
      <c r="N130" s="522"/>
    </row>
    <row r="131" spans="1:14" ht="15">
      <c r="A131" s="522"/>
      <c r="B131" s="533"/>
      <c r="C131" s="533"/>
      <c r="D131" s="533"/>
      <c r="E131" s="533"/>
      <c r="F131" s="533"/>
      <c r="G131" s="522"/>
      <c r="H131" s="522"/>
      <c r="I131" s="522"/>
      <c r="J131" s="522"/>
      <c r="K131" s="522"/>
      <c r="L131" s="522"/>
      <c r="M131" s="522"/>
      <c r="N131" s="522"/>
    </row>
    <row r="132" spans="1:14" ht="16.5" thickBot="1">
      <c r="A132" s="540" t="s">
        <v>407</v>
      </c>
      <c r="B132" s="542"/>
      <c r="C132" s="542"/>
      <c r="D132" s="542"/>
      <c r="E132" s="542"/>
      <c r="F132" s="542"/>
      <c r="G132" s="542"/>
      <c r="H132" s="542"/>
      <c r="I132" s="542"/>
      <c r="J132" s="542"/>
      <c r="K132" s="542"/>
      <c r="L132" s="542"/>
      <c r="M132" s="542"/>
      <c r="N132" s="542"/>
    </row>
    <row r="133" spans="1:14" ht="13.5" thickBot="1">
      <c r="A133" s="543" t="s">
        <v>64</v>
      </c>
      <c r="B133" s="544">
        <v>2000</v>
      </c>
      <c r="C133" s="544">
        <v>2010</v>
      </c>
      <c r="D133" s="544">
        <v>2015</v>
      </c>
      <c r="E133" s="544">
        <v>2020</v>
      </c>
      <c r="F133" s="544">
        <v>2025</v>
      </c>
      <c r="G133" s="544">
        <v>2030</v>
      </c>
      <c r="H133" s="544">
        <v>2035</v>
      </c>
      <c r="I133" s="561" t="s">
        <v>365</v>
      </c>
      <c r="J133" s="562" t="s">
        <v>366</v>
      </c>
      <c r="K133" s="562" t="s">
        <v>367</v>
      </c>
      <c r="L133" s="562" t="s">
        <v>368</v>
      </c>
      <c r="M133" s="562" t="s">
        <v>369</v>
      </c>
      <c r="N133" s="563" t="s">
        <v>370</v>
      </c>
    </row>
    <row r="134" spans="1:14">
      <c r="A134" s="547" t="s">
        <v>68</v>
      </c>
      <c r="B134" s="548">
        <v>8.7309185971473457</v>
      </c>
      <c r="C134" s="548">
        <v>6.1069677194810854</v>
      </c>
      <c r="D134" s="548">
        <v>3.8858296581976375</v>
      </c>
      <c r="E134" s="548">
        <v>1.647655165592177</v>
      </c>
      <c r="F134" s="548">
        <v>0.90221312323801151</v>
      </c>
      <c r="G134" s="548">
        <v>0.15677108088384614</v>
      </c>
      <c r="H134" s="548">
        <v>0.16263828216742238</v>
      </c>
      <c r="I134" s="566">
        <v>-3.5112748116163384E-2</v>
      </c>
      <c r="J134" s="567">
        <v>-8.6451462140773483E-2</v>
      </c>
      <c r="K134" s="567">
        <v>-0.15768116285100953</v>
      </c>
      <c r="L134" s="567">
        <v>-0.11347994827232732</v>
      </c>
      <c r="M134" s="567">
        <v>-0.29532094614557058</v>
      </c>
      <c r="N134" s="568">
        <v>7.3754555363376717E-3</v>
      </c>
    </row>
    <row r="135" spans="1:14">
      <c r="A135" s="547" t="s">
        <v>243</v>
      </c>
      <c r="B135" s="548">
        <v>12.517664854057456</v>
      </c>
      <c r="C135" s="548">
        <v>13.726094749896308</v>
      </c>
      <c r="D135" s="548">
        <v>12.27115918684208</v>
      </c>
      <c r="E135" s="548">
        <v>10.649627928519838</v>
      </c>
      <c r="F135" s="548">
        <v>9.1130794402702868</v>
      </c>
      <c r="G135" s="548">
        <v>7.5765309520207342</v>
      </c>
      <c r="H135" s="548">
        <v>6.7853382783007818</v>
      </c>
      <c r="I135" s="569">
        <v>9.2583873950500273E-3</v>
      </c>
      <c r="J135" s="570">
        <v>-2.2160178422838017E-2</v>
      </c>
      <c r="K135" s="570">
        <v>-2.7947393868710702E-2</v>
      </c>
      <c r="L135" s="570">
        <v>-3.0682297534791125E-2</v>
      </c>
      <c r="M135" s="570">
        <v>-3.6257416094737649E-2</v>
      </c>
      <c r="N135" s="571">
        <v>-2.1816753221189367E-2</v>
      </c>
    </row>
    <row r="136" spans="1:14">
      <c r="A136" s="547" t="s">
        <v>40</v>
      </c>
      <c r="B136" s="548">
        <v>0.49109997507097003</v>
      </c>
      <c r="C136" s="548">
        <v>0.19111626916827876</v>
      </c>
      <c r="D136" s="548">
        <v>7.940101021092565E-3</v>
      </c>
      <c r="E136" s="548">
        <v>3.167805967189203E-3</v>
      </c>
      <c r="F136" s="548">
        <v>2.6060540525163975E-3</v>
      </c>
      <c r="G136" s="548">
        <v>2.044302137843592E-3</v>
      </c>
      <c r="H136" s="548">
        <v>2.5277350440004345E-3</v>
      </c>
      <c r="I136" s="569">
        <v>-9.0059962076729061E-2</v>
      </c>
      <c r="J136" s="570">
        <v>-0.47069539328223986</v>
      </c>
      <c r="K136" s="570">
        <v>-0.16787894902047096</v>
      </c>
      <c r="L136" s="570">
        <v>-3.8288145623344816E-2</v>
      </c>
      <c r="M136" s="570">
        <v>-4.7396149317884162E-2</v>
      </c>
      <c r="N136" s="571">
        <v>4.3367472689475495E-2</v>
      </c>
    </row>
    <row r="137" spans="1:14">
      <c r="A137" s="547" t="s">
        <v>53</v>
      </c>
      <c r="B137" s="548">
        <v>1.6183101287282695</v>
      </c>
      <c r="C137" s="548">
        <v>1.0290261829726015</v>
      </c>
      <c r="D137" s="548">
        <v>0.97648342857000148</v>
      </c>
      <c r="E137" s="548">
        <v>0.82979542936337136</v>
      </c>
      <c r="F137" s="548">
        <v>0.73586787510806984</v>
      </c>
      <c r="G137" s="548">
        <v>0.6419403208527682</v>
      </c>
      <c r="H137" s="548">
        <v>0.586419744964364</v>
      </c>
      <c r="I137" s="569">
        <v>-4.4267251967159527E-2</v>
      </c>
      <c r="J137" s="570">
        <v>-1.0427334574240832E-2</v>
      </c>
      <c r="K137" s="570">
        <v>-3.2031483039319908E-2</v>
      </c>
      <c r="L137" s="570">
        <v>-2.3739402851542746E-2</v>
      </c>
      <c r="M137" s="570">
        <v>-2.6941474220536499E-2</v>
      </c>
      <c r="N137" s="571">
        <v>-1.7929227961754113E-2</v>
      </c>
    </row>
    <row r="138" spans="1:14">
      <c r="A138" s="547" t="s">
        <v>54</v>
      </c>
      <c r="B138" s="548">
        <v>5.5347729095663132</v>
      </c>
      <c r="C138" s="548">
        <v>6.5207442054989926</v>
      </c>
      <c r="D138" s="548">
        <v>6.2721174613485244</v>
      </c>
      <c r="E138" s="548">
        <v>6.0490562475107907</v>
      </c>
      <c r="F138" s="548">
        <v>5.3442501551052839</v>
      </c>
      <c r="G138" s="548">
        <v>4.6394440626997779</v>
      </c>
      <c r="H138" s="548">
        <v>4.0963805958067576</v>
      </c>
      <c r="I138" s="569">
        <v>1.6528913053386329E-2</v>
      </c>
      <c r="J138" s="570">
        <v>-7.7447537641996966E-3</v>
      </c>
      <c r="K138" s="570">
        <v>-7.2161859987180943E-3</v>
      </c>
      <c r="L138" s="570">
        <v>-2.4471793503860972E-2</v>
      </c>
      <c r="M138" s="570">
        <v>-2.7889055032981003E-2</v>
      </c>
      <c r="N138" s="571">
        <v>-2.4590746167947541E-2</v>
      </c>
    </row>
    <row r="139" spans="1:14">
      <c r="A139" s="547" t="s">
        <v>55</v>
      </c>
      <c r="B139" s="548">
        <v>1.8195989444434046</v>
      </c>
      <c r="C139" s="548">
        <v>1.4185456086851327</v>
      </c>
      <c r="D139" s="548">
        <v>1.4784472789554459</v>
      </c>
      <c r="E139" s="548">
        <v>1.576860016461153</v>
      </c>
      <c r="F139" s="548">
        <v>1.5386020056116005</v>
      </c>
      <c r="G139" s="548">
        <v>1.5003439947620478</v>
      </c>
      <c r="H139" s="548">
        <v>1.3636251677681144</v>
      </c>
      <c r="I139" s="569">
        <v>-2.4590990387731826E-2</v>
      </c>
      <c r="J139" s="570">
        <v>8.3063627188180167E-3</v>
      </c>
      <c r="K139" s="570">
        <v>1.2972043770280717E-2</v>
      </c>
      <c r="L139" s="570">
        <v>-4.9002191100157022E-3</v>
      </c>
      <c r="M139" s="570">
        <v>-5.0233015917300339E-3</v>
      </c>
      <c r="N139" s="571">
        <v>-1.8928109020184158E-2</v>
      </c>
    </row>
    <row r="140" spans="1:14">
      <c r="A140" s="547" t="s">
        <v>399</v>
      </c>
      <c r="B140" s="548">
        <v>6.9335999999999984</v>
      </c>
      <c r="C140" s="548">
        <v>6.1965326108492178</v>
      </c>
      <c r="D140" s="548">
        <v>7.5517007504062583</v>
      </c>
      <c r="E140" s="548">
        <v>7.48689064046998</v>
      </c>
      <c r="F140" s="548">
        <v>6.7656999566358582</v>
      </c>
      <c r="G140" s="548">
        <v>6.0445092728017364</v>
      </c>
      <c r="H140" s="548">
        <v>5.3102477325673405</v>
      </c>
      <c r="I140" s="569">
        <v>-1.1176007145011546E-2</v>
      </c>
      <c r="J140" s="570">
        <v>4.034936508718423E-2</v>
      </c>
      <c r="K140" s="570">
        <v>-1.7223602909594016E-3</v>
      </c>
      <c r="L140" s="570">
        <v>-2.0053764528405904E-2</v>
      </c>
      <c r="M140" s="570">
        <v>-2.2290887700047279E-2</v>
      </c>
      <c r="N140" s="571">
        <v>-2.556977432183738E-2</v>
      </c>
    </row>
    <row r="141" spans="1:14">
      <c r="A141" s="547"/>
      <c r="B141" s="548"/>
      <c r="C141" s="548"/>
      <c r="D141" s="548"/>
      <c r="E141" s="548"/>
      <c r="F141" s="548"/>
      <c r="G141" s="548"/>
      <c r="H141" s="572"/>
      <c r="I141" s="569"/>
      <c r="J141" s="570"/>
      <c r="K141" s="570"/>
      <c r="L141" s="570"/>
      <c r="M141" s="570"/>
      <c r="N141" s="571"/>
    </row>
    <row r="142" spans="1:14" ht="13.5" thickBot="1">
      <c r="A142" s="594" t="s">
        <v>9</v>
      </c>
      <c r="B142" s="595">
        <v>37.645965409013755</v>
      </c>
      <c r="C142" s="595">
        <v>35.189027346551619</v>
      </c>
      <c r="D142" s="595">
        <v>32.443677865341044</v>
      </c>
      <c r="E142" s="595">
        <v>28.243053233884499</v>
      </c>
      <c r="F142" s="595">
        <v>24.402318610021631</v>
      </c>
      <c r="G142" s="595">
        <v>20.561583986158755</v>
      </c>
      <c r="H142" s="595">
        <v>18.307177536618781</v>
      </c>
      <c r="I142" s="573">
        <v>-6.7264233699870779E-3</v>
      </c>
      <c r="J142" s="574">
        <v>-1.6114492372696243E-2</v>
      </c>
      <c r="K142" s="574">
        <v>-2.735062335081595E-2</v>
      </c>
      <c r="L142" s="574">
        <v>-2.8810698283637359E-2</v>
      </c>
      <c r="M142" s="574">
        <v>-3.3670817908781348E-2</v>
      </c>
      <c r="N142" s="575">
        <v>-2.2958603043678916E-2</v>
      </c>
    </row>
    <row r="143" spans="1:14" ht="15">
      <c r="A143" s="522"/>
      <c r="B143" s="533"/>
      <c r="C143" s="533"/>
      <c r="D143" s="533"/>
      <c r="E143" s="533"/>
      <c r="F143" s="533"/>
      <c r="G143" s="522"/>
      <c r="H143" s="522"/>
      <c r="I143" s="522"/>
      <c r="J143" s="522"/>
      <c r="K143" s="522"/>
      <c r="L143" s="522"/>
      <c r="M143" s="522"/>
      <c r="N143" s="522"/>
    </row>
    <row r="144" spans="1:14" ht="15">
      <c r="A144" s="522"/>
      <c r="B144" s="533"/>
      <c r="C144" s="533"/>
      <c r="D144" s="533"/>
      <c r="E144" s="533"/>
      <c r="F144" s="533"/>
      <c r="G144" s="522"/>
      <c r="H144" s="522"/>
      <c r="I144" s="522"/>
      <c r="J144" s="522"/>
      <c r="K144" s="522"/>
      <c r="L144" s="522"/>
      <c r="M144" s="522"/>
      <c r="N144" s="522"/>
    </row>
    <row r="145" spans="1:14" ht="16.5" thickBot="1">
      <c r="A145" s="540" t="s">
        <v>408</v>
      </c>
      <c r="B145" s="542"/>
      <c r="C145" s="542"/>
      <c r="D145" s="542"/>
      <c r="E145" s="542"/>
      <c r="F145" s="542"/>
      <c r="G145" s="542"/>
      <c r="H145" s="542"/>
      <c r="I145" s="542"/>
      <c r="J145" s="542"/>
      <c r="K145" s="542"/>
      <c r="L145" s="542"/>
      <c r="M145" s="542"/>
      <c r="N145" s="542"/>
    </row>
    <row r="146" spans="1:14" ht="13.5" thickBot="1">
      <c r="A146" s="543" t="s">
        <v>64</v>
      </c>
      <c r="B146" s="544">
        <v>2000</v>
      </c>
      <c r="C146" s="544">
        <v>2010</v>
      </c>
      <c r="D146" s="544">
        <v>2015</v>
      </c>
      <c r="E146" s="544">
        <v>2020</v>
      </c>
      <c r="F146" s="544">
        <v>2025</v>
      </c>
      <c r="G146" s="544">
        <v>2030</v>
      </c>
      <c r="H146" s="544">
        <v>2035</v>
      </c>
      <c r="I146" s="561" t="s">
        <v>365</v>
      </c>
      <c r="J146" s="562" t="s">
        <v>366</v>
      </c>
      <c r="K146" s="562" t="s">
        <v>367</v>
      </c>
      <c r="L146" s="562" t="s">
        <v>368</v>
      </c>
      <c r="M146" s="562" t="s">
        <v>369</v>
      </c>
      <c r="N146" s="563" t="s">
        <v>370</v>
      </c>
    </row>
    <row r="147" spans="1:14">
      <c r="A147" s="547" t="s">
        <v>68</v>
      </c>
      <c r="B147" s="548">
        <v>7.7859999999999978</v>
      </c>
      <c r="C147" s="548">
        <v>5.4701850343794698</v>
      </c>
      <c r="D147" s="548">
        <v>3.4996251981128923</v>
      </c>
      <c r="E147" s="548">
        <v>1.4677208800211081</v>
      </c>
      <c r="F147" s="548">
        <v>0.8350545203690144</v>
      </c>
      <c r="G147" s="548">
        <v>0.20238816071692073</v>
      </c>
      <c r="H147" s="548">
        <v>0.19728923418723088</v>
      </c>
      <c r="I147" s="566">
        <v>-3.4685651184244937E-2</v>
      </c>
      <c r="J147" s="567">
        <v>-8.5457476722799575E-2</v>
      </c>
      <c r="K147" s="567">
        <v>-0.15952579790295773</v>
      </c>
      <c r="L147" s="567">
        <v>-0.10666516007118987</v>
      </c>
      <c r="M147" s="567">
        <v>-0.24682819391117949</v>
      </c>
      <c r="N147" s="568">
        <v>-5.0903192670268549E-3</v>
      </c>
    </row>
    <row r="148" spans="1:14">
      <c r="A148" s="547" t="s">
        <v>243</v>
      </c>
      <c r="B148" s="548">
        <v>10.534199999999998</v>
      </c>
      <c r="C148" s="548">
        <v>11.204431086104899</v>
      </c>
      <c r="D148" s="548">
        <v>9.7732511813521068</v>
      </c>
      <c r="E148" s="548">
        <v>8.198773159264686</v>
      </c>
      <c r="F148" s="548">
        <v>6.7804920519418088</v>
      </c>
      <c r="G148" s="548">
        <v>5.3622109446189317</v>
      </c>
      <c r="H148" s="548">
        <v>4.5268611778791925</v>
      </c>
      <c r="I148" s="569">
        <v>6.1872852315316695E-3</v>
      </c>
      <c r="J148" s="570">
        <v>-2.6961889992172638E-2</v>
      </c>
      <c r="K148" s="570">
        <v>-3.452293395706385E-2</v>
      </c>
      <c r="L148" s="570">
        <v>-3.7274515840438172E-2</v>
      </c>
      <c r="M148" s="570">
        <v>-4.58502590909311E-2</v>
      </c>
      <c r="N148" s="571">
        <v>-3.3302364453742905E-2</v>
      </c>
    </row>
    <row r="149" spans="1:14">
      <c r="A149" s="547" t="s">
        <v>40</v>
      </c>
      <c r="B149" s="548">
        <v>0.48379999999999995</v>
      </c>
      <c r="C149" s="548">
        <v>0.18619668656563107</v>
      </c>
      <c r="D149" s="548">
        <v>4.9564069173581582E-3</v>
      </c>
      <c r="E149" s="548">
        <v>1.7776903097981534E-3</v>
      </c>
      <c r="F149" s="548">
        <v>2.0872078244037091E-3</v>
      </c>
      <c r="G149" s="548">
        <v>2.3967253390092653E-3</v>
      </c>
      <c r="H149" s="548">
        <v>2.7954373931851121E-3</v>
      </c>
      <c r="I149" s="569">
        <v>-9.1069643137050682E-2</v>
      </c>
      <c r="J149" s="570">
        <v>-0.51578415002146094</v>
      </c>
      <c r="K149" s="570">
        <v>-0.18541233370121701</v>
      </c>
      <c r="L149" s="570">
        <v>3.2623294338727016E-2</v>
      </c>
      <c r="M149" s="570">
        <v>2.8041187608369711E-2</v>
      </c>
      <c r="N149" s="571">
        <v>3.125555407060232E-2</v>
      </c>
    </row>
    <row r="150" spans="1:14">
      <c r="A150" s="547" t="s">
        <v>53</v>
      </c>
      <c r="B150" s="548">
        <v>0.68369999999999986</v>
      </c>
      <c r="C150" s="548">
        <v>0.37712868904298924</v>
      </c>
      <c r="D150" s="548">
        <v>0.35059780634703203</v>
      </c>
      <c r="E150" s="548">
        <v>0.22453963989016718</v>
      </c>
      <c r="F150" s="548">
        <v>0.13574560699230018</v>
      </c>
      <c r="G150" s="548">
        <v>4.6951574094433179E-2</v>
      </c>
      <c r="H150" s="548">
        <v>4.5768685599805993E-2</v>
      </c>
      <c r="I150" s="569">
        <v>-5.7758129426836002E-2</v>
      </c>
      <c r="J150" s="570">
        <v>-1.4483443832943865E-2</v>
      </c>
      <c r="K150" s="570">
        <v>-8.5261906114075581E-2</v>
      </c>
      <c r="L150" s="570">
        <v>-9.5754091403098873E-2</v>
      </c>
      <c r="M150" s="570">
        <v>-0.19130478275799412</v>
      </c>
      <c r="N150" s="571">
        <v>-5.0903192670267439E-3</v>
      </c>
    </row>
    <row r="151" spans="1:14">
      <c r="A151" s="547" t="s">
        <v>54</v>
      </c>
      <c r="B151" s="548">
        <v>3.1818999999999997</v>
      </c>
      <c r="C151" s="548">
        <v>3.7877682929027205</v>
      </c>
      <c r="D151" s="548">
        <v>3.3486188606031431</v>
      </c>
      <c r="E151" s="548">
        <v>2.9788921190787483</v>
      </c>
      <c r="F151" s="548">
        <v>2.3633320651012317</v>
      </c>
      <c r="G151" s="548">
        <v>1.7477720111237156</v>
      </c>
      <c r="H151" s="548">
        <v>1.2524793089614943</v>
      </c>
      <c r="I151" s="569">
        <v>1.758263643772584E-2</v>
      </c>
      <c r="J151" s="570">
        <v>-2.4344576760634284E-2</v>
      </c>
      <c r="K151" s="570">
        <v>-2.3127663368958995E-2</v>
      </c>
      <c r="L151" s="570">
        <v>-4.5240486755224407E-2</v>
      </c>
      <c r="M151" s="570">
        <v>-5.856138766153407E-2</v>
      </c>
      <c r="N151" s="571">
        <v>-6.44712123358675E-2</v>
      </c>
    </row>
    <row r="152" spans="1:14">
      <c r="A152" s="547" t="s">
        <v>55</v>
      </c>
      <c r="B152" s="548">
        <v>1.5104999999999997</v>
      </c>
      <c r="C152" s="548">
        <v>1.2001027032086991</v>
      </c>
      <c r="D152" s="548">
        <v>1.2038172692847615</v>
      </c>
      <c r="E152" s="548">
        <v>1.2288724484312181</v>
      </c>
      <c r="F152" s="548">
        <v>1.1556159951275276</v>
      </c>
      <c r="G152" s="548">
        <v>1.082359541823837</v>
      </c>
      <c r="H152" s="548">
        <v>0.93673430530457591</v>
      </c>
      <c r="I152" s="569">
        <v>-2.2740798133046525E-2</v>
      </c>
      <c r="J152" s="570">
        <v>6.1827636057776303E-4</v>
      </c>
      <c r="K152" s="570">
        <v>4.1283933712508158E-3</v>
      </c>
      <c r="L152" s="570">
        <v>-1.2217455271505751E-2</v>
      </c>
      <c r="M152" s="570">
        <v>-1.3012616584706205E-2</v>
      </c>
      <c r="N152" s="571">
        <v>-2.848619760750204E-2</v>
      </c>
    </row>
    <row r="153" spans="1:14">
      <c r="A153" s="547" t="s">
        <v>409</v>
      </c>
      <c r="B153" s="548">
        <v>6.9335999999999984</v>
      </c>
      <c r="C153" s="548">
        <v>6.1394453522654171</v>
      </c>
      <c r="D153" s="548">
        <v>7.4845971937618678</v>
      </c>
      <c r="E153" s="548">
        <v>7.3826077338309375</v>
      </c>
      <c r="F153" s="548">
        <v>6.5638261553746862</v>
      </c>
      <c r="G153" s="548">
        <v>5.7450445769184348</v>
      </c>
      <c r="H153" s="548">
        <v>4.9216824841007991</v>
      </c>
      <c r="I153" s="569">
        <v>-1.2090787290598426E-2</v>
      </c>
      <c r="J153" s="570">
        <v>4.0418004020082554E-2</v>
      </c>
      <c r="K153" s="570">
        <v>-2.7402932489378751E-3</v>
      </c>
      <c r="L153" s="570">
        <v>-2.3236425837089181E-2</v>
      </c>
      <c r="M153" s="570">
        <v>-2.6295299512017256E-2</v>
      </c>
      <c r="N153" s="571">
        <v>-3.0463780484305314E-2</v>
      </c>
    </row>
    <row r="154" spans="1:14">
      <c r="A154" s="547"/>
      <c r="B154" s="548"/>
      <c r="C154" s="548"/>
      <c r="D154" s="548"/>
      <c r="E154" s="548"/>
      <c r="F154" s="548"/>
      <c r="G154" s="548"/>
      <c r="H154" s="572"/>
      <c r="I154" s="569"/>
      <c r="J154" s="570"/>
      <c r="K154" s="570"/>
      <c r="L154" s="570"/>
      <c r="M154" s="570"/>
      <c r="N154" s="571"/>
    </row>
    <row r="155" spans="1:14" ht="13.5" thickBot="1">
      <c r="A155" s="594" t="s">
        <v>9</v>
      </c>
      <c r="B155" s="595">
        <v>31.113699999999991</v>
      </c>
      <c r="C155" s="595">
        <v>28.365257844469831</v>
      </c>
      <c r="D155" s="595">
        <v>25.665463916379164</v>
      </c>
      <c r="E155" s="595">
        <v>21.483183670826662</v>
      </c>
      <c r="F155" s="595">
        <v>17.836153602730974</v>
      </c>
      <c r="G155" s="595">
        <v>14.189123534635282</v>
      </c>
      <c r="H155" s="595">
        <v>11.883610633426285</v>
      </c>
      <c r="I155" s="573">
        <v>-9.205681430726087E-3</v>
      </c>
      <c r="J155" s="574">
        <v>-1.980501405331736E-2</v>
      </c>
      <c r="K155" s="574">
        <v>-3.4949801174882889E-2</v>
      </c>
      <c r="L155" s="574">
        <v>-3.6524861819635102E-2</v>
      </c>
      <c r="M155" s="574">
        <v>-4.471958675318477E-2</v>
      </c>
      <c r="N155" s="575">
        <v>-3.4841657821465422E-2</v>
      </c>
    </row>
    <row r="156" spans="1:14" ht="15">
      <c r="A156" s="560"/>
      <c r="B156" s="533"/>
      <c r="C156" s="533"/>
      <c r="D156" s="533"/>
      <c r="E156" s="533"/>
      <c r="F156" s="533"/>
      <c r="G156" s="522"/>
      <c r="H156" s="522"/>
      <c r="I156" s="522"/>
      <c r="J156" s="522"/>
      <c r="K156" s="522"/>
      <c r="L156" s="522"/>
      <c r="M156" s="522"/>
      <c r="N156" s="522"/>
    </row>
    <row r="157" spans="1:14" ht="15">
      <c r="A157" s="560"/>
      <c r="B157" s="533"/>
      <c r="C157" s="533"/>
      <c r="D157" s="533"/>
      <c r="E157" s="533"/>
      <c r="F157" s="533"/>
      <c r="G157" s="522"/>
      <c r="H157" s="522"/>
      <c r="I157" s="522"/>
      <c r="J157" s="522"/>
      <c r="K157" s="522"/>
      <c r="L157" s="522"/>
      <c r="M157" s="522"/>
      <c r="N157" s="522"/>
    </row>
    <row r="158" spans="1:14" ht="16.5" thickBot="1">
      <c r="A158" s="540" t="s">
        <v>410</v>
      </c>
      <c r="B158" s="542"/>
      <c r="C158" s="542"/>
      <c r="D158" s="542"/>
      <c r="E158" s="542"/>
      <c r="F158" s="542"/>
      <c r="G158" s="542"/>
      <c r="H158" s="542"/>
      <c r="I158" s="542"/>
      <c r="J158" s="542"/>
      <c r="K158" s="542"/>
      <c r="L158" s="542"/>
      <c r="M158" s="542"/>
      <c r="N158" s="542"/>
    </row>
    <row r="159" spans="1:14" ht="13.5" thickBot="1">
      <c r="A159" s="597" t="s">
        <v>64</v>
      </c>
      <c r="B159" s="544">
        <v>2000</v>
      </c>
      <c r="C159" s="544">
        <v>2010</v>
      </c>
      <c r="D159" s="544">
        <v>2015</v>
      </c>
      <c r="E159" s="544">
        <v>2020</v>
      </c>
      <c r="F159" s="544">
        <v>2025</v>
      </c>
      <c r="G159" s="544">
        <v>2030</v>
      </c>
      <c r="H159" s="544">
        <v>2035</v>
      </c>
      <c r="I159" s="561" t="s">
        <v>365</v>
      </c>
      <c r="J159" s="562" t="s">
        <v>366</v>
      </c>
      <c r="K159" s="562" t="s">
        <v>367</v>
      </c>
      <c r="L159" s="562" t="s">
        <v>368</v>
      </c>
      <c r="M159" s="562" t="s">
        <v>369</v>
      </c>
      <c r="N159" s="563" t="s">
        <v>370</v>
      </c>
    </row>
    <row r="160" spans="1:14">
      <c r="A160" s="547" t="s">
        <v>68</v>
      </c>
      <c r="B160" s="548">
        <v>0.94489677322734855</v>
      </c>
      <c r="C160" s="548">
        <v>0.63678268510161529</v>
      </c>
      <c r="D160" s="548">
        <v>0.38620446008474529</v>
      </c>
      <c r="E160" s="548">
        <v>0.17993428557106891</v>
      </c>
      <c r="F160" s="548">
        <v>6.7158602868997164E-2</v>
      </c>
      <c r="G160" s="548">
        <v>-4.5617079833074593E-2</v>
      </c>
      <c r="H160" s="548">
        <v>-3.4650952019808494E-2</v>
      </c>
      <c r="I160" s="566">
        <v>-3.8696135956916677E-2</v>
      </c>
      <c r="J160" s="567">
        <v>-9.517371594018198E-2</v>
      </c>
      <c r="K160" s="567">
        <v>-0.14166004747216865</v>
      </c>
      <c r="L160" s="567">
        <v>-0.17889717602930844</v>
      </c>
      <c r="M160" s="567">
        <v>-1.9255612534691395</v>
      </c>
      <c r="N160" s="568">
        <v>-5.3506712912453569E-2</v>
      </c>
    </row>
    <row r="161" spans="1:14">
      <c r="A161" s="547" t="s">
        <v>243</v>
      </c>
      <c r="B161" s="548">
        <v>1.2009958986623404</v>
      </c>
      <c r="C161" s="548">
        <v>1.5622082139400408</v>
      </c>
      <c r="D161" s="548">
        <v>1.5764010132332704</v>
      </c>
      <c r="E161" s="548">
        <v>1.574816060166589</v>
      </c>
      <c r="F161" s="548">
        <v>1.4716848601766384</v>
      </c>
      <c r="G161" s="548">
        <v>1.3685536601866877</v>
      </c>
      <c r="H161" s="548">
        <v>1.3744961921030681</v>
      </c>
      <c r="I161" s="569">
        <v>2.6643683017474773E-2</v>
      </c>
      <c r="J161" s="570">
        <v>1.8104502854432436E-3</v>
      </c>
      <c r="K161" s="570">
        <v>-2.0116592907204467E-4</v>
      </c>
      <c r="L161" s="570">
        <v>-1.3454778362286257E-2</v>
      </c>
      <c r="M161" s="570">
        <v>-1.4425628644803234E-2</v>
      </c>
      <c r="N161" s="571">
        <v>8.6693528159886846E-4</v>
      </c>
    </row>
    <row r="162" spans="1:14">
      <c r="A162" s="547" t="s">
        <v>40</v>
      </c>
      <c r="B162" s="548">
        <v>7.2999750709700946E-3</v>
      </c>
      <c r="C162" s="548">
        <v>4.9195826026476779E-3</v>
      </c>
      <c r="D162" s="548">
        <v>2.9836941037344063E-3</v>
      </c>
      <c r="E162" s="548">
        <v>1.3901156573910495E-3</v>
      </c>
      <c r="F162" s="548">
        <v>5.1884622811268824E-4</v>
      </c>
      <c r="G162" s="548">
        <v>-3.5242320116567308E-4</v>
      </c>
      <c r="H162" s="548">
        <v>-2.6770234918467768E-4</v>
      </c>
      <c r="I162" s="569">
        <v>-3.8696135956916677E-2</v>
      </c>
      <c r="J162" s="570">
        <v>-9.517371594018198E-2</v>
      </c>
      <c r="K162" s="570">
        <v>-0.14166004747216876</v>
      </c>
      <c r="L162" s="570">
        <v>-0.17889717602930844</v>
      </c>
      <c r="M162" s="570">
        <v>-1.9255612534691395</v>
      </c>
      <c r="N162" s="571">
        <v>-5.3506712912453569E-2</v>
      </c>
    </row>
    <row r="163" spans="1:14">
      <c r="A163" s="547" t="s">
        <v>53</v>
      </c>
      <c r="B163" s="548">
        <v>0.1590994566837455</v>
      </c>
      <c r="C163" s="548">
        <v>0.10721994412071859</v>
      </c>
      <c r="D163" s="548">
        <v>6.7024547653917979E-2</v>
      </c>
      <c r="E163" s="548">
        <v>3.1693591545370846E-2</v>
      </c>
      <c r="F163" s="548">
        <v>1.1596956735519637E-2</v>
      </c>
      <c r="G163" s="548">
        <v>-8.4996780743315705E-3</v>
      </c>
      <c r="H163" s="548">
        <v>-6.6232612261638872E-3</v>
      </c>
      <c r="I163" s="569">
        <v>-3.8696135956916677E-2</v>
      </c>
      <c r="J163" s="570">
        <v>-8.9685075453923235E-2</v>
      </c>
      <c r="K163" s="570">
        <v>-0.1391102976106473</v>
      </c>
      <c r="L163" s="570">
        <v>-0.18214838413944878</v>
      </c>
      <c r="M163" s="570">
        <v>-1.9397486013812739</v>
      </c>
      <c r="N163" s="571">
        <v>-4.8664109499625408E-2</v>
      </c>
    </row>
    <row r="164" spans="1:14">
      <c r="A164" s="547" t="s">
        <v>54</v>
      </c>
      <c r="B164" s="548">
        <v>1.5421947334863124</v>
      </c>
      <c r="C164" s="548">
        <v>1.7098830385400619</v>
      </c>
      <c r="D164" s="548">
        <v>1.8063735197706796</v>
      </c>
      <c r="E164" s="548">
        <v>1.8633000641086099</v>
      </c>
      <c r="F164" s="548">
        <v>1.7225362938821041</v>
      </c>
      <c r="G164" s="548">
        <v>1.5817725236555982</v>
      </c>
      <c r="H164" s="548">
        <v>1.4687766392035204</v>
      </c>
      <c r="I164" s="569">
        <v>1.0375295581884547E-2</v>
      </c>
      <c r="J164" s="570">
        <v>1.1039750336415466E-2</v>
      </c>
      <c r="K164" s="570">
        <v>6.2248721814706087E-3</v>
      </c>
      <c r="L164" s="570">
        <v>-1.5587507329280381E-2</v>
      </c>
      <c r="M164" s="570">
        <v>-1.6905810586746228E-2</v>
      </c>
      <c r="N164" s="571">
        <v>-1.4713923039054166E-2</v>
      </c>
    </row>
    <row r="165" spans="1:14">
      <c r="A165" s="547" t="s">
        <v>55</v>
      </c>
      <c r="B165" s="548">
        <v>0.30909894444340497</v>
      </c>
      <c r="C165" s="548">
        <v>0.21844290547643369</v>
      </c>
      <c r="D165" s="548">
        <v>0.27463000967068429</v>
      </c>
      <c r="E165" s="548">
        <v>0.34798756802993486</v>
      </c>
      <c r="F165" s="548">
        <v>0.38298601048407283</v>
      </c>
      <c r="G165" s="548">
        <v>0.41798445293821079</v>
      </c>
      <c r="H165" s="548">
        <v>0.42689086246353841</v>
      </c>
      <c r="I165" s="569">
        <v>-3.411806776370041E-2</v>
      </c>
      <c r="J165" s="570">
        <v>4.6844099641183856E-2</v>
      </c>
      <c r="K165" s="570">
        <v>4.8487234776272592E-2</v>
      </c>
      <c r="L165" s="570">
        <v>1.9351194877226252E-2</v>
      </c>
      <c r="M165" s="570">
        <v>1.7642985863255856E-2</v>
      </c>
      <c r="N165" s="571">
        <v>4.2257335856823453E-3</v>
      </c>
    </row>
    <row r="166" spans="1:14">
      <c r="A166" s="547" t="s">
        <v>155</v>
      </c>
      <c r="B166" s="548">
        <v>0</v>
      </c>
      <c r="C166" s="564">
        <v>5.7087258583804541E-2</v>
      </c>
      <c r="D166" s="564">
        <v>6.7103556644389217E-2</v>
      </c>
      <c r="E166" s="564">
        <v>0.1042829066390448</v>
      </c>
      <c r="F166" s="564">
        <v>0.2018738012611731</v>
      </c>
      <c r="G166" s="564">
        <v>0.29946469588330143</v>
      </c>
      <c r="H166" s="564">
        <v>0.38856524846653984</v>
      </c>
      <c r="I166" s="569"/>
      <c r="J166" s="570">
        <v>3.2859552000594094E-2</v>
      </c>
      <c r="K166" s="570">
        <v>9.2178235008268494E-2</v>
      </c>
      <c r="L166" s="570">
        <v>0.14123049145972977</v>
      </c>
      <c r="M166" s="570">
        <v>8.206446222195396E-2</v>
      </c>
      <c r="N166" s="571">
        <v>5.3473620765898566E-2</v>
      </c>
    </row>
    <row r="167" spans="1:14">
      <c r="A167" s="547" t="s">
        <v>409</v>
      </c>
      <c r="B167" s="548">
        <v>0</v>
      </c>
      <c r="C167" s="548">
        <v>0</v>
      </c>
      <c r="D167" s="548">
        <v>0</v>
      </c>
      <c r="E167" s="548">
        <v>0</v>
      </c>
      <c r="F167" s="548">
        <v>0</v>
      </c>
      <c r="G167" s="548">
        <v>0</v>
      </c>
      <c r="H167" s="548">
        <v>0</v>
      </c>
      <c r="I167" s="569"/>
      <c r="J167" s="570"/>
      <c r="K167" s="570"/>
      <c r="L167" s="570"/>
      <c r="M167" s="570"/>
      <c r="N167" s="571"/>
    </row>
    <row r="168" spans="1:14">
      <c r="A168" s="547"/>
      <c r="B168" s="548"/>
      <c r="C168" s="548"/>
      <c r="D168" s="548"/>
      <c r="E168" s="548"/>
      <c r="F168" s="548"/>
      <c r="G168" s="548"/>
      <c r="H168" s="548"/>
      <c r="I168" s="569"/>
      <c r="J168" s="570"/>
      <c r="K168" s="570"/>
      <c r="L168" s="570"/>
      <c r="M168" s="570"/>
      <c r="N168" s="571"/>
    </row>
    <row r="169" spans="1:14" ht="13.5" thickBot="1">
      <c r="A169" s="594" t="s">
        <v>9</v>
      </c>
      <c r="B169" s="595">
        <v>4.1635857815741213</v>
      </c>
      <c r="C169" s="595">
        <v>4.2965436283653222</v>
      </c>
      <c r="D169" s="595">
        <v>4.1807208011614216</v>
      </c>
      <c r="E169" s="595">
        <v>4.10340459171801</v>
      </c>
      <c r="F169" s="595">
        <v>3.8583553716366179</v>
      </c>
      <c r="G169" s="595">
        <v>3.6133061515552263</v>
      </c>
      <c r="H169" s="595">
        <v>3.6171870266415098</v>
      </c>
      <c r="I169" s="573">
        <v>3.1483679723585123E-3</v>
      </c>
      <c r="J169" s="574">
        <v>-5.4505356289146212E-3</v>
      </c>
      <c r="K169" s="574">
        <v>-3.7263707417005687E-3</v>
      </c>
      <c r="L169" s="574">
        <v>-1.223967711705265E-2</v>
      </c>
      <c r="M169" s="574">
        <v>-1.3037829155745029E-2</v>
      </c>
      <c r="N169" s="575">
        <v>2.1471797263350467E-4</v>
      </c>
    </row>
    <row r="170" spans="1:14" ht="15">
      <c r="A170" s="560"/>
      <c r="B170" s="533"/>
      <c r="C170" s="533"/>
      <c r="D170" s="533"/>
      <c r="E170" s="533"/>
      <c r="F170" s="533"/>
      <c r="G170" s="522"/>
      <c r="H170" s="522"/>
      <c r="I170" s="522"/>
      <c r="J170" s="522"/>
      <c r="K170" s="522"/>
      <c r="L170" s="522"/>
      <c r="M170" s="522"/>
      <c r="N170" s="522"/>
    </row>
    <row r="171" spans="1:14" ht="15">
      <c r="A171" s="522"/>
      <c r="B171" s="533"/>
      <c r="C171" s="533"/>
      <c r="D171" s="533"/>
      <c r="E171" s="533"/>
      <c r="F171" s="533"/>
      <c r="G171" s="522"/>
      <c r="H171" s="522"/>
      <c r="I171" s="522"/>
      <c r="J171" s="522"/>
      <c r="K171" s="522"/>
      <c r="L171" s="522"/>
      <c r="M171" s="522"/>
      <c r="N171" s="522"/>
    </row>
    <row r="172" spans="1:14" ht="16.5" thickBot="1">
      <c r="A172" s="540" t="s">
        <v>411</v>
      </c>
      <c r="B172" s="542"/>
      <c r="C172" s="542"/>
      <c r="D172" s="542"/>
      <c r="E172" s="542"/>
      <c r="F172" s="542"/>
      <c r="G172" s="542"/>
      <c r="H172" s="542"/>
      <c r="I172" s="542"/>
      <c r="J172" s="542"/>
      <c r="K172" s="542"/>
      <c r="L172" s="542"/>
      <c r="M172" s="542"/>
      <c r="N172" s="542"/>
    </row>
    <row r="173" spans="1:14" ht="13.5" thickBot="1">
      <c r="A173" s="543"/>
      <c r="B173" s="544">
        <v>2000</v>
      </c>
      <c r="C173" s="544">
        <v>2010</v>
      </c>
      <c r="D173" s="544">
        <v>2015</v>
      </c>
      <c r="E173" s="544">
        <v>2020</v>
      </c>
      <c r="F173" s="544">
        <v>2025</v>
      </c>
      <c r="G173" s="544">
        <v>2030</v>
      </c>
      <c r="H173" s="544">
        <v>2035</v>
      </c>
      <c r="I173" s="561" t="s">
        <v>365</v>
      </c>
      <c r="J173" s="562" t="s">
        <v>366</v>
      </c>
      <c r="K173" s="562" t="s">
        <v>367</v>
      </c>
      <c r="L173" s="562" t="s">
        <v>368</v>
      </c>
      <c r="M173" s="562" t="s">
        <v>369</v>
      </c>
      <c r="N173" s="563" t="s">
        <v>370</v>
      </c>
    </row>
    <row r="174" spans="1:14" ht="15">
      <c r="A174" s="547" t="s">
        <v>412</v>
      </c>
      <c r="B174" s="598">
        <v>24.33355382834463</v>
      </c>
      <c r="C174" s="598">
        <v>27.258284432075808</v>
      </c>
      <c r="D174" s="598">
        <v>28.45213652530791</v>
      </c>
      <c r="E174" s="598">
        <v>29.860234037129644</v>
      </c>
      <c r="F174" s="598">
        <v>31.028714475470395</v>
      </c>
      <c r="G174" s="598">
        <v>32.197194913811146</v>
      </c>
      <c r="H174" s="598">
        <v>33.317817236771951</v>
      </c>
      <c r="I174" s="569">
        <v>1.1414784778171372E-2</v>
      </c>
      <c r="J174" s="570">
        <v>8.6100076287392024E-3</v>
      </c>
      <c r="K174" s="570">
        <v>9.7076918129783696E-3</v>
      </c>
      <c r="L174" s="570">
        <v>7.7066282180038304E-3</v>
      </c>
      <c r="M174" s="570">
        <v>7.4206546256245787E-3</v>
      </c>
      <c r="N174" s="571">
        <v>6.8660583914335049E-3</v>
      </c>
    </row>
    <row r="175" spans="1:14">
      <c r="A175" s="547" t="s">
        <v>395</v>
      </c>
      <c r="B175" s="553">
        <v>3.2106407750773072E-2</v>
      </c>
      <c r="C175" s="553">
        <v>3.2387644471581385E-2</v>
      </c>
      <c r="D175" s="553">
        <v>3.220525339896297E-2</v>
      </c>
      <c r="E175" s="553">
        <v>2.8623188099956599E-2</v>
      </c>
      <c r="F175" s="553">
        <v>2.3735010733170449E-2</v>
      </c>
      <c r="G175" s="553">
        <v>1.8846833366384295E-2</v>
      </c>
      <c r="H175" s="553">
        <v>1.6975731016875932E-2</v>
      </c>
      <c r="I175" s="569">
        <v>8.7251822071987561E-4</v>
      </c>
      <c r="J175" s="570">
        <v>-1.1288460373197751E-3</v>
      </c>
      <c r="K175" s="570">
        <v>-2.3306591449201219E-2</v>
      </c>
      <c r="L175" s="570">
        <v>-3.6760495603785359E-2</v>
      </c>
      <c r="M175" s="570">
        <v>-4.5073838336694205E-2</v>
      </c>
      <c r="N175" s="571">
        <v>-2.069489401277913E-2</v>
      </c>
    </row>
    <row r="176" spans="1:14">
      <c r="A176" s="547" t="s">
        <v>413</v>
      </c>
      <c r="B176" s="599">
        <v>0.72242521954134209</v>
      </c>
      <c r="C176" s="599">
        <v>0.66283166702806473</v>
      </c>
      <c r="D176" s="599">
        <v>0.60342699734592886</v>
      </c>
      <c r="E176" s="599">
        <v>0.52766349221522779</v>
      </c>
      <c r="F176" s="599">
        <v>0.45440844659953206</v>
      </c>
      <c r="G176" s="599">
        <v>0.38115340098383632</v>
      </c>
      <c r="H176" s="599">
        <v>0.34525420134486784</v>
      </c>
      <c r="I176" s="569">
        <v>-8.5723312504079052E-3</v>
      </c>
      <c r="J176" s="570">
        <v>-1.8603968316147856E-2</v>
      </c>
      <c r="K176" s="570">
        <v>-2.647644914089986E-2</v>
      </c>
      <c r="L176" s="570">
        <v>-2.9450099025510323E-2</v>
      </c>
      <c r="M176" s="570">
        <v>-3.4548012886607915E-2</v>
      </c>
      <c r="N176" s="571">
        <v>-1.9589769178284255E-2</v>
      </c>
    </row>
    <row r="177" spans="1:14">
      <c r="A177" s="547" t="s">
        <v>414</v>
      </c>
      <c r="B177" s="600">
        <v>2056.8195958246147</v>
      </c>
      <c r="C177" s="600">
        <v>2399.4220030217762</v>
      </c>
      <c r="D177" s="600">
        <v>2302.0528733376509</v>
      </c>
      <c r="E177" s="600">
        <v>2226.4103288734259</v>
      </c>
      <c r="F177" s="600">
        <v>1979.1704015449527</v>
      </c>
      <c r="G177" s="600">
        <v>1731.9304742164793</v>
      </c>
      <c r="H177" s="600">
        <v>1645.2843549012873</v>
      </c>
      <c r="I177" s="569">
        <v>1.5525992220844609E-2</v>
      </c>
      <c r="J177" s="570">
        <v>-8.2510908977039277E-3</v>
      </c>
      <c r="K177" s="570">
        <v>-6.6598657324954402E-3</v>
      </c>
      <c r="L177" s="570">
        <v>-2.3267596474857433E-2</v>
      </c>
      <c r="M177" s="570">
        <v>-2.6335236664331907E-2</v>
      </c>
      <c r="N177" s="571">
        <v>-1.0212185492219472E-2</v>
      </c>
    </row>
    <row r="178" spans="1:14" ht="13.5" thickBot="1">
      <c r="A178" s="555" t="s">
        <v>415</v>
      </c>
      <c r="B178" s="601">
        <v>4.9759384758160351E-2</v>
      </c>
      <c r="C178" s="601">
        <v>4.1303685186419845E-2</v>
      </c>
      <c r="D178" s="601">
        <v>3.7322722140657384E-2</v>
      </c>
      <c r="E178" s="601">
        <v>3.0800614058459741E-2</v>
      </c>
      <c r="F178" s="601">
        <v>2.5095273231440333E-2</v>
      </c>
      <c r="G178" s="601">
        <v>1.9389932404420926E-2</v>
      </c>
      <c r="H178" s="601">
        <v>1.6582718947775653E-2</v>
      </c>
      <c r="I178" s="573">
        <v>-1.8452367221599486E-2</v>
      </c>
      <c r="J178" s="574">
        <v>-2.0065829336530783E-2</v>
      </c>
      <c r="K178" s="574">
        <v>-3.7685094629043459E-2</v>
      </c>
      <c r="L178" s="574">
        <v>-4.0143056836505098E-2</v>
      </c>
      <c r="M178" s="574">
        <v>-5.027718016743743E-2</v>
      </c>
      <c r="N178" s="575">
        <v>-3.0794457530532338E-2</v>
      </c>
    </row>
    <row r="179" spans="1:14" ht="15">
      <c r="A179" s="591"/>
      <c r="B179" s="522"/>
      <c r="C179" s="522"/>
      <c r="D179" s="522"/>
      <c r="E179" s="522"/>
      <c r="F179" s="522"/>
      <c r="G179" s="532"/>
      <c r="H179" s="522"/>
      <c r="I179" s="522"/>
      <c r="J179" s="522"/>
      <c r="K179" s="522"/>
      <c r="L179" s="522"/>
      <c r="M179" s="522"/>
      <c r="N179" s="522"/>
    </row>
    <row r="180" spans="1:14" ht="15">
      <c r="A180" s="522"/>
      <c r="B180" s="522"/>
      <c r="C180" s="522"/>
      <c r="D180" s="522"/>
      <c r="E180" s="522"/>
      <c r="F180" s="522"/>
      <c r="G180" s="532"/>
      <c r="H180" s="522"/>
      <c r="I180" s="522"/>
      <c r="J180" s="522"/>
      <c r="K180" s="522"/>
      <c r="L180" s="522"/>
      <c r="M180" s="522"/>
      <c r="N180" s="522"/>
    </row>
    <row r="181" spans="1:14" ht="21">
      <c r="A181" s="538" t="s">
        <v>416</v>
      </c>
      <c r="B181" s="592"/>
      <c r="C181" s="592"/>
      <c r="D181" s="592"/>
      <c r="E181" s="592"/>
      <c r="F181" s="592"/>
      <c r="G181" s="592"/>
      <c r="H181" s="593"/>
      <c r="I181" s="593"/>
      <c r="J181" s="593"/>
      <c r="K181" s="593"/>
      <c r="L181" s="593"/>
      <c r="M181" s="593"/>
      <c r="N181" s="593"/>
    </row>
    <row r="182" spans="1:14" ht="15">
      <c r="A182" s="522"/>
      <c r="B182" s="522"/>
      <c r="C182" s="522"/>
      <c r="D182" s="522"/>
      <c r="E182" s="522"/>
      <c r="F182" s="522"/>
      <c r="G182" s="532"/>
      <c r="H182" s="522"/>
      <c r="I182" s="522"/>
      <c r="J182" s="522"/>
      <c r="K182" s="522"/>
      <c r="L182" s="522"/>
      <c r="M182" s="522"/>
      <c r="N182" s="522"/>
    </row>
    <row r="183" spans="1:14" ht="16.5" thickBot="1">
      <c r="A183" s="540" t="s">
        <v>417</v>
      </c>
      <c r="B183" s="542"/>
      <c r="C183" s="542"/>
      <c r="D183" s="542"/>
      <c r="E183" s="542"/>
      <c r="F183" s="541"/>
      <c r="G183" s="542"/>
      <c r="H183" s="542"/>
      <c r="I183" s="542"/>
      <c r="J183" s="542"/>
      <c r="K183" s="542"/>
      <c r="L183" s="542"/>
      <c r="M183" s="542"/>
      <c r="N183" s="542"/>
    </row>
    <row r="184" spans="1:14" ht="13.5" thickBot="1">
      <c r="A184" s="588" t="s">
        <v>64</v>
      </c>
      <c r="B184" s="544">
        <v>2000</v>
      </c>
      <c r="C184" s="544">
        <v>2010</v>
      </c>
      <c r="D184" s="544">
        <v>2015</v>
      </c>
      <c r="E184" s="544">
        <v>2020</v>
      </c>
      <c r="F184" s="544">
        <v>2025</v>
      </c>
      <c r="G184" s="544">
        <v>2030</v>
      </c>
      <c r="H184" s="544">
        <v>2035</v>
      </c>
      <c r="I184" s="561" t="s">
        <v>365</v>
      </c>
      <c r="J184" s="562" t="s">
        <v>366</v>
      </c>
      <c r="K184" s="562" t="s">
        <v>367</v>
      </c>
      <c r="L184" s="562" t="s">
        <v>368</v>
      </c>
      <c r="M184" s="562" t="s">
        <v>369</v>
      </c>
      <c r="N184" s="563" t="s">
        <v>370</v>
      </c>
    </row>
    <row r="185" spans="1:14">
      <c r="A185" s="547" t="s">
        <v>51</v>
      </c>
      <c r="B185" s="548">
        <v>3.9252000000000011</v>
      </c>
      <c r="C185" s="548">
        <v>3.0055208628877983</v>
      </c>
      <c r="D185" s="548">
        <v>2.364766343498359</v>
      </c>
      <c r="E185" s="548">
        <v>1.5503730299914742</v>
      </c>
      <c r="F185" s="548">
        <v>0.99686061702836337</v>
      </c>
      <c r="G185" s="548">
        <v>0.44334820406525266</v>
      </c>
      <c r="H185" s="548">
        <v>0.15453634223553792</v>
      </c>
      <c r="I185" s="566">
        <v>-2.6343436794259101E-2</v>
      </c>
      <c r="J185" s="567">
        <v>-4.6822685292773447E-2</v>
      </c>
      <c r="K185" s="567">
        <v>-8.0970199980395674E-2</v>
      </c>
      <c r="L185" s="567">
        <v>-8.4539423020276061E-2</v>
      </c>
      <c r="M185" s="567">
        <v>-0.14960224897308827</v>
      </c>
      <c r="N185" s="568">
        <v>-0.19005200436575997</v>
      </c>
    </row>
    <row r="186" spans="1:14">
      <c r="A186" s="547" t="s">
        <v>243</v>
      </c>
      <c r="B186" s="548">
        <v>5.8057999999999996</v>
      </c>
      <c r="C186" s="548">
        <v>6.3677366012280903</v>
      </c>
      <c r="D186" s="548">
        <v>6.1201899042886652</v>
      </c>
      <c r="E186" s="548">
        <v>5.4560455743627898</v>
      </c>
      <c r="F186" s="548">
        <v>4.8167624158446749</v>
      </c>
      <c r="G186" s="548">
        <v>4.1774792573265609</v>
      </c>
      <c r="H186" s="548">
        <v>3.4498050868139516</v>
      </c>
      <c r="I186" s="569">
        <v>9.2814749027030352E-3</v>
      </c>
      <c r="J186" s="570">
        <v>-7.8988307156880877E-3</v>
      </c>
      <c r="K186" s="570">
        <v>-2.2711882799222538E-2</v>
      </c>
      <c r="L186" s="570">
        <v>-2.4616404262717162E-2</v>
      </c>
      <c r="M186" s="570">
        <v>-2.8077099026982189E-2</v>
      </c>
      <c r="N186" s="571">
        <v>-3.7554710635368194E-2</v>
      </c>
    </row>
    <row r="187" spans="1:14">
      <c r="A187" s="547" t="s">
        <v>40</v>
      </c>
      <c r="B187" s="548">
        <v>0.16000000000000003</v>
      </c>
      <c r="C187" s="548">
        <v>0.11972562021863667</v>
      </c>
      <c r="D187" s="548">
        <v>9.3876347819495054E-2</v>
      </c>
      <c r="E187" s="548">
        <v>6.1044179419633429E-2</v>
      </c>
      <c r="F187" s="548">
        <v>3.8720213832375075E-2</v>
      </c>
      <c r="G187" s="548">
        <v>1.6396248245116728E-2</v>
      </c>
      <c r="H187" s="548">
        <v>5.08409659715522E-3</v>
      </c>
      <c r="I187" s="569">
        <v>-2.8580736748191726E-2</v>
      </c>
      <c r="J187" s="570">
        <v>-4.7480625779627417E-2</v>
      </c>
      <c r="K187" s="570">
        <v>-8.2475615737645835E-2</v>
      </c>
      <c r="L187" s="570">
        <v>-8.702539528054698E-2</v>
      </c>
      <c r="M187" s="570">
        <v>-0.15790449799353523</v>
      </c>
      <c r="N187" s="571">
        <v>-0.20878618495385803</v>
      </c>
    </row>
    <row r="188" spans="1:14">
      <c r="A188" s="547" t="s">
        <v>371</v>
      </c>
      <c r="B188" s="548">
        <v>9.490269116536</v>
      </c>
      <c r="C188" s="548">
        <v>11.931819301298244</v>
      </c>
      <c r="D188" s="548">
        <v>11.746029764540062</v>
      </c>
      <c r="E188" s="548">
        <v>11.614466351448931</v>
      </c>
      <c r="F188" s="548">
        <v>11.275672461589828</v>
      </c>
      <c r="G188" s="548">
        <v>10.936878571730727</v>
      </c>
      <c r="H188" s="548">
        <v>10.98210879487055</v>
      </c>
      <c r="I188" s="569">
        <v>2.3158258337685478E-2</v>
      </c>
      <c r="J188" s="570">
        <v>-3.1337657504387773E-3</v>
      </c>
      <c r="K188" s="570">
        <v>-2.2502385525875468E-3</v>
      </c>
      <c r="L188" s="570">
        <v>-5.9032857209716516E-3</v>
      </c>
      <c r="M188" s="570">
        <v>-6.0828424791821156E-3</v>
      </c>
      <c r="N188" s="571">
        <v>8.2574908131749503E-4</v>
      </c>
    </row>
    <row r="189" spans="1:14">
      <c r="A189" s="547" t="s">
        <v>55</v>
      </c>
      <c r="B189" s="548">
        <v>0.86219999999999997</v>
      </c>
      <c r="C189" s="548">
        <v>0.85589862818256401</v>
      </c>
      <c r="D189" s="548">
        <v>0.81829966328755155</v>
      </c>
      <c r="E189" s="548">
        <v>0.77866778613738652</v>
      </c>
      <c r="F189" s="548">
        <v>0.86368345936379554</v>
      </c>
      <c r="G189" s="548">
        <v>0.94869913259020455</v>
      </c>
      <c r="H189" s="548">
        <v>0.89348305994330679</v>
      </c>
      <c r="I189" s="569">
        <v>-7.3326285174968309E-4</v>
      </c>
      <c r="J189" s="570">
        <v>-8.9444260936940578E-3</v>
      </c>
      <c r="K189" s="570">
        <v>-9.8796945895996968E-3</v>
      </c>
      <c r="L189" s="570">
        <v>2.0940609408064859E-2</v>
      </c>
      <c r="M189" s="570">
        <v>1.895447325524291E-2</v>
      </c>
      <c r="N189" s="571">
        <v>-1.1921239568411401E-2</v>
      </c>
    </row>
    <row r="190" spans="1:14">
      <c r="A190" s="547" t="s">
        <v>418</v>
      </c>
      <c r="B190" s="548">
        <v>0.32350000000000001</v>
      </c>
      <c r="C190" s="548">
        <v>0.32874050670152954</v>
      </c>
      <c r="D190" s="548">
        <v>0.84645815235739685</v>
      </c>
      <c r="E190" s="548">
        <v>1.4100349023186802</v>
      </c>
      <c r="F190" s="548">
        <v>1.5982930438128957</v>
      </c>
      <c r="G190" s="548">
        <v>1.7865511853071112</v>
      </c>
      <c r="H190" s="548">
        <v>2.2282565036742867</v>
      </c>
      <c r="I190" s="569">
        <v>1.6082510689103824E-3</v>
      </c>
      <c r="J190" s="570">
        <v>0.20823233537720043</v>
      </c>
      <c r="K190" s="570">
        <v>0.10745190398670545</v>
      </c>
      <c r="L190" s="570">
        <v>2.5381102627028751E-2</v>
      </c>
      <c r="M190" s="570">
        <v>2.2519998745555547E-2</v>
      </c>
      <c r="N190" s="571">
        <v>4.5177240015009668E-2</v>
      </c>
    </row>
    <row r="191" spans="1:14">
      <c r="A191" s="547"/>
      <c r="B191" s="548"/>
      <c r="C191" s="548"/>
      <c r="D191" s="548"/>
      <c r="E191" s="548"/>
      <c r="F191" s="548"/>
      <c r="G191" s="548"/>
      <c r="H191" s="548"/>
      <c r="I191" s="569"/>
      <c r="J191" s="570"/>
      <c r="K191" s="570"/>
      <c r="L191" s="570"/>
      <c r="M191" s="570"/>
      <c r="N191" s="571"/>
    </row>
    <row r="192" spans="1:14" ht="13.5" thickBot="1">
      <c r="A192" s="555" t="s">
        <v>9</v>
      </c>
      <c r="B192" s="556">
        <v>20.566969116536004</v>
      </c>
      <c r="C192" s="556">
        <v>22.60944152051686</v>
      </c>
      <c r="D192" s="556">
        <v>21.989620175791529</v>
      </c>
      <c r="E192" s="556">
        <v>20.870631823678899</v>
      </c>
      <c r="F192" s="556">
        <v>19.58999221147193</v>
      </c>
      <c r="G192" s="556">
        <v>18.309352599264972</v>
      </c>
      <c r="H192" s="556">
        <v>17.713273884134789</v>
      </c>
      <c r="I192" s="573">
        <v>9.5130882282901119E-3</v>
      </c>
      <c r="J192" s="574">
        <v>-5.5439857945844828E-3</v>
      </c>
      <c r="K192" s="574">
        <v>-1.0391142530820296E-2</v>
      </c>
      <c r="L192" s="574">
        <v>-1.2584970614576196E-2</v>
      </c>
      <c r="M192" s="574">
        <v>-1.3430363760642217E-2</v>
      </c>
      <c r="N192" s="575">
        <v>-6.5976800654450329E-3</v>
      </c>
    </row>
    <row r="193" spans="1:14" ht="15">
      <c r="A193" s="560"/>
      <c r="B193" s="533"/>
      <c r="C193" s="533"/>
      <c r="D193" s="533"/>
      <c r="E193" s="533"/>
      <c r="F193" s="533"/>
      <c r="G193" s="522"/>
      <c r="H193" s="522"/>
      <c r="I193" s="522"/>
      <c r="J193" s="522"/>
      <c r="K193" s="522"/>
      <c r="L193" s="522"/>
      <c r="M193" s="522"/>
      <c r="N193" s="522"/>
    </row>
    <row r="194" spans="1:14" ht="15">
      <c r="A194" s="560"/>
      <c r="B194" s="533"/>
      <c r="C194" s="533"/>
      <c r="D194" s="533"/>
      <c r="E194" s="533"/>
      <c r="F194" s="533"/>
      <c r="G194" s="522"/>
      <c r="H194" s="522"/>
      <c r="I194" s="522"/>
      <c r="J194" s="522"/>
      <c r="K194" s="522"/>
      <c r="L194" s="522"/>
      <c r="M194" s="522"/>
      <c r="N194" s="522"/>
    </row>
    <row r="195" spans="1:14" ht="16.5" thickBot="1">
      <c r="A195" s="540" t="s">
        <v>419</v>
      </c>
      <c r="B195" s="542"/>
      <c r="C195" s="542"/>
      <c r="D195" s="542"/>
      <c r="E195" s="542"/>
      <c r="F195" s="542"/>
      <c r="G195" s="542"/>
      <c r="H195" s="542"/>
      <c r="I195" s="542"/>
      <c r="J195" s="542"/>
      <c r="K195" s="542"/>
      <c r="L195" s="542"/>
      <c r="M195" s="542"/>
      <c r="N195" s="542"/>
    </row>
    <row r="196" spans="1:14" ht="13.5" thickBot="1">
      <c r="A196" s="588" t="s">
        <v>64</v>
      </c>
      <c r="B196" s="544">
        <v>2000</v>
      </c>
      <c r="C196" s="544">
        <v>2010</v>
      </c>
      <c r="D196" s="544">
        <v>2015</v>
      </c>
      <c r="E196" s="544">
        <v>2020</v>
      </c>
      <c r="F196" s="544">
        <v>2025</v>
      </c>
      <c r="G196" s="544">
        <v>2030</v>
      </c>
      <c r="H196" s="544">
        <v>2035</v>
      </c>
      <c r="I196" s="561" t="s">
        <v>365</v>
      </c>
      <c r="J196" s="562" t="s">
        <v>366</v>
      </c>
      <c r="K196" s="562" t="s">
        <v>367</v>
      </c>
      <c r="L196" s="562" t="s">
        <v>368</v>
      </c>
      <c r="M196" s="562" t="s">
        <v>369</v>
      </c>
      <c r="N196" s="563" t="s">
        <v>370</v>
      </c>
    </row>
    <row r="197" spans="1:14">
      <c r="A197" s="547" t="s">
        <v>401</v>
      </c>
      <c r="B197" s="548">
        <v>9.6644564868936502</v>
      </c>
      <c r="C197" s="548">
        <v>9.3310124249304245</v>
      </c>
      <c r="D197" s="548">
        <v>8.9309651347931247</v>
      </c>
      <c r="E197" s="548">
        <v>8.0917494815451452</v>
      </c>
      <c r="F197" s="548">
        <v>6.7122838757497192</v>
      </c>
      <c r="G197" s="548">
        <v>5.3328182699542941</v>
      </c>
      <c r="H197" s="548">
        <v>4.5042582266169102</v>
      </c>
      <c r="I197" s="566">
        <v>-3.5049785783176635E-3</v>
      </c>
      <c r="J197" s="567">
        <v>-8.7255207409762114E-3</v>
      </c>
      <c r="K197" s="567">
        <v>-1.9542423371645579E-2</v>
      </c>
      <c r="L197" s="567">
        <v>-3.6691089803157495E-2</v>
      </c>
      <c r="M197" s="567">
        <v>-4.4969385075031676E-2</v>
      </c>
      <c r="N197" s="568">
        <v>-3.3207440819233103E-2</v>
      </c>
    </row>
    <row r="198" spans="1:14">
      <c r="A198" s="547" t="s">
        <v>420</v>
      </c>
      <c r="B198" s="548">
        <v>3.9348221416348594</v>
      </c>
      <c r="C198" s="548">
        <v>4.2320093179551366</v>
      </c>
      <c r="D198" s="548">
        <v>4.2902543094558681</v>
      </c>
      <c r="E198" s="548">
        <v>4.0587158547006039</v>
      </c>
      <c r="F198" s="548">
        <v>4.046335161570827</v>
      </c>
      <c r="G198" s="548">
        <v>4.0339544684410527</v>
      </c>
      <c r="H198" s="548">
        <v>4.0177479489630556</v>
      </c>
      <c r="I198" s="569">
        <v>7.3076932732820676E-3</v>
      </c>
      <c r="J198" s="570">
        <v>2.7375631889716701E-3</v>
      </c>
      <c r="K198" s="570">
        <v>-1.1034543651994855E-2</v>
      </c>
      <c r="L198" s="570">
        <v>-6.1082508314624917E-4</v>
      </c>
      <c r="M198" s="570">
        <v>-6.1269633599947415E-4</v>
      </c>
      <c r="N198" s="571">
        <v>-8.0479968780400313E-4</v>
      </c>
    </row>
    <row r="199" spans="1:14">
      <c r="A199" s="547" t="s">
        <v>406</v>
      </c>
      <c r="B199" s="548">
        <v>0.80612855876134304</v>
      </c>
      <c r="C199" s="548">
        <v>1.2554434821680749</v>
      </c>
      <c r="D199" s="548">
        <v>1.3552882641908837</v>
      </c>
      <c r="E199" s="548">
        <v>1.4226383371317457</v>
      </c>
      <c r="F199" s="548">
        <v>1.4297240670458637</v>
      </c>
      <c r="G199" s="548">
        <v>1.4368097969599816</v>
      </c>
      <c r="H199" s="548">
        <v>1.4628444342877009</v>
      </c>
      <c r="I199" s="569">
        <v>4.5295993775432475E-2</v>
      </c>
      <c r="J199" s="570">
        <v>1.5422780295982541E-2</v>
      </c>
      <c r="K199" s="570">
        <v>9.7469872091791032E-3</v>
      </c>
      <c r="L199" s="570">
        <v>9.9416064103308166E-4</v>
      </c>
      <c r="M199" s="570">
        <v>9.8924329761618246E-4</v>
      </c>
      <c r="N199" s="571">
        <v>3.5979663731773304E-3</v>
      </c>
    </row>
    <row r="200" spans="1:14">
      <c r="A200" s="547" t="s">
        <v>421</v>
      </c>
      <c r="B200" s="548">
        <v>6.1615619292461501</v>
      </c>
      <c r="C200" s="548">
        <v>7.790976295463226</v>
      </c>
      <c r="D200" s="548">
        <v>7.4131124673516524</v>
      </c>
      <c r="E200" s="548">
        <v>7.2975281503014005</v>
      </c>
      <c r="F200" s="548">
        <v>7.4016491071055226</v>
      </c>
      <c r="G200" s="548">
        <v>7.5057700639096447</v>
      </c>
      <c r="H200" s="548">
        <v>7.7284232742671222</v>
      </c>
      <c r="I200" s="569">
        <v>2.3741022938565726E-2</v>
      </c>
      <c r="J200" s="570">
        <v>-9.8938885541469679E-3</v>
      </c>
      <c r="K200" s="570">
        <v>-3.1380073170459433E-3</v>
      </c>
      <c r="L200" s="570">
        <v>2.8374472403975837E-3</v>
      </c>
      <c r="M200" s="570">
        <v>2.7977542121275789E-3</v>
      </c>
      <c r="N200" s="571">
        <v>5.8636845531570003E-3</v>
      </c>
    </row>
    <row r="201" spans="1:14">
      <c r="A201" s="547"/>
      <c r="B201" s="548"/>
      <c r="C201" s="548"/>
      <c r="D201" s="548"/>
      <c r="E201" s="548"/>
      <c r="F201" s="548"/>
      <c r="G201" s="548"/>
      <c r="H201" s="548"/>
      <c r="I201" s="569"/>
      <c r="J201" s="570"/>
      <c r="K201" s="570"/>
      <c r="L201" s="570"/>
      <c r="M201" s="570"/>
      <c r="N201" s="571"/>
    </row>
    <row r="202" spans="1:14" ht="13.5" thickBot="1">
      <c r="A202" s="555" t="s">
        <v>9</v>
      </c>
      <c r="B202" s="556">
        <v>20.566969116536001</v>
      </c>
      <c r="C202" s="556">
        <v>22.60944152051686</v>
      </c>
      <c r="D202" s="556">
        <v>21.989620175791529</v>
      </c>
      <c r="E202" s="556">
        <v>20.870631823678895</v>
      </c>
      <c r="F202" s="556">
        <v>19.589992211471934</v>
      </c>
      <c r="G202" s="556">
        <v>18.309352599264972</v>
      </c>
      <c r="H202" s="556">
        <v>17.713273884134789</v>
      </c>
      <c r="I202" s="573">
        <v>9.5130882282901119E-3</v>
      </c>
      <c r="J202" s="574">
        <v>-5.5439857945844828E-3</v>
      </c>
      <c r="K202" s="574">
        <v>-1.0391142530820296E-2</v>
      </c>
      <c r="L202" s="574">
        <v>-1.2584970614576085E-2</v>
      </c>
      <c r="M202" s="574">
        <v>-1.3430363760642217E-2</v>
      </c>
      <c r="N202" s="575">
        <v>-6.5976800654450329E-3</v>
      </c>
    </row>
    <row r="203" spans="1:14" ht="15">
      <c r="A203" s="560"/>
      <c r="B203" s="533"/>
      <c r="C203" s="565"/>
      <c r="D203" s="565"/>
      <c r="E203" s="565"/>
      <c r="F203" s="565"/>
      <c r="G203" s="565"/>
      <c r="H203" s="565"/>
      <c r="I203" s="522"/>
      <c r="J203" s="522"/>
      <c r="K203" s="522"/>
      <c r="L203" s="522"/>
      <c r="M203" s="522"/>
      <c r="N203" s="522"/>
    </row>
    <row r="204" spans="1:14" ht="15">
      <c r="A204" s="560"/>
      <c r="B204" s="533"/>
      <c r="C204" s="533"/>
      <c r="D204" s="533"/>
      <c r="E204" s="565"/>
      <c r="F204" s="565"/>
      <c r="G204" s="642"/>
      <c r="H204" s="565"/>
      <c r="I204" s="522"/>
      <c r="J204" s="522"/>
      <c r="K204" s="522"/>
      <c r="L204" s="522"/>
      <c r="M204" s="522"/>
      <c r="N204" s="522"/>
    </row>
    <row r="205" spans="1:14" ht="16.5" thickBot="1">
      <c r="A205" s="540" t="s">
        <v>422</v>
      </c>
      <c r="B205" s="542"/>
      <c r="C205" s="542"/>
      <c r="D205" s="542"/>
      <c r="E205" s="602"/>
      <c r="F205" s="602"/>
      <c r="G205" s="602"/>
      <c r="H205" s="602"/>
      <c r="I205" s="542"/>
      <c r="J205" s="542"/>
      <c r="K205" s="542"/>
      <c r="L205" s="542"/>
      <c r="M205" s="542"/>
      <c r="N205" s="542"/>
    </row>
    <row r="206" spans="1:14" ht="13.5" thickBot="1">
      <c r="A206" s="588" t="s">
        <v>64</v>
      </c>
      <c r="B206" s="544">
        <v>2000</v>
      </c>
      <c r="C206" s="544">
        <v>2010</v>
      </c>
      <c r="D206" s="544">
        <v>2015</v>
      </c>
      <c r="E206" s="603">
        <v>2020</v>
      </c>
      <c r="F206" s="603">
        <v>2025</v>
      </c>
      <c r="G206" s="603">
        <v>2030</v>
      </c>
      <c r="H206" s="603">
        <v>2035</v>
      </c>
      <c r="I206" s="561" t="s">
        <v>365</v>
      </c>
      <c r="J206" s="562" t="s">
        <v>366</v>
      </c>
      <c r="K206" s="562" t="s">
        <v>367</v>
      </c>
      <c r="L206" s="562" t="s">
        <v>368</v>
      </c>
      <c r="M206" s="562" t="s">
        <v>369</v>
      </c>
      <c r="N206" s="563" t="s">
        <v>370</v>
      </c>
    </row>
    <row r="207" spans="1:14">
      <c r="A207" s="547" t="s">
        <v>51</v>
      </c>
      <c r="B207" s="548">
        <v>3.9252000000000011</v>
      </c>
      <c r="C207" s="548">
        <v>3.0055208628877983</v>
      </c>
      <c r="D207" s="548">
        <v>2.364766343498359</v>
      </c>
      <c r="E207" s="548">
        <v>1.5503730299914742</v>
      </c>
      <c r="F207" s="548">
        <v>0.99686061702836337</v>
      </c>
      <c r="G207" s="548">
        <v>0.44334820406525266</v>
      </c>
      <c r="H207" s="548">
        <v>0.15453634223553792</v>
      </c>
      <c r="I207" s="566">
        <v>-2.6343436794259101E-2</v>
      </c>
      <c r="J207" s="567">
        <v>-4.6822685292773447E-2</v>
      </c>
      <c r="K207" s="567">
        <v>-8.0970199980395674E-2</v>
      </c>
      <c r="L207" s="567">
        <v>-8.4539423020276061E-2</v>
      </c>
      <c r="M207" s="567">
        <v>-0.14960224897308827</v>
      </c>
      <c r="N207" s="568">
        <v>-0.19005200436575997</v>
      </c>
    </row>
    <row r="208" spans="1:14">
      <c r="A208" s="547" t="s">
        <v>243</v>
      </c>
      <c r="B208" s="548">
        <v>5.8057999999999996</v>
      </c>
      <c r="C208" s="548">
        <v>6.3677366012280903</v>
      </c>
      <c r="D208" s="548">
        <v>6.1201899042886652</v>
      </c>
      <c r="E208" s="548">
        <v>5.4560455743627898</v>
      </c>
      <c r="F208" s="548">
        <v>4.8167624158446749</v>
      </c>
      <c r="G208" s="548">
        <v>4.1774792573265609</v>
      </c>
      <c r="H208" s="548">
        <v>3.4498050868139516</v>
      </c>
      <c r="I208" s="569">
        <v>9.2814749027030352E-3</v>
      </c>
      <c r="J208" s="570">
        <v>-7.8988307156880877E-3</v>
      </c>
      <c r="K208" s="570">
        <v>-2.2711882799222538E-2</v>
      </c>
      <c r="L208" s="570">
        <v>-2.4616404262717162E-2</v>
      </c>
      <c r="M208" s="570">
        <v>-2.8077099026982189E-2</v>
      </c>
      <c r="N208" s="571">
        <v>-3.7554710635368194E-2</v>
      </c>
    </row>
    <row r="209" spans="1:14">
      <c r="A209" s="547" t="s">
        <v>40</v>
      </c>
      <c r="B209" s="548">
        <v>0.16000000000000003</v>
      </c>
      <c r="C209" s="548">
        <v>0.11972562021863667</v>
      </c>
      <c r="D209" s="548">
        <v>9.3876347819495054E-2</v>
      </c>
      <c r="E209" s="548">
        <v>6.1044179419633429E-2</v>
      </c>
      <c r="F209" s="548">
        <v>3.8720213832375075E-2</v>
      </c>
      <c r="G209" s="548">
        <v>1.6396248245116728E-2</v>
      </c>
      <c r="H209" s="548">
        <v>5.08409659715522E-3</v>
      </c>
      <c r="I209" s="569">
        <v>-2.8580736748191726E-2</v>
      </c>
      <c r="J209" s="570">
        <v>-4.7480625779627417E-2</v>
      </c>
      <c r="K209" s="570">
        <v>-8.2475615737645835E-2</v>
      </c>
      <c r="L209" s="570">
        <v>-8.702539528054698E-2</v>
      </c>
      <c r="M209" s="570">
        <v>-0.15790449799353523</v>
      </c>
      <c r="N209" s="571">
        <v>-0.20878618495385803</v>
      </c>
    </row>
    <row r="210" spans="1:14">
      <c r="A210" s="547" t="s">
        <v>371</v>
      </c>
      <c r="B210" s="548">
        <v>2.5225786285285077</v>
      </c>
      <c r="C210" s="548">
        <v>2.8853995236669423</v>
      </c>
      <c r="D210" s="548">
        <v>2.977629032997525</v>
      </c>
      <c r="E210" s="548">
        <v>2.8942998640157844</v>
      </c>
      <c r="F210" s="548">
        <v>2.444299287438441</v>
      </c>
      <c r="G210" s="548">
        <v>1.9942987108611012</v>
      </c>
      <c r="H210" s="548">
        <v>1.7908410863157265</v>
      </c>
      <c r="I210" s="569">
        <v>1.352887104448075E-2</v>
      </c>
      <c r="J210" s="570">
        <v>6.3126380191758091E-3</v>
      </c>
      <c r="K210" s="570">
        <v>-5.6607410281761528E-3</v>
      </c>
      <c r="L210" s="570">
        <v>-3.3232212464431532E-2</v>
      </c>
      <c r="M210" s="570">
        <v>-3.9876354421608973E-2</v>
      </c>
      <c r="N210" s="571">
        <v>-2.1291481807676593E-2</v>
      </c>
    </row>
    <row r="211" spans="1:14">
      <c r="A211" s="547" t="s">
        <v>55</v>
      </c>
      <c r="B211" s="548">
        <v>0.86219999999999997</v>
      </c>
      <c r="C211" s="548">
        <v>0.85589862818256401</v>
      </c>
      <c r="D211" s="548">
        <v>0.81829966328755155</v>
      </c>
      <c r="E211" s="548">
        <v>0.77866778613738652</v>
      </c>
      <c r="F211" s="548">
        <v>0.86368345936379554</v>
      </c>
      <c r="G211" s="548">
        <v>0.94869913259020455</v>
      </c>
      <c r="H211" s="548">
        <v>0.89348305994330679</v>
      </c>
      <c r="I211" s="569">
        <v>-7.3326285174968309E-4</v>
      </c>
      <c r="J211" s="570">
        <v>-8.9444260936940578E-3</v>
      </c>
      <c r="K211" s="570">
        <v>-9.8796945895996968E-3</v>
      </c>
      <c r="L211" s="570">
        <v>2.0940609408064859E-2</v>
      </c>
      <c r="M211" s="570">
        <v>1.895447325524291E-2</v>
      </c>
      <c r="N211" s="571">
        <v>-1.1921239568411401E-2</v>
      </c>
    </row>
    <row r="212" spans="1:14">
      <c r="A212" s="547" t="s">
        <v>418</v>
      </c>
      <c r="B212" s="548">
        <v>0.32350000000000001</v>
      </c>
      <c r="C212" s="548">
        <v>0.32874050670152954</v>
      </c>
      <c r="D212" s="548">
        <v>0.84645815235739685</v>
      </c>
      <c r="E212" s="548">
        <v>1.4100349023186802</v>
      </c>
      <c r="F212" s="548">
        <v>1.5982930438128957</v>
      </c>
      <c r="G212" s="548">
        <v>1.7865511853071112</v>
      </c>
      <c r="H212" s="548">
        <v>2.2282565036742867</v>
      </c>
      <c r="I212" s="569">
        <v>1.6082510689103824E-3</v>
      </c>
      <c r="J212" s="570">
        <v>0.20823233537720043</v>
      </c>
      <c r="K212" s="570">
        <v>0.10745190398670545</v>
      </c>
      <c r="L212" s="570">
        <v>2.5381102627028751E-2</v>
      </c>
      <c r="M212" s="570">
        <v>2.2519998745555547E-2</v>
      </c>
      <c r="N212" s="571">
        <v>4.5177240015009668E-2</v>
      </c>
    </row>
    <row r="213" spans="1:14">
      <c r="A213" s="547"/>
      <c r="B213" s="548"/>
      <c r="C213" s="548"/>
      <c r="D213" s="548"/>
      <c r="E213" s="548"/>
      <c r="F213" s="548"/>
      <c r="G213" s="548"/>
      <c r="H213" s="548"/>
      <c r="I213" s="569"/>
      <c r="J213" s="570"/>
      <c r="K213" s="570"/>
      <c r="L213" s="570"/>
      <c r="M213" s="570"/>
      <c r="N213" s="571"/>
    </row>
    <row r="214" spans="1:14" ht="13.5" thickBot="1">
      <c r="A214" s="555" t="s">
        <v>9</v>
      </c>
      <c r="B214" s="556">
        <v>13.599278628528507</v>
      </c>
      <c r="C214" s="556">
        <v>13.56302174288556</v>
      </c>
      <c r="D214" s="556">
        <v>13.221219444248993</v>
      </c>
      <c r="E214" s="556">
        <v>12.15046533624575</v>
      </c>
      <c r="F214" s="556">
        <v>10.758619037320546</v>
      </c>
      <c r="G214" s="556">
        <v>9.3667727383953476</v>
      </c>
      <c r="H214" s="556">
        <v>8.5220061755799641</v>
      </c>
      <c r="I214" s="573">
        <v>-2.6692929133620424E-4</v>
      </c>
      <c r="J214" s="574">
        <v>-5.0917981299360981E-3</v>
      </c>
      <c r="K214" s="574">
        <v>-1.6749265682005965E-2</v>
      </c>
      <c r="L214" s="574">
        <v>-2.4038414847363354E-2</v>
      </c>
      <c r="M214" s="574">
        <v>-2.7327380480676733E-2</v>
      </c>
      <c r="N214" s="575">
        <v>-1.8725818331063682E-2</v>
      </c>
    </row>
    <row r="215" spans="1:14" ht="15">
      <c r="A215" s="560"/>
      <c r="B215" s="533"/>
      <c r="C215" s="533"/>
      <c r="D215" s="533"/>
      <c r="E215" s="533"/>
      <c r="F215" s="533"/>
      <c r="G215" s="522"/>
      <c r="H215" s="522"/>
      <c r="I215" s="522"/>
      <c r="J215" s="522"/>
      <c r="K215" s="522"/>
      <c r="L215" s="522"/>
      <c r="M215" s="522"/>
      <c r="N215" s="522"/>
    </row>
    <row r="216" spans="1:14" ht="15">
      <c r="A216" s="560"/>
      <c r="B216" s="533"/>
      <c r="C216" s="533"/>
      <c r="D216" s="533"/>
      <c r="E216" s="533"/>
      <c r="F216" s="533"/>
      <c r="G216" s="522"/>
      <c r="H216" s="522"/>
      <c r="I216" s="522"/>
      <c r="J216" s="522"/>
      <c r="K216" s="522"/>
      <c r="L216" s="522"/>
      <c r="M216" s="522"/>
      <c r="N216" s="522"/>
    </row>
    <row r="217" spans="1:14" ht="16.5" thickBot="1">
      <c r="A217" s="540" t="s">
        <v>423</v>
      </c>
      <c r="B217" s="542"/>
      <c r="C217" s="542"/>
      <c r="D217" s="542"/>
      <c r="E217" s="542"/>
      <c r="F217" s="542"/>
      <c r="G217" s="542"/>
      <c r="H217" s="542"/>
      <c r="I217" s="542"/>
      <c r="J217" s="542"/>
      <c r="K217" s="542"/>
      <c r="L217" s="542"/>
      <c r="M217" s="542"/>
      <c r="N217" s="542"/>
    </row>
    <row r="218" spans="1:14" ht="13.5" thickBot="1">
      <c r="A218" s="588" t="s">
        <v>64</v>
      </c>
      <c r="B218" s="544">
        <v>2000</v>
      </c>
      <c r="C218" s="544">
        <v>2010</v>
      </c>
      <c r="D218" s="544">
        <v>2015</v>
      </c>
      <c r="E218" s="544">
        <v>2020</v>
      </c>
      <c r="F218" s="544">
        <v>2025</v>
      </c>
      <c r="G218" s="544">
        <v>2030</v>
      </c>
      <c r="H218" s="544">
        <v>2035</v>
      </c>
      <c r="I218" s="561" t="s">
        <v>365</v>
      </c>
      <c r="J218" s="562" t="s">
        <v>366</v>
      </c>
      <c r="K218" s="562" t="s">
        <v>367</v>
      </c>
      <c r="L218" s="562" t="s">
        <v>368</v>
      </c>
      <c r="M218" s="562" t="s">
        <v>369</v>
      </c>
      <c r="N218" s="563" t="s">
        <v>370</v>
      </c>
    </row>
    <row r="219" spans="1:14">
      <c r="A219" s="547" t="s">
        <v>51</v>
      </c>
      <c r="B219" s="548">
        <v>2.7533774210784099</v>
      </c>
      <c r="C219" s="548">
        <v>2.0200264518013036</v>
      </c>
      <c r="D219" s="548">
        <v>1.558203684621752</v>
      </c>
      <c r="E219" s="548">
        <v>1.0079333411103548</v>
      </c>
      <c r="F219" s="548">
        <v>0.62189249419849024</v>
      </c>
      <c r="G219" s="548">
        <v>0.23585164728662555</v>
      </c>
      <c r="H219" s="548">
        <v>6.8472595502854366E-2</v>
      </c>
      <c r="I219" s="566">
        <v>-3.0497058722751214E-2</v>
      </c>
      <c r="J219" s="567">
        <v>-5.059080375881253E-2</v>
      </c>
      <c r="K219" s="567">
        <v>-8.3438698297229053E-2</v>
      </c>
      <c r="L219" s="567">
        <v>-9.2060938519935132E-2</v>
      </c>
      <c r="M219" s="567">
        <v>-0.17627030994696191</v>
      </c>
      <c r="N219" s="568">
        <v>-0.21913568678884132</v>
      </c>
    </row>
    <row r="220" spans="1:14">
      <c r="A220" s="547" t="s">
        <v>243</v>
      </c>
      <c r="B220" s="548">
        <v>4.1282211672254387</v>
      </c>
      <c r="C220" s="548">
        <v>4.3747603973130165</v>
      </c>
      <c r="D220" s="548">
        <v>4.12805450270249</v>
      </c>
      <c r="E220" s="548">
        <v>3.6467798852352797</v>
      </c>
      <c r="F220" s="548">
        <v>3.0292378933505795</v>
      </c>
      <c r="G220" s="548">
        <v>2.4116959014658796</v>
      </c>
      <c r="H220" s="548">
        <v>1.869236727389882</v>
      </c>
      <c r="I220" s="569">
        <v>5.8173703510278063E-3</v>
      </c>
      <c r="J220" s="570">
        <v>-1.1541978500836492E-2</v>
      </c>
      <c r="K220" s="570">
        <v>-2.4487529457629331E-2</v>
      </c>
      <c r="L220" s="570">
        <v>-3.6426680989550264E-2</v>
      </c>
      <c r="M220" s="570">
        <v>-4.4572289907701013E-2</v>
      </c>
      <c r="N220" s="571">
        <v>-4.9683320070920356E-2</v>
      </c>
    </row>
    <row r="221" spans="1:14">
      <c r="A221" s="547" t="s">
        <v>40</v>
      </c>
      <c r="B221" s="548">
        <v>0.11625594700480017</v>
      </c>
      <c r="C221" s="548">
        <v>8.3255281118682051E-2</v>
      </c>
      <c r="D221" s="548">
        <v>6.4085888282846906E-2</v>
      </c>
      <c r="E221" s="548">
        <v>4.1231355964319011E-2</v>
      </c>
      <c r="F221" s="548">
        <v>2.5156882156440085E-2</v>
      </c>
      <c r="G221" s="548">
        <v>9.0824083485611575E-3</v>
      </c>
      <c r="H221" s="548">
        <v>2.1945447288816197E-3</v>
      </c>
      <c r="I221" s="569">
        <v>-3.2837027543557662E-2</v>
      </c>
      <c r="J221" s="570">
        <v>-5.099145397973881E-2</v>
      </c>
      <c r="K221" s="570">
        <v>-8.4426863235115834E-2</v>
      </c>
      <c r="L221" s="570">
        <v>-9.4088360731466425E-2</v>
      </c>
      <c r="M221" s="570">
        <v>-0.18434060715448086</v>
      </c>
      <c r="N221" s="571">
        <v>-0.24728827241475682</v>
      </c>
    </row>
    <row r="222" spans="1:14">
      <c r="A222" s="547" t="s">
        <v>371</v>
      </c>
      <c r="B222" s="548">
        <v>1.805090458</v>
      </c>
      <c r="C222" s="548">
        <v>2.0256127441350742</v>
      </c>
      <c r="D222" s="548">
        <v>2.0534322527458193</v>
      </c>
      <c r="E222" s="548">
        <v>1.9620130645236045</v>
      </c>
      <c r="F222" s="548">
        <v>1.5655726809854493</v>
      </c>
      <c r="G222" s="548">
        <v>1.1691322974472944</v>
      </c>
      <c r="H222" s="548">
        <v>0.98608406934851389</v>
      </c>
      <c r="I222" s="569">
        <v>1.1592835933093681E-2</v>
      </c>
      <c r="J222" s="570">
        <v>2.7318082607912242E-3</v>
      </c>
      <c r="K222" s="570">
        <v>-9.0669734005697222E-3</v>
      </c>
      <c r="L222" s="570">
        <v>-4.4140044285972846E-2</v>
      </c>
      <c r="M222" s="570">
        <v>-5.6725520298741339E-2</v>
      </c>
      <c r="N222" s="571">
        <v>-3.3481754408959841E-2</v>
      </c>
    </row>
    <row r="223" spans="1:14">
      <c r="A223" s="547" t="s">
        <v>55</v>
      </c>
      <c r="B223" s="548">
        <v>0.62645803873100747</v>
      </c>
      <c r="C223" s="548">
        <v>0.60195575120919664</v>
      </c>
      <c r="D223" s="548">
        <v>0.56542848679036384</v>
      </c>
      <c r="E223" s="548">
        <v>0.53508419243180372</v>
      </c>
      <c r="F223" s="548">
        <v>0.54828121473357994</v>
      </c>
      <c r="G223" s="548">
        <v>0.56147823703535615</v>
      </c>
      <c r="H223" s="548">
        <v>0.49612320283079347</v>
      </c>
      <c r="I223" s="569">
        <v>-3.9818368979267493E-3</v>
      </c>
      <c r="J223" s="570">
        <v>-1.2441973028180842E-2</v>
      </c>
      <c r="K223" s="570">
        <v>-1.0971316027533762E-2</v>
      </c>
      <c r="L223" s="570">
        <v>4.884735079133895E-3</v>
      </c>
      <c r="M223" s="570">
        <v>4.7682709774996557E-3</v>
      </c>
      <c r="N223" s="571">
        <v>-2.4445981465681998E-2</v>
      </c>
    </row>
    <row r="224" spans="1:14">
      <c r="A224" s="547" t="s">
        <v>418</v>
      </c>
      <c r="B224" s="548">
        <v>0.23505345485399309</v>
      </c>
      <c r="C224" s="548">
        <v>0.22540179935315269</v>
      </c>
      <c r="D224" s="548">
        <v>0.56176031964985296</v>
      </c>
      <c r="E224" s="548">
        <v>0.89870764227978239</v>
      </c>
      <c r="F224" s="548">
        <v>0.9221427103251798</v>
      </c>
      <c r="G224" s="548">
        <v>0.94557777837057722</v>
      </c>
      <c r="H224" s="548">
        <v>1.0821470868159841</v>
      </c>
      <c r="I224" s="569">
        <v>-4.1840594539034326E-3</v>
      </c>
      <c r="J224" s="570">
        <v>0.20037995925101493</v>
      </c>
      <c r="K224" s="570">
        <v>9.8533929385027585E-2</v>
      </c>
      <c r="L224" s="570">
        <v>5.1617193439126297E-3</v>
      </c>
      <c r="M224" s="570">
        <v>5.0318477038957532E-3</v>
      </c>
      <c r="N224" s="571">
        <v>2.7348538478428663E-2</v>
      </c>
    </row>
    <row r="225" spans="1:14">
      <c r="A225" s="547"/>
      <c r="B225" s="548"/>
      <c r="C225" s="548"/>
      <c r="D225" s="548"/>
      <c r="E225" s="548"/>
      <c r="F225" s="548"/>
      <c r="G225" s="548"/>
      <c r="H225" s="548"/>
      <c r="I225" s="569"/>
      <c r="J225" s="570"/>
      <c r="K225" s="570"/>
      <c r="L225" s="570"/>
      <c r="M225" s="570"/>
      <c r="N225" s="571"/>
    </row>
    <row r="226" spans="1:14" ht="13.5" thickBot="1">
      <c r="A226" s="555" t="s">
        <v>9</v>
      </c>
      <c r="B226" s="556">
        <v>9.6644564868936502</v>
      </c>
      <c r="C226" s="556">
        <v>9.3310124249304263</v>
      </c>
      <c r="D226" s="556">
        <v>8.9309651347931247</v>
      </c>
      <c r="E226" s="556">
        <v>8.0917494815451452</v>
      </c>
      <c r="F226" s="556">
        <v>6.7122838757497183</v>
      </c>
      <c r="G226" s="556">
        <v>5.3328182699542932</v>
      </c>
      <c r="H226" s="556">
        <v>4.5042582266169093</v>
      </c>
      <c r="I226" s="573">
        <v>-3.5049785783176635E-3</v>
      </c>
      <c r="J226" s="574">
        <v>-8.7255207409762114E-3</v>
      </c>
      <c r="K226" s="574">
        <v>-1.9542423371645579E-2</v>
      </c>
      <c r="L226" s="574">
        <v>-3.6691089803157606E-2</v>
      </c>
      <c r="M226" s="574">
        <v>-4.4969385075031676E-2</v>
      </c>
      <c r="N226" s="575">
        <v>-3.3207440819233103E-2</v>
      </c>
    </row>
    <row r="227" spans="1:14" ht="15">
      <c r="A227" s="560"/>
      <c r="B227" s="533"/>
      <c r="C227" s="533"/>
      <c r="D227" s="533"/>
      <c r="E227" s="533"/>
      <c r="F227" s="533"/>
      <c r="G227" s="522"/>
      <c r="H227" s="522"/>
      <c r="I227" s="522"/>
      <c r="J227" s="522"/>
      <c r="K227" s="522"/>
      <c r="L227" s="522"/>
      <c r="M227" s="522"/>
      <c r="N227" s="522"/>
    </row>
    <row r="228" spans="1:14" ht="15">
      <c r="A228" s="560"/>
      <c r="B228" s="533"/>
      <c r="C228" s="533"/>
      <c r="D228" s="533"/>
      <c r="E228" s="533"/>
      <c r="F228" s="533"/>
      <c r="G228" s="522"/>
      <c r="H228" s="522"/>
      <c r="I228" s="522"/>
      <c r="J228" s="522"/>
      <c r="K228" s="522"/>
      <c r="L228" s="522"/>
      <c r="M228" s="522"/>
      <c r="N228" s="522"/>
    </row>
    <row r="229" spans="1:14" ht="16.5" thickBot="1">
      <c r="A229" s="540" t="s">
        <v>424</v>
      </c>
      <c r="B229" s="542"/>
      <c r="C229" s="542"/>
      <c r="D229" s="542"/>
      <c r="E229" s="542"/>
      <c r="F229" s="542"/>
      <c r="G229" s="542"/>
      <c r="H229" s="542"/>
      <c r="I229" s="542"/>
      <c r="J229" s="542"/>
      <c r="K229" s="542"/>
      <c r="L229" s="542"/>
      <c r="M229" s="542"/>
      <c r="N229" s="542"/>
    </row>
    <row r="230" spans="1:14" ht="13.5" thickBot="1">
      <c r="A230" s="588" t="s">
        <v>64</v>
      </c>
      <c r="B230" s="544">
        <v>2000</v>
      </c>
      <c r="C230" s="544">
        <v>2010</v>
      </c>
      <c r="D230" s="544">
        <v>2015</v>
      </c>
      <c r="E230" s="544">
        <v>2020</v>
      </c>
      <c r="F230" s="544">
        <v>2025</v>
      </c>
      <c r="G230" s="544">
        <v>2030</v>
      </c>
      <c r="H230" s="544">
        <v>2035</v>
      </c>
      <c r="I230" s="561" t="s">
        <v>365</v>
      </c>
      <c r="J230" s="562" t="s">
        <v>366</v>
      </c>
      <c r="K230" s="562" t="s">
        <v>367</v>
      </c>
      <c r="L230" s="562" t="s">
        <v>368</v>
      </c>
      <c r="M230" s="562" t="s">
        <v>369</v>
      </c>
      <c r="N230" s="563" t="s">
        <v>370</v>
      </c>
    </row>
    <row r="231" spans="1:14">
      <c r="A231" s="547" t="s">
        <v>51</v>
      </c>
      <c r="B231" s="548">
        <v>1.1718225789215913</v>
      </c>
      <c r="C231" s="548">
        <v>0.98549441108649516</v>
      </c>
      <c r="D231" s="548">
        <v>0.80656265887660694</v>
      </c>
      <c r="E231" s="548">
        <v>0.54243968888111938</v>
      </c>
      <c r="F231" s="548">
        <v>0.37496812282987324</v>
      </c>
      <c r="G231" s="548">
        <v>0.20749655677862716</v>
      </c>
      <c r="H231" s="548">
        <v>8.6063746732683549E-2</v>
      </c>
      <c r="I231" s="566">
        <v>-1.7168130888336908E-2</v>
      </c>
      <c r="J231" s="567">
        <v>-3.9280094225533357E-2</v>
      </c>
      <c r="K231" s="567">
        <v>-7.6275060374784154E-2</v>
      </c>
      <c r="L231" s="567">
        <v>-7.1186373865834152E-2</v>
      </c>
      <c r="M231" s="567">
        <v>-0.11161072044747999</v>
      </c>
      <c r="N231" s="568">
        <v>-0.16138645846635047</v>
      </c>
    </row>
    <row r="232" spans="1:14">
      <c r="A232" s="547" t="s">
        <v>243</v>
      </c>
      <c r="B232" s="548">
        <v>1.6775788327745613</v>
      </c>
      <c r="C232" s="548">
        <v>1.992976203915074</v>
      </c>
      <c r="D232" s="548">
        <v>1.9921354015861754</v>
      </c>
      <c r="E232" s="548">
        <v>1.8092656891275096</v>
      </c>
      <c r="F232" s="548">
        <v>1.7875245224940954</v>
      </c>
      <c r="G232" s="548">
        <v>1.7657833558606812</v>
      </c>
      <c r="H232" s="548">
        <v>1.5805683594240696</v>
      </c>
      <c r="I232" s="569">
        <v>1.7377005422570146E-2</v>
      </c>
      <c r="J232" s="570">
        <v>-8.4390797158606645E-5</v>
      </c>
      <c r="K232" s="570">
        <v>-1.9072977035535565E-2</v>
      </c>
      <c r="L232" s="570">
        <v>-2.4149497010482746E-3</v>
      </c>
      <c r="M232" s="570">
        <v>-2.4444663669946909E-3</v>
      </c>
      <c r="N232" s="571">
        <v>-2.1918210618251832E-2</v>
      </c>
    </row>
    <row r="233" spans="1:14">
      <c r="A233" s="547" t="s">
        <v>40</v>
      </c>
      <c r="B233" s="548">
        <v>4.3744052995199859E-2</v>
      </c>
      <c r="C233" s="548">
        <v>3.6470339099954618E-2</v>
      </c>
      <c r="D233" s="548">
        <v>2.9790459536648151E-2</v>
      </c>
      <c r="E233" s="548">
        <v>1.9812823455314411E-2</v>
      </c>
      <c r="F233" s="548">
        <v>1.356333167593499E-2</v>
      </c>
      <c r="G233" s="548">
        <v>7.3138398965555693E-3</v>
      </c>
      <c r="H233" s="548">
        <v>2.8895518682736003E-3</v>
      </c>
      <c r="I233" s="569">
        <v>-1.8021276068235004E-2</v>
      </c>
      <c r="J233" s="570">
        <v>-3.9654556311638611E-2</v>
      </c>
      <c r="K233" s="570">
        <v>-7.8333434105041788E-2</v>
      </c>
      <c r="L233" s="570">
        <v>-7.2990889231369094E-2</v>
      </c>
      <c r="M233" s="570">
        <v>-0.11619630398155412</v>
      </c>
      <c r="N233" s="571">
        <v>-0.16950502494598496</v>
      </c>
    </row>
    <row r="234" spans="1:14">
      <c r="A234" s="547" t="s">
        <v>371</v>
      </c>
      <c r="B234" s="548">
        <v>0.71748817052850766</v>
      </c>
      <c r="C234" s="548">
        <v>0.85978677953186811</v>
      </c>
      <c r="D234" s="548">
        <v>0.92419678025170571</v>
      </c>
      <c r="E234" s="548">
        <v>0.93228679949217996</v>
      </c>
      <c r="F234" s="548">
        <v>0.87872660645299172</v>
      </c>
      <c r="G234" s="548">
        <v>0.82516641341380681</v>
      </c>
      <c r="H234" s="548">
        <v>0.80475701696721258</v>
      </c>
      <c r="I234" s="569">
        <v>1.8257462968682692E-2</v>
      </c>
      <c r="J234" s="570">
        <v>1.4552995913733158E-2</v>
      </c>
      <c r="K234" s="570">
        <v>1.7446155774409888E-3</v>
      </c>
      <c r="L234" s="570">
        <v>-1.1763595601380072E-2</v>
      </c>
      <c r="M234" s="570">
        <v>-1.249897914635123E-2</v>
      </c>
      <c r="N234" s="571">
        <v>-4.996414118247916E-3</v>
      </c>
    </row>
    <row r="235" spans="1:14">
      <c r="A235" s="547" t="s">
        <v>55</v>
      </c>
      <c r="B235" s="548">
        <v>0.23574196126899244</v>
      </c>
      <c r="C235" s="548">
        <v>0.25394287697336737</v>
      </c>
      <c r="D235" s="548">
        <v>0.25287117649718766</v>
      </c>
      <c r="E235" s="548">
        <v>0.2435835937055828</v>
      </c>
      <c r="F235" s="548">
        <v>0.3154022446302156</v>
      </c>
      <c r="G235" s="548">
        <v>0.38722089555484834</v>
      </c>
      <c r="H235" s="548">
        <v>0.39735985711251331</v>
      </c>
      <c r="I235" s="569">
        <v>7.4648768593108539E-3</v>
      </c>
      <c r="J235" s="570">
        <v>-8.4547691813485759E-4</v>
      </c>
      <c r="K235" s="570">
        <v>-7.4560628176534305E-3</v>
      </c>
      <c r="L235" s="570">
        <v>5.3036316757719915E-2</v>
      </c>
      <c r="M235" s="570">
        <v>4.1882638190230415E-2</v>
      </c>
      <c r="N235" s="571">
        <v>5.1827826861468029E-3</v>
      </c>
    </row>
    <row r="236" spans="1:14">
      <c r="A236" s="547" t="s">
        <v>155</v>
      </c>
      <c r="B236" s="548">
        <v>0</v>
      </c>
      <c r="C236" s="564">
        <v>8.145794780416004E-3</v>
      </c>
      <c r="D236" s="564">
        <v>2.022776207844515E-2</v>
      </c>
      <c r="E236" s="564">
        <v>6.4069288956444148E-2</v>
      </c>
      <c r="F236" s="564">
        <v>9.3692324325151968E-2</v>
      </c>
      <c r="G236" s="564">
        <v>0.12331535969385979</v>
      </c>
      <c r="H236" s="564">
        <v>0.1810255984487566</v>
      </c>
      <c r="I236" s="569"/>
      <c r="J236" s="570"/>
      <c r="K236" s="570"/>
      <c r="L236" s="570"/>
      <c r="M236" s="570"/>
      <c r="N236" s="571"/>
    </row>
    <row r="237" spans="1:14">
      <c r="A237" s="547" t="s">
        <v>418</v>
      </c>
      <c r="B237" s="548">
        <v>8.8446545146006902E-2</v>
      </c>
      <c r="C237" s="548">
        <v>9.5192912567960836E-2</v>
      </c>
      <c r="D237" s="548">
        <v>0.26447007062909877</v>
      </c>
      <c r="E237" s="548">
        <v>0.44725797108245374</v>
      </c>
      <c r="F237" s="548">
        <v>0.58245800916256396</v>
      </c>
      <c r="G237" s="548">
        <v>0.71765804724267412</v>
      </c>
      <c r="H237" s="548">
        <v>0.96508381840954605</v>
      </c>
      <c r="I237" s="569">
        <v>7.3777959437866247E-3</v>
      </c>
      <c r="J237" s="570">
        <v>0.22674524493600767</v>
      </c>
      <c r="K237" s="570">
        <v>0.11080112680372589</v>
      </c>
      <c r="L237" s="570">
        <v>5.4244408838490576E-2</v>
      </c>
      <c r="M237" s="570">
        <v>4.2630889766565483E-2</v>
      </c>
      <c r="N237" s="571">
        <v>6.1034474483742551E-2</v>
      </c>
    </row>
    <row r="238" spans="1:14">
      <c r="A238" s="547"/>
      <c r="B238" s="548"/>
      <c r="C238" s="548"/>
      <c r="D238" s="548"/>
      <c r="E238" s="548"/>
      <c r="F238" s="548"/>
      <c r="G238" s="548"/>
      <c r="H238" s="548"/>
      <c r="I238" s="569"/>
      <c r="J238" s="570"/>
      <c r="K238" s="570"/>
      <c r="L238" s="570"/>
      <c r="M238" s="570"/>
      <c r="N238" s="571"/>
    </row>
    <row r="239" spans="1:14" ht="13.5" thickBot="1">
      <c r="A239" s="555" t="s">
        <v>9</v>
      </c>
      <c r="B239" s="556">
        <v>3.9348221416348594</v>
      </c>
      <c r="C239" s="556">
        <v>4.2320093179551366</v>
      </c>
      <c r="D239" s="556">
        <v>4.2902543094558681</v>
      </c>
      <c r="E239" s="556">
        <v>4.0587158547006039</v>
      </c>
      <c r="F239" s="556">
        <v>4.046335161570827</v>
      </c>
      <c r="G239" s="556">
        <v>4.0339544684410527</v>
      </c>
      <c r="H239" s="556">
        <v>4.0177479489630556</v>
      </c>
      <c r="I239" s="573">
        <v>7.3076932732820676E-3</v>
      </c>
      <c r="J239" s="574">
        <v>2.7375631889716701E-3</v>
      </c>
      <c r="K239" s="574">
        <v>-1.1034543651994855E-2</v>
      </c>
      <c r="L239" s="574">
        <v>-6.1082508314624917E-4</v>
      </c>
      <c r="M239" s="574">
        <v>-6.1269633599947415E-4</v>
      </c>
      <c r="N239" s="575">
        <v>-8.0479968780400313E-4</v>
      </c>
    </row>
    <row r="240" spans="1:14" ht="15">
      <c r="A240" s="560"/>
      <c r="B240" s="533"/>
      <c r="C240" s="533"/>
      <c r="D240" s="533"/>
      <c r="E240" s="533"/>
      <c r="F240" s="533"/>
      <c r="G240" s="522"/>
      <c r="H240" s="522"/>
      <c r="I240" s="522"/>
      <c r="J240" s="522"/>
      <c r="K240" s="522"/>
      <c r="L240" s="522"/>
      <c r="M240" s="522"/>
      <c r="N240" s="522"/>
    </row>
    <row r="241" spans="1:14" ht="15">
      <c r="A241" s="560"/>
      <c r="B241" s="533"/>
      <c r="C241" s="533"/>
      <c r="D241" s="533"/>
      <c r="E241" s="533"/>
      <c r="F241" s="533"/>
      <c r="G241" s="522"/>
      <c r="H241" s="522"/>
      <c r="I241" s="522"/>
      <c r="J241" s="522"/>
      <c r="K241" s="522"/>
      <c r="L241" s="522"/>
      <c r="M241" s="522"/>
      <c r="N241" s="522"/>
    </row>
    <row r="242" spans="1:14" ht="16.5" thickBot="1">
      <c r="A242" s="540" t="s">
        <v>425</v>
      </c>
      <c r="B242" s="542"/>
      <c r="C242" s="542"/>
      <c r="D242" s="542"/>
      <c r="E242" s="542"/>
      <c r="F242" s="542"/>
      <c r="G242" s="542"/>
      <c r="H242" s="542"/>
      <c r="I242" s="542"/>
      <c r="J242" s="542"/>
      <c r="K242" s="542"/>
      <c r="L242" s="542"/>
      <c r="M242" s="542"/>
      <c r="N242" s="542"/>
    </row>
    <row r="243" spans="1:14" ht="13.5" thickBot="1">
      <c r="A243" s="543"/>
      <c r="B243" s="544">
        <v>2000</v>
      </c>
      <c r="C243" s="544">
        <v>2010</v>
      </c>
      <c r="D243" s="544">
        <v>2015</v>
      </c>
      <c r="E243" s="544">
        <v>2020</v>
      </c>
      <c r="F243" s="544">
        <v>2025</v>
      </c>
      <c r="G243" s="544">
        <v>2030</v>
      </c>
      <c r="H243" s="544">
        <v>2035</v>
      </c>
      <c r="I243" s="561" t="s">
        <v>365</v>
      </c>
      <c r="J243" s="562" t="s">
        <v>366</v>
      </c>
      <c r="K243" s="562" t="s">
        <v>367</v>
      </c>
      <c r="L243" s="562" t="s">
        <v>368</v>
      </c>
      <c r="M243" s="562" t="s">
        <v>369</v>
      </c>
      <c r="N243" s="563" t="s">
        <v>370</v>
      </c>
    </row>
    <row r="244" spans="1:14">
      <c r="A244" s="547" t="s">
        <v>395</v>
      </c>
      <c r="B244" s="553">
        <v>1.2032326867063684E-2</v>
      </c>
      <c r="C244" s="553">
        <v>1.3488078085292456E-2</v>
      </c>
      <c r="D244" s="553">
        <v>1.4041503922050756E-2</v>
      </c>
      <c r="E244" s="553">
        <v>1.3366800980269962E-2</v>
      </c>
      <c r="F244" s="553">
        <v>1.191447681071385E-2</v>
      </c>
      <c r="G244" s="553">
        <v>1.0462152641157737E-2</v>
      </c>
      <c r="H244" s="553">
        <v>9.5825791562569596E-3</v>
      </c>
      <c r="I244" s="569">
        <v>1.1486393485697688E-2</v>
      </c>
      <c r="J244" s="570">
        <v>8.0746897379178062E-3</v>
      </c>
      <c r="K244" s="570">
        <v>-9.8003437080614875E-3</v>
      </c>
      <c r="L244" s="570">
        <v>-2.2741404657258157E-2</v>
      </c>
      <c r="M244" s="570">
        <v>-2.5662954811482508E-2</v>
      </c>
      <c r="N244" s="571">
        <v>-1.7410152154868741E-2</v>
      </c>
    </row>
    <row r="245" spans="1:14">
      <c r="A245" s="547" t="s">
        <v>396</v>
      </c>
      <c r="B245" s="604">
        <v>1.6927697350611042E-2</v>
      </c>
      <c r="C245" s="604">
        <v>1.6130963120170656E-2</v>
      </c>
      <c r="D245" s="604">
        <v>1.5168240209549913E-2</v>
      </c>
      <c r="E245" s="604">
        <v>1.3345664321001417E-2</v>
      </c>
      <c r="F245" s="638">
        <v>1.1953134276370318E-2</v>
      </c>
      <c r="G245" s="604">
        <v>1.0560604231739219E-2</v>
      </c>
      <c r="H245" s="604">
        <v>9.1598075730608252E-3</v>
      </c>
      <c r="I245" s="569">
        <v>-4.8094550213545473E-3</v>
      </c>
      <c r="J245" s="570">
        <v>-1.2231937795294745E-2</v>
      </c>
      <c r="K245" s="570">
        <v>-2.5277480594240953E-2</v>
      </c>
      <c r="L245" s="570">
        <v>-2.179850946100248E-2</v>
      </c>
      <c r="M245" s="570">
        <v>-2.4468283321789075E-2</v>
      </c>
      <c r="N245" s="571">
        <v>-2.8059863984390754E-2</v>
      </c>
    </row>
    <row r="246" spans="1:14">
      <c r="A246" s="547" t="s">
        <v>426</v>
      </c>
      <c r="B246" s="548">
        <v>17.813600000000001</v>
      </c>
      <c r="C246" s="548">
        <v>19.53779460902533</v>
      </c>
      <c r="D246" s="548">
        <v>19.823816514246637</v>
      </c>
      <c r="E246" s="548">
        <v>20.739528366561391</v>
      </c>
      <c r="F246" s="548">
        <v>21.611903505114512</v>
      </c>
      <c r="G246" s="548">
        <v>22.484278643667636</v>
      </c>
      <c r="H246" s="548">
        <v>23.219024945013835</v>
      </c>
      <c r="I246" s="569">
        <v>9.2816663991333037E-3</v>
      </c>
      <c r="J246" s="570">
        <v>2.9108872917702477E-3</v>
      </c>
      <c r="K246" s="570">
        <v>9.0723854913050683E-3</v>
      </c>
      <c r="L246" s="570">
        <v>8.2746046206312318E-3</v>
      </c>
      <c r="M246" s="570">
        <v>7.9458191773806863E-3</v>
      </c>
      <c r="N246" s="571">
        <v>6.4518531765969112E-3</v>
      </c>
    </row>
    <row r="247" spans="1:14">
      <c r="A247" s="547" t="s">
        <v>427</v>
      </c>
      <c r="B247" s="605">
        <v>1.1545655631953116</v>
      </c>
      <c r="C247" s="605">
        <v>1.1572156414251897</v>
      </c>
      <c r="D247" s="605">
        <v>1.1092526083455427</v>
      </c>
      <c r="E247" s="605">
        <v>1.0063214290508595</v>
      </c>
      <c r="F247" s="605">
        <v>0.90644455296757687</v>
      </c>
      <c r="G247" s="605">
        <v>0.81431799033595098</v>
      </c>
      <c r="H247" s="605">
        <v>0.76287759395937182</v>
      </c>
      <c r="I247" s="569">
        <v>2.2929360243151287E-4</v>
      </c>
      <c r="J247" s="570">
        <v>-8.4303333361810395E-3</v>
      </c>
      <c r="K247" s="570">
        <v>-1.9288534997069395E-2</v>
      </c>
      <c r="L247" s="570">
        <v>-2.0688387012440801E-2</v>
      </c>
      <c r="M247" s="570">
        <v>-2.1207670622086283E-2</v>
      </c>
      <c r="N247" s="571">
        <v>-1.2965879292541005E-2</v>
      </c>
    </row>
    <row r="248" spans="1:14" ht="13.5" thickBot="1">
      <c r="A248" s="555" t="s">
        <v>428</v>
      </c>
      <c r="B248" s="606">
        <v>6195.9306274595629</v>
      </c>
      <c r="C248" s="606">
        <v>7102.4934620817558</v>
      </c>
      <c r="D248" s="606">
        <v>6891.0205087616223</v>
      </c>
      <c r="E248" s="606">
        <v>6512.9853138384879</v>
      </c>
      <c r="F248" s="606">
        <v>6067.7705088427783</v>
      </c>
      <c r="G248" s="606">
        <v>5657.103783716504</v>
      </c>
      <c r="H248" s="606">
        <v>5500.7445655797064</v>
      </c>
      <c r="I248" s="573">
        <v>1.3748978506723963E-2</v>
      </c>
      <c r="J248" s="574">
        <v>-6.0271088077743507E-3</v>
      </c>
      <c r="K248" s="574">
        <v>-1.1220824399410967E-2</v>
      </c>
      <c r="L248" s="574">
        <v>-1.4061536685174514E-2</v>
      </c>
      <c r="M248" s="574">
        <v>-1.3918071179671143E-2</v>
      </c>
      <c r="N248" s="575">
        <v>-5.5900379909105125E-3</v>
      </c>
    </row>
    <row r="249" spans="1:14" ht="15">
      <c r="A249" s="591"/>
      <c r="B249" s="522"/>
      <c r="C249" s="522"/>
      <c r="D249" s="522"/>
      <c r="E249" s="522"/>
      <c r="F249" s="522"/>
      <c r="G249" s="532"/>
      <c r="H249" s="522"/>
      <c r="I249" s="522"/>
      <c r="J249" s="522"/>
      <c r="K249" s="522"/>
      <c r="L249" s="522"/>
      <c r="M249" s="522"/>
      <c r="N249" s="522"/>
    </row>
    <row r="250" spans="1:14" ht="15">
      <c r="A250" s="522"/>
      <c r="B250" s="522"/>
      <c r="C250" s="522"/>
      <c r="D250" s="522"/>
      <c r="E250" s="522"/>
      <c r="F250" s="522"/>
      <c r="G250" s="532"/>
      <c r="H250" s="570"/>
      <c r="I250" s="570"/>
      <c r="J250" s="570"/>
      <c r="K250" s="522"/>
      <c r="L250" s="522"/>
      <c r="M250" s="522"/>
      <c r="N250" s="522"/>
    </row>
    <row r="251" spans="1:14" ht="21">
      <c r="A251" s="538" t="s">
        <v>429</v>
      </c>
      <c r="B251" s="592"/>
      <c r="C251" s="592"/>
      <c r="D251" s="592"/>
      <c r="E251" s="592"/>
      <c r="F251" s="592"/>
      <c r="G251" s="592"/>
      <c r="H251" s="593"/>
      <c r="I251" s="593"/>
      <c r="J251" s="593"/>
      <c r="K251" s="593"/>
      <c r="L251" s="593"/>
      <c r="M251" s="593"/>
      <c r="N251" s="593"/>
    </row>
    <row r="252" spans="1:14" ht="21">
      <c r="A252" s="534"/>
      <c r="B252" s="522"/>
      <c r="C252" s="522"/>
      <c r="D252" s="522"/>
      <c r="E252" s="640"/>
      <c r="F252" s="640"/>
      <c r="G252" s="532"/>
      <c r="H252" s="532"/>
      <c r="I252" s="522"/>
      <c r="J252" s="522"/>
      <c r="K252" s="522"/>
      <c r="L252" s="522"/>
      <c r="M252" s="522"/>
      <c r="N252" s="522"/>
    </row>
    <row r="253" spans="1:14" ht="16.5" thickBot="1">
      <c r="A253" s="540" t="s">
        <v>430</v>
      </c>
      <c r="B253" s="541"/>
      <c r="C253" s="541"/>
      <c r="D253" s="541"/>
      <c r="E253" s="541"/>
      <c r="F253" s="541"/>
      <c r="G253" s="541"/>
      <c r="H253" s="542"/>
      <c r="I253" s="542"/>
      <c r="J253" s="542"/>
      <c r="K253" s="542"/>
      <c r="L253" s="542"/>
      <c r="M253" s="542"/>
      <c r="N253" s="542"/>
    </row>
    <row r="254" spans="1:14" ht="13.5" thickBot="1">
      <c r="A254" s="543"/>
      <c r="B254" s="544">
        <v>2000</v>
      </c>
      <c r="C254" s="544">
        <v>2010</v>
      </c>
      <c r="D254" s="544">
        <v>2015</v>
      </c>
      <c r="E254" s="544">
        <v>2020</v>
      </c>
      <c r="F254" s="544">
        <v>2025</v>
      </c>
      <c r="G254" s="544">
        <v>2030</v>
      </c>
      <c r="H254" s="544">
        <v>2035</v>
      </c>
      <c r="I254" s="561" t="s">
        <v>365</v>
      </c>
      <c r="J254" s="562" t="s">
        <v>366</v>
      </c>
      <c r="K254" s="562" t="s">
        <v>367</v>
      </c>
      <c r="L254" s="562" t="s">
        <v>368</v>
      </c>
      <c r="M254" s="562" t="s">
        <v>369</v>
      </c>
      <c r="N254" s="563" t="s">
        <v>370</v>
      </c>
    </row>
    <row r="255" spans="1:14">
      <c r="A255" s="607" t="s">
        <v>431</v>
      </c>
      <c r="B255" s="608"/>
      <c r="C255" s="608"/>
      <c r="D255" s="608"/>
      <c r="E255" s="608"/>
      <c r="F255" s="608"/>
      <c r="G255" s="608"/>
      <c r="H255" s="608"/>
      <c r="I255" s="610"/>
      <c r="J255" s="611"/>
      <c r="K255" s="611"/>
      <c r="L255" s="611"/>
      <c r="M255" s="611"/>
      <c r="N255" s="612"/>
    </row>
    <row r="256" spans="1:14">
      <c r="A256" s="547" t="s">
        <v>432</v>
      </c>
      <c r="B256" s="613">
        <v>426.18980828452987</v>
      </c>
      <c r="C256" s="613">
        <v>495.61922409707364</v>
      </c>
      <c r="D256" s="613">
        <v>486.42788769206379</v>
      </c>
      <c r="E256" s="613">
        <v>466.18428264935295</v>
      </c>
      <c r="F256" s="613">
        <v>451.34450680145937</v>
      </c>
      <c r="G256" s="613">
        <v>436.50473095356574</v>
      </c>
      <c r="H256" s="613">
        <v>435.09976236731643</v>
      </c>
      <c r="I256" s="569">
        <v>1.5206777292118945E-2</v>
      </c>
      <c r="J256" s="570">
        <v>-3.7368554415250221E-3</v>
      </c>
      <c r="K256" s="570">
        <v>-8.4654945070693488E-3</v>
      </c>
      <c r="L256" s="570">
        <v>-6.4491327411337895E-3</v>
      </c>
      <c r="M256" s="570">
        <v>-6.6640376510688215E-3</v>
      </c>
      <c r="N256" s="571">
        <v>-6.4456618441055546E-4</v>
      </c>
    </row>
    <row r="257" spans="1:17" ht="15">
      <c r="A257" s="547" t="s">
        <v>433</v>
      </c>
      <c r="B257" s="613">
        <v>237.50559817920745</v>
      </c>
      <c r="C257" s="613">
        <v>257.64562525256531</v>
      </c>
      <c r="D257" s="613">
        <v>264.07890360394481</v>
      </c>
      <c r="E257" s="613">
        <v>285.9013430478409</v>
      </c>
      <c r="F257" s="613">
        <v>318.47225584569344</v>
      </c>
      <c r="G257" s="613">
        <v>351.04316864354598</v>
      </c>
      <c r="H257" s="613">
        <v>386.61839112469636</v>
      </c>
      <c r="I257" s="569">
        <v>8.1726049638226606E-3</v>
      </c>
      <c r="J257" s="570">
        <v>4.9447532542363781E-3</v>
      </c>
      <c r="K257" s="570">
        <v>1.6006525864286081E-2</v>
      </c>
      <c r="L257" s="570">
        <v>2.181219544159485E-2</v>
      </c>
      <c r="M257" s="570">
        <v>1.9665638552658127E-2</v>
      </c>
      <c r="N257" s="571">
        <v>1.9493348486515183E-2</v>
      </c>
      <c r="O257" s="522"/>
      <c r="P257" s="522"/>
      <c r="Q257" s="522"/>
    </row>
    <row r="258" spans="1:17" ht="15">
      <c r="A258" s="547" t="s">
        <v>434</v>
      </c>
      <c r="B258" s="613">
        <v>42.125490151515159</v>
      </c>
      <c r="C258" s="548">
        <v>50.008637814020872</v>
      </c>
      <c r="D258" s="613">
        <v>67.010014911421237</v>
      </c>
      <c r="E258" s="613">
        <v>84.015979536370793</v>
      </c>
      <c r="F258" s="613">
        <v>101.01735663377117</v>
      </c>
      <c r="G258" s="613">
        <v>118.01873373117155</v>
      </c>
      <c r="H258" s="613">
        <v>135.02011082857192</v>
      </c>
      <c r="I258" s="569">
        <v>1.7302251731255325E-2</v>
      </c>
      <c r="J258" s="570">
        <v>6.0276016915988384E-2</v>
      </c>
      <c r="K258" s="570">
        <v>4.627159790080615E-2</v>
      </c>
      <c r="L258" s="570">
        <v>3.754471119493763E-2</v>
      </c>
      <c r="M258" s="570">
        <v>3.15991844662038E-2</v>
      </c>
      <c r="N258" s="571">
        <v>2.7281582308592123E-2</v>
      </c>
      <c r="O258" s="522"/>
      <c r="P258" s="522"/>
      <c r="Q258" s="522"/>
    </row>
    <row r="259" spans="1:17" ht="15">
      <c r="A259" s="547"/>
      <c r="B259" s="608"/>
      <c r="C259" s="608"/>
      <c r="D259" s="608"/>
      <c r="E259" s="608"/>
      <c r="F259" s="608"/>
      <c r="G259" s="608"/>
      <c r="H259" s="609"/>
      <c r="I259" s="569"/>
      <c r="J259" s="570"/>
      <c r="K259" s="570"/>
      <c r="L259" s="570"/>
      <c r="M259" s="570"/>
      <c r="N259" s="571"/>
      <c r="O259" s="522"/>
      <c r="P259" s="522"/>
      <c r="Q259" s="522"/>
    </row>
    <row r="260" spans="1:17" ht="15">
      <c r="A260" s="607" t="s">
        <v>435</v>
      </c>
      <c r="B260" s="608"/>
      <c r="C260" s="608"/>
      <c r="D260" s="608"/>
      <c r="E260" s="608"/>
      <c r="F260" s="608"/>
      <c r="G260" s="608"/>
      <c r="H260" s="609"/>
      <c r="I260" s="569"/>
      <c r="J260" s="570"/>
      <c r="K260" s="570"/>
      <c r="L260" s="570"/>
      <c r="M260" s="570"/>
      <c r="N260" s="571"/>
      <c r="O260" s="522"/>
      <c r="P260" s="522"/>
      <c r="Q260" s="522"/>
    </row>
    <row r="261" spans="1:17" ht="15">
      <c r="A261" s="547" t="s">
        <v>436</v>
      </c>
      <c r="B261" s="613">
        <v>80.924999999999997</v>
      </c>
      <c r="C261" s="613">
        <v>100.30362801659594</v>
      </c>
      <c r="D261" s="613">
        <v>109.07064428917336</v>
      </c>
      <c r="E261" s="613">
        <v>117.84776203788009</v>
      </c>
      <c r="F261" s="613">
        <v>126.63669990679205</v>
      </c>
      <c r="G261" s="613">
        <v>135.42563777570399</v>
      </c>
      <c r="H261" s="613">
        <v>145.1746088349359</v>
      </c>
      <c r="I261" s="569">
        <v>2.1700000000000053E-2</v>
      </c>
      <c r="J261" s="570">
        <v>1.6899999999999915E-2</v>
      </c>
      <c r="K261" s="570">
        <v>1.5600000000000058E-2</v>
      </c>
      <c r="L261" s="570">
        <v>1.4489716203519576E-2</v>
      </c>
      <c r="M261" s="570">
        <v>1.3510520193120268E-2</v>
      </c>
      <c r="N261" s="571">
        <v>1.4000000000000012E-2</v>
      </c>
      <c r="O261" s="522"/>
      <c r="P261" s="522"/>
      <c r="Q261" s="522"/>
    </row>
    <row r="262" spans="1:17" ht="15">
      <c r="A262" s="547" t="s">
        <v>437</v>
      </c>
      <c r="B262" s="613">
        <v>57.725999999999999</v>
      </c>
      <c r="C262" s="613">
        <v>29.953617671292598</v>
      </c>
      <c r="D262" s="613">
        <v>36.759622909933412</v>
      </c>
      <c r="E262" s="613">
        <v>48.868667342981297</v>
      </c>
      <c r="F262" s="613">
        <v>60.987496834785603</v>
      </c>
      <c r="G262" s="613">
        <v>73.106326326589908</v>
      </c>
      <c r="H262" s="613">
        <v>83.360682236181447</v>
      </c>
      <c r="I262" s="569">
        <v>-6.3500000000000001E-2</v>
      </c>
      <c r="J262" s="570">
        <v>4.1800000000000059E-2</v>
      </c>
      <c r="K262" s="570">
        <v>5.8599999999999985E-2</v>
      </c>
      <c r="L262" s="570">
        <v>4.5302676803312902E-2</v>
      </c>
      <c r="M262" s="570">
        <v>3.6914220209107507E-2</v>
      </c>
      <c r="N262" s="571">
        <v>2.6599999999999957E-2</v>
      </c>
      <c r="O262" s="522"/>
      <c r="P262" s="522"/>
      <c r="Q262" s="522"/>
    </row>
    <row r="263" spans="1:17" ht="15">
      <c r="A263" s="547"/>
      <c r="B263" s="613"/>
      <c r="C263" s="613"/>
      <c r="D263" s="613"/>
      <c r="E263" s="613"/>
      <c r="F263" s="613"/>
      <c r="G263" s="613"/>
      <c r="H263" s="614"/>
      <c r="I263" s="569"/>
      <c r="J263" s="570"/>
      <c r="K263" s="570"/>
      <c r="L263" s="570"/>
      <c r="M263" s="570"/>
      <c r="N263" s="571"/>
      <c r="O263" s="522"/>
      <c r="P263" s="522"/>
      <c r="Q263" s="522"/>
    </row>
    <row r="264" spans="1:17" ht="15">
      <c r="A264" s="607" t="s">
        <v>438</v>
      </c>
      <c r="B264" s="613">
        <v>7.2610000000000001</v>
      </c>
      <c r="C264" s="613">
        <v>8.060456067811975</v>
      </c>
      <c r="D264" s="613">
        <v>9.1865910507933091</v>
      </c>
      <c r="E264" s="613">
        <v>11.000688735235052</v>
      </c>
      <c r="F264" s="613">
        <v>12.813781846409452</v>
      </c>
      <c r="G264" s="613">
        <v>14.626874957583851</v>
      </c>
      <c r="H264" s="613">
        <v>15.487488048327616</v>
      </c>
      <c r="I264" s="569">
        <v>1.0499999999999954E-2</v>
      </c>
      <c r="J264" s="570">
        <v>2.6499999999999968E-2</v>
      </c>
      <c r="K264" s="570">
        <v>3.6699999999999955E-2</v>
      </c>
      <c r="L264" s="570">
        <v>3.0982965986930955E-2</v>
      </c>
      <c r="M264" s="570">
        <v>2.6821242372901954E-2</v>
      </c>
      <c r="N264" s="571">
        <v>1.1500000000000066E-2</v>
      </c>
      <c r="O264" s="522"/>
      <c r="P264" s="522"/>
      <c r="Q264" s="522"/>
    </row>
    <row r="265" spans="1:17" ht="15">
      <c r="A265" s="607"/>
      <c r="B265" s="613"/>
      <c r="C265" s="613"/>
      <c r="D265" s="613"/>
      <c r="E265" s="613"/>
      <c r="F265" s="613"/>
      <c r="G265" s="613"/>
      <c r="H265" s="614"/>
      <c r="I265" s="569"/>
      <c r="J265" s="570"/>
      <c r="K265" s="570"/>
      <c r="L265" s="570"/>
      <c r="M265" s="570"/>
      <c r="N265" s="571"/>
      <c r="O265" s="522"/>
      <c r="P265" s="522"/>
      <c r="Q265" s="615"/>
    </row>
    <row r="266" spans="1:17" ht="15">
      <c r="A266" s="607" t="s">
        <v>439</v>
      </c>
      <c r="B266" s="613">
        <v>30.747</v>
      </c>
      <c r="C266" s="613">
        <v>25.230988199999999</v>
      </c>
      <c r="D266" s="613">
        <v>30.826942199999998</v>
      </c>
      <c r="E266" s="613">
        <v>36.419821500000005</v>
      </c>
      <c r="F266" s="613">
        <v>42.015775500000004</v>
      </c>
      <c r="G266" s="613">
        <v>47.611729500000003</v>
      </c>
      <c r="H266" s="613">
        <v>53.207683499999995</v>
      </c>
      <c r="I266" s="569">
        <v>-1.9577766794773743E-2</v>
      </c>
      <c r="J266" s="570">
        <v>4.0876581496701814E-2</v>
      </c>
      <c r="K266" s="570">
        <v>3.3906993471489955E-2</v>
      </c>
      <c r="L266" s="570">
        <v>2.8998908748078867E-2</v>
      </c>
      <c r="M266" s="570">
        <v>2.5322091469822894E-2</v>
      </c>
      <c r="N266" s="571">
        <v>2.247354192537343E-2</v>
      </c>
      <c r="O266" s="522"/>
      <c r="P266" s="522"/>
      <c r="Q266" s="522"/>
    </row>
    <row r="267" spans="1:17" ht="15">
      <c r="A267" s="607"/>
      <c r="B267" s="613"/>
      <c r="C267" s="613"/>
      <c r="D267" s="613"/>
      <c r="E267" s="613"/>
      <c r="F267" s="613"/>
      <c r="G267" s="613"/>
      <c r="H267" s="614"/>
      <c r="I267" s="569"/>
      <c r="J267" s="570"/>
      <c r="K267" s="570"/>
      <c r="L267" s="570"/>
      <c r="M267" s="570"/>
      <c r="N267" s="571"/>
      <c r="O267" s="522"/>
      <c r="P267" s="522"/>
      <c r="Q267" s="522"/>
    </row>
    <row r="268" spans="1:17" ht="15.75" thickBot="1">
      <c r="A268" s="594"/>
      <c r="B268" s="616"/>
      <c r="C268" s="616"/>
      <c r="D268" s="616"/>
      <c r="E268" s="616"/>
      <c r="F268" s="616"/>
      <c r="G268" s="616"/>
      <c r="H268" s="616"/>
      <c r="I268" s="573"/>
      <c r="J268" s="574"/>
      <c r="K268" s="574"/>
      <c r="L268" s="574"/>
      <c r="M268" s="574"/>
      <c r="N268" s="575"/>
      <c r="O268" s="522"/>
      <c r="P268" s="522"/>
      <c r="Q268" s="522"/>
    </row>
    <row r="269" spans="1:17" ht="15">
      <c r="A269" s="560"/>
      <c r="B269" s="617"/>
      <c r="C269" s="617"/>
      <c r="D269" s="617"/>
      <c r="E269" s="533"/>
      <c r="F269" s="522"/>
      <c r="G269" s="643"/>
      <c r="H269" s="522"/>
      <c r="I269" s="522"/>
      <c r="J269" s="522"/>
      <c r="K269" s="522"/>
      <c r="L269" s="522"/>
      <c r="M269" s="522"/>
      <c r="N269" s="522"/>
      <c r="O269" s="522"/>
      <c r="P269" s="522"/>
      <c r="Q269" s="522"/>
    </row>
    <row r="270" spans="1:17" ht="15">
      <c r="A270" s="560"/>
      <c r="B270" s="617"/>
      <c r="C270" s="617"/>
      <c r="D270" s="617"/>
      <c r="E270" s="533"/>
      <c r="F270" s="522"/>
      <c r="G270" s="522"/>
      <c r="H270" s="522"/>
      <c r="I270" s="522"/>
      <c r="J270" s="522"/>
      <c r="K270" s="522"/>
      <c r="L270" s="522"/>
      <c r="M270" s="522"/>
      <c r="N270" s="522"/>
      <c r="O270" s="522"/>
      <c r="P270" s="522"/>
      <c r="Q270" s="522"/>
    </row>
    <row r="271" spans="1:17" ht="16.5" thickBot="1">
      <c r="A271" s="540" t="s">
        <v>440</v>
      </c>
      <c r="B271" s="542"/>
      <c r="C271" s="542"/>
      <c r="D271" s="542"/>
      <c r="E271" s="542"/>
      <c r="F271" s="541"/>
      <c r="G271" s="542"/>
      <c r="H271" s="542"/>
      <c r="I271" s="542"/>
      <c r="J271" s="542"/>
      <c r="K271" s="542"/>
      <c r="L271" s="542"/>
      <c r="M271" s="542"/>
      <c r="N271" s="542"/>
      <c r="O271" s="522"/>
      <c r="P271" s="522"/>
      <c r="Q271" s="522"/>
    </row>
    <row r="272" spans="1:17" ht="15.75" thickBot="1">
      <c r="A272" s="543" t="s">
        <v>64</v>
      </c>
      <c r="B272" s="544">
        <v>2000</v>
      </c>
      <c r="C272" s="544">
        <v>2010</v>
      </c>
      <c r="D272" s="544">
        <v>2015</v>
      </c>
      <c r="E272" s="544">
        <v>2020</v>
      </c>
      <c r="F272" s="544">
        <v>2025</v>
      </c>
      <c r="G272" s="544">
        <v>2030</v>
      </c>
      <c r="H272" s="544">
        <v>2035</v>
      </c>
      <c r="I272" s="561" t="s">
        <v>365</v>
      </c>
      <c r="J272" s="562" t="s">
        <v>366</v>
      </c>
      <c r="K272" s="562" t="s">
        <v>367</v>
      </c>
      <c r="L272" s="562" t="s">
        <v>368</v>
      </c>
      <c r="M272" s="562" t="s">
        <v>369</v>
      </c>
      <c r="N272" s="563" t="s">
        <v>370</v>
      </c>
      <c r="O272" s="522"/>
      <c r="P272" s="522"/>
      <c r="Q272" s="522"/>
    </row>
    <row r="273" spans="1:14">
      <c r="A273" s="547" t="s">
        <v>441</v>
      </c>
      <c r="B273" s="548">
        <v>14.819093535512977</v>
      </c>
      <c r="C273" s="548">
        <v>9.0070568064030976</v>
      </c>
      <c r="D273" s="548">
        <v>8.2477173947902287</v>
      </c>
      <c r="E273" s="548">
        <v>7.2154254230530697</v>
      </c>
      <c r="F273" s="548">
        <v>6.2219085068997444</v>
      </c>
      <c r="G273" s="548">
        <v>5.22839159074642</v>
      </c>
      <c r="H273" s="548">
        <v>4.483689270213925</v>
      </c>
      <c r="I273" s="566">
        <v>-4.8571566369015162E-2</v>
      </c>
      <c r="J273" s="567">
        <v>-1.7460149160998473E-2</v>
      </c>
      <c r="K273" s="567">
        <v>-2.6388636448084202E-2</v>
      </c>
      <c r="L273" s="567">
        <v>-2.9194259630844321E-2</v>
      </c>
      <c r="M273" s="567">
        <v>-3.4196227642035337E-2</v>
      </c>
      <c r="N273" s="568">
        <v>-3.0264085881759106E-2</v>
      </c>
    </row>
    <row r="274" spans="1:14">
      <c r="A274" s="547" t="s">
        <v>442</v>
      </c>
      <c r="B274" s="548">
        <v>26.600792443472077</v>
      </c>
      <c r="C274" s="548">
        <v>32.224664428215867</v>
      </c>
      <c r="D274" s="548">
        <v>30.915245051916656</v>
      </c>
      <c r="E274" s="548">
        <v>26.665629443373341</v>
      </c>
      <c r="F274" s="548">
        <v>24.130482261916455</v>
      </c>
      <c r="G274" s="548">
        <v>21.595335080459567</v>
      </c>
      <c r="H274" s="548">
        <v>20.080092821208403</v>
      </c>
      <c r="I274" s="569">
        <v>1.9364213539353914E-2</v>
      </c>
      <c r="J274" s="570">
        <v>-8.2622198357191756E-3</v>
      </c>
      <c r="K274" s="570">
        <v>-2.9141741435134705E-2</v>
      </c>
      <c r="L274" s="570">
        <v>-1.9781640959674607E-2</v>
      </c>
      <c r="M274" s="570">
        <v>-2.1955108343596486E-2</v>
      </c>
      <c r="N274" s="571">
        <v>-1.4444345970031192E-2</v>
      </c>
    </row>
    <row r="275" spans="1:14">
      <c r="A275" s="547" t="s">
        <v>443</v>
      </c>
      <c r="B275" s="548">
        <v>1.7999908740000001</v>
      </c>
      <c r="C275" s="548">
        <v>1.4253749733122461</v>
      </c>
      <c r="D275" s="548">
        <v>1.3906793572199114</v>
      </c>
      <c r="E275" s="548">
        <v>1.470288705598469</v>
      </c>
      <c r="F275" s="548">
        <v>1.5608777913094758</v>
      </c>
      <c r="G275" s="548">
        <v>1.6514668770204828</v>
      </c>
      <c r="H275" s="548">
        <v>1.7854516277143524</v>
      </c>
      <c r="I275" s="569">
        <v>-2.3064519655265792E-2</v>
      </c>
      <c r="J275" s="570">
        <v>-4.9163836931565008E-3</v>
      </c>
      <c r="K275" s="570">
        <v>1.1195486796867549E-2</v>
      </c>
      <c r="L275" s="570">
        <v>1.2029695662955309E-2</v>
      </c>
      <c r="M275" s="570">
        <v>1.1347006309972096E-2</v>
      </c>
      <c r="N275" s="571">
        <v>1.5723836075261177E-2</v>
      </c>
    </row>
    <row r="276" spans="1:14">
      <c r="A276" s="547" t="s">
        <v>53</v>
      </c>
      <c r="B276" s="548">
        <v>0.23799989365256718</v>
      </c>
      <c r="C276" s="548">
        <v>0.11220698597925213</v>
      </c>
      <c r="D276" s="548">
        <v>0.13360312354568471</v>
      </c>
      <c r="E276" s="548">
        <v>0.14569812997535278</v>
      </c>
      <c r="F276" s="548">
        <v>0.13712287912079046</v>
      </c>
      <c r="G276" s="548">
        <v>0.12854762826622815</v>
      </c>
      <c r="H276" s="548">
        <v>0.1084017093747494</v>
      </c>
      <c r="I276" s="569">
        <v>-7.2435084512094905E-2</v>
      </c>
      <c r="J276" s="570">
        <v>3.5522030831261597E-2</v>
      </c>
      <c r="K276" s="570">
        <v>1.7483729495714417E-2</v>
      </c>
      <c r="L276" s="570">
        <v>-1.2058590707324846E-2</v>
      </c>
      <c r="M276" s="570">
        <v>-1.2832545258722017E-2</v>
      </c>
      <c r="N276" s="571">
        <v>-3.3516570299181425E-2</v>
      </c>
    </row>
    <row r="277" spans="1:14">
      <c r="A277" s="547" t="s">
        <v>83</v>
      </c>
      <c r="B277" s="548">
        <v>0</v>
      </c>
      <c r="C277" s="564">
        <v>7.91760727960025E-2</v>
      </c>
      <c r="D277" s="564">
        <v>5.5307893511881465E-2</v>
      </c>
      <c r="E277" s="564">
        <v>0.16524797101441407</v>
      </c>
      <c r="F277" s="564">
        <v>0.33474286272324677</v>
      </c>
      <c r="G277" s="564">
        <v>0.50423775443207952</v>
      </c>
      <c r="H277" s="564">
        <v>0.54964376927061165</v>
      </c>
      <c r="I277" s="569"/>
      <c r="J277" s="570">
        <v>-6.9238025397660996E-2</v>
      </c>
      <c r="K277" s="570">
        <v>0.24471465695022565</v>
      </c>
      <c r="L277" s="570">
        <v>0.15163548456070286</v>
      </c>
      <c r="M277" s="570">
        <v>8.5387477912064913E-2</v>
      </c>
      <c r="N277" s="571">
        <v>1.7394041571965335E-2</v>
      </c>
    </row>
    <row r="278" spans="1:14">
      <c r="A278" s="547" t="s">
        <v>54</v>
      </c>
      <c r="B278" s="548">
        <v>0.9</v>
      </c>
      <c r="C278" s="548">
        <v>1.0519159290588709</v>
      </c>
      <c r="D278" s="548">
        <v>1.3510334560355908</v>
      </c>
      <c r="E278" s="548">
        <v>1.7556246277315877</v>
      </c>
      <c r="F278" s="548">
        <v>2.1105144038096109</v>
      </c>
      <c r="G278" s="564">
        <v>2.4654041798876345</v>
      </c>
      <c r="H278" s="548">
        <v>2.7355564790701501</v>
      </c>
      <c r="I278" s="569">
        <v>1.5719645026857965E-2</v>
      </c>
      <c r="J278" s="570">
        <v>5.1325054627690658E-2</v>
      </c>
      <c r="K278" s="570">
        <v>5.3787668565981939E-2</v>
      </c>
      <c r="L278" s="570">
        <v>3.7507706288790299E-2</v>
      </c>
      <c r="M278" s="570">
        <v>3.1572987985710732E-2</v>
      </c>
      <c r="N278" s="571">
        <v>2.1013563779129107E-2</v>
      </c>
    </row>
    <row r="279" spans="1:14">
      <c r="A279" s="547" t="s">
        <v>60</v>
      </c>
      <c r="B279" s="548">
        <v>0</v>
      </c>
      <c r="C279" s="548">
        <v>0</v>
      </c>
      <c r="D279" s="548">
        <v>0</v>
      </c>
      <c r="E279" s="548">
        <v>0</v>
      </c>
      <c r="F279" s="548">
        <v>0</v>
      </c>
      <c r="G279" s="548">
        <v>0</v>
      </c>
      <c r="H279" s="548">
        <v>0</v>
      </c>
      <c r="I279" s="569"/>
      <c r="J279" s="570"/>
      <c r="K279" s="570"/>
      <c r="L279" s="570"/>
      <c r="M279" s="570"/>
      <c r="N279" s="571"/>
    </row>
    <row r="280" spans="1:14">
      <c r="A280" s="547"/>
      <c r="B280" s="548"/>
      <c r="C280" s="548"/>
      <c r="D280" s="548"/>
      <c r="E280" s="548"/>
      <c r="F280" s="548"/>
      <c r="G280" s="548"/>
      <c r="H280" s="548"/>
      <c r="I280" s="569"/>
      <c r="J280" s="570"/>
      <c r="K280" s="570"/>
      <c r="L280" s="570"/>
      <c r="M280" s="570"/>
      <c r="N280" s="571"/>
    </row>
    <row r="281" spans="1:14" ht="13.5" thickBot="1">
      <c r="A281" s="555" t="s">
        <v>9</v>
      </c>
      <c r="B281" s="556">
        <v>44.357876746637615</v>
      </c>
      <c r="C281" s="556">
        <v>43.900395195765334</v>
      </c>
      <c r="D281" s="556">
        <v>42.093586277019952</v>
      </c>
      <c r="E281" s="556">
        <v>37.417914300746233</v>
      </c>
      <c r="F281" s="556">
        <v>34.495648705779324</v>
      </c>
      <c r="G281" s="556">
        <v>31.573383110812411</v>
      </c>
      <c r="H281" s="556">
        <v>29.742835676852195</v>
      </c>
      <c r="I281" s="573">
        <v>-1.0361603120053742E-3</v>
      </c>
      <c r="J281" s="574">
        <v>-8.3703594426449701E-3</v>
      </c>
      <c r="K281" s="574">
        <v>-2.3274042824358521E-2</v>
      </c>
      <c r="L281" s="574">
        <v>-1.6131744937569525E-2</v>
      </c>
      <c r="M281" s="574">
        <v>-1.7547955909391177E-2</v>
      </c>
      <c r="N281" s="575">
        <v>-1.1874173637797525E-2</v>
      </c>
    </row>
    <row r="282" spans="1:14" ht="15">
      <c r="A282" s="560"/>
      <c r="B282" s="533"/>
      <c r="C282" s="533"/>
      <c r="D282" s="533"/>
      <c r="E282" s="565"/>
      <c r="F282" s="522"/>
      <c r="G282" s="565"/>
      <c r="H282" s="522"/>
      <c r="I282" s="522"/>
      <c r="J282" s="522"/>
      <c r="K282" s="522"/>
      <c r="L282" s="522"/>
      <c r="M282" s="522"/>
      <c r="N282" s="522"/>
    </row>
    <row r="283" spans="1:14" ht="15">
      <c r="A283" s="560"/>
      <c r="B283" s="533"/>
      <c r="C283" s="533"/>
      <c r="D283" s="533"/>
      <c r="E283" s="565"/>
      <c r="F283" s="522"/>
      <c r="G283" s="565"/>
      <c r="H283" s="522"/>
      <c r="I283" s="522"/>
      <c r="J283" s="522"/>
      <c r="K283" s="522"/>
      <c r="L283" s="522"/>
      <c r="M283" s="522"/>
      <c r="N283" s="522"/>
    </row>
    <row r="284" spans="1:14" ht="16.5" thickBot="1">
      <c r="A284" s="540" t="s">
        <v>444</v>
      </c>
      <c r="B284" s="542"/>
      <c r="C284" s="542"/>
      <c r="D284" s="542"/>
      <c r="E284" s="618"/>
      <c r="F284" s="541"/>
      <c r="G284" s="618"/>
      <c r="H284" s="618"/>
      <c r="I284" s="542"/>
      <c r="J284" s="542"/>
      <c r="K284" s="542"/>
      <c r="L284" s="542"/>
      <c r="M284" s="542"/>
      <c r="N284" s="542"/>
    </row>
    <row r="285" spans="1:14" ht="13.5" thickBot="1">
      <c r="A285" s="543" t="s">
        <v>64</v>
      </c>
      <c r="B285" s="544">
        <v>2000</v>
      </c>
      <c r="C285" s="544">
        <v>2010</v>
      </c>
      <c r="D285" s="544">
        <v>2015</v>
      </c>
      <c r="E285" s="544">
        <v>2020</v>
      </c>
      <c r="F285" s="544">
        <v>2025</v>
      </c>
      <c r="G285" s="544">
        <v>2030</v>
      </c>
      <c r="H285" s="544">
        <v>2035</v>
      </c>
      <c r="I285" s="561" t="s">
        <v>365</v>
      </c>
      <c r="J285" s="562" t="s">
        <v>366</v>
      </c>
      <c r="K285" s="562" t="s">
        <v>367</v>
      </c>
      <c r="L285" s="562" t="s">
        <v>368</v>
      </c>
      <c r="M285" s="562" t="s">
        <v>369</v>
      </c>
      <c r="N285" s="563" t="s">
        <v>370</v>
      </c>
    </row>
    <row r="286" spans="1:14">
      <c r="A286" s="547" t="s">
        <v>431</v>
      </c>
      <c r="B286" s="548">
        <v>41.064987580637613</v>
      </c>
      <c r="C286" s="548">
        <v>40.920075866645234</v>
      </c>
      <c r="D286" s="548">
        <v>38.942932394672582</v>
      </c>
      <c r="E286" s="548">
        <v>33.866820813995339</v>
      </c>
      <c r="F286" s="548">
        <v>30.4830446115452</v>
      </c>
      <c r="G286" s="564">
        <v>27.193957441486457</v>
      </c>
      <c r="H286" s="548">
        <v>24.985704792975653</v>
      </c>
      <c r="I286" s="566">
        <v>-3.5344548892157768E-4</v>
      </c>
      <c r="J286" s="567">
        <v>-9.8558085273887652E-3</v>
      </c>
      <c r="K286" s="567">
        <v>-2.7545801155059224E-2</v>
      </c>
      <c r="L286" s="567">
        <v>-2.0832968576251054E-2</v>
      </c>
      <c r="M286" s="567">
        <v>-2.2576414700380298E-2</v>
      </c>
      <c r="N286" s="568">
        <v>-1.6795543939068347E-2</v>
      </c>
    </row>
    <row r="287" spans="1:14">
      <c r="A287" s="547" t="s">
        <v>435</v>
      </c>
      <c r="B287" s="548">
        <v>1.1620000000000001</v>
      </c>
      <c r="C287" s="548">
        <v>1.2139141589263622</v>
      </c>
      <c r="D287" s="548">
        <v>1.3712986328001673</v>
      </c>
      <c r="E287" s="548">
        <v>1.5930355173284314</v>
      </c>
      <c r="F287" s="548">
        <v>1.8148984003360829</v>
      </c>
      <c r="G287" s="564">
        <v>2.0367612833437345</v>
      </c>
      <c r="H287" s="548">
        <v>2.2440700293887046</v>
      </c>
      <c r="I287" s="569">
        <v>4.3802978234079859E-3</v>
      </c>
      <c r="J287" s="570">
        <v>2.4681306167670947E-2</v>
      </c>
      <c r="K287" s="570">
        <v>3.0430448090033924E-2</v>
      </c>
      <c r="L287" s="570">
        <v>2.6420628840318594E-2</v>
      </c>
      <c r="M287" s="570">
        <v>2.3334374481625675E-2</v>
      </c>
      <c r="N287" s="571">
        <v>1.9575180566114403E-2</v>
      </c>
    </row>
    <row r="288" spans="1:14">
      <c r="A288" s="547" t="s">
        <v>445</v>
      </c>
      <c r="B288" s="619">
        <v>0.33089829199999998</v>
      </c>
      <c r="C288" s="619">
        <v>0.34103019688148872</v>
      </c>
      <c r="D288" s="619">
        <v>0.38867589232729316</v>
      </c>
      <c r="E288" s="619">
        <v>0.48776926382399194</v>
      </c>
      <c r="F288" s="619">
        <v>0.63682790258856736</v>
      </c>
      <c r="G288" s="644">
        <v>0.69119750896173959</v>
      </c>
      <c r="H288" s="619">
        <v>0.72760922677348405</v>
      </c>
      <c r="I288" s="569">
        <v>3.0205500993440992E-3</v>
      </c>
      <c r="J288" s="570">
        <v>2.6499999999999968E-2</v>
      </c>
      <c r="K288" s="570">
        <v>4.646658470732512E-2</v>
      </c>
      <c r="L288" s="570">
        <v>5.477913604265261E-2</v>
      </c>
      <c r="M288" s="570">
        <v>1.6520206730668452E-2</v>
      </c>
      <c r="N288" s="571">
        <v>1.0320596562014783E-2</v>
      </c>
    </row>
    <row r="289" spans="1:14">
      <c r="A289" s="547" t="s">
        <v>446</v>
      </c>
      <c r="B289" s="548">
        <v>1.7999908740000001</v>
      </c>
      <c r="C289" s="548">
        <v>1.4253749733122461</v>
      </c>
      <c r="D289" s="548">
        <v>1.3906793572199114</v>
      </c>
      <c r="E289" s="548">
        <v>1.470288705598469</v>
      </c>
      <c r="F289" s="548">
        <v>1.5608777913094758</v>
      </c>
      <c r="G289" s="564">
        <v>1.6514668770204828</v>
      </c>
      <c r="H289" s="548">
        <v>1.7854516277143524</v>
      </c>
      <c r="I289" s="569">
        <v>-2.3064519655265792E-2</v>
      </c>
      <c r="J289" s="570">
        <v>-4.9163836931565008E-3</v>
      </c>
      <c r="K289" s="570">
        <v>1.1195486796867549E-2</v>
      </c>
      <c r="L289" s="570">
        <v>1.2029695662955309E-2</v>
      </c>
      <c r="M289" s="570">
        <v>1.1347006309972096E-2</v>
      </c>
      <c r="N289" s="571">
        <v>1.5723836075261177E-2</v>
      </c>
    </row>
    <row r="290" spans="1:14">
      <c r="A290" s="547"/>
      <c r="B290" s="548"/>
      <c r="C290" s="548"/>
      <c r="D290" s="548"/>
      <c r="E290" s="548"/>
      <c r="F290" s="548"/>
      <c r="G290" s="548"/>
      <c r="H290" s="548"/>
      <c r="I290" s="569"/>
      <c r="J290" s="570"/>
      <c r="K290" s="570"/>
      <c r="L290" s="570"/>
      <c r="M290" s="570"/>
      <c r="N290" s="571"/>
    </row>
    <row r="291" spans="1:14" ht="13.5" thickBot="1">
      <c r="A291" s="594" t="s">
        <v>9</v>
      </c>
      <c r="B291" s="556">
        <v>44.357876746637615</v>
      </c>
      <c r="C291" s="556">
        <v>43.900395195765334</v>
      </c>
      <c r="D291" s="556">
        <v>42.093586277019952</v>
      </c>
      <c r="E291" s="556">
        <v>37.417914300746233</v>
      </c>
      <c r="F291" s="556">
        <v>34.495648705779324</v>
      </c>
      <c r="G291" s="556">
        <v>31.573383110812411</v>
      </c>
      <c r="H291" s="556">
        <v>29.742835676852195</v>
      </c>
      <c r="I291" s="573">
        <v>-1.0361603120053742E-3</v>
      </c>
      <c r="J291" s="574">
        <v>-8.3703594426449701E-3</v>
      </c>
      <c r="K291" s="574">
        <v>-2.3274042824358521E-2</v>
      </c>
      <c r="L291" s="574">
        <v>-1.6131744937569525E-2</v>
      </c>
      <c r="M291" s="574">
        <v>-1.7547955909391177E-2</v>
      </c>
      <c r="N291" s="575">
        <v>-1.1874173637797525E-2</v>
      </c>
    </row>
    <row r="292" spans="1:14" ht="15">
      <c r="A292" s="560"/>
      <c r="B292" s="620"/>
      <c r="C292" s="533"/>
      <c r="D292" s="533"/>
      <c r="E292" s="533"/>
      <c r="F292" s="522"/>
      <c r="G292" s="522"/>
      <c r="H292" s="522"/>
      <c r="I292" s="522"/>
      <c r="J292" s="522"/>
      <c r="K292" s="522"/>
      <c r="L292" s="522"/>
      <c r="M292" s="522"/>
      <c r="N292" s="522"/>
    </row>
    <row r="293" spans="1:14" ht="15">
      <c r="A293" s="560"/>
      <c r="B293" s="620"/>
      <c r="C293" s="533"/>
      <c r="D293" s="533"/>
      <c r="E293" s="533"/>
      <c r="F293" s="522"/>
      <c r="G293" s="522"/>
      <c r="H293" s="522"/>
      <c r="I293" s="522"/>
      <c r="J293" s="522"/>
      <c r="K293" s="522"/>
      <c r="L293" s="522"/>
      <c r="M293" s="522"/>
      <c r="N293" s="522"/>
    </row>
    <row r="294" spans="1:14" ht="16.5" thickBot="1">
      <c r="A294" s="540" t="s">
        <v>447</v>
      </c>
      <c r="B294" s="621"/>
      <c r="C294" s="542"/>
      <c r="D294" s="542"/>
      <c r="E294" s="542"/>
      <c r="F294" s="541"/>
      <c r="G294" s="542"/>
      <c r="H294" s="542"/>
      <c r="I294" s="542"/>
      <c r="J294" s="542"/>
      <c r="K294" s="542"/>
      <c r="L294" s="542"/>
      <c r="M294" s="542"/>
      <c r="N294" s="542"/>
    </row>
    <row r="295" spans="1:14" ht="13.5" thickBot="1">
      <c r="A295" s="543" t="s">
        <v>64</v>
      </c>
      <c r="B295" s="544">
        <v>2000</v>
      </c>
      <c r="C295" s="544">
        <v>2010</v>
      </c>
      <c r="D295" s="544">
        <v>2015</v>
      </c>
      <c r="E295" s="544">
        <v>2020</v>
      </c>
      <c r="F295" s="544">
        <v>2025</v>
      </c>
      <c r="G295" s="544">
        <v>2030</v>
      </c>
      <c r="H295" s="544">
        <v>2035</v>
      </c>
      <c r="I295" s="561" t="s">
        <v>365</v>
      </c>
      <c r="J295" s="562" t="s">
        <v>366</v>
      </c>
      <c r="K295" s="562" t="s">
        <v>367</v>
      </c>
      <c r="L295" s="562" t="s">
        <v>368</v>
      </c>
      <c r="M295" s="562" t="s">
        <v>369</v>
      </c>
      <c r="N295" s="563" t="s">
        <v>370</v>
      </c>
    </row>
    <row r="296" spans="1:14">
      <c r="A296" s="607" t="s">
        <v>448</v>
      </c>
      <c r="B296" s="548">
        <v>27.795787579781624</v>
      </c>
      <c r="C296" s="548">
        <v>28.174442025004922</v>
      </c>
      <c r="D296" s="548">
        <v>26.247248706043148</v>
      </c>
      <c r="E296" s="548">
        <v>21.54931944779791</v>
      </c>
      <c r="F296" s="548">
        <v>18.079965037399564</v>
      </c>
      <c r="G296" s="548">
        <v>14.610610627001215</v>
      </c>
      <c r="H296" s="548">
        <v>12.312270887944404</v>
      </c>
      <c r="I296" s="566">
        <v>1.3539930737871408E-3</v>
      </c>
      <c r="J296" s="567">
        <v>-1.4070883275965729E-2</v>
      </c>
      <c r="K296" s="567">
        <v>-3.8675624370588801E-2</v>
      </c>
      <c r="L296" s="567">
        <v>-3.449882771712065E-2</v>
      </c>
      <c r="M296" s="567">
        <v>-4.1716178458685915E-2</v>
      </c>
      <c r="N296" s="568">
        <v>-3.3651094687805361E-2</v>
      </c>
    </row>
    <row r="297" spans="1:14">
      <c r="A297" s="547" t="s">
        <v>441</v>
      </c>
      <c r="B297" s="548">
        <v>14.469093534656977</v>
      </c>
      <c r="C297" s="548">
        <v>8.4705230524119344</v>
      </c>
      <c r="D297" s="548">
        <v>7.7099030842655454</v>
      </c>
      <c r="E297" s="548">
        <v>6.7106329397793001</v>
      </c>
      <c r="F297" s="548">
        <v>5.730147208934711</v>
      </c>
      <c r="G297" s="548">
        <v>4.7496614780901218</v>
      </c>
      <c r="H297" s="548">
        <v>4.0027190959508028</v>
      </c>
      <c r="I297" s="569">
        <v>-5.2134119871125373E-2</v>
      </c>
      <c r="J297" s="570">
        <v>-1.864138796365844E-2</v>
      </c>
      <c r="K297" s="570">
        <v>-2.7380632993097342E-2</v>
      </c>
      <c r="L297" s="570">
        <v>-3.1096646651617488E-2</v>
      </c>
      <c r="M297" s="570">
        <v>-3.6837920714136274E-2</v>
      </c>
      <c r="N297" s="571">
        <v>-3.364101016206944E-2</v>
      </c>
    </row>
    <row r="298" spans="1:14">
      <c r="A298" s="547" t="s">
        <v>442</v>
      </c>
      <c r="B298" s="548">
        <v>13.08869415147208</v>
      </c>
      <c r="C298" s="548">
        <v>19.591711986613735</v>
      </c>
      <c r="D298" s="548">
        <v>18.369314188356945</v>
      </c>
      <c r="E298" s="548">
        <v>14.521212269751853</v>
      </c>
      <c r="F298" s="548">
        <v>11.903362400379631</v>
      </c>
      <c r="G298" s="548">
        <v>9.2855125310074111</v>
      </c>
      <c r="H298" s="548">
        <v>7.6967467251483681</v>
      </c>
      <c r="I298" s="569">
        <v>4.1160316657132157E-2</v>
      </c>
      <c r="J298" s="570">
        <v>-1.2802354377813296E-2</v>
      </c>
      <c r="K298" s="570">
        <v>-4.5926163659024022E-2</v>
      </c>
      <c r="L298" s="570">
        <v>-3.8977941076706157E-2</v>
      </c>
      <c r="M298" s="570">
        <v>-4.845957189597061E-2</v>
      </c>
      <c r="N298" s="571">
        <v>-3.6835952634499458E-2</v>
      </c>
    </row>
    <row r="299" spans="1:14">
      <c r="A299" s="547" t="s">
        <v>53</v>
      </c>
      <c r="B299" s="564">
        <v>0.23799989365256718</v>
      </c>
      <c r="C299" s="564">
        <v>0.11220698597925213</v>
      </c>
      <c r="D299" s="564">
        <v>0.13360312354568471</v>
      </c>
      <c r="E299" s="564">
        <v>0.14569812997535278</v>
      </c>
      <c r="F299" s="564">
        <v>0.13712287912079046</v>
      </c>
      <c r="G299" s="564">
        <v>0.12854762826622815</v>
      </c>
      <c r="H299" s="548">
        <v>0.1084017093747494</v>
      </c>
      <c r="I299" s="569">
        <v>-7.2435084512094905E-2</v>
      </c>
      <c r="J299" s="570">
        <v>3.5522030831261597E-2</v>
      </c>
      <c r="K299" s="570">
        <v>1.7483729495714417E-2</v>
      </c>
      <c r="L299" s="570">
        <v>-1.2058590707324846E-2</v>
      </c>
      <c r="M299" s="570">
        <v>-1.2832545258722017E-2</v>
      </c>
      <c r="N299" s="571">
        <v>-3.3516570299181425E-2</v>
      </c>
    </row>
    <row r="300" spans="1:14">
      <c r="A300" s="547" t="s">
        <v>83</v>
      </c>
      <c r="B300" s="548">
        <v>0</v>
      </c>
      <c r="C300" s="548">
        <v>0</v>
      </c>
      <c r="D300" s="548">
        <v>0</v>
      </c>
      <c r="E300" s="548">
        <v>2.6573924767855372E-2</v>
      </c>
      <c r="F300" s="548">
        <v>7.1054516819997984E-2</v>
      </c>
      <c r="G300" s="548">
        <v>0.11553510887214059</v>
      </c>
      <c r="H300" s="548">
        <v>0.11460497228725129</v>
      </c>
      <c r="I300" s="569"/>
      <c r="J300" s="570"/>
      <c r="K300" s="570"/>
      <c r="L300" s="570"/>
      <c r="M300" s="570"/>
      <c r="N300" s="571"/>
    </row>
    <row r="301" spans="1:14">
      <c r="A301" s="547" t="s">
        <v>60</v>
      </c>
      <c r="B301" s="548">
        <v>0</v>
      </c>
      <c r="C301" s="548">
        <v>0</v>
      </c>
      <c r="D301" s="548">
        <v>0</v>
      </c>
      <c r="E301" s="548">
        <v>0</v>
      </c>
      <c r="F301" s="548">
        <v>0</v>
      </c>
      <c r="G301" s="548">
        <v>0</v>
      </c>
      <c r="H301" s="548">
        <v>0</v>
      </c>
      <c r="I301" s="569"/>
      <c r="J301" s="570"/>
      <c r="K301" s="570"/>
      <c r="L301" s="570"/>
      <c r="M301" s="570"/>
      <c r="N301" s="571"/>
    </row>
    <row r="302" spans="1:14">
      <c r="A302" s="547" t="s">
        <v>371</v>
      </c>
      <c r="B302" s="548">
        <v>0</v>
      </c>
      <c r="C302" s="548">
        <v>0</v>
      </c>
      <c r="D302" s="548">
        <v>3.4428309874972141E-2</v>
      </c>
      <c r="E302" s="548">
        <v>0.14520218352354761</v>
      </c>
      <c r="F302" s="548">
        <v>0.2382780321444305</v>
      </c>
      <c r="G302" s="548">
        <v>0.33135388076531341</v>
      </c>
      <c r="H302" s="548">
        <v>0.38979838518323107</v>
      </c>
      <c r="I302" s="569"/>
      <c r="J302" s="570"/>
      <c r="K302" s="570"/>
      <c r="L302" s="570"/>
      <c r="M302" s="570"/>
      <c r="N302" s="571"/>
    </row>
    <row r="303" spans="1:14">
      <c r="A303" s="547"/>
      <c r="B303" s="548"/>
      <c r="C303" s="548"/>
      <c r="D303" s="548"/>
      <c r="E303" s="548"/>
      <c r="F303" s="548"/>
      <c r="G303" s="548"/>
      <c r="H303" s="572"/>
      <c r="I303" s="569"/>
      <c r="J303" s="570"/>
      <c r="K303" s="570"/>
      <c r="L303" s="570"/>
      <c r="M303" s="570"/>
      <c r="N303" s="571"/>
    </row>
    <row r="304" spans="1:14">
      <c r="A304" s="607" t="s">
        <v>449</v>
      </c>
      <c r="B304" s="548">
        <v>12.2378</v>
      </c>
      <c r="C304" s="548">
        <v>11.270519790680007</v>
      </c>
      <c r="D304" s="548">
        <v>10.959088738191682</v>
      </c>
      <c r="E304" s="548">
        <v>10.37531628901481</v>
      </c>
      <c r="F304" s="548">
        <v>10.283016720995962</v>
      </c>
      <c r="G304" s="548">
        <v>10.190717152977111</v>
      </c>
      <c r="H304" s="548">
        <v>10.020895976569822</v>
      </c>
      <c r="I304" s="569">
        <v>-8.200101608518251E-3</v>
      </c>
      <c r="J304" s="570">
        <v>-5.5885883879299714E-3</v>
      </c>
      <c r="K304" s="570">
        <v>-1.0888206141765444E-2</v>
      </c>
      <c r="L304" s="570">
        <v>-1.785579754880029E-3</v>
      </c>
      <c r="M304" s="570">
        <v>-1.8016649407748275E-3</v>
      </c>
      <c r="N304" s="571">
        <v>-3.3553008336772994E-3</v>
      </c>
    </row>
    <row r="305" spans="1:14">
      <c r="A305" s="547" t="s">
        <v>441</v>
      </c>
      <c r="B305" s="548">
        <v>0</v>
      </c>
      <c r="C305" s="548">
        <v>0</v>
      </c>
      <c r="D305" s="548">
        <v>0</v>
      </c>
      <c r="E305" s="548">
        <v>-1.186438593606141E-16</v>
      </c>
      <c r="F305" s="548">
        <v>7.9873745814641886E-18</v>
      </c>
      <c r="G305" s="548">
        <v>1.3461860852354247E-16</v>
      </c>
      <c r="H305" s="548">
        <v>1.7390833560487784E-16</v>
      </c>
      <c r="I305" s="569"/>
      <c r="J305" s="570"/>
      <c r="K305" s="570"/>
      <c r="L305" s="570"/>
      <c r="M305" s="570"/>
      <c r="N305" s="571"/>
    </row>
    <row r="306" spans="1:14">
      <c r="A306" s="547" t="s">
        <v>442</v>
      </c>
      <c r="B306" s="548">
        <v>12.2378</v>
      </c>
      <c r="C306" s="548">
        <v>11.270519790680007</v>
      </c>
      <c r="D306" s="548">
        <v>10.959088738191682</v>
      </c>
      <c r="E306" s="548">
        <v>10.30846439639889</v>
      </c>
      <c r="F306" s="548">
        <v>10.10641942267914</v>
      </c>
      <c r="G306" s="548">
        <v>9.9043744489593912</v>
      </c>
      <c r="H306" s="548">
        <v>9.7032040642273873</v>
      </c>
      <c r="I306" s="569">
        <v>-8.200101608518251E-3</v>
      </c>
      <c r="J306" s="570">
        <v>-5.5885883879299714E-3</v>
      </c>
      <c r="K306" s="570">
        <v>-1.2166144658527833E-2</v>
      </c>
      <c r="L306" s="570">
        <v>-3.951080950550967E-3</v>
      </c>
      <c r="M306" s="570">
        <v>-4.0307118408693388E-3</v>
      </c>
      <c r="N306" s="571">
        <v>-4.095665034925311E-3</v>
      </c>
    </row>
    <row r="307" spans="1:14">
      <c r="A307" s="547" t="s">
        <v>53</v>
      </c>
      <c r="B307" s="548">
        <v>0</v>
      </c>
      <c r="C307" s="548">
        <v>0</v>
      </c>
      <c r="D307" s="548">
        <v>0</v>
      </c>
      <c r="E307" s="548">
        <v>0</v>
      </c>
      <c r="F307" s="548">
        <v>0</v>
      </c>
      <c r="G307" s="548">
        <v>0</v>
      </c>
      <c r="H307" s="548">
        <v>0</v>
      </c>
      <c r="I307" s="569"/>
      <c r="J307" s="570"/>
      <c r="K307" s="570"/>
      <c r="L307" s="570"/>
      <c r="M307" s="570"/>
      <c r="N307" s="571"/>
    </row>
    <row r="308" spans="1:14">
      <c r="A308" s="547" t="s">
        <v>83</v>
      </c>
      <c r="B308" s="548">
        <v>0</v>
      </c>
      <c r="C308" s="548">
        <v>0</v>
      </c>
      <c r="D308" s="548">
        <v>0</v>
      </c>
      <c r="E308" s="548">
        <v>6.685189261592063E-2</v>
      </c>
      <c r="F308" s="548">
        <v>0.17659729831682069</v>
      </c>
      <c r="G308" s="548">
        <v>0.28634270401772077</v>
      </c>
      <c r="H308" s="548">
        <v>0.31769191234243521</v>
      </c>
      <c r="I308" s="569"/>
      <c r="J308" s="570"/>
      <c r="K308" s="570"/>
      <c r="L308" s="570"/>
      <c r="M308" s="570"/>
      <c r="N308" s="571"/>
    </row>
    <row r="309" spans="1:14">
      <c r="A309" s="547" t="s">
        <v>60</v>
      </c>
      <c r="B309" s="548">
        <v>0</v>
      </c>
      <c r="C309" s="548">
        <v>0</v>
      </c>
      <c r="D309" s="548">
        <v>0</v>
      </c>
      <c r="E309" s="548">
        <v>0</v>
      </c>
      <c r="F309" s="548">
        <v>0</v>
      </c>
      <c r="G309" s="548">
        <v>0</v>
      </c>
      <c r="H309" s="548">
        <v>0</v>
      </c>
      <c r="I309" s="569"/>
      <c r="J309" s="570"/>
      <c r="K309" s="570"/>
      <c r="L309" s="570"/>
      <c r="M309" s="570"/>
      <c r="N309" s="571"/>
    </row>
    <row r="310" spans="1:14">
      <c r="A310" s="547" t="s">
        <v>371</v>
      </c>
      <c r="B310" s="548">
        <v>0</v>
      </c>
      <c r="C310" s="548">
        <v>0</v>
      </c>
      <c r="D310" s="548">
        <v>0</v>
      </c>
      <c r="E310" s="548">
        <v>0</v>
      </c>
      <c r="F310" s="548">
        <v>0</v>
      </c>
      <c r="G310" s="548">
        <v>0</v>
      </c>
      <c r="H310" s="548">
        <v>0</v>
      </c>
      <c r="I310" s="569"/>
      <c r="J310" s="570"/>
      <c r="K310" s="570"/>
      <c r="L310" s="570"/>
      <c r="M310" s="570"/>
      <c r="N310" s="571"/>
    </row>
    <row r="311" spans="1:14">
      <c r="A311" s="547"/>
      <c r="B311" s="548"/>
      <c r="C311" s="548"/>
      <c r="D311" s="548"/>
      <c r="E311" s="548"/>
      <c r="F311" s="548"/>
      <c r="G311" s="548"/>
      <c r="H311" s="572"/>
      <c r="I311" s="569"/>
      <c r="J311" s="570"/>
      <c r="K311" s="570"/>
      <c r="L311" s="570"/>
      <c r="M311" s="570"/>
      <c r="N311" s="571"/>
    </row>
    <row r="312" spans="1:14">
      <c r="A312" s="607" t="s">
        <v>450</v>
      </c>
      <c r="B312" s="548">
        <v>0.68140000000000023</v>
      </c>
      <c r="C312" s="548">
        <v>0.93858029696915291</v>
      </c>
      <c r="D312" s="548">
        <v>1.1987806399130698</v>
      </c>
      <c r="E312" s="548">
        <v>1.426463397299556</v>
      </c>
      <c r="F312" s="548">
        <v>1.6577111657350632</v>
      </c>
      <c r="G312" s="548">
        <v>1.8889589341705704</v>
      </c>
      <c r="H312" s="548">
        <v>2.1422280907974161</v>
      </c>
      <c r="I312" s="569">
        <v>3.2540107977880428E-2</v>
      </c>
      <c r="J312" s="570">
        <v>5.0155611807948697E-2</v>
      </c>
      <c r="K312" s="570">
        <v>3.5390515374240428E-2</v>
      </c>
      <c r="L312" s="570">
        <v>3.0503915107128021E-2</v>
      </c>
      <c r="M312" s="570">
        <v>2.6461656083643703E-2</v>
      </c>
      <c r="N312" s="571">
        <v>2.548340956288242E-2</v>
      </c>
    </row>
    <row r="313" spans="1:14">
      <c r="A313" s="547" t="s">
        <v>441</v>
      </c>
      <c r="B313" s="548">
        <v>0</v>
      </c>
      <c r="C313" s="548">
        <v>0</v>
      </c>
      <c r="D313" s="548">
        <v>0</v>
      </c>
      <c r="E313" s="548">
        <v>0</v>
      </c>
      <c r="F313" s="548">
        <v>0</v>
      </c>
      <c r="G313" s="548">
        <v>0</v>
      </c>
      <c r="H313" s="548">
        <v>0</v>
      </c>
      <c r="I313" s="569"/>
      <c r="J313" s="570"/>
      <c r="K313" s="570"/>
      <c r="L313" s="570"/>
      <c r="M313" s="570"/>
      <c r="N313" s="571"/>
    </row>
    <row r="314" spans="1:14">
      <c r="A314" s="547" t="s">
        <v>442</v>
      </c>
      <c r="B314" s="564">
        <v>0.68140000000000023</v>
      </c>
      <c r="C314" s="564">
        <v>0.85940422417315043</v>
      </c>
      <c r="D314" s="548">
        <v>1.1434727464011885</v>
      </c>
      <c r="E314" s="548">
        <v>1.3546412436689179</v>
      </c>
      <c r="F314" s="548">
        <v>1.570620118148635</v>
      </c>
      <c r="G314" s="548">
        <v>1.7865989926283521</v>
      </c>
      <c r="H314" s="548">
        <v>2.0248812061564907</v>
      </c>
      <c r="I314" s="569">
        <v>2.3480412461666322E-2</v>
      </c>
      <c r="J314" s="570">
        <v>5.87798483149784E-2</v>
      </c>
      <c r="K314" s="570">
        <v>3.4474274939508831E-2</v>
      </c>
      <c r="L314" s="570">
        <v>3.0028810620637669E-2</v>
      </c>
      <c r="M314" s="570">
        <v>2.6103539623854699E-2</v>
      </c>
      <c r="N314" s="571">
        <v>2.5355565240876565E-2</v>
      </c>
    </row>
    <row r="315" spans="1:14">
      <c r="A315" s="547" t="s">
        <v>53</v>
      </c>
      <c r="B315" s="548">
        <v>0</v>
      </c>
      <c r="C315" s="548">
        <v>0</v>
      </c>
      <c r="D315" s="548">
        <v>0</v>
      </c>
      <c r="E315" s="548">
        <v>0</v>
      </c>
      <c r="F315" s="548">
        <v>0</v>
      </c>
      <c r="G315" s="548">
        <v>0</v>
      </c>
      <c r="H315" s="548">
        <v>0</v>
      </c>
      <c r="I315" s="569"/>
      <c r="J315" s="570"/>
      <c r="K315" s="570"/>
      <c r="L315" s="570"/>
      <c r="M315" s="570"/>
      <c r="N315" s="571"/>
    </row>
    <row r="316" spans="1:14">
      <c r="A316" s="547" t="s">
        <v>83</v>
      </c>
      <c r="B316" s="548">
        <v>0</v>
      </c>
      <c r="C316" s="564">
        <v>7.91760727960025E-2</v>
      </c>
      <c r="D316" s="564">
        <v>5.5307893511881465E-2</v>
      </c>
      <c r="E316" s="564">
        <v>7.1822153630638069E-2</v>
      </c>
      <c r="F316" s="564">
        <v>8.7091047586428119E-2</v>
      </c>
      <c r="G316" s="564">
        <v>0.10235994154221817</v>
      </c>
      <c r="H316" s="564">
        <v>0.11734688464092517</v>
      </c>
      <c r="I316" s="569"/>
      <c r="J316" s="570">
        <v>-6.9238025397660996E-2</v>
      </c>
      <c r="K316" s="570">
        <v>5.3644879987154725E-2</v>
      </c>
      <c r="L316" s="570">
        <v>3.9305003721813447E-2</v>
      </c>
      <c r="M316" s="570">
        <v>3.2835847463411616E-2</v>
      </c>
      <c r="N316" s="571">
        <v>2.7704615600950167E-2</v>
      </c>
    </row>
    <row r="317" spans="1:14">
      <c r="A317" s="547" t="s">
        <v>60</v>
      </c>
      <c r="B317" s="548">
        <v>0</v>
      </c>
      <c r="C317" s="548">
        <v>0</v>
      </c>
      <c r="D317" s="548">
        <v>0</v>
      </c>
      <c r="E317" s="548">
        <v>0</v>
      </c>
      <c r="F317" s="548">
        <v>0</v>
      </c>
      <c r="G317" s="548">
        <v>0</v>
      </c>
      <c r="H317" s="548">
        <v>0</v>
      </c>
      <c r="I317" s="569"/>
      <c r="J317" s="570"/>
      <c r="K317" s="570"/>
      <c r="L317" s="570"/>
      <c r="M317" s="570"/>
      <c r="N317" s="571"/>
    </row>
    <row r="318" spans="1:14">
      <c r="A318" s="547" t="s">
        <v>371</v>
      </c>
      <c r="B318" s="548">
        <v>0</v>
      </c>
      <c r="C318" s="548">
        <v>0</v>
      </c>
      <c r="D318" s="548">
        <v>0</v>
      </c>
      <c r="E318" s="548">
        <v>0</v>
      </c>
      <c r="F318" s="548">
        <v>0</v>
      </c>
      <c r="G318" s="548">
        <v>0</v>
      </c>
      <c r="H318" s="548">
        <v>0</v>
      </c>
      <c r="I318" s="569"/>
      <c r="J318" s="570"/>
      <c r="K318" s="570"/>
      <c r="L318" s="570"/>
      <c r="M318" s="570"/>
      <c r="N318" s="571"/>
    </row>
    <row r="319" spans="1:14">
      <c r="A319" s="547"/>
      <c r="B319" s="548"/>
      <c r="C319" s="548"/>
      <c r="D319" s="548"/>
      <c r="E319" s="548"/>
      <c r="F319" s="548"/>
      <c r="G319" s="548"/>
      <c r="H319" s="572"/>
      <c r="I319" s="569"/>
      <c r="J319" s="570"/>
      <c r="K319" s="570"/>
      <c r="L319" s="570"/>
      <c r="M319" s="570"/>
      <c r="N319" s="571"/>
    </row>
    <row r="320" spans="1:14">
      <c r="A320" s="607" t="s">
        <v>451</v>
      </c>
      <c r="B320" s="564">
        <v>0.35000000085598515</v>
      </c>
      <c r="C320" s="564">
        <v>0.53653375399115788</v>
      </c>
      <c r="D320" s="564">
        <v>0.5378143105246842</v>
      </c>
      <c r="E320" s="564">
        <v>0.51572167988306106</v>
      </c>
      <c r="F320" s="564">
        <v>0.50969620361031076</v>
      </c>
      <c r="G320" s="564">
        <v>0.50367072733756046</v>
      </c>
      <c r="H320" s="564">
        <v>0.5103098376640105</v>
      </c>
      <c r="I320" s="569">
        <v>4.3645248923532387E-2</v>
      </c>
      <c r="J320" s="570">
        <v>4.7688919445620925E-4</v>
      </c>
      <c r="K320" s="570">
        <v>-8.3541312641086662E-3</v>
      </c>
      <c r="L320" s="570">
        <v>-2.3477139699331628E-3</v>
      </c>
      <c r="M320" s="570">
        <v>-2.3756004333473912E-3</v>
      </c>
      <c r="N320" s="571">
        <v>2.622498807776763E-3</v>
      </c>
    </row>
    <row r="321" spans="1:14">
      <c r="A321" s="547"/>
      <c r="B321" s="548"/>
      <c r="C321" s="548"/>
      <c r="D321" s="548"/>
      <c r="E321" s="548"/>
      <c r="F321" s="548"/>
      <c r="G321" s="548"/>
      <c r="H321" s="572"/>
      <c r="I321" s="569"/>
      <c r="J321" s="570"/>
      <c r="K321" s="570"/>
      <c r="L321" s="570"/>
      <c r="M321" s="570"/>
      <c r="N321" s="571"/>
    </row>
    <row r="322" spans="1:14" ht="13.5" thickBot="1">
      <c r="A322" s="594" t="s">
        <v>452</v>
      </c>
      <c r="B322" s="556">
        <v>41.064987580637613</v>
      </c>
      <c r="C322" s="556">
        <v>40.920075866645234</v>
      </c>
      <c r="D322" s="556">
        <v>38.942932394672582</v>
      </c>
      <c r="E322" s="556">
        <v>33.866820813995339</v>
      </c>
      <c r="F322" s="556">
        <v>30.4830446115452</v>
      </c>
      <c r="G322" s="556">
        <v>27.193957441486457</v>
      </c>
      <c r="H322" s="556">
        <v>24.985704792975653</v>
      </c>
      <c r="I322" s="573">
        <v>-3.5344548892157768E-4</v>
      </c>
      <c r="J322" s="574">
        <v>-9.8558085273887652E-3</v>
      </c>
      <c r="K322" s="574">
        <v>-2.7545801155059224E-2</v>
      </c>
      <c r="L322" s="574">
        <v>-2.0832968576251054E-2</v>
      </c>
      <c r="M322" s="574">
        <v>-2.2576414700380298E-2</v>
      </c>
      <c r="N322" s="575">
        <v>-1.6795543939068347E-2</v>
      </c>
    </row>
    <row r="323" spans="1:14" ht="15">
      <c r="A323" s="560"/>
      <c r="B323" s="620"/>
      <c r="C323" s="533"/>
      <c r="D323" s="533"/>
      <c r="E323" s="533"/>
      <c r="F323" s="522"/>
      <c r="G323" s="522"/>
      <c r="H323" s="522"/>
      <c r="I323" s="522"/>
      <c r="J323" s="522"/>
      <c r="K323" s="522"/>
      <c r="L323" s="522"/>
      <c r="M323" s="522"/>
      <c r="N323" s="522"/>
    </row>
    <row r="324" spans="1:14" ht="15">
      <c r="A324" s="622"/>
      <c r="B324" s="620"/>
      <c r="C324" s="533"/>
      <c r="D324" s="533"/>
      <c r="E324" s="533"/>
      <c r="F324" s="522"/>
      <c r="G324" s="522"/>
      <c r="H324" s="522"/>
      <c r="I324" s="522"/>
      <c r="J324" s="522"/>
      <c r="K324" s="522"/>
      <c r="L324" s="522"/>
      <c r="M324" s="522"/>
      <c r="N324" s="522"/>
    </row>
    <row r="325" spans="1:14" ht="16.5" thickBot="1">
      <c r="A325" s="540" t="s">
        <v>453</v>
      </c>
      <c r="B325" s="621"/>
      <c r="C325" s="542"/>
      <c r="D325" s="542"/>
      <c r="E325" s="542"/>
      <c r="F325" s="541"/>
      <c r="G325" s="542"/>
      <c r="H325" s="542"/>
      <c r="I325" s="542"/>
      <c r="J325" s="542"/>
      <c r="K325" s="542"/>
      <c r="L325" s="542"/>
      <c r="M325" s="542"/>
      <c r="N325" s="542"/>
    </row>
    <row r="326" spans="1:14" ht="13.5" thickBot="1">
      <c r="A326" s="543"/>
      <c r="B326" s="544">
        <v>2000</v>
      </c>
      <c r="C326" s="544">
        <v>2010</v>
      </c>
      <c r="D326" s="544">
        <v>2015</v>
      </c>
      <c r="E326" s="544">
        <v>2020</v>
      </c>
      <c r="F326" s="544">
        <v>2025</v>
      </c>
      <c r="G326" s="544">
        <v>2030</v>
      </c>
      <c r="H326" s="544">
        <v>2035</v>
      </c>
      <c r="I326" s="561" t="s">
        <v>365</v>
      </c>
      <c r="J326" s="562" t="s">
        <v>366</v>
      </c>
      <c r="K326" s="562" t="s">
        <v>367</v>
      </c>
      <c r="L326" s="562" t="s">
        <v>368</v>
      </c>
      <c r="M326" s="562" t="s">
        <v>369</v>
      </c>
      <c r="N326" s="563" t="s">
        <v>370</v>
      </c>
    </row>
    <row r="327" spans="1:14">
      <c r="A327" s="547" t="s">
        <v>454</v>
      </c>
      <c r="B327" s="548">
        <v>31.469985938009611</v>
      </c>
      <c r="C327" s="548">
        <v>36.024677531291935</v>
      </c>
      <c r="D327" s="548">
        <v>36.855947414900982</v>
      </c>
      <c r="E327" s="548">
        <v>37.51591892394184</v>
      </c>
      <c r="F327" s="548">
        <v>38.385390750884355</v>
      </c>
      <c r="G327" s="548">
        <v>39.254862577826877</v>
      </c>
      <c r="H327" s="564">
        <v>39.793607208579985</v>
      </c>
      <c r="I327" s="569">
        <v>1.3608760188503766E-2</v>
      </c>
      <c r="J327" s="570">
        <v>4.5729863867647325E-3</v>
      </c>
      <c r="K327" s="570">
        <v>3.5559768726807217E-3</v>
      </c>
      <c r="L327" s="570">
        <v>4.5928329683746494E-3</v>
      </c>
      <c r="M327" s="570">
        <v>4.4897259291296621E-3</v>
      </c>
      <c r="N327" s="571">
        <v>2.7299099567659191E-3</v>
      </c>
    </row>
    <row r="328" spans="1:14">
      <c r="A328" s="547" t="s">
        <v>455</v>
      </c>
      <c r="B328" s="623">
        <v>2.7958489328899605E-2</v>
      </c>
      <c r="C328" s="623">
        <v>2.4778229875580378E-2</v>
      </c>
      <c r="D328" s="623">
        <v>2.2944068117498297E-2</v>
      </c>
      <c r="E328" s="623">
        <v>1.882080167091844E-2</v>
      </c>
      <c r="F328" s="623">
        <v>1.6073126332184058E-2</v>
      </c>
      <c r="G328" s="623">
        <v>1.3325450993449676E-2</v>
      </c>
      <c r="H328" s="623">
        <v>1.165233488268224E-2</v>
      </c>
      <c r="I328" s="569">
        <v>-1.2002927813278053E-2</v>
      </c>
      <c r="J328" s="570">
        <v>-1.5263514838773418E-2</v>
      </c>
      <c r="K328" s="570">
        <v>-3.8844757748827563E-2</v>
      </c>
      <c r="L328" s="570">
        <v>-3.106989902458035E-2</v>
      </c>
      <c r="M328" s="570">
        <v>-3.6800359885646006E-2</v>
      </c>
      <c r="N328" s="571">
        <v>-2.6477018362362048E-2</v>
      </c>
    </row>
    <row r="329" spans="1:14" ht="13.5" thickBot="1">
      <c r="A329" s="555" t="s">
        <v>395</v>
      </c>
      <c r="B329" s="558">
        <v>3.2337793002480977E-2</v>
      </c>
      <c r="C329" s="558">
        <v>3.0695079466261557E-2</v>
      </c>
      <c r="D329" s="558">
        <v>2.9312225071131362E-2</v>
      </c>
      <c r="E329" s="558">
        <v>2.6900595220025116E-2</v>
      </c>
      <c r="F329" s="558">
        <v>2.3224836908186289E-2</v>
      </c>
      <c r="G329" s="558">
        <v>1.9549078596347465E-2</v>
      </c>
      <c r="H329" s="558">
        <v>1.7022965923289741E-2</v>
      </c>
      <c r="I329" s="573">
        <v>-5.1998581347126871E-3</v>
      </c>
      <c r="J329" s="574">
        <v>-9.1771697262684748E-3</v>
      </c>
      <c r="K329" s="574">
        <v>-1.7024664979050974E-2</v>
      </c>
      <c r="L329" s="574">
        <v>-2.8957682436601906E-2</v>
      </c>
      <c r="M329" s="574">
        <v>-3.3871877468941602E-2</v>
      </c>
      <c r="N329" s="575">
        <v>-2.7293568513375277E-2</v>
      </c>
    </row>
    <row r="330" spans="1:14" ht="15">
      <c r="A330" s="591"/>
      <c r="B330" s="620"/>
      <c r="C330" s="533"/>
      <c r="D330" s="533"/>
      <c r="E330" s="533"/>
      <c r="F330" s="533"/>
      <c r="G330" s="522"/>
      <c r="H330" s="522"/>
      <c r="I330" s="522"/>
      <c r="J330" s="522"/>
      <c r="K330" s="522"/>
      <c r="L330" s="522"/>
      <c r="M330" s="522"/>
      <c r="N330" s="522"/>
    </row>
    <row r="331" spans="1:14" ht="15.75">
      <c r="A331" s="624"/>
      <c r="B331" s="522"/>
      <c r="C331" s="522"/>
      <c r="D331" s="522"/>
      <c r="E331" s="522"/>
      <c r="F331" s="522"/>
      <c r="G331" s="522"/>
      <c r="H331" s="522"/>
      <c r="I331" s="522"/>
      <c r="J331" s="522"/>
      <c r="K331" s="522"/>
      <c r="L331" s="522"/>
      <c r="M331" s="522"/>
      <c r="N331" s="522"/>
    </row>
    <row r="332" spans="1:14" ht="21">
      <c r="A332" s="538" t="s">
        <v>456</v>
      </c>
      <c r="B332" s="592"/>
      <c r="C332" s="592"/>
      <c r="D332" s="592"/>
      <c r="E332" s="592"/>
      <c r="F332" s="592"/>
      <c r="G332" s="592"/>
      <c r="H332" s="593"/>
      <c r="I332" s="593"/>
      <c r="J332" s="593"/>
      <c r="K332" s="593"/>
      <c r="L332" s="593"/>
      <c r="M332" s="593"/>
      <c r="N332" s="593"/>
    </row>
    <row r="333" spans="1:14" ht="15">
      <c r="A333" s="522"/>
      <c r="B333" s="522"/>
      <c r="C333" s="522"/>
      <c r="D333" s="522"/>
      <c r="E333" s="522"/>
      <c r="F333" s="522"/>
      <c r="G333" s="532"/>
      <c r="H333" s="522"/>
      <c r="I333" s="522"/>
      <c r="J333" s="522"/>
      <c r="K333" s="522"/>
      <c r="L333" s="522"/>
      <c r="M333" s="522"/>
      <c r="N333" s="522"/>
    </row>
    <row r="334" spans="1:14" ht="16.5" thickBot="1">
      <c r="A334" s="540" t="s">
        <v>457</v>
      </c>
      <c r="B334" s="542"/>
      <c r="C334" s="542"/>
      <c r="D334" s="542"/>
      <c r="E334" s="542"/>
      <c r="F334" s="541"/>
      <c r="G334" s="542"/>
      <c r="H334" s="542"/>
      <c r="I334" s="542"/>
      <c r="J334" s="542"/>
      <c r="K334" s="542"/>
      <c r="L334" s="542"/>
      <c r="M334" s="542"/>
      <c r="N334" s="542"/>
    </row>
    <row r="335" spans="1:14" ht="13.5" thickBot="1">
      <c r="A335" s="588" t="s">
        <v>64</v>
      </c>
      <c r="B335" s="544">
        <v>2000</v>
      </c>
      <c r="C335" s="544">
        <v>2010</v>
      </c>
      <c r="D335" s="544">
        <v>2015</v>
      </c>
      <c r="E335" s="544">
        <v>2020</v>
      </c>
      <c r="F335" s="544">
        <v>2025</v>
      </c>
      <c r="G335" s="544">
        <v>2030</v>
      </c>
      <c r="H335" s="544">
        <v>2035</v>
      </c>
      <c r="I335" s="561" t="s">
        <v>365</v>
      </c>
      <c r="J335" s="562" t="s">
        <v>366</v>
      </c>
      <c r="K335" s="562" t="s">
        <v>367</v>
      </c>
      <c r="L335" s="562" t="s">
        <v>368</v>
      </c>
      <c r="M335" s="562" t="s">
        <v>369</v>
      </c>
      <c r="N335" s="563" t="s">
        <v>370</v>
      </c>
    </row>
    <row r="336" spans="1:14">
      <c r="A336" s="547" t="s">
        <v>51</v>
      </c>
      <c r="B336" s="548">
        <v>3.48</v>
      </c>
      <c r="C336" s="548">
        <v>3.4369999999999998</v>
      </c>
      <c r="D336" s="548">
        <v>3.0853878143286724</v>
      </c>
      <c r="E336" s="548">
        <v>2.7925585866144345</v>
      </c>
      <c r="F336" s="548">
        <v>2.5070224795969289</v>
      </c>
      <c r="G336" s="548">
        <v>2.2308944330058909</v>
      </c>
      <c r="H336" s="548">
        <v>1.9943638072190424</v>
      </c>
      <c r="I336" s="566">
        <v>-1.2425569778694578E-3</v>
      </c>
      <c r="J336" s="567">
        <v>-2.1353053104162911E-2</v>
      </c>
      <c r="K336" s="567">
        <v>-1.9746262956120475E-2</v>
      </c>
      <c r="L336" s="567">
        <v>-2.1341467248996548E-2</v>
      </c>
      <c r="M336" s="567">
        <v>-2.3068398368392695E-2</v>
      </c>
      <c r="N336" s="568">
        <v>-2.2166137425768118E-2</v>
      </c>
    </row>
    <row r="337" spans="1:14">
      <c r="A337" s="547" t="s">
        <v>243</v>
      </c>
      <c r="B337" s="548">
        <v>0.29508965199999998</v>
      </c>
      <c r="C337" s="548">
        <v>0.229075</v>
      </c>
      <c r="D337" s="548">
        <v>0.40039767592926623</v>
      </c>
      <c r="E337" s="548">
        <v>0.38624685552377075</v>
      </c>
      <c r="F337" s="548">
        <v>0.36928274984748483</v>
      </c>
      <c r="G337" s="548">
        <v>0.34868953135035208</v>
      </c>
      <c r="H337" s="548">
        <v>0.32491179104420581</v>
      </c>
      <c r="I337" s="569">
        <v>-2.5005038256640355E-2</v>
      </c>
      <c r="J337" s="570">
        <v>0.11815695776537893</v>
      </c>
      <c r="K337" s="570">
        <v>-7.1704797358783656E-3</v>
      </c>
      <c r="L337" s="570">
        <v>-8.9425904041571247E-3</v>
      </c>
      <c r="M337" s="570">
        <v>-1.1410536150618378E-2</v>
      </c>
      <c r="N337" s="571">
        <v>-1.4026340850472274E-2</v>
      </c>
    </row>
    <row r="338" spans="1:14">
      <c r="A338" s="547" t="s">
        <v>40</v>
      </c>
      <c r="B338" s="548">
        <v>0</v>
      </c>
      <c r="C338" s="548">
        <v>0</v>
      </c>
      <c r="D338" s="548">
        <v>0</v>
      </c>
      <c r="E338" s="548">
        <v>0</v>
      </c>
      <c r="F338" s="548">
        <v>0</v>
      </c>
      <c r="G338" s="548">
        <v>0</v>
      </c>
      <c r="H338" s="548">
        <v>0</v>
      </c>
      <c r="I338" s="569"/>
      <c r="J338" s="570"/>
      <c r="K338" s="570"/>
      <c r="L338" s="570"/>
      <c r="M338" s="570"/>
      <c r="N338" s="571"/>
    </row>
    <row r="339" spans="1:14">
      <c r="A339" s="547" t="s">
        <v>371</v>
      </c>
      <c r="B339" s="548">
        <v>0.51178599999999996</v>
      </c>
      <c r="C339" s="548">
        <v>0.655002784</v>
      </c>
      <c r="D339" s="548">
        <v>0.55991041147578358</v>
      </c>
      <c r="E339" s="548">
        <v>0.54012210561818264</v>
      </c>
      <c r="F339" s="548">
        <v>0.5163997416771744</v>
      </c>
      <c r="G339" s="548">
        <v>0.48760247801778878</v>
      </c>
      <c r="H339" s="548">
        <v>0.45435202438346101</v>
      </c>
      <c r="I339" s="569">
        <v>2.4980196288079126E-2</v>
      </c>
      <c r="J339" s="570">
        <v>-3.0885527037794791E-2</v>
      </c>
      <c r="K339" s="570">
        <v>-7.1704797358783656E-3</v>
      </c>
      <c r="L339" s="570">
        <v>-8.9425904041571247E-3</v>
      </c>
      <c r="M339" s="570">
        <v>-1.1410536150618378E-2</v>
      </c>
      <c r="N339" s="571">
        <v>-1.4026340850472274E-2</v>
      </c>
    </row>
    <row r="340" spans="1:14">
      <c r="A340" s="547" t="s">
        <v>55</v>
      </c>
      <c r="B340" s="548">
        <v>0</v>
      </c>
      <c r="C340" s="548">
        <v>0</v>
      </c>
      <c r="D340" s="548">
        <v>0</v>
      </c>
      <c r="E340" s="548">
        <v>0</v>
      </c>
      <c r="F340" s="548">
        <v>0</v>
      </c>
      <c r="G340" s="548">
        <v>0</v>
      </c>
      <c r="H340" s="548">
        <v>0</v>
      </c>
      <c r="I340" s="569"/>
      <c r="J340" s="570"/>
      <c r="K340" s="570"/>
      <c r="L340" s="570"/>
      <c r="M340" s="570"/>
      <c r="N340" s="571"/>
    </row>
    <row r="341" spans="1:14">
      <c r="A341" s="547" t="s">
        <v>372</v>
      </c>
      <c r="B341" s="548">
        <v>7.0881186999999998E-2</v>
      </c>
      <c r="C341" s="548">
        <v>0.13180887999999999</v>
      </c>
      <c r="D341" s="548">
        <v>7.7677149130277651E-2</v>
      </c>
      <c r="E341" s="548">
        <v>7.4931889971611515E-2</v>
      </c>
      <c r="F341" s="548">
        <v>7.1640853470412061E-2</v>
      </c>
      <c r="G341" s="548">
        <v>6.7645769081968302E-2</v>
      </c>
      <c r="H341" s="548">
        <v>6.3032887462575932E-2</v>
      </c>
      <c r="I341" s="569">
        <v>6.3999365073513115E-2</v>
      </c>
      <c r="J341" s="570">
        <v>-0.1003580015519443</v>
      </c>
      <c r="K341" s="570">
        <v>-7.1704797358783656E-3</v>
      </c>
      <c r="L341" s="570">
        <v>-8.9425904041571247E-3</v>
      </c>
      <c r="M341" s="570">
        <v>-1.1410536150618378E-2</v>
      </c>
      <c r="N341" s="571">
        <v>-1.4026340850472274E-2</v>
      </c>
    </row>
    <row r="342" spans="1:14" ht="15">
      <c r="A342" s="547"/>
      <c r="B342" s="548"/>
      <c r="C342" s="548"/>
      <c r="D342" s="548"/>
      <c r="E342" s="548"/>
      <c r="F342" s="522"/>
      <c r="G342" s="548"/>
      <c r="H342" s="548"/>
      <c r="I342" s="569"/>
      <c r="J342" s="570"/>
      <c r="K342" s="570"/>
      <c r="L342" s="570"/>
      <c r="M342" s="570"/>
      <c r="N342" s="571"/>
    </row>
    <row r="343" spans="1:14" ht="13.5" thickBot="1">
      <c r="A343" s="555" t="s">
        <v>9</v>
      </c>
      <c r="B343" s="556">
        <v>4.3577568390000003</v>
      </c>
      <c r="C343" s="556">
        <v>4.4528866640000002</v>
      </c>
      <c r="D343" s="556">
        <v>4.1233730508640001</v>
      </c>
      <c r="E343" s="556">
        <v>3.7938594377279999</v>
      </c>
      <c r="F343" s="556">
        <v>3.4643458245919998</v>
      </c>
      <c r="G343" s="556">
        <v>3.1348322114560001</v>
      </c>
      <c r="H343" s="556">
        <v>2.8366605101092857</v>
      </c>
      <c r="I343" s="573">
        <v>2.1618470199160633E-3</v>
      </c>
      <c r="J343" s="574">
        <v>-1.525859853955458E-2</v>
      </c>
      <c r="K343" s="574">
        <v>-1.6519571858834015E-2</v>
      </c>
      <c r="L343" s="574">
        <v>-1.8007885332609108E-2</v>
      </c>
      <c r="M343" s="574">
        <v>-1.979116551303961E-2</v>
      </c>
      <c r="N343" s="575">
        <v>-1.979116551303961E-2</v>
      </c>
    </row>
    <row r="344" spans="1:14" ht="15.75">
      <c r="A344" s="624"/>
      <c r="B344" s="522"/>
      <c r="C344" s="522"/>
      <c r="D344" s="522"/>
      <c r="E344" s="522"/>
      <c r="F344" s="522"/>
      <c r="G344" s="522"/>
      <c r="H344" s="522"/>
      <c r="I344" s="522"/>
      <c r="J344" s="522"/>
      <c r="K344" s="522"/>
      <c r="L344" s="522"/>
      <c r="M344" s="522"/>
      <c r="N344" s="522"/>
    </row>
    <row r="345" spans="1:14" ht="15.75">
      <c r="A345" s="624"/>
      <c r="B345" s="522"/>
      <c r="C345" s="522"/>
      <c r="D345" s="522"/>
      <c r="E345" s="522"/>
      <c r="F345" s="522"/>
      <c r="G345" s="522"/>
      <c r="H345" s="522"/>
      <c r="I345" s="522"/>
      <c r="J345" s="522"/>
      <c r="K345" s="522"/>
      <c r="L345" s="522"/>
      <c r="M345" s="522"/>
      <c r="N345" s="522"/>
    </row>
    <row r="346" spans="1:14" ht="21">
      <c r="A346" s="538" t="s">
        <v>458</v>
      </c>
      <c r="B346" s="592"/>
      <c r="C346" s="592"/>
      <c r="D346" s="592"/>
      <c r="E346" s="592"/>
      <c r="F346" s="592"/>
      <c r="G346" s="592"/>
      <c r="H346" s="593"/>
      <c r="I346" s="593"/>
      <c r="J346" s="593"/>
      <c r="K346" s="593"/>
      <c r="L346" s="593"/>
      <c r="M346" s="593"/>
      <c r="N346" s="593"/>
    </row>
    <row r="347" spans="1:14" ht="15">
      <c r="A347" s="522"/>
      <c r="B347" s="522"/>
      <c r="C347" s="522"/>
      <c r="D347" s="522"/>
      <c r="E347" s="522"/>
      <c r="F347" s="522"/>
      <c r="G347" s="532"/>
      <c r="H347" s="522"/>
      <c r="I347" s="522"/>
      <c r="J347" s="522"/>
      <c r="K347" s="522"/>
      <c r="L347" s="522"/>
      <c r="M347" s="522"/>
      <c r="N347" s="522"/>
    </row>
    <row r="348" spans="1:14" ht="16.5" thickBot="1">
      <c r="A348" s="540" t="s">
        <v>459</v>
      </c>
      <c r="B348" s="542"/>
      <c r="C348" s="542"/>
      <c r="D348" s="542"/>
      <c r="E348" s="542"/>
      <c r="F348" s="541"/>
      <c r="G348" s="542"/>
      <c r="H348" s="542"/>
      <c r="I348" s="542"/>
      <c r="J348" s="542"/>
      <c r="K348" s="542"/>
      <c r="L348" s="542"/>
      <c r="M348" s="542"/>
      <c r="N348" s="542"/>
    </row>
    <row r="349" spans="1:14" ht="13.5" thickBot="1">
      <c r="A349" s="588" t="s">
        <v>64</v>
      </c>
      <c r="B349" s="544">
        <v>2000</v>
      </c>
      <c r="C349" s="544">
        <v>2010</v>
      </c>
      <c r="D349" s="544">
        <v>2015</v>
      </c>
      <c r="E349" s="544">
        <v>2020</v>
      </c>
      <c r="F349" s="544">
        <v>2025</v>
      </c>
      <c r="G349" s="544">
        <v>2030</v>
      </c>
      <c r="H349" s="544">
        <v>2035</v>
      </c>
      <c r="I349" s="561" t="s">
        <v>365</v>
      </c>
      <c r="J349" s="562" t="s">
        <v>366</v>
      </c>
      <c r="K349" s="562" t="s">
        <v>367</v>
      </c>
      <c r="L349" s="562" t="s">
        <v>368</v>
      </c>
      <c r="M349" s="562" t="s">
        <v>369</v>
      </c>
      <c r="N349" s="563" t="s">
        <v>370</v>
      </c>
    </row>
    <row r="350" spans="1:14">
      <c r="A350" s="547" t="s">
        <v>51</v>
      </c>
      <c r="B350" s="548">
        <v>68.282430140848987</v>
      </c>
      <c r="C350" s="548">
        <v>58.955566840756184</v>
      </c>
      <c r="D350" s="548">
        <v>52.529733269854987</v>
      </c>
      <c r="E350" s="548">
        <v>41.937149456828138</v>
      </c>
      <c r="F350" s="548">
        <v>36.032127447964811</v>
      </c>
      <c r="G350" s="548">
        <v>30.297745840782731</v>
      </c>
      <c r="H350" s="548">
        <v>27.793147214232022</v>
      </c>
      <c r="I350" s="566">
        <v>-1.4579517617375193E-2</v>
      </c>
      <c r="J350" s="567">
        <v>-2.281661235907595E-2</v>
      </c>
      <c r="K350" s="567">
        <v>-4.4042153247095595E-2</v>
      </c>
      <c r="L350" s="567">
        <v>-2.9896213950315831E-2</v>
      </c>
      <c r="M350" s="567">
        <v>-3.407349641242996E-2</v>
      </c>
      <c r="N350" s="568">
        <v>-1.7108720403833599E-2</v>
      </c>
    </row>
    <row r="351" spans="1:14">
      <c r="A351" s="547" t="s">
        <v>243</v>
      </c>
      <c r="B351" s="548">
        <v>30.190003710917999</v>
      </c>
      <c r="C351" s="548">
        <v>30.312856304434529</v>
      </c>
      <c r="D351" s="548">
        <v>28.656600639276746</v>
      </c>
      <c r="E351" s="548">
        <v>26.371492326423422</v>
      </c>
      <c r="F351" s="548">
        <v>23.070724760583339</v>
      </c>
      <c r="G351" s="548">
        <v>19.766328081922406</v>
      </c>
      <c r="H351" s="548">
        <v>17.382561258136747</v>
      </c>
      <c r="I351" s="569">
        <v>4.0618810847736775E-4</v>
      </c>
      <c r="J351" s="570">
        <v>-1.1174717282414037E-2</v>
      </c>
      <c r="K351" s="570">
        <v>-1.6482692033114366E-2</v>
      </c>
      <c r="L351" s="570">
        <v>-2.6389371469330847E-2</v>
      </c>
      <c r="M351" s="570">
        <v>-3.0443879411041319E-2</v>
      </c>
      <c r="N351" s="571">
        <v>-2.5374985232244907E-2</v>
      </c>
    </row>
    <row r="352" spans="1:14">
      <c r="A352" s="547" t="s">
        <v>40</v>
      </c>
      <c r="B352" s="548">
        <v>7.3745161147124296</v>
      </c>
      <c r="C352" s="548">
        <v>5.3475160725499338</v>
      </c>
      <c r="D352" s="548">
        <v>5.2946881924439664</v>
      </c>
      <c r="E352" s="548">
        <v>4.8728799588406932</v>
      </c>
      <c r="F352" s="548">
        <v>4.591644794862292</v>
      </c>
      <c r="G352" s="548">
        <v>4.3104096308838908</v>
      </c>
      <c r="H352" s="548">
        <v>4.2934166563614919</v>
      </c>
      <c r="I352" s="569">
        <v>-3.1628817386657238E-2</v>
      </c>
      <c r="J352" s="570">
        <v>-1.9836454573246565E-3</v>
      </c>
      <c r="K352" s="570">
        <v>-1.6466708898230542E-2</v>
      </c>
      <c r="L352" s="570">
        <v>-1.18189660997855E-2</v>
      </c>
      <c r="M352" s="570">
        <v>-1.2561509535888193E-2</v>
      </c>
      <c r="N352" s="571">
        <v>-7.8970845811110468E-4</v>
      </c>
    </row>
    <row r="353" spans="1:15" ht="15">
      <c r="A353" s="547" t="s">
        <v>371</v>
      </c>
      <c r="B353" s="548">
        <v>32.676345606382021</v>
      </c>
      <c r="C353" s="548">
        <v>36.973562688421723</v>
      </c>
      <c r="D353" s="548">
        <v>36.378376407032263</v>
      </c>
      <c r="E353" s="548">
        <v>36.453939582934744</v>
      </c>
      <c r="F353" s="548">
        <v>34.872648764065779</v>
      </c>
      <c r="G353" s="548">
        <v>33.286283045478442</v>
      </c>
      <c r="H353" s="548">
        <v>33.462876244532886</v>
      </c>
      <c r="I353" s="569">
        <v>1.2431809929539739E-2</v>
      </c>
      <c r="J353" s="570">
        <v>-3.24045673958262E-3</v>
      </c>
      <c r="K353" s="570">
        <v>4.1508433971149117E-4</v>
      </c>
      <c r="L353" s="570">
        <v>-8.8301265105547033E-3</v>
      </c>
      <c r="M353" s="570">
        <v>-9.2682678332526303E-3</v>
      </c>
      <c r="N353" s="571">
        <v>1.0588123428372231E-3</v>
      </c>
      <c r="O353" s="522"/>
    </row>
    <row r="354" spans="1:15" ht="15">
      <c r="A354" s="547" t="s">
        <v>55</v>
      </c>
      <c r="B354" s="548">
        <v>3.79202236870423</v>
      </c>
      <c r="C354" s="548">
        <v>4.2105935147168054</v>
      </c>
      <c r="D354" s="548">
        <v>4.0824932928333304</v>
      </c>
      <c r="E354" s="548">
        <v>4.0217759854366504</v>
      </c>
      <c r="F354" s="548">
        <v>3.8842607748792881</v>
      </c>
      <c r="G354" s="548">
        <v>3.7467455643219258</v>
      </c>
      <c r="H354" s="548">
        <v>3.379198121176969</v>
      </c>
      <c r="I354" s="569">
        <v>1.0525419772062561E-2</v>
      </c>
      <c r="J354" s="570">
        <v>-6.160090794700257E-3</v>
      </c>
      <c r="K354" s="570">
        <v>-2.992375983488782E-3</v>
      </c>
      <c r="L354" s="570">
        <v>-6.93402861437864E-3</v>
      </c>
      <c r="M354" s="570">
        <v>-7.1830924424255427E-3</v>
      </c>
      <c r="N354" s="571">
        <v>-2.0438087097926272E-2</v>
      </c>
      <c r="O354" s="522"/>
    </row>
    <row r="355" spans="1:15" ht="15">
      <c r="A355" s="547" t="s">
        <v>460</v>
      </c>
      <c r="B355" s="548">
        <v>8.9419343973368051</v>
      </c>
      <c r="C355" s="548">
        <v>10.818132307989664</v>
      </c>
      <c r="D355" s="548">
        <v>13.37588907339598</v>
      </c>
      <c r="E355" s="548">
        <v>15.984075065413213</v>
      </c>
      <c r="F355" s="548">
        <v>16.880225137192141</v>
      </c>
      <c r="G355" s="548">
        <v>17.614438819829026</v>
      </c>
      <c r="H355" s="548">
        <v>18.220233843390943</v>
      </c>
      <c r="I355" s="569">
        <v>1.9229724795235104E-2</v>
      </c>
      <c r="J355" s="570">
        <v>4.3359738389207703E-2</v>
      </c>
      <c r="K355" s="570">
        <v>3.6270107070460078E-2</v>
      </c>
      <c r="L355" s="570">
        <v>1.0969712555524147E-2</v>
      </c>
      <c r="M355" s="570">
        <v>8.5515829778008978E-3</v>
      </c>
      <c r="N355" s="571">
        <v>6.785673657691893E-3</v>
      </c>
      <c r="O355" s="522"/>
    </row>
    <row r="356" spans="1:15" ht="15">
      <c r="A356" s="547"/>
      <c r="B356" s="548"/>
      <c r="C356" s="548"/>
      <c r="D356" s="548"/>
      <c r="E356" s="548"/>
      <c r="F356" s="522"/>
      <c r="G356" s="548"/>
      <c r="H356" s="548"/>
      <c r="I356" s="569"/>
      <c r="J356" s="570"/>
      <c r="K356" s="570"/>
      <c r="L356" s="570"/>
      <c r="M356" s="570"/>
      <c r="N356" s="571"/>
      <c r="O356" s="639"/>
    </row>
    <row r="357" spans="1:15" ht="15.75" thickBot="1">
      <c r="A357" s="555" t="s">
        <v>9</v>
      </c>
      <c r="B357" s="556">
        <v>151.2572523389025</v>
      </c>
      <c r="C357" s="556">
        <v>146.61822772886882</v>
      </c>
      <c r="D357" s="556">
        <v>140.31778087483727</v>
      </c>
      <c r="E357" s="556">
        <v>129.64131237587685</v>
      </c>
      <c r="F357" s="556">
        <v>119.33163167954766</v>
      </c>
      <c r="G357" s="556">
        <v>109.02195098321843</v>
      </c>
      <c r="H357" s="556">
        <v>104.53143333783106</v>
      </c>
      <c r="I357" s="573">
        <v>-3.1101461339033687E-3</v>
      </c>
      <c r="J357" s="574">
        <v>-8.7460100702339005E-3</v>
      </c>
      <c r="K357" s="574">
        <v>-1.5703043561767216E-2</v>
      </c>
      <c r="L357" s="574">
        <v>-1.6436435860953003E-2</v>
      </c>
      <c r="M357" s="574">
        <v>-1.7909128920662987E-2</v>
      </c>
      <c r="N357" s="575">
        <v>-8.3770004339516202E-3</v>
      </c>
      <c r="O357" s="522"/>
    </row>
    <row r="358" spans="1:15" ht="15">
      <c r="A358" s="625"/>
      <c r="B358" s="522"/>
      <c r="C358" s="522"/>
      <c r="D358" s="522"/>
      <c r="E358" s="522"/>
      <c r="F358" s="626"/>
      <c r="G358" s="626"/>
      <c r="H358" s="626"/>
      <c r="I358" s="626"/>
      <c r="J358" s="522"/>
      <c r="K358" s="522"/>
      <c r="L358" s="522"/>
      <c r="M358" s="522"/>
      <c r="N358" s="522"/>
      <c r="O358" s="522"/>
    </row>
    <row r="359" spans="1:15" ht="15">
      <c r="A359" s="627"/>
      <c r="B359" s="522"/>
      <c r="C359" s="522"/>
      <c r="D359" s="522"/>
      <c r="E359" s="522"/>
      <c r="F359" s="626"/>
      <c r="G359" s="626"/>
      <c r="H359" s="626"/>
      <c r="I359" s="626"/>
      <c r="J359" s="522"/>
      <c r="K359" s="522"/>
      <c r="L359" s="522"/>
      <c r="M359" s="522"/>
      <c r="N359" s="522"/>
      <c r="O359" s="522"/>
    </row>
    <row r="360" spans="1:15" ht="16.5" thickBot="1">
      <c r="A360" s="540" t="s">
        <v>461</v>
      </c>
      <c r="B360" s="542"/>
      <c r="C360" s="542"/>
      <c r="D360" s="542"/>
      <c r="E360" s="542"/>
      <c r="F360" s="541"/>
      <c r="G360" s="542"/>
      <c r="H360" s="542"/>
      <c r="I360" s="542"/>
      <c r="J360" s="542"/>
      <c r="K360" s="542"/>
      <c r="L360" s="542"/>
      <c r="M360" s="542"/>
      <c r="N360" s="542"/>
      <c r="O360" s="522"/>
    </row>
    <row r="361" spans="1:15" ht="15.75" thickBot="1">
      <c r="A361" s="588" t="s">
        <v>64</v>
      </c>
      <c r="B361" s="544">
        <v>2000</v>
      </c>
      <c r="C361" s="544">
        <v>2010</v>
      </c>
      <c r="D361" s="544">
        <v>2015</v>
      </c>
      <c r="E361" s="544">
        <v>2020</v>
      </c>
      <c r="F361" s="544">
        <v>2025</v>
      </c>
      <c r="G361" s="544">
        <v>2030</v>
      </c>
      <c r="H361" s="544">
        <v>2035</v>
      </c>
      <c r="I361" s="561" t="s">
        <v>365</v>
      </c>
      <c r="J361" s="562" t="s">
        <v>366</v>
      </c>
      <c r="K361" s="562" t="s">
        <v>367</v>
      </c>
      <c r="L361" s="562" t="s">
        <v>368</v>
      </c>
      <c r="M361" s="562" t="s">
        <v>369</v>
      </c>
      <c r="N361" s="563" t="s">
        <v>370</v>
      </c>
      <c r="O361" s="522"/>
    </row>
    <row r="362" spans="1:15" ht="15">
      <c r="A362" s="628" t="s">
        <v>59</v>
      </c>
      <c r="B362" s="548">
        <v>39.454146064964554</v>
      </c>
      <c r="C362" s="548">
        <v>34.031242808959696</v>
      </c>
      <c r="D362" s="548">
        <v>33.163807354926554</v>
      </c>
      <c r="E362" s="548">
        <v>32.728349751926693</v>
      </c>
      <c r="F362" s="548">
        <v>31.300293112040325</v>
      </c>
      <c r="G362" s="548">
        <v>29.872236472153951</v>
      </c>
      <c r="H362" s="548">
        <v>30.16264068206371</v>
      </c>
      <c r="I362" s="566">
        <v>-1.4677236657589798E-2</v>
      </c>
      <c r="J362" s="567">
        <v>-5.1506631003249703E-3</v>
      </c>
      <c r="K362" s="567">
        <v>-2.6400038800999948E-3</v>
      </c>
      <c r="L362" s="567">
        <v>-8.8831506107558411E-3</v>
      </c>
      <c r="M362" s="567">
        <v>-9.2961133057871681E-3</v>
      </c>
      <c r="N362" s="568">
        <v>1.9367915884904718E-3</v>
      </c>
      <c r="O362" s="522"/>
    </row>
    <row r="363" spans="1:15" ht="15">
      <c r="A363" s="628" t="s">
        <v>61</v>
      </c>
      <c r="B363" s="548">
        <v>42.520503571764309</v>
      </c>
      <c r="C363" s="548">
        <v>41.624261539626957</v>
      </c>
      <c r="D363" s="548">
        <v>38.947394016235251</v>
      </c>
      <c r="E363" s="548">
        <v>34.830557061797037</v>
      </c>
      <c r="F363" s="548">
        <v>30.481351825664063</v>
      </c>
      <c r="G363" s="548">
        <v>26.132146589531086</v>
      </c>
      <c r="H363" s="548">
        <v>24.076022584671087</v>
      </c>
      <c r="I363" s="569">
        <v>-2.128051403535558E-3</v>
      </c>
      <c r="J363" s="570">
        <v>-1.3206290141886567E-2</v>
      </c>
      <c r="K363" s="570">
        <v>-2.2095593162034022E-2</v>
      </c>
      <c r="L363" s="570">
        <v>-2.6323337737261365E-2</v>
      </c>
      <c r="M363" s="570">
        <v>-3.0320593527176753E-2</v>
      </c>
      <c r="N363" s="571">
        <v>-1.625637439349048E-2</v>
      </c>
      <c r="O363" s="522"/>
    </row>
    <row r="364" spans="1:15" ht="15">
      <c r="A364" s="628" t="s">
        <v>56</v>
      </c>
      <c r="B364" s="548">
        <v>20.566969116536004</v>
      </c>
      <c r="C364" s="548">
        <v>22.60944152051686</v>
      </c>
      <c r="D364" s="548">
        <v>21.989620175791529</v>
      </c>
      <c r="E364" s="548">
        <v>20.870631823678899</v>
      </c>
      <c r="F364" s="548">
        <v>19.58999221147193</v>
      </c>
      <c r="G364" s="548">
        <v>18.309352599264972</v>
      </c>
      <c r="H364" s="548">
        <v>17.713273884134789</v>
      </c>
      <c r="I364" s="569">
        <v>9.5130882282901119E-3</v>
      </c>
      <c r="J364" s="570">
        <v>-5.5439857945844828E-3</v>
      </c>
      <c r="K364" s="570">
        <v>-1.0391142530820296E-2</v>
      </c>
      <c r="L364" s="570">
        <v>-1.2584970614576196E-2</v>
      </c>
      <c r="M364" s="570">
        <v>-1.3430363760642217E-2</v>
      </c>
      <c r="N364" s="571">
        <v>-6.5976800654450329E-3</v>
      </c>
      <c r="O364" s="522"/>
    </row>
    <row r="365" spans="1:15" ht="15">
      <c r="A365" s="628" t="s">
        <v>58</v>
      </c>
      <c r="B365" s="548">
        <v>4.3577568390000003</v>
      </c>
      <c r="C365" s="548">
        <v>4.4528866640000002</v>
      </c>
      <c r="D365" s="548">
        <v>4.1233730508640001</v>
      </c>
      <c r="E365" s="548">
        <v>3.7938594377279999</v>
      </c>
      <c r="F365" s="548">
        <v>3.4643458245919998</v>
      </c>
      <c r="G365" s="548">
        <v>3.1348322114560001</v>
      </c>
      <c r="H365" s="548">
        <v>2.8366605101092857</v>
      </c>
      <c r="I365" s="569">
        <v>2.1618470199160633E-3</v>
      </c>
      <c r="J365" s="570">
        <v>-1.525859853955458E-2</v>
      </c>
      <c r="K365" s="570">
        <v>-1.6519571858834015E-2</v>
      </c>
      <c r="L365" s="570">
        <v>-1.8007885332609108E-2</v>
      </c>
      <c r="M365" s="570">
        <v>-1.979116551303961E-2</v>
      </c>
      <c r="N365" s="571">
        <v>-1.979116551303961E-2</v>
      </c>
      <c r="O365" s="522"/>
    </row>
    <row r="366" spans="1:15" ht="15">
      <c r="A366" s="628" t="s">
        <v>462</v>
      </c>
      <c r="B366" s="548">
        <v>44.357876746637615</v>
      </c>
      <c r="C366" s="548">
        <v>43.900395195765334</v>
      </c>
      <c r="D366" s="548">
        <v>42.093586277019952</v>
      </c>
      <c r="E366" s="548">
        <v>37.417914300746233</v>
      </c>
      <c r="F366" s="548">
        <v>34.495648705779324</v>
      </c>
      <c r="G366" s="548">
        <v>31.573383110812411</v>
      </c>
      <c r="H366" s="548">
        <v>29.742835676852195</v>
      </c>
      <c r="I366" s="569">
        <v>-1.0361603120053742E-3</v>
      </c>
      <c r="J366" s="570">
        <v>-8.3703594426449701E-3</v>
      </c>
      <c r="K366" s="570">
        <v>-2.3274042824358521E-2</v>
      </c>
      <c r="L366" s="570">
        <v>-1.6131744937569525E-2</v>
      </c>
      <c r="M366" s="570">
        <v>-1.7547955909391177E-2</v>
      </c>
      <c r="N366" s="571">
        <v>-1.1874173637797525E-2</v>
      </c>
      <c r="O366" s="522"/>
    </row>
    <row r="367" spans="1:15" ht="15">
      <c r="A367" s="628"/>
      <c r="B367" s="548"/>
      <c r="C367" s="548"/>
      <c r="D367" s="548"/>
      <c r="E367" s="548"/>
      <c r="F367" s="522"/>
      <c r="G367" s="548"/>
      <c r="H367" s="548"/>
      <c r="I367" s="569"/>
      <c r="J367" s="570"/>
      <c r="K367" s="570"/>
      <c r="L367" s="570"/>
      <c r="M367" s="570"/>
      <c r="N367" s="571"/>
      <c r="O367" s="522"/>
    </row>
    <row r="368" spans="1:15" ht="15.75" thickBot="1">
      <c r="A368" s="629" t="s">
        <v>9</v>
      </c>
      <c r="B368" s="556">
        <v>151.25725233890248</v>
      </c>
      <c r="C368" s="556">
        <v>146.61822772886885</v>
      </c>
      <c r="D368" s="556">
        <v>140.3177808748373</v>
      </c>
      <c r="E368" s="556">
        <v>129.64131237587685</v>
      </c>
      <c r="F368" s="556">
        <v>119.33163167954763</v>
      </c>
      <c r="G368" s="556">
        <v>109.02195098321842</v>
      </c>
      <c r="H368" s="556">
        <v>104.53143333783106</v>
      </c>
      <c r="I368" s="573">
        <v>-3.1101461339033687E-3</v>
      </c>
      <c r="J368" s="574">
        <v>-8.7460100702339005E-3</v>
      </c>
      <c r="K368" s="574">
        <v>-1.5703043561767216E-2</v>
      </c>
      <c r="L368" s="574">
        <v>-1.6436435860953114E-2</v>
      </c>
      <c r="M368" s="574">
        <v>-1.7909128920662987E-2</v>
      </c>
      <c r="N368" s="575">
        <v>-8.3770004339516202E-3</v>
      </c>
      <c r="O368" s="522"/>
    </row>
    <row r="369" spans="1:14" ht="15.75">
      <c r="A369" s="624"/>
      <c r="B369" s="522"/>
      <c r="C369" s="522"/>
      <c r="D369" s="522"/>
      <c r="E369" s="522"/>
      <c r="F369" s="522"/>
      <c r="G369" s="522"/>
      <c r="H369" s="522"/>
      <c r="I369" s="522"/>
      <c r="J369" s="522"/>
      <c r="K369" s="522"/>
      <c r="L369" s="522"/>
      <c r="M369" s="522"/>
      <c r="N369" s="522"/>
    </row>
    <row r="370" spans="1:14" ht="15.75">
      <c r="A370" s="624"/>
      <c r="B370" s="522"/>
      <c r="C370" s="522"/>
      <c r="D370" s="522"/>
      <c r="E370" s="522"/>
      <c r="F370" s="522"/>
      <c r="G370" s="522"/>
      <c r="H370" s="522"/>
      <c r="I370" s="522"/>
      <c r="J370" s="522"/>
      <c r="K370" s="522"/>
      <c r="L370" s="522"/>
      <c r="M370" s="522"/>
      <c r="N370" s="522"/>
    </row>
    <row r="371" spans="1:14" ht="16.5" thickBot="1">
      <c r="A371" s="540" t="s">
        <v>463</v>
      </c>
      <c r="B371" s="621"/>
      <c r="C371" s="542"/>
      <c r="D371" s="542"/>
      <c r="E371" s="542"/>
      <c r="F371" s="541"/>
      <c r="G371" s="542"/>
      <c r="H371" s="542"/>
      <c r="I371" s="542"/>
      <c r="J371" s="542"/>
      <c r="K371" s="542"/>
      <c r="L371" s="542"/>
      <c r="M371" s="542"/>
      <c r="N371" s="542"/>
    </row>
    <row r="372" spans="1:14" ht="13.5" thickBot="1">
      <c r="A372" s="543"/>
      <c r="B372" s="544">
        <v>2000</v>
      </c>
      <c r="C372" s="544">
        <v>2010</v>
      </c>
      <c r="D372" s="544">
        <v>2015</v>
      </c>
      <c r="E372" s="544">
        <v>2020</v>
      </c>
      <c r="F372" s="544">
        <v>2025</v>
      </c>
      <c r="G372" s="544">
        <v>2030</v>
      </c>
      <c r="H372" s="544">
        <v>2035</v>
      </c>
      <c r="I372" s="561" t="s">
        <v>365</v>
      </c>
      <c r="J372" s="562" t="s">
        <v>366</v>
      </c>
      <c r="K372" s="562" t="s">
        <v>367</v>
      </c>
      <c r="L372" s="562" t="s">
        <v>368</v>
      </c>
      <c r="M372" s="562" t="s">
        <v>369</v>
      </c>
      <c r="N372" s="563" t="s">
        <v>370</v>
      </c>
    </row>
    <row r="373" spans="1:14">
      <c r="A373" s="547" t="s">
        <v>455</v>
      </c>
      <c r="B373" s="623">
        <v>9.533649005768606E-2</v>
      </c>
      <c r="C373" s="623">
        <v>8.2754155957268941E-2</v>
      </c>
      <c r="D373" s="623">
        <v>7.6483402989259153E-2</v>
      </c>
      <c r="E373" s="623">
        <v>6.5208162298220393E-2</v>
      </c>
      <c r="F373" s="623">
        <v>5.5610273737633359E-2</v>
      </c>
      <c r="G373" s="623">
        <v>4.6012385177046332E-2</v>
      </c>
      <c r="H373" s="623">
        <v>4.0952223932270729E-2</v>
      </c>
      <c r="I373" s="569">
        <v>-1.405414512303782E-2</v>
      </c>
      <c r="J373" s="570">
        <v>-1.56365541908976E-2</v>
      </c>
      <c r="K373" s="570">
        <v>-3.139445341642122E-2</v>
      </c>
      <c r="L373" s="570">
        <v>-3.1341677097460496E-2</v>
      </c>
      <c r="M373" s="570">
        <v>-3.7182572208265707E-2</v>
      </c>
      <c r="N373" s="571">
        <v>-2.3031527521134576E-2</v>
      </c>
    </row>
    <row r="374" spans="1:14">
      <c r="A374" s="547" t="s">
        <v>464</v>
      </c>
      <c r="B374" s="613">
        <v>239.52792226349993</v>
      </c>
      <c r="C374" s="613">
        <v>242.70172486296278</v>
      </c>
      <c r="D374" s="613">
        <v>230.6096741540064</v>
      </c>
      <c r="E374" s="613">
        <v>213.24689998058935</v>
      </c>
      <c r="F374" s="613">
        <v>188.31475199977913</v>
      </c>
      <c r="G374" s="613">
        <v>163.38260401896892</v>
      </c>
      <c r="H374" s="613">
        <v>152.46619703938998</v>
      </c>
      <c r="I374" s="569">
        <v>1.3171891301944072E-3</v>
      </c>
      <c r="J374" s="570">
        <v>-1.0169271836725446E-2</v>
      </c>
      <c r="K374" s="570">
        <v>-1.5533276579697386E-2</v>
      </c>
      <c r="L374" s="570">
        <v>-2.456053355248855E-2</v>
      </c>
      <c r="M374" s="570">
        <v>-2.800441070208326E-2</v>
      </c>
      <c r="N374" s="571">
        <v>-1.3735160253362411E-2</v>
      </c>
    </row>
    <row r="375" spans="1:14">
      <c r="A375" s="547" t="s">
        <v>413</v>
      </c>
      <c r="B375" s="564">
        <v>2.5698673474957103</v>
      </c>
      <c r="C375" s="564">
        <v>2.3347730556062021</v>
      </c>
      <c r="D375" s="564">
        <v>2.1739974990945905</v>
      </c>
      <c r="E375" s="564">
        <v>1.9639934986469332</v>
      </c>
      <c r="F375" s="564">
        <v>1.7770727920966609</v>
      </c>
      <c r="G375" s="564">
        <v>1.5901520855463886</v>
      </c>
      <c r="H375" s="564">
        <v>1.4989982836893154</v>
      </c>
      <c r="I375" s="569">
        <v>-9.5480835905646932E-3</v>
      </c>
      <c r="J375" s="570">
        <v>-1.4168085599437052E-2</v>
      </c>
      <c r="K375" s="570">
        <v>-2.011253714461636E-2</v>
      </c>
      <c r="L375" s="570">
        <v>-1.9803755202265627E-2</v>
      </c>
      <c r="M375" s="570">
        <v>-2.1982357528298468E-2</v>
      </c>
      <c r="N375" s="571">
        <v>-1.1737094313286511E-2</v>
      </c>
    </row>
    <row r="376" spans="1:14" ht="13.5" thickBot="1">
      <c r="A376" s="555" t="s">
        <v>414</v>
      </c>
      <c r="B376" s="630">
        <v>6456.6566890180256</v>
      </c>
      <c r="C376" s="630">
        <v>6847.4319048313819</v>
      </c>
      <c r="D376" s="630">
        <v>6554.9496398353785</v>
      </c>
      <c r="E376" s="630">
        <v>6422.7469446707628</v>
      </c>
      <c r="F376" s="630">
        <v>6034.5610502352583</v>
      </c>
      <c r="G376" s="630">
        <v>5646.3751557997539</v>
      </c>
      <c r="H376" s="630">
        <v>5580.8096786310498</v>
      </c>
      <c r="I376" s="573">
        <v>5.8935021654642483E-3</v>
      </c>
      <c r="J376" s="574">
        <v>-8.6926471800921057E-3</v>
      </c>
      <c r="K376" s="574">
        <v>-4.0666158887889825E-3</v>
      </c>
      <c r="L376" s="574">
        <v>-1.2391145878337673E-2</v>
      </c>
      <c r="M376" s="574">
        <v>-1.3209842754972279E-2</v>
      </c>
      <c r="N376" s="575">
        <v>-2.3332545915516478E-3</v>
      </c>
    </row>
    <row r="377" spans="1:14" ht="15.75">
      <c r="A377" s="624"/>
      <c r="B377" s="522"/>
      <c r="C377" s="522"/>
      <c r="D377" s="522"/>
      <c r="E377" s="522"/>
      <c r="F377" s="522"/>
      <c r="G377" s="522"/>
      <c r="H377" s="522"/>
      <c r="I377" s="522"/>
      <c r="J377" s="522"/>
      <c r="K377" s="522"/>
      <c r="L377" s="522"/>
      <c r="M377" s="522"/>
      <c r="N377" s="522"/>
    </row>
    <row r="378" spans="1:14" ht="15.75">
      <c r="A378" s="624"/>
      <c r="B378" s="522"/>
      <c r="C378" s="522"/>
      <c r="D378" s="522"/>
      <c r="E378" s="522"/>
      <c r="F378" s="522"/>
      <c r="G378" s="522"/>
      <c r="H378" s="522"/>
      <c r="I378" s="522"/>
      <c r="J378" s="522"/>
      <c r="K378" s="522"/>
      <c r="L378" s="522"/>
      <c r="M378" s="522"/>
      <c r="N378" s="522"/>
    </row>
    <row r="380" spans="1:14">
      <c r="I380" s="373"/>
      <c r="J380" s="373"/>
      <c r="K380" s="373"/>
      <c r="L380" s="373"/>
      <c r="M380" s="373"/>
      <c r="N380" s="373"/>
    </row>
    <row r="403" spans="2:16" ht="15">
      <c r="B403" s="530"/>
      <c r="C403" s="530"/>
      <c r="D403" s="530"/>
      <c r="E403" s="530"/>
      <c r="F403" s="530"/>
      <c r="G403" s="530"/>
      <c r="H403" s="530"/>
      <c r="I403" s="530"/>
      <c r="J403" s="530"/>
      <c r="K403" s="530"/>
      <c r="L403" s="530"/>
      <c r="M403" s="530"/>
      <c r="N403" s="530"/>
      <c r="O403" s="522"/>
      <c r="P403" s="631"/>
    </row>
    <row r="404" spans="2:16" ht="15">
      <c r="B404" s="530"/>
      <c r="C404" s="530"/>
      <c r="D404" s="530"/>
      <c r="E404" s="530"/>
      <c r="F404" s="530"/>
      <c r="G404" s="530"/>
      <c r="H404" s="530"/>
      <c r="I404" s="530"/>
      <c r="J404" s="530"/>
      <c r="K404" s="530"/>
      <c r="L404" s="530"/>
      <c r="M404" s="530"/>
      <c r="N404" s="530"/>
      <c r="O404" s="522"/>
      <c r="P404" s="632"/>
    </row>
    <row r="405" spans="2:16" ht="15">
      <c r="B405" s="530"/>
      <c r="C405" s="530"/>
      <c r="D405" s="530"/>
      <c r="E405" s="530"/>
      <c r="F405" s="530"/>
      <c r="G405" s="530"/>
      <c r="H405" s="530"/>
      <c r="I405" s="530"/>
      <c r="J405" s="530"/>
      <c r="K405" s="530"/>
      <c r="L405" s="530"/>
      <c r="M405" s="530"/>
      <c r="N405" s="530"/>
      <c r="O405" s="522"/>
      <c r="P405" s="633"/>
    </row>
    <row r="517" spans="2:14">
      <c r="B517" s="530"/>
      <c r="C517" s="530"/>
      <c r="D517" s="530"/>
      <c r="E517" s="530"/>
      <c r="F517" s="530"/>
      <c r="G517" s="530"/>
      <c r="H517" s="530"/>
      <c r="I517" s="530"/>
      <c r="J517" s="530"/>
      <c r="K517" s="530"/>
      <c r="L517" s="530"/>
      <c r="M517" s="530"/>
      <c r="N517" s="530"/>
    </row>
    <row r="518" spans="2:14">
      <c r="B518" s="530"/>
      <c r="C518" s="530"/>
      <c r="D518" s="530"/>
      <c r="E518" s="530"/>
      <c r="F518" s="530"/>
      <c r="G518" s="530"/>
      <c r="H518" s="530"/>
      <c r="I518" s="530"/>
      <c r="J518" s="530"/>
      <c r="K518" s="530"/>
      <c r="L518" s="530"/>
      <c r="M518" s="530"/>
      <c r="N518" s="530"/>
    </row>
    <row r="519" spans="2:14">
      <c r="B519" s="530"/>
      <c r="C519" s="530"/>
      <c r="D519" s="530"/>
      <c r="E519" s="530"/>
      <c r="F519" s="530"/>
      <c r="G519" s="530"/>
      <c r="H519" s="530"/>
      <c r="I519" s="530"/>
      <c r="J519" s="530"/>
      <c r="K519" s="530"/>
      <c r="L519" s="530"/>
      <c r="M519" s="530"/>
      <c r="N519" s="530"/>
    </row>
    <row r="520" spans="2:14">
      <c r="B520" s="530"/>
      <c r="C520" s="530"/>
      <c r="D520" s="530"/>
      <c r="E520" s="530"/>
      <c r="F520" s="530"/>
      <c r="G520" s="530"/>
      <c r="H520" s="530"/>
      <c r="I520" s="530"/>
      <c r="J520" s="530"/>
      <c r="K520" s="530"/>
      <c r="L520" s="530"/>
      <c r="M520" s="530"/>
      <c r="N520" s="530"/>
    </row>
    <row r="521" spans="2:14">
      <c r="B521" s="530"/>
      <c r="C521" s="530"/>
      <c r="D521" s="530"/>
      <c r="E521" s="530"/>
      <c r="F521" s="530"/>
      <c r="G521" s="530"/>
      <c r="H521" s="530"/>
      <c r="I521" s="530"/>
      <c r="J521" s="530"/>
      <c r="K521" s="530"/>
      <c r="L521" s="530"/>
      <c r="M521" s="530"/>
      <c r="N521" s="530"/>
    </row>
    <row r="522" spans="2:14">
      <c r="B522" s="530"/>
      <c r="C522" s="530"/>
      <c r="D522" s="530"/>
      <c r="E522" s="530"/>
      <c r="F522" s="530"/>
      <c r="G522" s="530"/>
      <c r="H522" s="530"/>
      <c r="I522" s="530"/>
      <c r="J522" s="530"/>
      <c r="K522" s="530"/>
      <c r="L522" s="530"/>
      <c r="M522" s="530"/>
      <c r="N522" s="530"/>
    </row>
    <row r="523" spans="2:14">
      <c r="B523" s="530"/>
      <c r="C523" s="530"/>
      <c r="D523" s="530"/>
      <c r="E523" s="530"/>
      <c r="F523" s="530"/>
      <c r="G523" s="530"/>
      <c r="H523" s="530"/>
      <c r="I523" s="530"/>
      <c r="J523" s="530"/>
      <c r="K523" s="530"/>
      <c r="L523" s="530"/>
      <c r="M523" s="530"/>
      <c r="N523" s="530"/>
    </row>
    <row r="524" spans="2:14">
      <c r="B524" s="530"/>
      <c r="C524" s="530"/>
      <c r="D524" s="530"/>
      <c r="E524" s="530"/>
      <c r="F524" s="530"/>
      <c r="G524" s="530"/>
      <c r="H524" s="530"/>
      <c r="I524" s="530"/>
      <c r="J524" s="530"/>
      <c r="K524" s="530"/>
      <c r="L524" s="530"/>
      <c r="M524" s="530"/>
      <c r="N524" s="530"/>
    </row>
    <row r="525" spans="2:14">
      <c r="B525" s="530"/>
      <c r="C525" s="530"/>
      <c r="D525" s="530"/>
      <c r="E525" s="530"/>
      <c r="F525" s="530"/>
      <c r="G525" s="530"/>
      <c r="H525" s="530"/>
      <c r="I525" s="530"/>
      <c r="J525" s="530"/>
      <c r="K525" s="530"/>
      <c r="L525" s="530"/>
      <c r="M525" s="530"/>
      <c r="N525" s="530"/>
    </row>
    <row r="526" spans="2:14">
      <c r="B526" s="530"/>
      <c r="C526" s="530"/>
      <c r="D526" s="530"/>
      <c r="E526" s="530"/>
      <c r="F526" s="530"/>
      <c r="G526" s="530"/>
      <c r="H526" s="530"/>
      <c r="I526" s="530"/>
      <c r="J526" s="530"/>
      <c r="K526" s="530"/>
      <c r="L526" s="530"/>
      <c r="M526" s="530"/>
      <c r="N526" s="530"/>
    </row>
    <row r="527" spans="2:14">
      <c r="B527" s="530"/>
      <c r="C527" s="530"/>
      <c r="D527" s="530"/>
      <c r="E527" s="530"/>
      <c r="F527" s="530"/>
      <c r="G527" s="530"/>
      <c r="H527" s="530"/>
      <c r="I527" s="530"/>
      <c r="J527" s="530"/>
      <c r="K527" s="530"/>
      <c r="L527" s="530"/>
      <c r="M527" s="530"/>
      <c r="N527" s="530"/>
    </row>
    <row r="528" spans="2:14">
      <c r="B528" s="530"/>
      <c r="C528" s="530"/>
      <c r="D528" s="530"/>
      <c r="E528" s="530"/>
      <c r="F528" s="530"/>
      <c r="G528" s="530"/>
      <c r="H528" s="530"/>
      <c r="I528" s="530"/>
      <c r="J528" s="530"/>
      <c r="K528" s="530"/>
      <c r="L528" s="530"/>
      <c r="M528" s="530"/>
      <c r="N528" s="530"/>
    </row>
    <row r="529" spans="2:14">
      <c r="B529" s="530"/>
      <c r="C529" s="530"/>
      <c r="D529" s="530"/>
      <c r="E529" s="530"/>
      <c r="F529" s="530"/>
      <c r="G529" s="530"/>
      <c r="H529" s="530"/>
      <c r="I529" s="530"/>
      <c r="J529" s="530"/>
      <c r="K529" s="530"/>
      <c r="L529" s="530"/>
      <c r="M529" s="530"/>
      <c r="N529" s="530"/>
    </row>
    <row r="530" spans="2:14">
      <c r="B530" s="530"/>
      <c r="C530" s="530"/>
      <c r="D530" s="530"/>
      <c r="E530" s="530"/>
      <c r="F530" s="530"/>
      <c r="G530" s="530"/>
      <c r="H530" s="530"/>
      <c r="I530" s="530"/>
      <c r="J530" s="530"/>
      <c r="K530" s="530"/>
      <c r="L530" s="530"/>
      <c r="M530" s="530"/>
      <c r="N530" s="530"/>
    </row>
    <row r="531" spans="2:14">
      <c r="B531" s="530"/>
      <c r="C531" s="530"/>
      <c r="D531" s="530"/>
      <c r="E531" s="530"/>
      <c r="F531" s="530"/>
      <c r="G531" s="530"/>
      <c r="H531" s="530"/>
      <c r="I531" s="530"/>
      <c r="J531" s="530"/>
      <c r="K531" s="530"/>
      <c r="L531" s="530"/>
      <c r="M531" s="530"/>
      <c r="N531" s="530"/>
    </row>
    <row r="532" spans="2:14">
      <c r="B532" s="530"/>
      <c r="C532" s="530"/>
      <c r="D532" s="530"/>
      <c r="E532" s="530"/>
      <c r="F532" s="530"/>
      <c r="G532" s="530"/>
      <c r="H532" s="530"/>
      <c r="I532" s="530"/>
      <c r="J532" s="530"/>
      <c r="K532" s="530"/>
      <c r="L532" s="530"/>
      <c r="M532" s="530"/>
      <c r="N532" s="530"/>
    </row>
    <row r="533" spans="2:14">
      <c r="B533" s="530"/>
      <c r="C533" s="530"/>
      <c r="D533" s="530"/>
      <c r="E533" s="530"/>
      <c r="F533" s="530"/>
      <c r="G533" s="530"/>
      <c r="H533" s="530"/>
      <c r="I533" s="530"/>
      <c r="J533" s="530"/>
      <c r="K533" s="530"/>
      <c r="L533" s="530"/>
      <c r="M533" s="530"/>
      <c r="N533" s="530"/>
    </row>
    <row r="534" spans="2:14">
      <c r="B534" s="530"/>
      <c r="C534" s="530"/>
      <c r="D534" s="530"/>
      <c r="E534" s="530"/>
      <c r="F534" s="530"/>
      <c r="G534" s="530"/>
      <c r="H534" s="530"/>
      <c r="I534" s="530"/>
      <c r="J534" s="530"/>
      <c r="K534" s="530"/>
      <c r="L534" s="530"/>
      <c r="M534" s="530"/>
      <c r="N534" s="530"/>
    </row>
    <row r="535" spans="2:14">
      <c r="B535" s="530"/>
      <c r="C535" s="530"/>
      <c r="D535" s="530"/>
      <c r="E535" s="530"/>
      <c r="F535" s="530"/>
      <c r="G535" s="530"/>
      <c r="H535" s="530"/>
      <c r="I535" s="530"/>
      <c r="J535" s="530"/>
      <c r="K535" s="530"/>
      <c r="L535" s="530"/>
      <c r="M535" s="530"/>
      <c r="N535" s="530"/>
    </row>
    <row r="536" spans="2:14">
      <c r="B536" s="530"/>
      <c r="C536" s="530"/>
      <c r="D536" s="530"/>
      <c r="E536" s="530"/>
      <c r="F536" s="530"/>
      <c r="G536" s="530"/>
      <c r="H536" s="530"/>
      <c r="I536" s="530"/>
      <c r="J536" s="530"/>
      <c r="K536" s="530"/>
      <c r="L536" s="530"/>
      <c r="M536" s="530"/>
      <c r="N536" s="530"/>
    </row>
    <row r="537" spans="2:14">
      <c r="B537" s="530"/>
      <c r="C537" s="530"/>
      <c r="D537" s="530"/>
      <c r="E537" s="530"/>
      <c r="F537" s="530"/>
      <c r="G537" s="530"/>
      <c r="H537" s="530"/>
      <c r="I537" s="530"/>
      <c r="J537" s="530"/>
      <c r="K537" s="530"/>
      <c r="L537" s="530"/>
      <c r="M537" s="530"/>
      <c r="N537" s="530"/>
    </row>
    <row r="538" spans="2:14">
      <c r="B538" s="530"/>
      <c r="C538" s="530"/>
      <c r="D538" s="530"/>
      <c r="E538" s="530"/>
      <c r="F538" s="530"/>
      <c r="G538" s="530"/>
      <c r="H538" s="530"/>
      <c r="I538" s="530"/>
      <c r="J538" s="530"/>
      <c r="K538" s="530"/>
      <c r="L538" s="530"/>
      <c r="M538" s="530"/>
      <c r="N538" s="530"/>
    </row>
    <row r="539" spans="2:14">
      <c r="B539" s="530"/>
      <c r="C539" s="530"/>
      <c r="D539" s="530"/>
      <c r="E539" s="530"/>
      <c r="F539" s="530"/>
      <c r="G539" s="530"/>
      <c r="H539" s="530"/>
      <c r="I539" s="530"/>
      <c r="J539" s="530"/>
      <c r="K539" s="530"/>
      <c r="L539" s="530"/>
      <c r="M539" s="530"/>
      <c r="N539" s="530"/>
    </row>
    <row r="540" spans="2:14" s="125" customFormat="1">
      <c r="B540" s="533"/>
      <c r="C540" s="533"/>
      <c r="D540" s="533"/>
      <c r="E540" s="533"/>
      <c r="F540" s="533"/>
      <c r="G540" s="533"/>
      <c r="H540" s="533"/>
      <c r="I540" s="533"/>
      <c r="J540" s="533"/>
      <c r="K540" s="533"/>
      <c r="L540" s="533"/>
      <c r="M540" s="533"/>
      <c r="N540" s="533"/>
    </row>
    <row r="541" spans="2:14" s="125" customFormat="1">
      <c r="B541" s="533"/>
      <c r="C541" s="533"/>
      <c r="D541" s="533"/>
      <c r="E541" s="533"/>
      <c r="F541" s="533"/>
      <c r="G541" s="533"/>
      <c r="H541" s="533"/>
      <c r="I541" s="533"/>
      <c r="J541" s="533"/>
      <c r="K541" s="533"/>
      <c r="L541" s="533"/>
      <c r="M541" s="533"/>
      <c r="N541" s="533"/>
    </row>
    <row r="542" spans="2:14" s="125" customFormat="1">
      <c r="B542" s="533"/>
      <c r="C542" s="533"/>
      <c r="D542" s="533"/>
      <c r="E542" s="533"/>
      <c r="F542" s="533"/>
      <c r="G542" s="533"/>
      <c r="H542" s="533"/>
      <c r="I542" s="533"/>
      <c r="J542" s="533"/>
      <c r="K542" s="533"/>
      <c r="L542" s="533"/>
      <c r="M542" s="533"/>
      <c r="N542" s="533"/>
    </row>
    <row r="543" spans="2:14" s="125" customFormat="1">
      <c r="B543" s="533"/>
      <c r="C543" s="533"/>
      <c r="D543" s="533"/>
      <c r="E543" s="533"/>
      <c r="F543" s="533"/>
      <c r="G543" s="533"/>
      <c r="H543" s="533"/>
      <c r="I543" s="533"/>
      <c r="J543" s="533"/>
      <c r="K543" s="533"/>
      <c r="L543" s="533"/>
      <c r="M543" s="533"/>
      <c r="N543" s="533"/>
    </row>
    <row r="544" spans="2:14">
      <c r="B544" s="530"/>
      <c r="C544" s="530"/>
      <c r="D544" s="530"/>
      <c r="E544" s="530"/>
      <c r="F544" s="530"/>
      <c r="G544" s="530"/>
      <c r="H544" s="530"/>
      <c r="I544" s="530"/>
      <c r="J544" s="530"/>
      <c r="K544" s="530"/>
      <c r="L544" s="530"/>
      <c r="M544" s="530"/>
      <c r="N544" s="530"/>
    </row>
    <row r="545" spans="2:14" s="125" customFormat="1">
      <c r="B545" s="533"/>
      <c r="C545" s="533"/>
      <c r="D545" s="533"/>
      <c r="E545" s="533"/>
      <c r="F545" s="533"/>
      <c r="G545" s="533"/>
      <c r="H545" s="533"/>
      <c r="I545" s="533"/>
      <c r="J545" s="533"/>
      <c r="K545" s="533"/>
      <c r="L545" s="533"/>
      <c r="M545" s="533"/>
      <c r="N545" s="533"/>
    </row>
    <row r="546" spans="2:14" s="125" customFormat="1">
      <c r="B546" s="533"/>
      <c r="C546" s="533"/>
      <c r="D546" s="533"/>
      <c r="E546" s="533"/>
      <c r="F546" s="533"/>
      <c r="G546" s="533"/>
      <c r="H546" s="533"/>
      <c r="I546" s="533"/>
      <c r="J546" s="533"/>
      <c r="K546" s="533"/>
      <c r="L546" s="533"/>
      <c r="M546" s="533"/>
      <c r="N546" s="533"/>
    </row>
    <row r="547" spans="2:14" s="125" customFormat="1">
      <c r="B547" s="533"/>
      <c r="C547" s="533"/>
      <c r="D547" s="533"/>
      <c r="E547" s="533"/>
      <c r="F547" s="533"/>
      <c r="G547" s="533"/>
      <c r="H547" s="533"/>
      <c r="I547" s="533"/>
      <c r="J547" s="533"/>
      <c r="K547" s="533"/>
      <c r="L547" s="533"/>
      <c r="M547" s="533"/>
      <c r="N547" s="533"/>
    </row>
    <row r="548" spans="2:14" s="125" customFormat="1">
      <c r="B548" s="533"/>
      <c r="C548" s="533"/>
      <c r="D548" s="533"/>
      <c r="E548" s="533"/>
      <c r="F548" s="533"/>
      <c r="G548" s="533"/>
      <c r="H548" s="533"/>
      <c r="I548" s="533"/>
      <c r="J548" s="533"/>
      <c r="K548" s="533"/>
      <c r="L548" s="533"/>
      <c r="M548" s="533"/>
      <c r="N548" s="533"/>
    </row>
    <row r="549" spans="2:14" s="125" customFormat="1">
      <c r="B549" s="533"/>
      <c r="C549" s="533"/>
      <c r="D549" s="533"/>
      <c r="E549" s="533"/>
      <c r="F549" s="533"/>
      <c r="G549" s="533"/>
      <c r="H549" s="533"/>
      <c r="I549" s="533"/>
      <c r="J549" s="533"/>
      <c r="K549" s="533"/>
      <c r="L549" s="533"/>
      <c r="M549" s="533"/>
      <c r="N549" s="533"/>
    </row>
    <row r="550" spans="2:14" s="125" customFormat="1">
      <c r="B550" s="533"/>
      <c r="C550" s="533"/>
      <c r="D550" s="533"/>
      <c r="E550" s="533"/>
      <c r="F550" s="533"/>
      <c r="G550" s="533"/>
      <c r="H550" s="533"/>
      <c r="I550" s="533"/>
      <c r="J550" s="533"/>
      <c r="K550" s="533"/>
      <c r="L550" s="533"/>
      <c r="M550" s="533"/>
      <c r="N550" s="533"/>
    </row>
    <row r="551" spans="2:14" s="125" customFormat="1">
      <c r="B551" s="533"/>
      <c r="C551" s="533"/>
      <c r="D551" s="533"/>
      <c r="E551" s="533"/>
      <c r="F551" s="533"/>
      <c r="G551" s="533"/>
      <c r="H551" s="533"/>
      <c r="I551" s="533"/>
      <c r="J551" s="533"/>
      <c r="K551" s="533"/>
      <c r="L551" s="533"/>
      <c r="M551" s="533"/>
      <c r="N551" s="533"/>
    </row>
    <row r="552" spans="2:14" s="125" customFormat="1">
      <c r="B552" s="533"/>
      <c r="C552" s="533"/>
      <c r="D552" s="533"/>
      <c r="E552" s="533"/>
      <c r="F552" s="533"/>
      <c r="G552" s="533"/>
      <c r="H552" s="533"/>
      <c r="I552" s="533"/>
      <c r="J552" s="533"/>
      <c r="K552" s="533"/>
      <c r="L552" s="533"/>
      <c r="M552" s="533"/>
      <c r="N552" s="533"/>
    </row>
    <row r="553" spans="2:14" s="125" customFormat="1">
      <c r="B553" s="533"/>
      <c r="C553" s="533"/>
      <c r="D553" s="533"/>
      <c r="E553" s="533"/>
      <c r="F553" s="533"/>
      <c r="G553" s="533"/>
      <c r="H553" s="533"/>
      <c r="I553" s="533"/>
      <c r="J553" s="533"/>
      <c r="K553" s="533"/>
      <c r="L553" s="533"/>
      <c r="M553" s="533"/>
      <c r="N553" s="533"/>
    </row>
    <row r="554" spans="2:14" s="125" customFormat="1">
      <c r="B554" s="533"/>
      <c r="C554" s="533"/>
      <c r="D554" s="533"/>
      <c r="E554" s="533"/>
      <c r="F554" s="533"/>
      <c r="G554" s="533"/>
      <c r="H554" s="533"/>
      <c r="I554" s="533"/>
      <c r="J554" s="533"/>
      <c r="K554" s="533"/>
      <c r="L554" s="533"/>
      <c r="M554" s="533"/>
      <c r="N554" s="533"/>
    </row>
    <row r="555" spans="2:14">
      <c r="B555" s="530"/>
      <c r="C555" s="530"/>
      <c r="D555" s="530"/>
      <c r="E555" s="530"/>
      <c r="F555" s="530"/>
      <c r="G555" s="530"/>
      <c r="H555" s="530"/>
      <c r="I555" s="530"/>
      <c r="J555" s="530"/>
      <c r="K555" s="530"/>
      <c r="L555" s="530"/>
      <c r="M555" s="530"/>
      <c r="N555" s="530"/>
    </row>
    <row r="556" spans="2:14">
      <c r="B556" s="530"/>
      <c r="C556" s="530"/>
      <c r="D556" s="530"/>
      <c r="E556" s="530"/>
      <c r="F556" s="530"/>
      <c r="G556" s="530"/>
      <c r="H556" s="530"/>
      <c r="I556" s="530"/>
      <c r="J556" s="530"/>
      <c r="K556" s="530"/>
      <c r="L556" s="530"/>
      <c r="M556" s="530"/>
      <c r="N556" s="530"/>
    </row>
    <row r="557" spans="2:14" s="125" customFormat="1">
      <c r="B557" s="533"/>
      <c r="C557" s="533"/>
      <c r="D557" s="533"/>
      <c r="E557" s="533"/>
      <c r="F557" s="533"/>
      <c r="G557" s="533"/>
      <c r="H557" s="533"/>
      <c r="I557" s="533"/>
      <c r="J557" s="533"/>
      <c r="K557" s="533"/>
      <c r="L557" s="533"/>
      <c r="M557" s="533"/>
      <c r="N557" s="533"/>
    </row>
    <row r="558" spans="2:14" s="125" customFormat="1">
      <c r="B558" s="533"/>
      <c r="C558" s="533"/>
      <c r="D558" s="533"/>
      <c r="E558" s="533"/>
      <c r="F558" s="533"/>
      <c r="G558" s="533"/>
      <c r="H558" s="533"/>
      <c r="I558" s="533"/>
      <c r="J558" s="533"/>
      <c r="K558" s="533"/>
      <c r="L558" s="533"/>
      <c r="M558" s="533"/>
      <c r="N558" s="533"/>
    </row>
    <row r="559" spans="2:14" s="125" customFormat="1">
      <c r="B559" s="533"/>
      <c r="C559" s="533"/>
      <c r="D559" s="533"/>
      <c r="E559" s="533"/>
      <c r="F559" s="533"/>
      <c r="G559" s="533"/>
      <c r="H559" s="533"/>
      <c r="I559" s="533"/>
      <c r="J559" s="533"/>
      <c r="K559" s="533"/>
      <c r="L559" s="533"/>
      <c r="M559" s="533"/>
      <c r="N559" s="533"/>
    </row>
    <row r="560" spans="2:14" s="125" customFormat="1">
      <c r="B560" s="533"/>
      <c r="C560" s="533"/>
      <c r="D560" s="533"/>
      <c r="E560" s="533"/>
      <c r="F560" s="533"/>
      <c r="G560" s="533"/>
      <c r="H560" s="533"/>
      <c r="I560" s="533"/>
      <c r="J560" s="533"/>
      <c r="K560" s="533"/>
      <c r="L560" s="533"/>
      <c r="M560" s="533"/>
      <c r="N560" s="533"/>
    </row>
    <row r="561" spans="2:14" s="125" customFormat="1">
      <c r="B561" s="533"/>
      <c r="C561" s="533"/>
      <c r="D561" s="533"/>
      <c r="E561" s="533"/>
      <c r="F561" s="533"/>
      <c r="G561" s="533"/>
      <c r="H561" s="533"/>
      <c r="I561" s="533"/>
      <c r="J561" s="533"/>
      <c r="K561" s="533"/>
      <c r="L561" s="533"/>
      <c r="M561" s="533"/>
      <c r="N561" s="533"/>
    </row>
    <row r="562" spans="2:14" s="125" customFormat="1">
      <c r="B562" s="533"/>
      <c r="C562" s="533"/>
      <c r="D562" s="533"/>
      <c r="E562" s="533"/>
      <c r="F562" s="533"/>
      <c r="G562" s="533"/>
      <c r="H562" s="533"/>
      <c r="I562" s="533"/>
      <c r="J562" s="533"/>
      <c r="K562" s="533"/>
      <c r="L562" s="533"/>
      <c r="M562" s="533"/>
      <c r="N562" s="533"/>
    </row>
    <row r="563" spans="2:14" s="125" customFormat="1">
      <c r="B563" s="533"/>
      <c r="C563" s="533"/>
      <c r="D563" s="533"/>
      <c r="E563" s="533"/>
      <c r="F563" s="533"/>
      <c r="G563" s="533"/>
      <c r="H563" s="533"/>
      <c r="I563" s="533"/>
      <c r="J563" s="533"/>
      <c r="K563" s="533"/>
      <c r="L563" s="533"/>
      <c r="M563" s="533"/>
      <c r="N563" s="533"/>
    </row>
    <row r="564" spans="2:14" s="125" customFormat="1">
      <c r="B564" s="533"/>
      <c r="C564" s="533"/>
      <c r="D564" s="533"/>
      <c r="E564" s="533"/>
      <c r="F564" s="533"/>
      <c r="G564" s="533"/>
      <c r="H564" s="533"/>
      <c r="I564" s="533"/>
      <c r="J564" s="533"/>
      <c r="K564" s="533"/>
      <c r="L564" s="533"/>
      <c r="M564" s="533"/>
      <c r="N564" s="533"/>
    </row>
    <row r="565" spans="2:14" s="125" customFormat="1">
      <c r="B565" s="533"/>
      <c r="C565" s="533"/>
      <c r="D565" s="533"/>
      <c r="E565" s="533"/>
      <c r="F565" s="533"/>
      <c r="G565" s="533"/>
      <c r="H565" s="533"/>
      <c r="I565" s="533"/>
      <c r="J565" s="533"/>
      <c r="K565" s="533"/>
      <c r="L565" s="533"/>
      <c r="M565" s="533"/>
      <c r="N565" s="533"/>
    </row>
    <row r="566" spans="2:14" s="125" customFormat="1">
      <c r="B566" s="533"/>
      <c r="C566" s="533"/>
      <c r="D566" s="533"/>
      <c r="E566" s="533"/>
      <c r="F566" s="533"/>
      <c r="G566" s="533"/>
      <c r="H566" s="533"/>
      <c r="I566" s="533"/>
      <c r="J566" s="533"/>
      <c r="K566" s="533"/>
      <c r="L566" s="533"/>
      <c r="M566" s="533"/>
      <c r="N566" s="533"/>
    </row>
    <row r="567" spans="2:14">
      <c r="B567" s="530"/>
      <c r="C567" s="530"/>
      <c r="D567" s="530"/>
      <c r="E567" s="530"/>
      <c r="F567" s="530"/>
      <c r="G567" s="530"/>
      <c r="H567" s="530"/>
      <c r="I567" s="530"/>
      <c r="J567" s="530"/>
      <c r="K567" s="530"/>
      <c r="L567" s="530"/>
      <c r="M567" s="530"/>
      <c r="N567" s="530"/>
    </row>
    <row r="568" spans="2:14">
      <c r="B568" s="530"/>
      <c r="C568" s="530"/>
      <c r="D568" s="530"/>
      <c r="E568" s="530"/>
      <c r="F568" s="530"/>
      <c r="G568" s="530"/>
      <c r="H568" s="530"/>
      <c r="I568" s="530"/>
      <c r="J568" s="530"/>
      <c r="K568" s="530"/>
      <c r="L568" s="530"/>
      <c r="M568" s="530"/>
      <c r="N568" s="530"/>
    </row>
    <row r="569" spans="2:14" s="125" customFormat="1">
      <c r="B569" s="533"/>
      <c r="C569" s="533"/>
      <c r="D569" s="533"/>
      <c r="E569" s="533"/>
      <c r="F569" s="533"/>
      <c r="G569" s="533"/>
      <c r="H569" s="533"/>
      <c r="I569" s="533"/>
      <c r="J569" s="533"/>
      <c r="K569" s="533"/>
      <c r="L569" s="533"/>
      <c r="M569" s="533"/>
      <c r="N569" s="533"/>
    </row>
    <row r="570" spans="2:14" s="125" customFormat="1">
      <c r="B570" s="533"/>
      <c r="C570" s="533"/>
      <c r="D570" s="533"/>
      <c r="E570" s="533"/>
      <c r="F570" s="533"/>
      <c r="G570" s="533"/>
      <c r="H570" s="533"/>
      <c r="I570" s="533"/>
      <c r="J570" s="533"/>
      <c r="K570" s="533"/>
      <c r="L570" s="533"/>
      <c r="M570" s="533"/>
      <c r="N570" s="533"/>
    </row>
    <row r="571" spans="2:14" s="125" customFormat="1">
      <c r="B571" s="533"/>
      <c r="C571" s="533"/>
      <c r="D571" s="533"/>
      <c r="E571" s="533"/>
      <c r="F571" s="533"/>
      <c r="G571" s="533"/>
      <c r="H571" s="533"/>
      <c r="I571" s="533"/>
      <c r="J571" s="533"/>
      <c r="K571" s="533"/>
      <c r="L571" s="533"/>
      <c r="M571" s="533"/>
      <c r="N571" s="533"/>
    </row>
    <row r="572" spans="2:14">
      <c r="B572" s="530"/>
      <c r="C572" s="530"/>
      <c r="D572" s="530"/>
      <c r="E572" s="530"/>
      <c r="F572" s="530"/>
      <c r="G572" s="530"/>
      <c r="H572" s="530"/>
      <c r="I572" s="530"/>
      <c r="J572" s="530"/>
      <c r="K572" s="530"/>
      <c r="L572" s="530"/>
      <c r="M572" s="530"/>
      <c r="N572" s="530"/>
    </row>
    <row r="573" spans="2:14">
      <c r="B573" s="530"/>
      <c r="C573" s="530"/>
      <c r="D573" s="530"/>
      <c r="E573" s="530"/>
      <c r="F573" s="530"/>
      <c r="G573" s="530"/>
      <c r="H573" s="530"/>
      <c r="I573" s="530"/>
      <c r="J573" s="530"/>
      <c r="K573" s="530"/>
      <c r="L573" s="530"/>
      <c r="M573" s="530"/>
      <c r="N573" s="530"/>
    </row>
    <row r="574" spans="2:14">
      <c r="B574" s="530"/>
      <c r="C574" s="530"/>
      <c r="D574" s="530"/>
      <c r="E574" s="530"/>
      <c r="F574" s="530"/>
      <c r="G574" s="530"/>
      <c r="H574" s="530"/>
      <c r="I574" s="530"/>
      <c r="J574" s="530"/>
      <c r="K574" s="530"/>
      <c r="L574" s="530"/>
      <c r="M574" s="530"/>
      <c r="N574" s="530"/>
    </row>
    <row r="575" spans="2:14">
      <c r="B575" s="530"/>
      <c r="C575" s="530"/>
      <c r="D575" s="530"/>
      <c r="E575" s="530"/>
      <c r="F575" s="530"/>
      <c r="G575" s="530"/>
      <c r="H575" s="530"/>
      <c r="I575" s="530"/>
      <c r="J575" s="530"/>
      <c r="K575" s="530"/>
      <c r="L575" s="530"/>
      <c r="M575" s="530"/>
      <c r="N575" s="530"/>
    </row>
    <row r="576" spans="2:14">
      <c r="B576" s="530"/>
      <c r="C576" s="530"/>
      <c r="D576" s="530"/>
      <c r="E576" s="530"/>
      <c r="F576" s="530"/>
      <c r="G576" s="530"/>
      <c r="H576" s="530"/>
      <c r="I576" s="530"/>
      <c r="J576" s="530"/>
      <c r="K576" s="530"/>
      <c r="L576" s="530"/>
      <c r="M576" s="530"/>
      <c r="N576" s="530"/>
    </row>
    <row r="577" spans="2:14">
      <c r="B577" s="530"/>
      <c r="C577" s="530"/>
      <c r="D577" s="530"/>
      <c r="E577" s="530"/>
      <c r="F577" s="530"/>
      <c r="G577" s="530"/>
      <c r="H577" s="530"/>
      <c r="I577" s="530"/>
      <c r="J577" s="530"/>
      <c r="K577" s="530"/>
      <c r="L577" s="530"/>
      <c r="M577" s="530"/>
      <c r="N577" s="530"/>
    </row>
    <row r="578" spans="2:14">
      <c r="B578" s="530"/>
      <c r="C578" s="530"/>
      <c r="D578" s="530"/>
      <c r="E578" s="530"/>
      <c r="F578" s="530"/>
      <c r="G578" s="530"/>
      <c r="H578" s="530"/>
      <c r="I578" s="530"/>
      <c r="J578" s="530"/>
      <c r="K578" s="530"/>
      <c r="L578" s="530"/>
      <c r="M578" s="530"/>
      <c r="N578" s="530"/>
    </row>
    <row r="579" spans="2:14">
      <c r="B579" s="530"/>
      <c r="C579" s="530"/>
      <c r="D579" s="530"/>
      <c r="E579" s="530"/>
      <c r="F579" s="530"/>
      <c r="G579" s="530"/>
      <c r="H579" s="530"/>
      <c r="I579" s="530"/>
      <c r="J579" s="530"/>
      <c r="K579" s="530"/>
      <c r="L579" s="530"/>
      <c r="M579" s="530"/>
      <c r="N579" s="530"/>
    </row>
    <row r="580" spans="2:14">
      <c r="B580" s="530"/>
      <c r="C580" s="530"/>
      <c r="D580" s="530"/>
      <c r="E580" s="530"/>
      <c r="F580" s="530"/>
      <c r="G580" s="530"/>
      <c r="H580" s="530"/>
      <c r="I580" s="530"/>
      <c r="J580" s="530"/>
      <c r="K580" s="530"/>
      <c r="L580" s="530"/>
      <c r="M580" s="530"/>
      <c r="N580" s="530"/>
    </row>
    <row r="581" spans="2:14">
      <c r="B581" s="530"/>
      <c r="C581" s="530"/>
      <c r="D581" s="530"/>
      <c r="E581" s="530"/>
      <c r="F581" s="530"/>
      <c r="G581" s="530"/>
      <c r="H581" s="530"/>
      <c r="I581" s="530"/>
      <c r="J581" s="530"/>
      <c r="K581" s="530"/>
      <c r="L581" s="530"/>
      <c r="M581" s="530"/>
      <c r="N581" s="530"/>
    </row>
    <row r="582" spans="2:14">
      <c r="B582" s="530"/>
      <c r="C582" s="530"/>
      <c r="D582" s="530"/>
      <c r="E582" s="530"/>
      <c r="F582" s="530"/>
      <c r="G582" s="530"/>
      <c r="H582" s="530"/>
      <c r="I582" s="530"/>
      <c r="J582" s="530"/>
      <c r="K582" s="530"/>
      <c r="L582" s="530"/>
      <c r="M582" s="530"/>
      <c r="N582" s="530"/>
    </row>
    <row r="583" spans="2:14">
      <c r="B583" s="530"/>
      <c r="C583" s="530"/>
      <c r="D583" s="530"/>
      <c r="E583" s="530"/>
      <c r="F583" s="530"/>
      <c r="G583" s="530"/>
      <c r="H583" s="530"/>
      <c r="I583" s="530"/>
      <c r="J583" s="530"/>
      <c r="K583" s="530"/>
      <c r="L583" s="530"/>
      <c r="M583" s="530"/>
      <c r="N583" s="530"/>
    </row>
    <row r="584" spans="2:14">
      <c r="B584" s="530"/>
      <c r="C584" s="530"/>
      <c r="D584" s="530"/>
      <c r="E584" s="530"/>
      <c r="F584" s="530"/>
      <c r="G584" s="530"/>
      <c r="H584" s="530"/>
      <c r="I584" s="530"/>
      <c r="J584" s="530"/>
      <c r="K584" s="530"/>
      <c r="L584" s="530"/>
      <c r="M584" s="530"/>
      <c r="N584" s="530"/>
    </row>
    <row r="585" spans="2:14">
      <c r="B585" s="530"/>
      <c r="C585" s="530"/>
      <c r="D585" s="530"/>
      <c r="E585" s="530"/>
      <c r="F585" s="530"/>
      <c r="G585" s="530"/>
      <c r="H585" s="530"/>
      <c r="I585" s="530"/>
      <c r="J585" s="530"/>
      <c r="K585" s="530"/>
      <c r="L585" s="530"/>
      <c r="M585" s="530"/>
      <c r="N585" s="530"/>
    </row>
    <row r="586" spans="2:14">
      <c r="B586" s="530"/>
      <c r="C586" s="530"/>
      <c r="D586" s="530"/>
      <c r="E586" s="530"/>
      <c r="F586" s="530"/>
      <c r="G586" s="530"/>
      <c r="H586" s="530"/>
      <c r="I586" s="530"/>
      <c r="J586" s="530"/>
      <c r="K586" s="530"/>
      <c r="L586" s="530"/>
      <c r="M586" s="530"/>
      <c r="N586" s="530"/>
    </row>
    <row r="587" spans="2:14">
      <c r="B587" s="530"/>
      <c r="C587" s="530"/>
      <c r="D587" s="530"/>
      <c r="E587" s="530"/>
      <c r="F587" s="530"/>
      <c r="G587" s="530"/>
      <c r="H587" s="530"/>
      <c r="I587" s="530"/>
      <c r="J587" s="530"/>
      <c r="K587" s="530"/>
      <c r="L587" s="530"/>
      <c r="M587" s="530"/>
      <c r="N587" s="530"/>
    </row>
    <row r="588" spans="2:14">
      <c r="B588" s="530"/>
      <c r="C588" s="530"/>
      <c r="D588" s="530"/>
      <c r="E588" s="530"/>
      <c r="F588" s="530"/>
      <c r="G588" s="530"/>
      <c r="H588" s="530"/>
      <c r="I588" s="530"/>
      <c r="J588" s="530"/>
      <c r="K588" s="530"/>
      <c r="L588" s="530"/>
      <c r="M588" s="530"/>
      <c r="N588" s="530"/>
    </row>
    <row r="589" spans="2:14">
      <c r="B589" s="530"/>
      <c r="C589" s="530"/>
      <c r="D589" s="530"/>
      <c r="E589" s="530"/>
      <c r="F589" s="530"/>
      <c r="G589" s="530"/>
      <c r="H589" s="530"/>
      <c r="I589" s="530"/>
      <c r="J589" s="530"/>
      <c r="K589" s="530"/>
      <c r="L589" s="530"/>
      <c r="M589" s="530"/>
      <c r="N589" s="530"/>
    </row>
    <row r="590" spans="2:14">
      <c r="B590" s="530"/>
      <c r="C590" s="530"/>
      <c r="D590" s="530"/>
      <c r="E590" s="530"/>
      <c r="F590" s="530"/>
      <c r="G590" s="530"/>
      <c r="H590" s="530"/>
      <c r="I590" s="530"/>
      <c r="J590" s="530"/>
      <c r="K590" s="530"/>
      <c r="L590" s="530"/>
      <c r="M590" s="530"/>
      <c r="N590" s="530"/>
    </row>
    <row r="591" spans="2:14">
      <c r="B591" s="530"/>
      <c r="C591" s="530"/>
      <c r="D591" s="530"/>
      <c r="E591" s="530"/>
      <c r="F591" s="530"/>
      <c r="G591" s="530"/>
      <c r="H591" s="530"/>
      <c r="I591" s="530"/>
      <c r="J591" s="530"/>
      <c r="K591" s="530"/>
      <c r="L591" s="530"/>
      <c r="M591" s="530"/>
      <c r="N591" s="530"/>
    </row>
    <row r="592" spans="2:14">
      <c r="B592" s="530"/>
      <c r="C592" s="530"/>
      <c r="D592" s="530"/>
      <c r="E592" s="530"/>
      <c r="F592" s="530"/>
      <c r="G592" s="530"/>
      <c r="H592" s="530"/>
      <c r="I592" s="530"/>
      <c r="J592" s="530"/>
      <c r="K592" s="530"/>
      <c r="L592" s="530"/>
      <c r="M592" s="530"/>
      <c r="N592" s="530"/>
    </row>
    <row r="593" spans="2:14">
      <c r="B593" s="530"/>
      <c r="C593" s="530"/>
      <c r="D593" s="530"/>
      <c r="E593" s="530"/>
      <c r="F593" s="530"/>
      <c r="G593" s="530"/>
      <c r="H593" s="530"/>
      <c r="I593" s="530"/>
      <c r="J593" s="530"/>
      <c r="K593" s="530"/>
      <c r="L593" s="530"/>
      <c r="M593" s="530"/>
      <c r="N593" s="530"/>
    </row>
    <row r="594" spans="2:14">
      <c r="B594" s="530"/>
      <c r="C594" s="530"/>
      <c r="D594" s="530"/>
      <c r="E594" s="530"/>
      <c r="F594" s="530"/>
      <c r="G594" s="530"/>
      <c r="H594" s="530"/>
      <c r="I594" s="530"/>
      <c r="J594" s="530"/>
      <c r="K594" s="530"/>
      <c r="L594" s="530"/>
      <c r="M594" s="530"/>
      <c r="N594" s="530"/>
    </row>
    <row r="595" spans="2:14">
      <c r="B595" s="530"/>
      <c r="C595" s="530"/>
      <c r="D595" s="530"/>
      <c r="E595" s="530"/>
      <c r="F595" s="530"/>
      <c r="G595" s="530"/>
      <c r="H595" s="530"/>
      <c r="I595" s="530"/>
      <c r="J595" s="530"/>
      <c r="K595" s="530"/>
      <c r="L595" s="530"/>
      <c r="M595" s="530"/>
      <c r="N595" s="530"/>
    </row>
    <row r="596" spans="2:14">
      <c r="B596" s="530"/>
      <c r="C596" s="530"/>
      <c r="D596" s="530"/>
      <c r="E596" s="530"/>
      <c r="F596" s="530"/>
      <c r="G596" s="530"/>
      <c r="H596" s="530"/>
      <c r="I596" s="530"/>
      <c r="J596" s="530"/>
      <c r="K596" s="530"/>
      <c r="L596" s="530"/>
      <c r="M596" s="530"/>
      <c r="N596" s="530"/>
    </row>
    <row r="597" spans="2:14">
      <c r="B597" s="530"/>
      <c r="C597" s="530"/>
      <c r="D597" s="530"/>
      <c r="E597" s="530"/>
      <c r="F597" s="530"/>
      <c r="G597" s="530"/>
      <c r="H597" s="530"/>
      <c r="I597" s="530"/>
      <c r="J597" s="530"/>
      <c r="K597" s="530"/>
      <c r="L597" s="530"/>
      <c r="M597" s="530"/>
      <c r="N597" s="530"/>
    </row>
    <row r="598" spans="2:14">
      <c r="B598" s="530"/>
      <c r="C598" s="530"/>
      <c r="D598" s="530"/>
      <c r="E598" s="530"/>
      <c r="F598" s="530"/>
      <c r="G598" s="530"/>
      <c r="H598" s="530"/>
      <c r="I598" s="530"/>
      <c r="J598" s="530"/>
      <c r="K598" s="530"/>
      <c r="L598" s="530"/>
      <c r="M598" s="530"/>
      <c r="N598" s="530"/>
    </row>
    <row r="599" spans="2:14">
      <c r="B599" s="530"/>
      <c r="C599" s="530"/>
      <c r="D599" s="530"/>
      <c r="E599" s="530"/>
      <c r="F599" s="530"/>
      <c r="G599" s="530"/>
      <c r="H599" s="530"/>
      <c r="I599" s="530"/>
      <c r="J599" s="530"/>
      <c r="K599" s="530"/>
      <c r="L599" s="530"/>
      <c r="M599" s="530"/>
      <c r="N599" s="530"/>
    </row>
    <row r="600" spans="2:14">
      <c r="B600" s="530"/>
      <c r="C600" s="530"/>
      <c r="D600" s="530"/>
      <c r="E600" s="530"/>
      <c r="F600" s="530"/>
      <c r="G600" s="530"/>
      <c r="H600" s="530"/>
      <c r="I600" s="530"/>
      <c r="J600" s="530"/>
      <c r="K600" s="530"/>
      <c r="L600" s="530"/>
      <c r="M600" s="530"/>
      <c r="N600" s="530"/>
    </row>
    <row r="601" spans="2:14">
      <c r="B601" s="530"/>
      <c r="C601" s="530"/>
      <c r="D601" s="530"/>
      <c r="E601" s="530"/>
      <c r="F601" s="530"/>
      <c r="G601" s="530"/>
      <c r="H601" s="530"/>
      <c r="I601" s="530"/>
      <c r="J601" s="530"/>
      <c r="K601" s="530"/>
      <c r="L601" s="530"/>
      <c r="M601" s="530"/>
      <c r="N601" s="530"/>
    </row>
    <row r="602" spans="2:14">
      <c r="B602" s="530"/>
      <c r="C602" s="530"/>
      <c r="D602" s="530"/>
      <c r="E602" s="530"/>
      <c r="F602" s="530"/>
      <c r="G602" s="530"/>
      <c r="H602" s="530"/>
      <c r="I602" s="530"/>
      <c r="J602" s="530"/>
      <c r="K602" s="530"/>
      <c r="L602" s="530"/>
      <c r="M602" s="530"/>
      <c r="N602" s="530"/>
    </row>
    <row r="603" spans="2:14">
      <c r="B603" s="530"/>
      <c r="C603" s="530"/>
      <c r="D603" s="530"/>
      <c r="E603" s="530"/>
      <c r="F603" s="530"/>
      <c r="G603" s="530"/>
      <c r="H603" s="530"/>
      <c r="I603" s="530"/>
      <c r="J603" s="530"/>
      <c r="K603" s="530"/>
      <c r="L603" s="530"/>
      <c r="M603" s="530"/>
      <c r="N603" s="530"/>
    </row>
    <row r="604" spans="2:14" s="125" customFormat="1">
      <c r="B604" s="533"/>
      <c r="C604" s="533"/>
      <c r="D604" s="533"/>
      <c r="E604" s="533"/>
      <c r="F604" s="533"/>
      <c r="G604" s="533"/>
      <c r="H604" s="533"/>
      <c r="I604" s="533"/>
      <c r="J604" s="533"/>
      <c r="K604" s="533"/>
      <c r="L604" s="533"/>
      <c r="M604" s="533"/>
      <c r="N604" s="533"/>
    </row>
    <row r="605" spans="2:14" s="125" customFormat="1">
      <c r="B605" s="533"/>
      <c r="C605" s="533"/>
      <c r="D605" s="533"/>
      <c r="E605" s="533"/>
      <c r="F605" s="533"/>
      <c r="G605" s="533"/>
      <c r="H605" s="533"/>
      <c r="I605" s="533"/>
      <c r="J605" s="533"/>
      <c r="K605" s="533"/>
      <c r="L605" s="533"/>
      <c r="M605" s="533"/>
      <c r="N605" s="533"/>
    </row>
    <row r="606" spans="2:14" s="125" customFormat="1">
      <c r="B606" s="533"/>
      <c r="C606" s="533"/>
      <c r="D606" s="533"/>
      <c r="E606" s="533"/>
      <c r="F606" s="533"/>
      <c r="G606" s="533"/>
      <c r="H606" s="533"/>
      <c r="I606" s="533"/>
      <c r="J606" s="533"/>
      <c r="K606" s="533"/>
      <c r="L606" s="533"/>
      <c r="M606" s="533"/>
      <c r="N606" s="533"/>
    </row>
    <row r="607" spans="2:14" s="125" customFormat="1">
      <c r="B607" s="533"/>
      <c r="C607" s="533"/>
      <c r="D607" s="533"/>
      <c r="E607" s="533"/>
      <c r="F607" s="533"/>
      <c r="G607" s="533"/>
      <c r="H607" s="533"/>
      <c r="I607" s="533"/>
      <c r="J607" s="533"/>
      <c r="K607" s="533"/>
      <c r="L607" s="533"/>
      <c r="M607" s="533"/>
      <c r="N607" s="533"/>
    </row>
    <row r="608" spans="2:14" s="125" customFormat="1">
      <c r="B608" s="533"/>
      <c r="C608" s="533"/>
      <c r="D608" s="533"/>
      <c r="E608" s="533"/>
      <c r="F608" s="533"/>
      <c r="G608" s="533"/>
      <c r="H608" s="533"/>
      <c r="I608" s="533"/>
      <c r="J608" s="533"/>
      <c r="K608" s="533"/>
      <c r="L608" s="533"/>
      <c r="M608" s="533"/>
      <c r="N608" s="533"/>
    </row>
    <row r="609" spans="2:14" s="125" customFormat="1">
      <c r="B609" s="533"/>
      <c r="C609" s="533"/>
      <c r="D609" s="533"/>
      <c r="E609" s="533"/>
      <c r="F609" s="533"/>
      <c r="G609" s="533"/>
      <c r="H609" s="533"/>
      <c r="I609" s="533"/>
      <c r="J609" s="533"/>
      <c r="K609" s="533"/>
      <c r="L609" s="533"/>
      <c r="M609" s="533"/>
      <c r="N609" s="533"/>
    </row>
    <row r="610" spans="2:14" s="125" customFormat="1">
      <c r="B610" s="533"/>
      <c r="C610" s="533"/>
      <c r="D610" s="533"/>
      <c r="E610" s="533"/>
      <c r="F610" s="533"/>
      <c r="G610" s="533"/>
      <c r="H610" s="533"/>
      <c r="I610" s="533"/>
      <c r="J610" s="533"/>
      <c r="K610" s="533"/>
      <c r="L610" s="533"/>
      <c r="M610" s="533"/>
      <c r="N610" s="533"/>
    </row>
    <row r="611" spans="2:14">
      <c r="B611" s="530"/>
      <c r="C611" s="530"/>
      <c r="D611" s="530"/>
      <c r="E611" s="530"/>
      <c r="F611" s="530"/>
      <c r="G611" s="530"/>
      <c r="H611" s="530"/>
      <c r="I611" s="530"/>
      <c r="J611" s="530"/>
      <c r="K611" s="530"/>
      <c r="L611" s="530"/>
      <c r="M611" s="530"/>
      <c r="N611" s="530"/>
    </row>
    <row r="612" spans="2:14" s="125" customFormat="1">
      <c r="B612" s="533"/>
      <c r="C612" s="533"/>
      <c r="D612" s="533"/>
      <c r="E612" s="533"/>
      <c r="F612" s="533"/>
      <c r="G612" s="533"/>
      <c r="H612" s="533"/>
      <c r="I612" s="533"/>
      <c r="J612" s="533"/>
      <c r="K612" s="533"/>
      <c r="L612" s="533"/>
      <c r="M612" s="533"/>
      <c r="N612" s="533"/>
    </row>
    <row r="613" spans="2:14">
      <c r="B613" s="530"/>
      <c r="C613" s="530"/>
      <c r="D613" s="530"/>
      <c r="E613" s="530"/>
      <c r="F613" s="530"/>
      <c r="G613" s="530"/>
      <c r="H613" s="530"/>
      <c r="I613" s="530"/>
      <c r="J613" s="530"/>
      <c r="K613" s="530"/>
      <c r="L613" s="530"/>
      <c r="M613" s="530"/>
      <c r="N613" s="530"/>
    </row>
    <row r="614" spans="2:14">
      <c r="B614" s="530"/>
      <c r="C614" s="530"/>
      <c r="D614" s="530"/>
      <c r="E614" s="530"/>
      <c r="F614" s="530"/>
      <c r="G614" s="530"/>
      <c r="H614" s="530"/>
      <c r="I614" s="530"/>
      <c r="J614" s="530"/>
      <c r="K614" s="530"/>
      <c r="L614" s="530"/>
      <c r="M614" s="530"/>
      <c r="N614" s="530"/>
    </row>
    <row r="615" spans="2:14">
      <c r="B615" s="530"/>
      <c r="C615" s="530"/>
      <c r="D615" s="530"/>
      <c r="E615" s="530"/>
      <c r="F615" s="530"/>
      <c r="G615" s="530"/>
      <c r="H615" s="530"/>
      <c r="I615" s="530"/>
      <c r="J615" s="530"/>
      <c r="K615" s="530"/>
      <c r="L615" s="530"/>
      <c r="M615" s="530"/>
      <c r="N615" s="530"/>
    </row>
    <row r="616" spans="2:14">
      <c r="B616" s="530"/>
      <c r="C616" s="530"/>
      <c r="D616" s="530"/>
      <c r="E616" s="530"/>
      <c r="F616" s="530"/>
      <c r="G616" s="530"/>
      <c r="H616" s="530"/>
      <c r="I616" s="530"/>
      <c r="J616" s="530"/>
      <c r="K616" s="530"/>
      <c r="L616" s="530"/>
      <c r="M616" s="530"/>
      <c r="N616" s="530"/>
    </row>
    <row r="617" spans="2:14">
      <c r="B617" s="530"/>
      <c r="C617" s="530"/>
      <c r="D617" s="530"/>
      <c r="E617" s="530"/>
      <c r="F617" s="530"/>
      <c r="G617" s="530"/>
      <c r="H617" s="530"/>
      <c r="I617" s="530"/>
      <c r="J617" s="530"/>
      <c r="K617" s="530"/>
      <c r="L617" s="530"/>
      <c r="M617" s="530"/>
      <c r="N617" s="530"/>
    </row>
    <row r="618" spans="2:14">
      <c r="B618" s="530"/>
      <c r="C618" s="530"/>
      <c r="D618" s="530"/>
      <c r="E618" s="530"/>
      <c r="F618" s="530"/>
      <c r="G618" s="530"/>
      <c r="H618" s="530"/>
      <c r="I618" s="530"/>
      <c r="J618" s="530"/>
      <c r="K618" s="530"/>
      <c r="L618" s="530"/>
      <c r="M618" s="530"/>
      <c r="N618" s="5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83" zoomScale="115" zoomScaleNormal="115" workbookViewId="0">
      <selection activeCell="H85" sqref="H85:H89"/>
    </sheetView>
  </sheetViews>
  <sheetFormatPr baseColWidth="10" defaultRowHeight="12.75"/>
  <cols>
    <col min="1" max="1" width="47.85546875" style="151" customWidth="1"/>
    <col min="2" max="8" width="12" style="151" customWidth="1"/>
    <col min="9" max="10" width="11.42578125" style="151"/>
    <col min="11" max="11" width="11.5703125" style="151" bestFit="1" customWidth="1"/>
    <col min="12" max="12" width="11.42578125" style="151"/>
    <col min="13" max="13" width="15.42578125" style="151" bestFit="1" customWidth="1"/>
    <col min="14" max="256" width="11.42578125" style="151"/>
    <col min="257" max="257" width="47.85546875" style="151" customWidth="1"/>
    <col min="258" max="264" width="12" style="151" customWidth="1"/>
    <col min="265" max="266" width="11.42578125" style="151"/>
    <col min="267" max="267" width="11.5703125" style="151" bestFit="1" customWidth="1"/>
    <col min="268" max="268" width="11.42578125" style="151"/>
    <col min="269" max="269" width="15.42578125" style="151" bestFit="1" customWidth="1"/>
    <col min="270" max="512" width="11.42578125" style="151"/>
    <col min="513" max="513" width="47.85546875" style="151" customWidth="1"/>
    <col min="514" max="520" width="12" style="151" customWidth="1"/>
    <col min="521" max="522" width="11.42578125" style="151"/>
    <col min="523" max="523" width="11.5703125" style="151" bestFit="1" customWidth="1"/>
    <col min="524" max="524" width="11.42578125" style="151"/>
    <col min="525" max="525" width="15.42578125" style="151" bestFit="1" customWidth="1"/>
    <col min="526" max="768" width="11.42578125" style="151"/>
    <col min="769" max="769" width="47.85546875" style="151" customWidth="1"/>
    <col min="770" max="776" width="12" style="151" customWidth="1"/>
    <col min="777" max="778" width="11.42578125" style="151"/>
    <col min="779" max="779" width="11.5703125" style="151" bestFit="1" customWidth="1"/>
    <col min="780" max="780" width="11.42578125" style="151"/>
    <col min="781" max="781" width="15.42578125" style="151" bestFit="1" customWidth="1"/>
    <col min="782" max="1024" width="11.42578125" style="151"/>
    <col min="1025" max="1025" width="47.85546875" style="151" customWidth="1"/>
    <col min="1026" max="1032" width="12" style="151" customWidth="1"/>
    <col min="1033" max="1034" width="11.42578125" style="151"/>
    <col min="1035" max="1035" width="11.5703125" style="151" bestFit="1" customWidth="1"/>
    <col min="1036" max="1036" width="11.42578125" style="151"/>
    <col min="1037" max="1037" width="15.42578125" style="151" bestFit="1" customWidth="1"/>
    <col min="1038" max="1280" width="11.42578125" style="151"/>
    <col min="1281" max="1281" width="47.85546875" style="151" customWidth="1"/>
    <col min="1282" max="1288" width="12" style="151" customWidth="1"/>
    <col min="1289" max="1290" width="11.42578125" style="151"/>
    <col min="1291" max="1291" width="11.5703125" style="151" bestFit="1" customWidth="1"/>
    <col min="1292" max="1292" width="11.42578125" style="151"/>
    <col min="1293" max="1293" width="15.42578125" style="151" bestFit="1" customWidth="1"/>
    <col min="1294" max="1536" width="11.42578125" style="151"/>
    <col min="1537" max="1537" width="47.85546875" style="151" customWidth="1"/>
    <col min="1538" max="1544" width="12" style="151" customWidth="1"/>
    <col min="1545" max="1546" width="11.42578125" style="151"/>
    <col min="1547" max="1547" width="11.5703125" style="151" bestFit="1" customWidth="1"/>
    <col min="1548" max="1548" width="11.42578125" style="151"/>
    <col min="1549" max="1549" width="15.42578125" style="151" bestFit="1" customWidth="1"/>
    <col min="1550" max="1792" width="11.42578125" style="151"/>
    <col min="1793" max="1793" width="47.85546875" style="151" customWidth="1"/>
    <col min="1794" max="1800" width="12" style="151" customWidth="1"/>
    <col min="1801" max="1802" width="11.42578125" style="151"/>
    <col min="1803" max="1803" width="11.5703125" style="151" bestFit="1" customWidth="1"/>
    <col min="1804" max="1804" width="11.42578125" style="151"/>
    <col min="1805" max="1805" width="15.42578125" style="151" bestFit="1" customWidth="1"/>
    <col min="1806" max="2048" width="11.42578125" style="151"/>
    <col min="2049" max="2049" width="47.85546875" style="151" customWidth="1"/>
    <col min="2050" max="2056" width="12" style="151" customWidth="1"/>
    <col min="2057" max="2058" width="11.42578125" style="151"/>
    <col min="2059" max="2059" width="11.5703125" style="151" bestFit="1" customWidth="1"/>
    <col min="2060" max="2060" width="11.42578125" style="151"/>
    <col min="2061" max="2061" width="15.42578125" style="151" bestFit="1" customWidth="1"/>
    <col min="2062" max="2304" width="11.42578125" style="151"/>
    <col min="2305" max="2305" width="47.85546875" style="151" customWidth="1"/>
    <col min="2306" max="2312" width="12" style="151" customWidth="1"/>
    <col min="2313" max="2314" width="11.42578125" style="151"/>
    <col min="2315" max="2315" width="11.5703125" style="151" bestFit="1" customWidth="1"/>
    <col min="2316" max="2316" width="11.42578125" style="151"/>
    <col min="2317" max="2317" width="15.42578125" style="151" bestFit="1" customWidth="1"/>
    <col min="2318" max="2560" width="11.42578125" style="151"/>
    <col min="2561" max="2561" width="47.85546875" style="151" customWidth="1"/>
    <col min="2562" max="2568" width="12" style="151" customWidth="1"/>
    <col min="2569" max="2570" width="11.42578125" style="151"/>
    <col min="2571" max="2571" width="11.5703125" style="151" bestFit="1" customWidth="1"/>
    <col min="2572" max="2572" width="11.42578125" style="151"/>
    <col min="2573" max="2573" width="15.42578125" style="151" bestFit="1" customWidth="1"/>
    <col min="2574" max="2816" width="11.42578125" style="151"/>
    <col min="2817" max="2817" width="47.85546875" style="151" customWidth="1"/>
    <col min="2818" max="2824" width="12" style="151" customWidth="1"/>
    <col min="2825" max="2826" width="11.42578125" style="151"/>
    <col min="2827" max="2827" width="11.5703125" style="151" bestFit="1" customWidth="1"/>
    <col min="2828" max="2828" width="11.42578125" style="151"/>
    <col min="2829" max="2829" width="15.42578125" style="151" bestFit="1" customWidth="1"/>
    <col min="2830" max="3072" width="11.42578125" style="151"/>
    <col min="3073" max="3073" width="47.85546875" style="151" customWidth="1"/>
    <col min="3074" max="3080" width="12" style="151" customWidth="1"/>
    <col min="3081" max="3082" width="11.42578125" style="151"/>
    <col min="3083" max="3083" width="11.5703125" style="151" bestFit="1" customWidth="1"/>
    <col min="3084" max="3084" width="11.42578125" style="151"/>
    <col min="3085" max="3085" width="15.42578125" style="151" bestFit="1" customWidth="1"/>
    <col min="3086" max="3328" width="11.42578125" style="151"/>
    <col min="3329" max="3329" width="47.85546875" style="151" customWidth="1"/>
    <col min="3330" max="3336" width="12" style="151" customWidth="1"/>
    <col min="3337" max="3338" width="11.42578125" style="151"/>
    <col min="3339" max="3339" width="11.5703125" style="151" bestFit="1" customWidth="1"/>
    <col min="3340" max="3340" width="11.42578125" style="151"/>
    <col min="3341" max="3341" width="15.42578125" style="151" bestFit="1" customWidth="1"/>
    <col min="3342" max="3584" width="11.42578125" style="151"/>
    <col min="3585" max="3585" width="47.85546875" style="151" customWidth="1"/>
    <col min="3586" max="3592" width="12" style="151" customWidth="1"/>
    <col min="3593" max="3594" width="11.42578125" style="151"/>
    <col min="3595" max="3595" width="11.5703125" style="151" bestFit="1" customWidth="1"/>
    <col min="3596" max="3596" width="11.42578125" style="151"/>
    <col min="3597" max="3597" width="15.42578125" style="151" bestFit="1" customWidth="1"/>
    <col min="3598" max="3840" width="11.42578125" style="151"/>
    <col min="3841" max="3841" width="47.85546875" style="151" customWidth="1"/>
    <col min="3842" max="3848" width="12" style="151" customWidth="1"/>
    <col min="3849" max="3850" width="11.42578125" style="151"/>
    <col min="3851" max="3851" width="11.5703125" style="151" bestFit="1" customWidth="1"/>
    <col min="3852" max="3852" width="11.42578125" style="151"/>
    <col min="3853" max="3853" width="15.42578125" style="151" bestFit="1" customWidth="1"/>
    <col min="3854" max="4096" width="11.42578125" style="151"/>
    <col min="4097" max="4097" width="47.85546875" style="151" customWidth="1"/>
    <col min="4098" max="4104" width="12" style="151" customWidth="1"/>
    <col min="4105" max="4106" width="11.42578125" style="151"/>
    <col min="4107" max="4107" width="11.5703125" style="151" bestFit="1" customWidth="1"/>
    <col min="4108" max="4108" width="11.42578125" style="151"/>
    <col min="4109" max="4109" width="15.42578125" style="151" bestFit="1" customWidth="1"/>
    <col min="4110" max="4352" width="11.42578125" style="151"/>
    <col min="4353" max="4353" width="47.85546875" style="151" customWidth="1"/>
    <col min="4354" max="4360" width="12" style="151" customWidth="1"/>
    <col min="4361" max="4362" width="11.42578125" style="151"/>
    <col min="4363" max="4363" width="11.5703125" style="151" bestFit="1" customWidth="1"/>
    <col min="4364" max="4364" width="11.42578125" style="151"/>
    <col min="4365" max="4365" width="15.42578125" style="151" bestFit="1" customWidth="1"/>
    <col min="4366" max="4608" width="11.42578125" style="151"/>
    <col min="4609" max="4609" width="47.85546875" style="151" customWidth="1"/>
    <col min="4610" max="4616" width="12" style="151" customWidth="1"/>
    <col min="4617" max="4618" width="11.42578125" style="151"/>
    <col min="4619" max="4619" width="11.5703125" style="151" bestFit="1" customWidth="1"/>
    <col min="4620" max="4620" width="11.42578125" style="151"/>
    <col min="4621" max="4621" width="15.42578125" style="151" bestFit="1" customWidth="1"/>
    <col min="4622" max="4864" width="11.42578125" style="151"/>
    <col min="4865" max="4865" width="47.85546875" style="151" customWidth="1"/>
    <col min="4866" max="4872" width="12" style="151" customWidth="1"/>
    <col min="4873" max="4874" width="11.42578125" style="151"/>
    <col min="4875" max="4875" width="11.5703125" style="151" bestFit="1" customWidth="1"/>
    <col min="4876" max="4876" width="11.42578125" style="151"/>
    <col min="4877" max="4877" width="15.42578125" style="151" bestFit="1" customWidth="1"/>
    <col min="4878" max="5120" width="11.42578125" style="151"/>
    <col min="5121" max="5121" width="47.85546875" style="151" customWidth="1"/>
    <col min="5122" max="5128" width="12" style="151" customWidth="1"/>
    <col min="5129" max="5130" width="11.42578125" style="151"/>
    <col min="5131" max="5131" width="11.5703125" style="151" bestFit="1" customWidth="1"/>
    <col min="5132" max="5132" width="11.42578125" style="151"/>
    <col min="5133" max="5133" width="15.42578125" style="151" bestFit="1" customWidth="1"/>
    <col min="5134" max="5376" width="11.42578125" style="151"/>
    <col min="5377" max="5377" width="47.85546875" style="151" customWidth="1"/>
    <col min="5378" max="5384" width="12" style="151" customWidth="1"/>
    <col min="5385" max="5386" width="11.42578125" style="151"/>
    <col min="5387" max="5387" width="11.5703125" style="151" bestFit="1" customWidth="1"/>
    <col min="5388" max="5388" width="11.42578125" style="151"/>
    <col min="5389" max="5389" width="15.42578125" style="151" bestFit="1" customWidth="1"/>
    <col min="5390" max="5632" width="11.42578125" style="151"/>
    <col min="5633" max="5633" width="47.85546875" style="151" customWidth="1"/>
    <col min="5634" max="5640" width="12" style="151" customWidth="1"/>
    <col min="5641" max="5642" width="11.42578125" style="151"/>
    <col min="5643" max="5643" width="11.5703125" style="151" bestFit="1" customWidth="1"/>
    <col min="5644" max="5644" width="11.42578125" style="151"/>
    <col min="5645" max="5645" width="15.42578125" style="151" bestFit="1" customWidth="1"/>
    <col min="5646" max="5888" width="11.42578125" style="151"/>
    <col min="5889" max="5889" width="47.85546875" style="151" customWidth="1"/>
    <col min="5890" max="5896" width="12" style="151" customWidth="1"/>
    <col min="5897" max="5898" width="11.42578125" style="151"/>
    <col min="5899" max="5899" width="11.5703125" style="151" bestFit="1" customWidth="1"/>
    <col min="5900" max="5900" width="11.42578125" style="151"/>
    <col min="5901" max="5901" width="15.42578125" style="151" bestFit="1" customWidth="1"/>
    <col min="5902" max="6144" width="11.42578125" style="151"/>
    <col min="6145" max="6145" width="47.85546875" style="151" customWidth="1"/>
    <col min="6146" max="6152" width="12" style="151" customWidth="1"/>
    <col min="6153" max="6154" width="11.42578125" style="151"/>
    <col min="6155" max="6155" width="11.5703125" style="151" bestFit="1" customWidth="1"/>
    <col min="6156" max="6156" width="11.42578125" style="151"/>
    <col min="6157" max="6157" width="15.42578125" style="151" bestFit="1" customWidth="1"/>
    <col min="6158" max="6400" width="11.42578125" style="151"/>
    <col min="6401" max="6401" width="47.85546875" style="151" customWidth="1"/>
    <col min="6402" max="6408" width="12" style="151" customWidth="1"/>
    <col min="6409" max="6410" width="11.42578125" style="151"/>
    <col min="6411" max="6411" width="11.5703125" style="151" bestFit="1" customWidth="1"/>
    <col min="6412" max="6412" width="11.42578125" style="151"/>
    <col min="6413" max="6413" width="15.42578125" style="151" bestFit="1" customWidth="1"/>
    <col min="6414" max="6656" width="11.42578125" style="151"/>
    <col min="6657" max="6657" width="47.85546875" style="151" customWidth="1"/>
    <col min="6658" max="6664" width="12" style="151" customWidth="1"/>
    <col min="6665" max="6666" width="11.42578125" style="151"/>
    <col min="6667" max="6667" width="11.5703125" style="151" bestFit="1" customWidth="1"/>
    <col min="6668" max="6668" width="11.42578125" style="151"/>
    <col min="6669" max="6669" width="15.42578125" style="151" bestFit="1" customWidth="1"/>
    <col min="6670" max="6912" width="11.42578125" style="151"/>
    <col min="6913" max="6913" width="47.85546875" style="151" customWidth="1"/>
    <col min="6914" max="6920" width="12" style="151" customWidth="1"/>
    <col min="6921" max="6922" width="11.42578125" style="151"/>
    <col min="6923" max="6923" width="11.5703125" style="151" bestFit="1" customWidth="1"/>
    <col min="6924" max="6924" width="11.42578125" style="151"/>
    <col min="6925" max="6925" width="15.42578125" style="151" bestFit="1" customWidth="1"/>
    <col min="6926" max="7168" width="11.42578125" style="151"/>
    <col min="7169" max="7169" width="47.85546875" style="151" customWidth="1"/>
    <col min="7170" max="7176" width="12" style="151" customWidth="1"/>
    <col min="7177" max="7178" width="11.42578125" style="151"/>
    <col min="7179" max="7179" width="11.5703125" style="151" bestFit="1" customWidth="1"/>
    <col min="7180" max="7180" width="11.42578125" style="151"/>
    <col min="7181" max="7181" width="15.42578125" style="151" bestFit="1" customWidth="1"/>
    <col min="7182" max="7424" width="11.42578125" style="151"/>
    <col min="7425" max="7425" width="47.85546875" style="151" customWidth="1"/>
    <col min="7426" max="7432" width="12" style="151" customWidth="1"/>
    <col min="7433" max="7434" width="11.42578125" style="151"/>
    <col min="7435" max="7435" width="11.5703125" style="151" bestFit="1" customWidth="1"/>
    <col min="7436" max="7436" width="11.42578125" style="151"/>
    <col min="7437" max="7437" width="15.42578125" style="151" bestFit="1" customWidth="1"/>
    <col min="7438" max="7680" width="11.42578125" style="151"/>
    <col min="7681" max="7681" width="47.85546875" style="151" customWidth="1"/>
    <col min="7682" max="7688" width="12" style="151" customWidth="1"/>
    <col min="7689" max="7690" width="11.42578125" style="151"/>
    <col min="7691" max="7691" width="11.5703125" style="151" bestFit="1" customWidth="1"/>
    <col min="7692" max="7692" width="11.42578125" style="151"/>
    <col min="7693" max="7693" width="15.42578125" style="151" bestFit="1" customWidth="1"/>
    <col min="7694" max="7936" width="11.42578125" style="151"/>
    <col min="7937" max="7937" width="47.85546875" style="151" customWidth="1"/>
    <col min="7938" max="7944" width="12" style="151" customWidth="1"/>
    <col min="7945" max="7946" width="11.42578125" style="151"/>
    <col min="7947" max="7947" width="11.5703125" style="151" bestFit="1" customWidth="1"/>
    <col min="7948" max="7948" width="11.42578125" style="151"/>
    <col min="7949" max="7949" width="15.42578125" style="151" bestFit="1" customWidth="1"/>
    <col min="7950" max="8192" width="11.42578125" style="151"/>
    <col min="8193" max="8193" width="47.85546875" style="151" customWidth="1"/>
    <col min="8194" max="8200" width="12" style="151" customWidth="1"/>
    <col min="8201" max="8202" width="11.42578125" style="151"/>
    <col min="8203" max="8203" width="11.5703125" style="151" bestFit="1" customWidth="1"/>
    <col min="8204" max="8204" width="11.42578125" style="151"/>
    <col min="8205" max="8205" width="15.42578125" style="151" bestFit="1" customWidth="1"/>
    <col min="8206" max="8448" width="11.42578125" style="151"/>
    <col min="8449" max="8449" width="47.85546875" style="151" customWidth="1"/>
    <col min="8450" max="8456" width="12" style="151" customWidth="1"/>
    <col min="8457" max="8458" width="11.42578125" style="151"/>
    <col min="8459" max="8459" width="11.5703125" style="151" bestFit="1" customWidth="1"/>
    <col min="8460" max="8460" width="11.42578125" style="151"/>
    <col min="8461" max="8461" width="15.42578125" style="151" bestFit="1" customWidth="1"/>
    <col min="8462" max="8704" width="11.42578125" style="151"/>
    <col min="8705" max="8705" width="47.85546875" style="151" customWidth="1"/>
    <col min="8706" max="8712" width="12" style="151" customWidth="1"/>
    <col min="8713" max="8714" width="11.42578125" style="151"/>
    <col min="8715" max="8715" width="11.5703125" style="151" bestFit="1" customWidth="1"/>
    <col min="8716" max="8716" width="11.42578125" style="151"/>
    <col min="8717" max="8717" width="15.42578125" style="151" bestFit="1" customWidth="1"/>
    <col min="8718" max="8960" width="11.42578125" style="151"/>
    <col min="8961" max="8961" width="47.85546875" style="151" customWidth="1"/>
    <col min="8962" max="8968" width="12" style="151" customWidth="1"/>
    <col min="8969" max="8970" width="11.42578125" style="151"/>
    <col min="8971" max="8971" width="11.5703125" style="151" bestFit="1" customWidth="1"/>
    <col min="8972" max="8972" width="11.42578125" style="151"/>
    <col min="8973" max="8973" width="15.42578125" style="151" bestFit="1" customWidth="1"/>
    <col min="8974" max="9216" width="11.42578125" style="151"/>
    <col min="9217" max="9217" width="47.85546875" style="151" customWidth="1"/>
    <col min="9218" max="9224" width="12" style="151" customWidth="1"/>
    <col min="9225" max="9226" width="11.42578125" style="151"/>
    <col min="9227" max="9227" width="11.5703125" style="151" bestFit="1" customWidth="1"/>
    <col min="9228" max="9228" width="11.42578125" style="151"/>
    <col min="9229" max="9229" width="15.42578125" style="151" bestFit="1" customWidth="1"/>
    <col min="9230" max="9472" width="11.42578125" style="151"/>
    <col min="9473" max="9473" width="47.85546875" style="151" customWidth="1"/>
    <col min="9474" max="9480" width="12" style="151" customWidth="1"/>
    <col min="9481" max="9482" width="11.42578125" style="151"/>
    <col min="9483" max="9483" width="11.5703125" style="151" bestFit="1" customWidth="1"/>
    <col min="9484" max="9484" width="11.42578125" style="151"/>
    <col min="9485" max="9485" width="15.42578125" style="151" bestFit="1" customWidth="1"/>
    <col min="9486" max="9728" width="11.42578125" style="151"/>
    <col min="9729" max="9729" width="47.85546875" style="151" customWidth="1"/>
    <col min="9730" max="9736" width="12" style="151" customWidth="1"/>
    <col min="9737" max="9738" width="11.42578125" style="151"/>
    <col min="9739" max="9739" width="11.5703125" style="151" bestFit="1" customWidth="1"/>
    <col min="9740" max="9740" width="11.42578125" style="151"/>
    <col min="9741" max="9741" width="15.42578125" style="151" bestFit="1" customWidth="1"/>
    <col min="9742" max="9984" width="11.42578125" style="151"/>
    <col min="9985" max="9985" width="47.85546875" style="151" customWidth="1"/>
    <col min="9986" max="9992" width="12" style="151" customWidth="1"/>
    <col min="9993" max="9994" width="11.42578125" style="151"/>
    <col min="9995" max="9995" width="11.5703125" style="151" bestFit="1" customWidth="1"/>
    <col min="9996" max="9996" width="11.42578125" style="151"/>
    <col min="9997" max="9997" width="15.42578125" style="151" bestFit="1" customWidth="1"/>
    <col min="9998" max="10240" width="11.42578125" style="151"/>
    <col min="10241" max="10241" width="47.85546875" style="151" customWidth="1"/>
    <col min="10242" max="10248" width="12" style="151" customWidth="1"/>
    <col min="10249" max="10250" width="11.42578125" style="151"/>
    <col min="10251" max="10251" width="11.5703125" style="151" bestFit="1" customWidth="1"/>
    <col min="10252" max="10252" width="11.42578125" style="151"/>
    <col min="10253" max="10253" width="15.42578125" style="151" bestFit="1" customWidth="1"/>
    <col min="10254" max="10496" width="11.42578125" style="151"/>
    <col min="10497" max="10497" width="47.85546875" style="151" customWidth="1"/>
    <col min="10498" max="10504" width="12" style="151" customWidth="1"/>
    <col min="10505" max="10506" width="11.42578125" style="151"/>
    <col min="10507" max="10507" width="11.5703125" style="151" bestFit="1" customWidth="1"/>
    <col min="10508" max="10508" width="11.42578125" style="151"/>
    <col min="10509" max="10509" width="15.42578125" style="151" bestFit="1" customWidth="1"/>
    <col min="10510" max="10752" width="11.42578125" style="151"/>
    <col min="10753" max="10753" width="47.85546875" style="151" customWidth="1"/>
    <col min="10754" max="10760" width="12" style="151" customWidth="1"/>
    <col min="10761" max="10762" width="11.42578125" style="151"/>
    <col min="10763" max="10763" width="11.5703125" style="151" bestFit="1" customWidth="1"/>
    <col min="10764" max="10764" width="11.42578125" style="151"/>
    <col min="10765" max="10765" width="15.42578125" style="151" bestFit="1" customWidth="1"/>
    <col min="10766" max="11008" width="11.42578125" style="151"/>
    <col min="11009" max="11009" width="47.85546875" style="151" customWidth="1"/>
    <col min="11010" max="11016" width="12" style="151" customWidth="1"/>
    <col min="11017" max="11018" width="11.42578125" style="151"/>
    <col min="11019" max="11019" width="11.5703125" style="151" bestFit="1" customWidth="1"/>
    <col min="11020" max="11020" width="11.42578125" style="151"/>
    <col min="11021" max="11021" width="15.42578125" style="151" bestFit="1" customWidth="1"/>
    <col min="11022" max="11264" width="11.42578125" style="151"/>
    <col min="11265" max="11265" width="47.85546875" style="151" customWidth="1"/>
    <col min="11266" max="11272" width="12" style="151" customWidth="1"/>
    <col min="11273" max="11274" width="11.42578125" style="151"/>
    <col min="11275" max="11275" width="11.5703125" style="151" bestFit="1" customWidth="1"/>
    <col min="11276" max="11276" width="11.42578125" style="151"/>
    <col min="11277" max="11277" width="15.42578125" style="151" bestFit="1" customWidth="1"/>
    <col min="11278" max="11520" width="11.42578125" style="151"/>
    <col min="11521" max="11521" width="47.85546875" style="151" customWidth="1"/>
    <col min="11522" max="11528" width="12" style="151" customWidth="1"/>
    <col min="11529" max="11530" width="11.42578125" style="151"/>
    <col min="11531" max="11531" width="11.5703125" style="151" bestFit="1" customWidth="1"/>
    <col min="11532" max="11532" width="11.42578125" style="151"/>
    <col min="11533" max="11533" width="15.42578125" style="151" bestFit="1" customWidth="1"/>
    <col min="11534" max="11776" width="11.42578125" style="151"/>
    <col min="11777" max="11777" width="47.85546875" style="151" customWidth="1"/>
    <col min="11778" max="11784" width="12" style="151" customWidth="1"/>
    <col min="11785" max="11786" width="11.42578125" style="151"/>
    <col min="11787" max="11787" width="11.5703125" style="151" bestFit="1" customWidth="1"/>
    <col min="11788" max="11788" width="11.42578125" style="151"/>
    <col min="11789" max="11789" width="15.42578125" style="151" bestFit="1" customWidth="1"/>
    <col min="11790" max="12032" width="11.42578125" style="151"/>
    <col min="12033" max="12033" width="47.85546875" style="151" customWidth="1"/>
    <col min="12034" max="12040" width="12" style="151" customWidth="1"/>
    <col min="12041" max="12042" width="11.42578125" style="151"/>
    <col min="12043" max="12043" width="11.5703125" style="151" bestFit="1" customWidth="1"/>
    <col min="12044" max="12044" width="11.42578125" style="151"/>
    <col min="12045" max="12045" width="15.42578125" style="151" bestFit="1" customWidth="1"/>
    <col min="12046" max="12288" width="11.42578125" style="151"/>
    <col min="12289" max="12289" width="47.85546875" style="151" customWidth="1"/>
    <col min="12290" max="12296" width="12" style="151" customWidth="1"/>
    <col min="12297" max="12298" width="11.42578125" style="151"/>
    <col min="12299" max="12299" width="11.5703125" style="151" bestFit="1" customWidth="1"/>
    <col min="12300" max="12300" width="11.42578125" style="151"/>
    <col min="12301" max="12301" width="15.42578125" style="151" bestFit="1" customWidth="1"/>
    <col min="12302" max="12544" width="11.42578125" style="151"/>
    <col min="12545" max="12545" width="47.85546875" style="151" customWidth="1"/>
    <col min="12546" max="12552" width="12" style="151" customWidth="1"/>
    <col min="12553" max="12554" width="11.42578125" style="151"/>
    <col min="12555" max="12555" width="11.5703125" style="151" bestFit="1" customWidth="1"/>
    <col min="12556" max="12556" width="11.42578125" style="151"/>
    <col min="12557" max="12557" width="15.42578125" style="151" bestFit="1" customWidth="1"/>
    <col min="12558" max="12800" width="11.42578125" style="151"/>
    <col min="12801" max="12801" width="47.85546875" style="151" customWidth="1"/>
    <col min="12802" max="12808" width="12" style="151" customWidth="1"/>
    <col min="12809" max="12810" width="11.42578125" style="151"/>
    <col min="12811" max="12811" width="11.5703125" style="151" bestFit="1" customWidth="1"/>
    <col min="12812" max="12812" width="11.42578125" style="151"/>
    <col min="12813" max="12813" width="15.42578125" style="151" bestFit="1" customWidth="1"/>
    <col min="12814" max="13056" width="11.42578125" style="151"/>
    <col min="13057" max="13057" width="47.85546875" style="151" customWidth="1"/>
    <col min="13058" max="13064" width="12" style="151" customWidth="1"/>
    <col min="13065" max="13066" width="11.42578125" style="151"/>
    <col min="13067" max="13067" width="11.5703125" style="151" bestFit="1" customWidth="1"/>
    <col min="13068" max="13068" width="11.42578125" style="151"/>
    <col min="13069" max="13069" width="15.42578125" style="151" bestFit="1" customWidth="1"/>
    <col min="13070" max="13312" width="11.42578125" style="151"/>
    <col min="13313" max="13313" width="47.85546875" style="151" customWidth="1"/>
    <col min="13314" max="13320" width="12" style="151" customWidth="1"/>
    <col min="13321" max="13322" width="11.42578125" style="151"/>
    <col min="13323" max="13323" width="11.5703125" style="151" bestFit="1" customWidth="1"/>
    <col min="13324" max="13324" width="11.42578125" style="151"/>
    <col min="13325" max="13325" width="15.42578125" style="151" bestFit="1" customWidth="1"/>
    <col min="13326" max="13568" width="11.42578125" style="151"/>
    <col min="13569" max="13569" width="47.85546875" style="151" customWidth="1"/>
    <col min="13570" max="13576" width="12" style="151" customWidth="1"/>
    <col min="13577" max="13578" width="11.42578125" style="151"/>
    <col min="13579" max="13579" width="11.5703125" style="151" bestFit="1" customWidth="1"/>
    <col min="13580" max="13580" width="11.42578125" style="151"/>
    <col min="13581" max="13581" width="15.42578125" style="151" bestFit="1" customWidth="1"/>
    <col min="13582" max="13824" width="11.42578125" style="151"/>
    <col min="13825" max="13825" width="47.85546875" style="151" customWidth="1"/>
    <col min="13826" max="13832" width="12" style="151" customWidth="1"/>
    <col min="13833" max="13834" width="11.42578125" style="151"/>
    <col min="13835" max="13835" width="11.5703125" style="151" bestFit="1" customWidth="1"/>
    <col min="13836" max="13836" width="11.42578125" style="151"/>
    <col min="13837" max="13837" width="15.42578125" style="151" bestFit="1" customWidth="1"/>
    <col min="13838" max="14080" width="11.42578125" style="151"/>
    <col min="14081" max="14081" width="47.85546875" style="151" customWidth="1"/>
    <col min="14082" max="14088" width="12" style="151" customWidth="1"/>
    <col min="14089" max="14090" width="11.42578125" style="151"/>
    <col min="14091" max="14091" width="11.5703125" style="151" bestFit="1" customWidth="1"/>
    <col min="14092" max="14092" width="11.42578125" style="151"/>
    <col min="14093" max="14093" width="15.42578125" style="151" bestFit="1" customWidth="1"/>
    <col min="14094" max="14336" width="11.42578125" style="151"/>
    <col min="14337" max="14337" width="47.85546875" style="151" customWidth="1"/>
    <col min="14338" max="14344" width="12" style="151" customWidth="1"/>
    <col min="14345" max="14346" width="11.42578125" style="151"/>
    <col min="14347" max="14347" width="11.5703125" style="151" bestFit="1" customWidth="1"/>
    <col min="14348" max="14348" width="11.42578125" style="151"/>
    <col min="14349" max="14349" width="15.42578125" style="151" bestFit="1" customWidth="1"/>
    <col min="14350" max="14592" width="11.42578125" style="151"/>
    <col min="14593" max="14593" width="47.85546875" style="151" customWidth="1"/>
    <col min="14594" max="14600" width="12" style="151" customWidth="1"/>
    <col min="14601" max="14602" width="11.42578125" style="151"/>
    <col min="14603" max="14603" width="11.5703125" style="151" bestFit="1" customWidth="1"/>
    <col min="14604" max="14604" width="11.42578125" style="151"/>
    <col min="14605" max="14605" width="15.42578125" style="151" bestFit="1" customWidth="1"/>
    <col min="14606" max="14848" width="11.42578125" style="151"/>
    <col min="14849" max="14849" width="47.85546875" style="151" customWidth="1"/>
    <col min="14850" max="14856" width="12" style="151" customWidth="1"/>
    <col min="14857" max="14858" width="11.42578125" style="151"/>
    <col min="14859" max="14859" width="11.5703125" style="151" bestFit="1" customWidth="1"/>
    <col min="14860" max="14860" width="11.42578125" style="151"/>
    <col min="14861" max="14861" width="15.42578125" style="151" bestFit="1" customWidth="1"/>
    <col min="14862" max="15104" width="11.42578125" style="151"/>
    <col min="15105" max="15105" width="47.85546875" style="151" customWidth="1"/>
    <col min="15106" max="15112" width="12" style="151" customWidth="1"/>
    <col min="15113" max="15114" width="11.42578125" style="151"/>
    <col min="15115" max="15115" width="11.5703125" style="151" bestFit="1" customWidth="1"/>
    <col min="15116" max="15116" width="11.42578125" style="151"/>
    <col min="15117" max="15117" width="15.42578125" style="151" bestFit="1" customWidth="1"/>
    <col min="15118" max="15360" width="11.42578125" style="151"/>
    <col min="15361" max="15361" width="47.85546875" style="151" customWidth="1"/>
    <col min="15362" max="15368" width="12" style="151" customWidth="1"/>
    <col min="15369" max="15370" width="11.42578125" style="151"/>
    <col min="15371" max="15371" width="11.5703125" style="151" bestFit="1" customWidth="1"/>
    <col min="15372" max="15372" width="11.42578125" style="151"/>
    <col min="15373" max="15373" width="15.42578125" style="151" bestFit="1" customWidth="1"/>
    <col min="15374" max="15616" width="11.42578125" style="151"/>
    <col min="15617" max="15617" width="47.85546875" style="151" customWidth="1"/>
    <col min="15618" max="15624" width="12" style="151" customWidth="1"/>
    <col min="15625" max="15626" width="11.42578125" style="151"/>
    <col min="15627" max="15627" width="11.5703125" style="151" bestFit="1" customWidth="1"/>
    <col min="15628" max="15628" width="11.42578125" style="151"/>
    <col min="15629" max="15629" width="15.42578125" style="151" bestFit="1" customWidth="1"/>
    <col min="15630" max="15872" width="11.42578125" style="151"/>
    <col min="15873" max="15873" width="47.85546875" style="151" customWidth="1"/>
    <col min="15874" max="15880" width="12" style="151" customWidth="1"/>
    <col min="15881" max="15882" width="11.42578125" style="151"/>
    <col min="15883" max="15883" width="11.5703125" style="151" bestFit="1" customWidth="1"/>
    <col min="15884" max="15884" width="11.42578125" style="151"/>
    <col min="15885" max="15885" width="15.42578125" style="151" bestFit="1" customWidth="1"/>
    <col min="15886" max="16128" width="11.42578125" style="151"/>
    <col min="16129" max="16129" width="47.85546875" style="151" customWidth="1"/>
    <col min="16130" max="16136" width="12" style="151" customWidth="1"/>
    <col min="16137" max="16138" width="11.42578125" style="151"/>
    <col min="16139" max="16139" width="11.5703125" style="151" bestFit="1" customWidth="1"/>
    <col min="16140" max="16140" width="11.42578125" style="151"/>
    <col min="16141" max="16141" width="15.42578125" style="151" bestFit="1" customWidth="1"/>
    <col min="16142" max="16384" width="11.42578125" style="151"/>
  </cols>
  <sheetData>
    <row r="1" spans="1:14" ht="28.5">
      <c r="A1" s="115" t="s">
        <v>237</v>
      </c>
      <c r="B1" s="116"/>
      <c r="C1" s="116"/>
      <c r="D1" s="116"/>
      <c r="E1" s="116"/>
      <c r="F1" s="117"/>
      <c r="G1" s="118" t="s">
        <v>238</v>
      </c>
      <c r="H1" s="119" t="s">
        <v>535</v>
      </c>
      <c r="I1" s="119"/>
      <c r="J1" s="118" t="s">
        <v>239</v>
      </c>
      <c r="K1" s="119">
        <v>6</v>
      </c>
      <c r="L1" s="118" t="s">
        <v>240</v>
      </c>
      <c r="M1" s="120">
        <v>42018</v>
      </c>
      <c r="N1" s="121"/>
    </row>
    <row r="5" spans="1:14" ht="21">
      <c r="A5" s="152" t="s">
        <v>468</v>
      </c>
      <c r="B5" s="152"/>
      <c r="C5" s="152"/>
      <c r="D5" s="152"/>
      <c r="E5" s="152"/>
      <c r="F5" s="152"/>
      <c r="G5" s="152"/>
      <c r="H5" s="152"/>
    </row>
    <row r="7" spans="1:14" ht="15.75">
      <c r="A7" s="153" t="s">
        <v>469</v>
      </c>
      <c r="B7" s="154"/>
      <c r="C7" s="154"/>
      <c r="D7" s="154"/>
      <c r="E7" s="154"/>
      <c r="F7" s="154"/>
      <c r="G7" s="154"/>
      <c r="H7" s="154"/>
    </row>
    <row r="8" spans="1:14">
      <c r="A8" s="155" t="s">
        <v>470</v>
      </c>
    </row>
    <row r="9" spans="1:14" ht="13.5" thickBot="1"/>
    <row r="10" spans="1:14" ht="25.5">
      <c r="A10" s="156"/>
      <c r="B10" s="157" t="s">
        <v>471</v>
      </c>
      <c r="C10" s="158" t="s">
        <v>472</v>
      </c>
      <c r="D10" s="159" t="s">
        <v>473</v>
      </c>
    </row>
    <row r="11" spans="1:14" ht="13.5" thickBot="1">
      <c r="A11" s="160"/>
      <c r="B11" s="161" t="s">
        <v>474</v>
      </c>
      <c r="C11" s="162" t="s">
        <v>474</v>
      </c>
      <c r="D11" s="163" t="s">
        <v>475</v>
      </c>
    </row>
    <row r="12" spans="1:14">
      <c r="A12" s="164" t="s">
        <v>40</v>
      </c>
      <c r="B12" s="165">
        <v>3300</v>
      </c>
      <c r="C12" s="166">
        <v>2888</v>
      </c>
      <c r="D12" s="167">
        <v>0.87515151515151512</v>
      </c>
    </row>
    <row r="13" spans="1:14">
      <c r="A13" s="168" t="s">
        <v>51</v>
      </c>
      <c r="B13" s="169">
        <v>2959</v>
      </c>
      <c r="C13" s="170">
        <v>2627</v>
      </c>
      <c r="D13" s="171">
        <v>0.88779993240959787</v>
      </c>
    </row>
    <row r="14" spans="1:14">
      <c r="A14" s="168" t="s">
        <v>243</v>
      </c>
      <c r="B14" s="169">
        <v>22250</v>
      </c>
      <c r="C14" s="170">
        <v>13691</v>
      </c>
      <c r="D14" s="171">
        <v>0.81928855760691865</v>
      </c>
    </row>
    <row r="15" spans="1:14">
      <c r="A15" s="168" t="s">
        <v>476</v>
      </c>
      <c r="B15" s="169">
        <v>1666</v>
      </c>
      <c r="C15" s="170">
        <v>1360</v>
      </c>
      <c r="D15" s="171">
        <v>0.81632653061224492</v>
      </c>
    </row>
    <row r="16" spans="1:14">
      <c r="A16" s="168" t="s">
        <v>26</v>
      </c>
      <c r="B16" s="169">
        <v>6777</v>
      </c>
      <c r="C16" s="170">
        <v>6777</v>
      </c>
      <c r="D16" s="171">
        <v>1</v>
      </c>
      <c r="K16" s="172"/>
      <c r="L16" s="172"/>
    </row>
    <row r="17" spans="1:11">
      <c r="A17" s="168" t="s">
        <v>28</v>
      </c>
      <c r="B17" s="169">
        <v>903</v>
      </c>
      <c r="C17" s="170">
        <v>903</v>
      </c>
      <c r="D17" s="171">
        <v>1</v>
      </c>
    </row>
    <row r="18" spans="1:11" ht="15">
      <c r="A18" s="168" t="s">
        <v>477</v>
      </c>
      <c r="B18" s="169">
        <v>2827</v>
      </c>
      <c r="C18" s="170">
        <v>2827</v>
      </c>
      <c r="D18" s="171">
        <v>1</v>
      </c>
      <c r="K18" s="173"/>
    </row>
    <row r="19" spans="1:11" ht="15.75" thickBot="1">
      <c r="A19" s="174" t="s">
        <v>144</v>
      </c>
      <c r="B19" s="175">
        <v>40682</v>
      </c>
      <c r="C19" s="176">
        <v>31073</v>
      </c>
      <c r="D19" s="177"/>
      <c r="K19" s="173"/>
    </row>
    <row r="20" spans="1:11" ht="15">
      <c r="F20" s="173"/>
      <c r="K20" s="173"/>
    </row>
    <row r="21" spans="1:11" ht="15">
      <c r="K21" s="173"/>
    </row>
    <row r="22" spans="1:11" ht="21">
      <c r="A22" s="152" t="s">
        <v>478</v>
      </c>
      <c r="B22" s="152"/>
      <c r="C22" s="152"/>
      <c r="D22" s="152"/>
      <c r="E22" s="152"/>
      <c r="F22" s="152"/>
      <c r="G22" s="152"/>
      <c r="H22" s="152"/>
      <c r="K22" s="173"/>
    </row>
    <row r="23" spans="1:11" ht="15">
      <c r="K23" s="173"/>
    </row>
    <row r="24" spans="1:11" ht="16.5" thickBot="1">
      <c r="A24" s="153" t="s">
        <v>479</v>
      </c>
      <c r="B24" s="154"/>
      <c r="C24" s="154"/>
      <c r="D24" s="154"/>
      <c r="E24" s="154"/>
      <c r="F24" s="154"/>
      <c r="G24" s="154"/>
      <c r="H24" s="154"/>
      <c r="K24" s="173"/>
    </row>
    <row r="25" spans="1:11" ht="15.75" thickBot="1">
      <c r="A25" s="178" t="s">
        <v>64</v>
      </c>
      <c r="B25" s="179">
        <v>2000</v>
      </c>
      <c r="C25" s="180">
        <v>2010</v>
      </c>
      <c r="D25" s="180">
        <v>2015</v>
      </c>
      <c r="E25" s="180">
        <v>2020</v>
      </c>
      <c r="F25" s="180">
        <v>2025</v>
      </c>
      <c r="G25" s="180">
        <v>2030</v>
      </c>
      <c r="H25" s="181">
        <v>2035</v>
      </c>
      <c r="K25" s="173"/>
    </row>
    <row r="26" spans="1:11" ht="15">
      <c r="A26" s="156" t="s">
        <v>59</v>
      </c>
      <c r="B26" s="182">
        <v>1.1102234242608253</v>
      </c>
      <c r="C26" s="183">
        <v>1.9334484970774815</v>
      </c>
      <c r="D26" s="183">
        <v>1.8885599605204368</v>
      </c>
      <c r="E26" s="183">
        <v>1.7481024079497223</v>
      </c>
      <c r="F26" s="183">
        <v>1.6149576341534699</v>
      </c>
      <c r="G26" s="183">
        <v>1.4818128603572176</v>
      </c>
      <c r="H26" s="167">
        <v>1.2252641338324337</v>
      </c>
      <c r="K26" s="173"/>
    </row>
    <row r="27" spans="1:11" ht="15">
      <c r="A27" s="184" t="s">
        <v>61</v>
      </c>
      <c r="B27" s="185">
        <v>1.8195989444434046</v>
      </c>
      <c r="C27" s="186">
        <v>1.4185456086851327</v>
      </c>
      <c r="D27" s="186">
        <v>1.491552767436787</v>
      </c>
      <c r="E27" s="186">
        <v>1.5777811515876083</v>
      </c>
      <c r="F27" s="186">
        <v>1.61064853848079</v>
      </c>
      <c r="G27" s="186">
        <v>1.6435159253739715</v>
      </c>
      <c r="H27" s="171">
        <v>1.6805130824243066</v>
      </c>
      <c r="K27" s="173"/>
    </row>
    <row r="28" spans="1:11" ht="15">
      <c r="A28" s="184" t="s">
        <v>56</v>
      </c>
      <c r="B28" s="185">
        <v>0.86219999999999997</v>
      </c>
      <c r="C28" s="186">
        <v>0.85589862818256401</v>
      </c>
      <c r="D28" s="186">
        <v>0.82166235264480403</v>
      </c>
      <c r="E28" s="186">
        <v>0.7459356759319784</v>
      </c>
      <c r="F28" s="186">
        <v>0.69807606562290325</v>
      </c>
      <c r="G28" s="186">
        <v>0.6502164553138281</v>
      </c>
      <c r="H28" s="171">
        <v>0.61663728008121776</v>
      </c>
      <c r="K28" s="173"/>
    </row>
    <row r="29" spans="1:11" ht="15.75" thickBot="1">
      <c r="A29" s="160" t="s">
        <v>9</v>
      </c>
      <c r="B29" s="187">
        <v>3.79202236870423</v>
      </c>
      <c r="C29" s="188">
        <v>4.2078927339451777</v>
      </c>
      <c r="D29" s="188">
        <v>4.2017750806020278</v>
      </c>
      <c r="E29" s="188">
        <v>4.0718192354693086</v>
      </c>
      <c r="F29" s="188">
        <v>3.9236822382571628</v>
      </c>
      <c r="G29" s="188">
        <v>3.775545241045017</v>
      </c>
      <c r="H29" s="189">
        <v>3.5224144963379578</v>
      </c>
      <c r="K29" s="173"/>
    </row>
    <row r="30" spans="1:11" ht="15.75" thickBot="1">
      <c r="A30" s="178" t="s">
        <v>480</v>
      </c>
      <c r="B30" s="190">
        <v>2.6817989444434045</v>
      </c>
      <c r="C30" s="191">
        <v>2.2744442368676969</v>
      </c>
      <c r="D30" s="191">
        <v>2.3132151200815909</v>
      </c>
      <c r="E30" s="191">
        <v>2.3237168275195867</v>
      </c>
      <c r="F30" s="191">
        <v>2.3087246041036931</v>
      </c>
      <c r="G30" s="191">
        <v>2.2937323806877998</v>
      </c>
      <c r="H30" s="192">
        <v>2.2971503625055245</v>
      </c>
      <c r="K30" s="173"/>
    </row>
    <row r="31" spans="1:11" ht="15">
      <c r="K31" s="173"/>
    </row>
    <row r="32" spans="1:11" ht="15">
      <c r="K32" s="173"/>
    </row>
    <row r="33" spans="1:11" ht="16.5" thickBot="1">
      <c r="A33" s="153" t="s">
        <v>481</v>
      </c>
      <c r="B33" s="154"/>
      <c r="C33" s="154"/>
      <c r="D33" s="154"/>
      <c r="E33" s="154"/>
      <c r="F33" s="154"/>
      <c r="G33" s="154"/>
      <c r="H33" s="154"/>
      <c r="K33" s="173"/>
    </row>
    <row r="34" spans="1:11" ht="15.75" thickBot="1">
      <c r="A34" s="178" t="s">
        <v>475</v>
      </c>
      <c r="B34" s="179">
        <v>2000</v>
      </c>
      <c r="C34" s="180">
        <v>2010</v>
      </c>
      <c r="D34" s="180">
        <v>2015</v>
      </c>
      <c r="E34" s="180">
        <v>2020</v>
      </c>
      <c r="F34" s="180">
        <v>2025</v>
      </c>
      <c r="G34" s="180">
        <v>2030</v>
      </c>
      <c r="H34" s="181">
        <v>2035</v>
      </c>
      <c r="K34" s="173"/>
    </row>
    <row r="35" spans="1:11">
      <c r="A35" s="164" t="s">
        <v>40</v>
      </c>
      <c r="B35" s="193">
        <v>9.2942425900299289E-2</v>
      </c>
      <c r="C35" s="194">
        <v>9.2942425900299289E-2</v>
      </c>
      <c r="D35" s="194">
        <v>8.4363767774420964E-2</v>
      </c>
      <c r="E35" s="194">
        <v>4.4503936267777877E-2</v>
      </c>
      <c r="F35" s="194">
        <v>1.6134109964929279E-2</v>
      </c>
      <c r="G35" s="194">
        <v>2.2041711113412413E-3</v>
      </c>
      <c r="H35" s="195">
        <v>2.037253472035623E-3</v>
      </c>
    </row>
    <row r="36" spans="1:11">
      <c r="A36" s="168" t="s">
        <v>51</v>
      </c>
      <c r="B36" s="196">
        <v>8.4542850706401051E-2</v>
      </c>
      <c r="C36" s="197">
        <v>8.4542850706401051E-2</v>
      </c>
      <c r="D36" s="197">
        <v>7.6739479897300511E-2</v>
      </c>
      <c r="E36" s="197">
        <v>3.5603149014222298E-2</v>
      </c>
      <c r="F36" s="197">
        <v>6.4536439859717125E-3</v>
      </c>
      <c r="G36" s="197">
        <v>2.2041711113412413E-3</v>
      </c>
      <c r="H36" s="198">
        <v>2.037253472035623E-3</v>
      </c>
    </row>
    <row r="37" spans="1:11">
      <c r="A37" s="168" t="s">
        <v>243</v>
      </c>
      <c r="B37" s="196">
        <v>0.44060760145463906</v>
      </c>
      <c r="C37" s="197">
        <v>0.44060760145463906</v>
      </c>
      <c r="D37" s="197">
        <v>0.39993917749293534</v>
      </c>
      <c r="E37" s="197">
        <v>0.3649322773957786</v>
      </c>
      <c r="F37" s="197">
        <v>0.30009444534768465</v>
      </c>
      <c r="G37" s="197">
        <v>0.21600876891144169</v>
      </c>
      <c r="H37" s="198">
        <v>0.19965084025949109</v>
      </c>
    </row>
    <row r="38" spans="1:11">
      <c r="A38" s="168" t="s">
        <v>476</v>
      </c>
      <c r="B38" s="196">
        <v>4.3767901393492743E-2</v>
      </c>
      <c r="C38" s="197">
        <v>4.3767901393492743E-2</v>
      </c>
      <c r="D38" s="197">
        <v>0.10188421171442251</v>
      </c>
      <c r="E38" s="197">
        <v>0.21085410747629418</v>
      </c>
      <c r="F38" s="197">
        <v>0.32236462606983701</v>
      </c>
      <c r="G38" s="197">
        <v>0.41521437202851313</v>
      </c>
      <c r="H38" s="198">
        <v>0.43115366388512222</v>
      </c>
    </row>
    <row r="39" spans="1:11">
      <c r="A39" s="168" t="s">
        <v>26</v>
      </c>
      <c r="B39" s="196">
        <v>0.2180993145174267</v>
      </c>
      <c r="C39" s="199">
        <v>0.2180993145174267</v>
      </c>
      <c r="D39" s="199">
        <v>0.21444383817753834</v>
      </c>
      <c r="E39" s="199">
        <v>0.21347468977539624</v>
      </c>
      <c r="F39" s="199">
        <v>0.21486093577332191</v>
      </c>
      <c r="G39" s="199">
        <v>0.21626530324861368</v>
      </c>
      <c r="H39" s="200">
        <v>0.21594351722782301</v>
      </c>
    </row>
    <row r="40" spans="1:11">
      <c r="A40" s="168" t="s">
        <v>28</v>
      </c>
      <c r="B40" s="196">
        <v>2.9060599234061724E-2</v>
      </c>
      <c r="C40" s="197">
        <v>2.9060599234061724E-2</v>
      </c>
      <c r="D40" s="197">
        <v>3.3175086323358499E-2</v>
      </c>
      <c r="E40" s="197">
        <v>4.1581678052669761E-2</v>
      </c>
      <c r="F40" s="197">
        <v>5.0463809548652247E-2</v>
      </c>
      <c r="G40" s="197">
        <v>5.7888957681440277E-2</v>
      </c>
      <c r="H40" s="198">
        <v>5.9097447601589519E-2</v>
      </c>
    </row>
    <row r="41" spans="1:11">
      <c r="A41" s="168" t="s">
        <v>477</v>
      </c>
      <c r="B41" s="196">
        <v>9.0979306793679396E-2</v>
      </c>
      <c r="C41" s="197">
        <v>9.0979306793679396E-2</v>
      </c>
      <c r="D41" s="197">
        <v>8.9454438620023738E-2</v>
      </c>
      <c r="E41" s="197">
        <v>8.9050162017861187E-2</v>
      </c>
      <c r="F41" s="197">
        <v>8.9628429309603241E-2</v>
      </c>
      <c r="G41" s="197">
        <v>9.0214255907308707E-2</v>
      </c>
      <c r="H41" s="198">
        <v>9.0080024081902896E-2</v>
      </c>
    </row>
    <row r="42" spans="1:11" ht="13.5" thickBot="1">
      <c r="A42" s="174" t="s">
        <v>9</v>
      </c>
      <c r="B42" s="201">
        <v>0.99999999999999989</v>
      </c>
      <c r="C42" s="202">
        <v>0.99999999999999989</v>
      </c>
      <c r="D42" s="202">
        <v>1</v>
      </c>
      <c r="E42" s="202">
        <v>1</v>
      </c>
      <c r="F42" s="202">
        <v>1</v>
      </c>
      <c r="G42" s="202">
        <v>1</v>
      </c>
      <c r="H42" s="203">
        <v>1</v>
      </c>
    </row>
    <row r="45" spans="1:11" ht="16.5" thickBot="1">
      <c r="A45" s="153" t="s">
        <v>482</v>
      </c>
      <c r="B45" s="154"/>
      <c r="C45" s="154"/>
      <c r="D45" s="154"/>
      <c r="E45" s="154"/>
      <c r="F45" s="154"/>
      <c r="G45" s="154"/>
      <c r="H45" s="154"/>
    </row>
    <row r="46" spans="1:11" ht="13.5" thickBot="1">
      <c r="A46" s="178" t="s">
        <v>64</v>
      </c>
      <c r="B46" s="179">
        <v>2000</v>
      </c>
      <c r="C46" s="180">
        <v>2010</v>
      </c>
      <c r="D46" s="180">
        <v>2015</v>
      </c>
      <c r="E46" s="180">
        <v>2020</v>
      </c>
      <c r="F46" s="180">
        <v>2025</v>
      </c>
      <c r="G46" s="180">
        <v>2030</v>
      </c>
      <c r="H46" s="181">
        <v>2035</v>
      </c>
    </row>
    <row r="47" spans="1:11">
      <c r="A47" s="164" t="s">
        <v>40</v>
      </c>
      <c r="B47" s="182">
        <v>0.24925289967343198</v>
      </c>
      <c r="C47" s="183">
        <v>0.21139236494943869</v>
      </c>
      <c r="D47" s="183">
        <v>0.19515154320284264</v>
      </c>
      <c r="E47" s="183">
        <v>0.10341454559629469</v>
      </c>
      <c r="F47" s="183">
        <v>3.7249216641346797E-2</v>
      </c>
      <c r="G47" s="183">
        <v>5.0557786506600193E-3</v>
      </c>
      <c r="H47" s="167">
        <v>4.6798775518022695E-3</v>
      </c>
    </row>
    <row r="48" spans="1:11">
      <c r="A48" s="168" t="s">
        <v>51</v>
      </c>
      <c r="B48" s="185">
        <v>0.22672692778466266</v>
      </c>
      <c r="C48" s="186">
        <v>0.19228799955753997</v>
      </c>
      <c r="D48" s="186">
        <v>0.17751492520563283</v>
      </c>
      <c r="E48" s="186">
        <v>8.2731636477035742E-2</v>
      </c>
      <c r="F48" s="186">
        <v>1.4899686656538721E-2</v>
      </c>
      <c r="G48" s="186">
        <v>5.0557786506600193E-3</v>
      </c>
      <c r="H48" s="171">
        <v>4.6798775518022695E-3</v>
      </c>
    </row>
    <row r="49" spans="1:8">
      <c r="A49" s="168" t="s">
        <v>243</v>
      </c>
      <c r="B49" s="185">
        <v>1.1816210004947914</v>
      </c>
      <c r="C49" s="186">
        <v>1.0021374198486028</v>
      </c>
      <c r="D49" s="186">
        <v>0.92514535248965313</v>
      </c>
      <c r="E49" s="186">
        <v>0.84799927388961649</v>
      </c>
      <c r="F49" s="186">
        <v>0.69283542952905064</v>
      </c>
      <c r="G49" s="186">
        <v>0.49546630776468198</v>
      </c>
      <c r="H49" s="171">
        <v>0.45862800007662252</v>
      </c>
    </row>
    <row r="50" spans="1:8">
      <c r="A50" s="168" t="s">
        <v>476</v>
      </c>
      <c r="B50" s="185">
        <v>0.11737671175757185</v>
      </c>
      <c r="C50" s="186">
        <v>9.9547651084223213E-2</v>
      </c>
      <c r="D50" s="186">
        <v>0.23568009903539611</v>
      </c>
      <c r="E50" s="186">
        <v>0.48996523769428829</v>
      </c>
      <c r="F50" s="186">
        <v>0.74425114370011947</v>
      </c>
      <c r="G50" s="186">
        <v>0.95239065004875123</v>
      </c>
      <c r="H50" s="171">
        <v>0.99042479528929361</v>
      </c>
    </row>
    <row r="51" spans="1:8">
      <c r="A51" s="168" t="s">
        <v>26</v>
      </c>
      <c r="B51" s="185">
        <v>0.58489851145666505</v>
      </c>
      <c r="C51" s="186">
        <v>0.49605472896895636</v>
      </c>
      <c r="D51" s="186">
        <v>0.49605472888061158</v>
      </c>
      <c r="E51" s="186">
        <v>0.4960547288806117</v>
      </c>
      <c r="F51" s="186">
        <v>0.49605472888061164</v>
      </c>
      <c r="G51" s="186">
        <v>0.49605472888061164</v>
      </c>
      <c r="H51" s="171">
        <v>0.49605472888061158</v>
      </c>
    </row>
    <row r="52" spans="1:8">
      <c r="A52" s="168" t="s">
        <v>28</v>
      </c>
      <c r="B52" s="185">
        <v>7.7934684350799546E-2</v>
      </c>
      <c r="C52" s="186">
        <v>6.6096712447833494E-2</v>
      </c>
      <c r="D52" s="186">
        <v>7.6741111293204878E-2</v>
      </c>
      <c r="E52" s="186">
        <v>9.6624045007490611E-2</v>
      </c>
      <c r="F52" s="186">
        <v>0.11650703872177633</v>
      </c>
      <c r="G52" s="186">
        <v>0.13278177671818531</v>
      </c>
      <c r="H52" s="171">
        <v>0.1357557231811426</v>
      </c>
    </row>
    <row r="53" spans="1:8">
      <c r="A53" s="168" t="s">
        <v>477</v>
      </c>
      <c r="B53" s="185">
        <v>0.24398820892548206</v>
      </c>
      <c r="C53" s="186">
        <v>0.20692736001110221</v>
      </c>
      <c r="D53" s="186">
        <v>0.20692735997424952</v>
      </c>
      <c r="E53" s="186">
        <v>0.2069273599742496</v>
      </c>
      <c r="F53" s="186">
        <v>0.20692735997424958</v>
      </c>
      <c r="G53" s="186">
        <v>0.2069273599742496</v>
      </c>
      <c r="H53" s="171">
        <v>0.2069273599742496</v>
      </c>
    </row>
    <row r="54" spans="1:8" ht="13.5" thickBot="1">
      <c r="A54" s="174" t="s">
        <v>9</v>
      </c>
      <c r="B54" s="187">
        <v>2.6817989444434045</v>
      </c>
      <c r="C54" s="188">
        <v>2.2744442368676969</v>
      </c>
      <c r="D54" s="188">
        <v>2.3132151200815905</v>
      </c>
      <c r="E54" s="188">
        <v>2.3237168275195872</v>
      </c>
      <c r="F54" s="188">
        <v>2.3087246041036926</v>
      </c>
      <c r="G54" s="188">
        <v>2.2937323806877998</v>
      </c>
      <c r="H54" s="189">
        <v>2.2971503625055245</v>
      </c>
    </row>
    <row r="57" spans="1:8" ht="16.5" thickBot="1">
      <c r="A57" s="153" t="s">
        <v>483</v>
      </c>
      <c r="B57" s="154"/>
      <c r="C57" s="154"/>
      <c r="D57" s="154"/>
      <c r="E57" s="154"/>
      <c r="F57" s="154"/>
      <c r="G57" s="154"/>
      <c r="H57" s="154"/>
    </row>
    <row r="58" spans="1:8" ht="13.5" thickBot="1">
      <c r="A58" s="178"/>
      <c r="B58" s="179">
        <v>2000</v>
      </c>
      <c r="C58" s="180">
        <v>2010</v>
      </c>
      <c r="D58" s="180">
        <v>2015</v>
      </c>
      <c r="E58" s="180">
        <v>2020</v>
      </c>
      <c r="F58" s="180">
        <v>2025</v>
      </c>
      <c r="G58" s="180">
        <v>2030</v>
      </c>
      <c r="H58" s="181">
        <v>2035</v>
      </c>
    </row>
    <row r="59" spans="1:8">
      <c r="A59" s="164" t="s">
        <v>40</v>
      </c>
      <c r="B59" s="204">
        <v>0.87515151515151512</v>
      </c>
      <c r="C59" s="205">
        <v>0.87515151515151512</v>
      </c>
      <c r="D59" s="205">
        <v>0.87515151515151512</v>
      </c>
      <c r="E59" s="205">
        <v>0.87515151515151512</v>
      </c>
      <c r="F59" s="205">
        <v>0.87515151515151512</v>
      </c>
      <c r="G59" s="205">
        <v>0.87515151515151512</v>
      </c>
      <c r="H59" s="206">
        <v>0.87515151515151512</v>
      </c>
    </row>
    <row r="60" spans="1:8">
      <c r="A60" s="168" t="s">
        <v>51</v>
      </c>
      <c r="B60" s="207">
        <v>0.88779993240959787</v>
      </c>
      <c r="C60" s="208">
        <v>0.88779993240959787</v>
      </c>
      <c r="D60" s="208">
        <v>0.88779993240959787</v>
      </c>
      <c r="E60" s="208">
        <v>0.88779993240959787</v>
      </c>
      <c r="F60" s="208">
        <v>0.88779993240959787</v>
      </c>
      <c r="G60" s="208">
        <v>0.88779993240959787</v>
      </c>
      <c r="H60" s="209">
        <v>0.88779993240959787</v>
      </c>
    </row>
    <row r="61" spans="1:8">
      <c r="A61" s="168" t="s">
        <v>243</v>
      </c>
      <c r="B61" s="207">
        <v>0.81928855760691865</v>
      </c>
      <c r="C61" s="208">
        <v>0.81928855760691865</v>
      </c>
      <c r="D61" s="208">
        <v>0.81928855760691865</v>
      </c>
      <c r="E61" s="208">
        <v>0.81928855760691865</v>
      </c>
      <c r="F61" s="208">
        <v>0.81928855760691865</v>
      </c>
      <c r="G61" s="208">
        <v>0.81928855760691865</v>
      </c>
      <c r="H61" s="209">
        <v>0.81928855760691865</v>
      </c>
    </row>
    <row r="62" spans="1:8">
      <c r="A62" s="168" t="s">
        <v>476</v>
      </c>
      <c r="B62" s="207">
        <v>0.81632653061224492</v>
      </c>
      <c r="C62" s="208">
        <v>0.81632653061224492</v>
      </c>
      <c r="D62" s="208">
        <v>0.81632653061224492</v>
      </c>
      <c r="E62" s="208">
        <v>0.81632653061224492</v>
      </c>
      <c r="F62" s="208">
        <v>0.81632653061224492</v>
      </c>
      <c r="G62" s="208">
        <v>0.81632653061224492</v>
      </c>
      <c r="H62" s="209">
        <v>0.81632653061224492</v>
      </c>
    </row>
    <row r="63" spans="1:8">
      <c r="A63" s="168" t="s">
        <v>26</v>
      </c>
      <c r="B63" s="207">
        <v>1</v>
      </c>
      <c r="C63" s="208">
        <v>1</v>
      </c>
      <c r="D63" s="208">
        <v>1</v>
      </c>
      <c r="E63" s="208">
        <v>1</v>
      </c>
      <c r="F63" s="208">
        <v>1</v>
      </c>
      <c r="G63" s="208">
        <v>1</v>
      </c>
      <c r="H63" s="209">
        <v>1</v>
      </c>
    </row>
    <row r="64" spans="1:8">
      <c r="A64" s="168" t="s">
        <v>28</v>
      </c>
      <c r="B64" s="207">
        <v>1</v>
      </c>
      <c r="C64" s="208">
        <v>1</v>
      </c>
      <c r="D64" s="208">
        <v>1</v>
      </c>
      <c r="E64" s="208">
        <v>1</v>
      </c>
      <c r="F64" s="208">
        <v>1</v>
      </c>
      <c r="G64" s="208">
        <v>1</v>
      </c>
      <c r="H64" s="209">
        <v>1</v>
      </c>
    </row>
    <row r="65" spans="1:8">
      <c r="A65" s="168" t="s">
        <v>477</v>
      </c>
      <c r="B65" s="207">
        <v>1</v>
      </c>
      <c r="C65" s="208">
        <v>1</v>
      </c>
      <c r="D65" s="208">
        <v>1</v>
      </c>
      <c r="E65" s="208">
        <v>1</v>
      </c>
      <c r="F65" s="208">
        <v>1</v>
      </c>
      <c r="G65" s="208">
        <v>1</v>
      </c>
      <c r="H65" s="209">
        <v>1</v>
      </c>
    </row>
    <row r="66" spans="1:8" ht="13.5" thickBot="1">
      <c r="A66" s="174" t="s">
        <v>144</v>
      </c>
      <c r="B66" s="210"/>
      <c r="C66" s="211"/>
      <c r="D66" s="211"/>
      <c r="E66" s="211"/>
      <c r="F66" s="211"/>
      <c r="G66" s="211"/>
      <c r="H66" s="177"/>
    </row>
    <row r="69" spans="1:8" ht="16.5" thickBot="1">
      <c r="A69" s="153" t="s">
        <v>484</v>
      </c>
      <c r="B69" s="154"/>
      <c r="C69" s="154"/>
      <c r="D69" s="154"/>
      <c r="E69" s="154"/>
      <c r="F69" s="154"/>
      <c r="G69" s="154"/>
      <c r="H69" s="154"/>
    </row>
    <row r="70" spans="1:8" ht="13.5" thickBot="1">
      <c r="A70" s="130" t="s">
        <v>64</v>
      </c>
      <c r="B70" s="179">
        <v>2000</v>
      </c>
      <c r="C70" s="180">
        <v>2010</v>
      </c>
      <c r="D70" s="180">
        <v>2015</v>
      </c>
      <c r="E70" s="180">
        <v>2020</v>
      </c>
      <c r="F70" s="180">
        <v>2025</v>
      </c>
      <c r="G70" s="180">
        <v>2030</v>
      </c>
      <c r="H70" s="181">
        <v>2035</v>
      </c>
    </row>
    <row r="71" spans="1:8">
      <c r="A71" s="164" t="s">
        <v>40</v>
      </c>
      <c r="B71" s="182">
        <v>0.28481113882351994</v>
      </c>
      <c r="C71" s="183">
        <v>0.24154944748377691</v>
      </c>
      <c r="D71" s="183">
        <v>0.2229917218038022</v>
      </c>
      <c r="E71" s="183">
        <v>0.11816759018967192</v>
      </c>
      <c r="F71" s="183">
        <v>4.2563163059710675E-2</v>
      </c>
      <c r="G71" s="183">
        <v>5.7770323916821551E-3</v>
      </c>
      <c r="H71" s="167">
        <v>5.3475055127934525E-3</v>
      </c>
    </row>
    <row r="72" spans="1:8">
      <c r="A72" s="168" t="s">
        <v>51</v>
      </c>
      <c r="B72" s="185">
        <v>0.25538065447842284</v>
      </c>
      <c r="C72" s="186">
        <v>0.21658933791045329</v>
      </c>
      <c r="D72" s="186">
        <v>0.19994924388407595</v>
      </c>
      <c r="E72" s="186">
        <v>9.3187252506870474E-2</v>
      </c>
      <c r="F72" s="186">
        <v>1.6782707581537142E-2</v>
      </c>
      <c r="G72" s="186">
        <v>5.6947274561488376E-3</v>
      </c>
      <c r="H72" s="171">
        <v>5.2713200136212087E-3</v>
      </c>
    </row>
    <row r="73" spans="1:8">
      <c r="A73" s="168" t="s">
        <v>243</v>
      </c>
      <c r="B73" s="185">
        <v>1.4422525366962515</v>
      </c>
      <c r="C73" s="186">
        <v>1.2231800512090296</v>
      </c>
      <c r="D73" s="186">
        <v>1.1292057528448027</v>
      </c>
      <c r="E73" s="186">
        <v>1.0350434727985947</v>
      </c>
      <c r="F73" s="186">
        <v>0.84565495648172084</v>
      </c>
      <c r="G73" s="186">
        <v>0.60475189500009918</v>
      </c>
      <c r="H73" s="171">
        <v>0.55978811838437126</v>
      </c>
    </row>
    <row r="74" spans="1:8">
      <c r="A74" s="168" t="s">
        <v>476</v>
      </c>
      <c r="B74" s="185">
        <v>0.14378647190302551</v>
      </c>
      <c r="C74" s="186">
        <v>0.12194587257817344</v>
      </c>
      <c r="D74" s="186">
        <v>0.28870812131836021</v>
      </c>
      <c r="E74" s="186">
        <v>0.60020741617550311</v>
      </c>
      <c r="F74" s="186">
        <v>0.91170765103264628</v>
      </c>
      <c r="G74" s="186">
        <v>1.1666785463097202</v>
      </c>
      <c r="H74" s="171">
        <v>1.2132703742293847</v>
      </c>
    </row>
    <row r="75" spans="1:8">
      <c r="A75" s="168" t="s">
        <v>26</v>
      </c>
      <c r="B75" s="185">
        <v>0.58489851145666505</v>
      </c>
      <c r="C75" s="186">
        <v>0.49605472896895636</v>
      </c>
      <c r="D75" s="186">
        <v>0.49605472888061158</v>
      </c>
      <c r="E75" s="186">
        <v>0.4960547288806117</v>
      </c>
      <c r="F75" s="186">
        <v>0.49605472888061164</v>
      </c>
      <c r="G75" s="186">
        <v>0.49605472888061164</v>
      </c>
      <c r="H75" s="171">
        <v>0.49605472888061158</v>
      </c>
    </row>
    <row r="76" spans="1:8">
      <c r="A76" s="168" t="s">
        <v>28</v>
      </c>
      <c r="B76" s="185">
        <v>7.7934684350799546E-2</v>
      </c>
      <c r="C76" s="186">
        <v>6.6096712447833494E-2</v>
      </c>
      <c r="D76" s="186">
        <v>7.6741111293204878E-2</v>
      </c>
      <c r="E76" s="186">
        <v>9.6624045007490611E-2</v>
      </c>
      <c r="F76" s="186">
        <v>0.11650703872177633</v>
      </c>
      <c r="G76" s="186">
        <v>0.13278177671818531</v>
      </c>
      <c r="H76" s="171">
        <v>0.1357557231811426</v>
      </c>
    </row>
    <row r="77" spans="1:8">
      <c r="A77" s="168" t="s">
        <v>477</v>
      </c>
      <c r="B77" s="185">
        <v>0.24398820892548206</v>
      </c>
      <c r="C77" s="186">
        <v>0.20692736001110221</v>
      </c>
      <c r="D77" s="186">
        <v>0.20692735997424952</v>
      </c>
      <c r="E77" s="186">
        <v>0.2069273599742496</v>
      </c>
      <c r="F77" s="186">
        <v>0.20692735997424958</v>
      </c>
      <c r="G77" s="186">
        <v>0.2069273599742496</v>
      </c>
      <c r="H77" s="171">
        <v>0.2069273599742496</v>
      </c>
    </row>
    <row r="78" spans="1:8" ht="13.5" thickBot="1">
      <c r="A78" s="174" t="s">
        <v>9</v>
      </c>
      <c r="B78" s="187">
        <v>3.0330522066341663</v>
      </c>
      <c r="C78" s="188">
        <v>2.5723435106093255</v>
      </c>
      <c r="D78" s="188">
        <v>2.6205780399991072</v>
      </c>
      <c r="E78" s="188">
        <v>2.646211865532992</v>
      </c>
      <c r="F78" s="188">
        <v>2.6361976057322525</v>
      </c>
      <c r="G78" s="188">
        <v>2.6186660667306976</v>
      </c>
      <c r="H78" s="189">
        <v>2.622415130176174</v>
      </c>
    </row>
    <row r="81" spans="1:8" ht="16.5" thickBot="1">
      <c r="A81" s="153" t="s">
        <v>485</v>
      </c>
      <c r="B81" s="154"/>
      <c r="C81" s="154"/>
      <c r="D81" s="154"/>
      <c r="E81" s="154"/>
      <c r="F81" s="154"/>
      <c r="G81" s="154"/>
      <c r="H81" s="154"/>
    </row>
    <row r="82" spans="1:8" ht="13.5" thickBot="1">
      <c r="A82" s="130" t="s">
        <v>64</v>
      </c>
      <c r="B82" s="179">
        <v>2000</v>
      </c>
      <c r="C82" s="180">
        <v>2010</v>
      </c>
      <c r="D82" s="180">
        <v>2015</v>
      </c>
      <c r="E82" s="180">
        <v>2020</v>
      </c>
      <c r="F82" s="180">
        <v>2025</v>
      </c>
      <c r="G82" s="180">
        <v>2030</v>
      </c>
      <c r="H82" s="181">
        <v>2035</v>
      </c>
    </row>
    <row r="83" spans="1:8">
      <c r="A83" s="164" t="s">
        <v>40</v>
      </c>
      <c r="B83" s="182">
        <v>0.19324418358907203</v>
      </c>
      <c r="C83" s="183">
        <v>0.15065170754870588</v>
      </c>
      <c r="D83" s="183">
        <v>0.14378425805907052</v>
      </c>
      <c r="E83" s="183">
        <v>8.0234645771708857E-2</v>
      </c>
      <c r="F83" s="183">
        <v>2.9693578980095423E-2</v>
      </c>
      <c r="G83" s="183">
        <v>4.1393864502552976E-3</v>
      </c>
      <c r="H83" s="167">
        <v>3.9120438606307754E-3</v>
      </c>
    </row>
    <row r="84" spans="1:8">
      <c r="A84" s="168" t="s">
        <v>51</v>
      </c>
      <c r="B84" s="185">
        <v>0.17327561795153457</v>
      </c>
      <c r="C84" s="186">
        <v>0.13508436443533961</v>
      </c>
      <c r="D84" s="186">
        <v>0.12892655139296655</v>
      </c>
      <c r="E84" s="186">
        <v>6.3273239162501188E-2</v>
      </c>
      <c r="F84" s="186">
        <v>1.1708214738954292E-2</v>
      </c>
      <c r="G84" s="186">
        <v>4.0804129303168802E-3</v>
      </c>
      <c r="H84" s="171">
        <v>3.8563092730566572E-3</v>
      </c>
    </row>
    <row r="85" spans="1:8">
      <c r="A85" s="168" t="s">
        <v>243</v>
      </c>
      <c r="B85" s="185">
        <v>0.97856746451139653</v>
      </c>
      <c r="C85" s="186">
        <v>0.76288381229491387</v>
      </c>
      <c r="D85" s="186">
        <v>0.7281077972557084</v>
      </c>
      <c r="E85" s="186">
        <v>0.70278446285496843</v>
      </c>
      <c r="F85" s="186">
        <v>0.58995902642320741</v>
      </c>
      <c r="G85" s="186">
        <v>0.43331967525989834</v>
      </c>
      <c r="H85" s="171">
        <v>0.40952097506780422</v>
      </c>
    </row>
    <row r="86" spans="1:8">
      <c r="A86" s="168" t="s">
        <v>476</v>
      </c>
      <c r="B86" s="185">
        <v>9.7559033290725447E-2</v>
      </c>
      <c r="C86" s="186">
        <v>7.6056286295801204E-2</v>
      </c>
      <c r="D86" s="186">
        <v>0.18615795547743394</v>
      </c>
      <c r="E86" s="186">
        <v>0.40753500472588278</v>
      </c>
      <c r="F86" s="186">
        <v>0.63603973945067949</v>
      </c>
      <c r="G86" s="186">
        <v>0.83595400526944241</v>
      </c>
      <c r="H86" s="171">
        <v>0.88758523155029734</v>
      </c>
    </row>
    <row r="87" spans="1:8">
      <c r="A87" s="168" t="s">
        <v>26</v>
      </c>
      <c r="B87" s="185">
        <v>0.39685328247973978</v>
      </c>
      <c r="C87" s="186">
        <v>0.30938382486593324</v>
      </c>
      <c r="D87" s="186">
        <v>0.31985430029347384</v>
      </c>
      <c r="E87" s="186">
        <v>0.33681634186863207</v>
      </c>
      <c r="F87" s="186">
        <v>0.34606545217991586</v>
      </c>
      <c r="G87" s="186">
        <v>0.35543546999492792</v>
      </c>
      <c r="H87" s="171">
        <v>0.36289590576607522</v>
      </c>
    </row>
    <row r="88" spans="1:8">
      <c r="A88" s="168" t="s">
        <v>28</v>
      </c>
      <c r="B88" s="185">
        <v>5.2878635691191535E-2</v>
      </c>
      <c r="C88" s="186">
        <v>4.1223785429236791E-2</v>
      </c>
      <c r="D88" s="186">
        <v>4.9482391815559676E-2</v>
      </c>
      <c r="E88" s="186">
        <v>6.5606787882886472E-2</v>
      </c>
      <c r="F88" s="186">
        <v>8.1279461095709687E-2</v>
      </c>
      <c r="G88" s="186">
        <v>9.5141423852747001E-2</v>
      </c>
      <c r="H88" s="171">
        <v>9.9314033832356138E-2</v>
      </c>
    </row>
    <row r="89" spans="1:8">
      <c r="A89" s="168" t="s">
        <v>477</v>
      </c>
      <c r="B89" s="185">
        <v>0.1655458506079717</v>
      </c>
      <c r="C89" s="186">
        <v>0.12905829613339137</v>
      </c>
      <c r="D89" s="186">
        <v>0.1334260154832006</v>
      </c>
      <c r="E89" s="186">
        <v>0.14050166717760412</v>
      </c>
      <c r="F89" s="186">
        <v>0.14435989867384127</v>
      </c>
      <c r="G89" s="186">
        <v>0.14826856627942472</v>
      </c>
      <c r="H89" s="171">
        <v>0.1513806589347344</v>
      </c>
    </row>
    <row r="90" spans="1:8" ht="13.5" thickBot="1">
      <c r="A90" s="174" t="s">
        <v>9</v>
      </c>
      <c r="B90" s="187">
        <v>2.0579240681216313</v>
      </c>
      <c r="C90" s="188">
        <v>1.6043420770033219</v>
      </c>
      <c r="D90" s="188">
        <v>1.6897392697774134</v>
      </c>
      <c r="E90" s="188">
        <v>1.796752149444184</v>
      </c>
      <c r="F90" s="188">
        <v>1.8391053715424035</v>
      </c>
      <c r="G90" s="188">
        <v>1.8763389400370125</v>
      </c>
      <c r="H90" s="189">
        <v>1.9184651582849548</v>
      </c>
    </row>
    <row r="91" spans="1:8">
      <c r="A91" s="212"/>
      <c r="B91" s="213"/>
      <c r="C91" s="213"/>
      <c r="D91" s="213"/>
      <c r="E91" s="213"/>
      <c r="F91" s="213"/>
      <c r="G91" s="213"/>
      <c r="H91" s="213"/>
    </row>
    <row r="93" spans="1:8" ht="16.5" thickBot="1">
      <c r="A93" s="153" t="s">
        <v>486</v>
      </c>
      <c r="B93" s="154"/>
      <c r="C93" s="154"/>
      <c r="D93" s="154"/>
      <c r="E93" s="154"/>
      <c r="F93" s="154"/>
      <c r="G93" s="154"/>
      <c r="H93" s="154"/>
    </row>
    <row r="94" spans="1:8" ht="13.5" thickBot="1">
      <c r="A94" s="130" t="s">
        <v>64</v>
      </c>
      <c r="B94" s="179">
        <v>2000</v>
      </c>
      <c r="C94" s="180">
        <v>2010</v>
      </c>
      <c r="D94" s="180">
        <v>2015</v>
      </c>
      <c r="E94" s="180">
        <v>2020</v>
      </c>
      <c r="F94" s="180">
        <v>2025</v>
      </c>
      <c r="G94" s="180">
        <v>2030</v>
      </c>
      <c r="H94" s="181">
        <v>2035</v>
      </c>
    </row>
    <row r="95" spans="1:8">
      <c r="A95" s="164" t="s">
        <v>40</v>
      </c>
      <c r="B95" s="182">
        <v>9.1566955234447911E-2</v>
      </c>
      <c r="C95" s="183">
        <v>9.0897739935071012E-2</v>
      </c>
      <c r="D95" s="183">
        <v>7.9207463744731685E-2</v>
      </c>
      <c r="E95" s="183">
        <v>3.7932944417963063E-2</v>
      </c>
      <c r="F95" s="183">
        <v>1.2869584079615255E-2</v>
      </c>
      <c r="G95" s="183">
        <v>1.6376459414268569E-3</v>
      </c>
      <c r="H95" s="167">
        <v>1.4354616521626768E-3</v>
      </c>
    </row>
    <row r="96" spans="1:8">
      <c r="A96" s="168" t="s">
        <v>51</v>
      </c>
      <c r="B96" s="185">
        <v>8.2105036526888275E-2</v>
      </c>
      <c r="C96" s="186">
        <v>8.1504973475113665E-2</v>
      </c>
      <c r="D96" s="186">
        <v>7.1022692491109402E-2</v>
      </c>
      <c r="E96" s="186">
        <v>2.9914013344369286E-2</v>
      </c>
      <c r="F96" s="186">
        <v>5.0744928425828515E-3</v>
      </c>
      <c r="G96" s="186">
        <v>1.6143145258319567E-3</v>
      </c>
      <c r="H96" s="171">
        <v>1.4150107405645515E-3</v>
      </c>
    </row>
    <row r="97" spans="1:8">
      <c r="A97" s="168" t="s">
        <v>243</v>
      </c>
      <c r="B97" s="185">
        <v>0.46368507218485505</v>
      </c>
      <c r="C97" s="186">
        <v>0.46029623891411559</v>
      </c>
      <c r="D97" s="186">
        <v>0.40109795558909445</v>
      </c>
      <c r="E97" s="186">
        <v>0.33225900994362623</v>
      </c>
      <c r="F97" s="186">
        <v>0.25569593005851349</v>
      </c>
      <c r="G97" s="186">
        <v>0.17143221974020081</v>
      </c>
      <c r="H97" s="171">
        <v>0.15026714331656696</v>
      </c>
    </row>
    <row r="98" spans="1:8">
      <c r="A98" s="168" t="s">
        <v>476</v>
      </c>
      <c r="B98" s="185">
        <v>4.6227438612300067E-2</v>
      </c>
      <c r="C98" s="186">
        <v>4.5889586282372212E-2</v>
      </c>
      <c r="D98" s="186">
        <v>0.10255016584092629</v>
      </c>
      <c r="E98" s="186">
        <v>0.1926724114496203</v>
      </c>
      <c r="F98" s="186">
        <v>0.27566791158196696</v>
      </c>
      <c r="G98" s="186">
        <v>0.33072454104027771</v>
      </c>
      <c r="H98" s="171">
        <v>0.32568514267908738</v>
      </c>
    </row>
    <row r="99" spans="1:8">
      <c r="A99" s="168" t="s">
        <v>26</v>
      </c>
      <c r="B99" s="185">
        <v>0.1880452289769253</v>
      </c>
      <c r="C99" s="186">
        <v>0.18667090410302309</v>
      </c>
      <c r="D99" s="186">
        <v>0.1762004285871378</v>
      </c>
      <c r="E99" s="186">
        <v>0.15923838701197959</v>
      </c>
      <c r="F99" s="186">
        <v>0.14998927670069587</v>
      </c>
      <c r="G99" s="186">
        <v>0.14061925888568369</v>
      </c>
      <c r="H99" s="171">
        <v>0.13315882311453636</v>
      </c>
    </row>
    <row r="100" spans="1:8">
      <c r="A100" s="168" t="s">
        <v>28</v>
      </c>
      <c r="B100" s="185">
        <v>2.5056048659608018E-2</v>
      </c>
      <c r="C100" s="186">
        <v>2.48729270185967E-2</v>
      </c>
      <c r="D100" s="186">
        <v>2.7258719477645205E-2</v>
      </c>
      <c r="E100" s="186">
        <v>3.1017257124604132E-2</v>
      </c>
      <c r="F100" s="186">
        <v>3.522757762606666E-2</v>
      </c>
      <c r="G100" s="186">
        <v>3.7640352865438299E-2</v>
      </c>
      <c r="H100" s="171">
        <v>3.6441689348786444E-2</v>
      </c>
    </row>
    <row r="101" spans="1:8">
      <c r="A101" s="168" t="s">
        <v>477</v>
      </c>
      <c r="B101" s="185">
        <v>7.8442358317510369E-2</v>
      </c>
      <c r="C101" s="186">
        <v>7.7869063877710823E-2</v>
      </c>
      <c r="D101" s="186">
        <v>7.3501344491048934E-2</v>
      </c>
      <c r="E101" s="186">
        <v>6.642569279664548E-2</v>
      </c>
      <c r="F101" s="186">
        <v>6.2567461300408328E-2</v>
      </c>
      <c r="G101" s="186">
        <v>5.8658793694824844E-2</v>
      </c>
      <c r="H101" s="171">
        <v>5.5546701039515201E-2</v>
      </c>
    </row>
    <row r="102" spans="1:8" ht="13.5" thickBot="1">
      <c r="A102" s="174" t="s">
        <v>9</v>
      </c>
      <c r="B102" s="187">
        <v>0.97512813851253488</v>
      </c>
      <c r="C102" s="188">
        <v>0.9680014336060031</v>
      </c>
      <c r="D102" s="188">
        <v>0.93083877022169381</v>
      </c>
      <c r="E102" s="188">
        <v>0.84945971608880799</v>
      </c>
      <c r="F102" s="188">
        <v>0.79709223418984942</v>
      </c>
      <c r="G102" s="188">
        <v>0.74232712669368428</v>
      </c>
      <c r="H102" s="189">
        <v>0.70394997189121966</v>
      </c>
    </row>
    <row r="103" spans="1:8">
      <c r="A103" s="212"/>
      <c r="B103" s="213"/>
      <c r="C103" s="213"/>
      <c r="D103" s="213"/>
      <c r="E103" s="213"/>
      <c r="F103" s="213"/>
      <c r="G103" s="213"/>
      <c r="H103" s="2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zoomScaleNormal="100" workbookViewId="0">
      <selection activeCell="F36" sqref="F36"/>
    </sheetView>
  </sheetViews>
  <sheetFormatPr baseColWidth="10" defaultRowHeight="12.75"/>
  <cols>
    <col min="1" max="1" width="43.7109375" style="122" customWidth="1"/>
    <col min="2" max="12" width="9.85546875" style="122" customWidth="1"/>
    <col min="13" max="13" width="12.5703125" style="122" customWidth="1"/>
    <col min="14" max="14" width="9.85546875" style="122" customWidth="1"/>
    <col min="15" max="256" width="11.42578125" style="122"/>
    <col min="257" max="257" width="43.7109375" style="122" customWidth="1"/>
    <col min="258" max="268" width="9.85546875" style="122" customWidth="1"/>
    <col min="269" max="269" width="12.5703125" style="122" customWidth="1"/>
    <col min="270" max="270" width="9.85546875" style="122" customWidth="1"/>
    <col min="271" max="512" width="11.42578125" style="122"/>
    <col min="513" max="513" width="43.7109375" style="122" customWidth="1"/>
    <col min="514" max="524" width="9.85546875" style="122" customWidth="1"/>
    <col min="525" max="525" width="12.5703125" style="122" customWidth="1"/>
    <col min="526" max="526" width="9.85546875" style="122" customWidth="1"/>
    <col min="527" max="768" width="11.42578125" style="122"/>
    <col min="769" max="769" width="43.7109375" style="122" customWidth="1"/>
    <col min="770" max="780" width="9.85546875" style="122" customWidth="1"/>
    <col min="781" max="781" width="12.5703125" style="122" customWidth="1"/>
    <col min="782" max="782" width="9.85546875" style="122" customWidth="1"/>
    <col min="783" max="1024" width="11.42578125" style="122"/>
    <col min="1025" max="1025" width="43.7109375" style="122" customWidth="1"/>
    <col min="1026" max="1036" width="9.85546875" style="122" customWidth="1"/>
    <col min="1037" max="1037" width="12.5703125" style="122" customWidth="1"/>
    <col min="1038" max="1038" width="9.85546875" style="122" customWidth="1"/>
    <col min="1039" max="1280" width="11.42578125" style="122"/>
    <col min="1281" max="1281" width="43.7109375" style="122" customWidth="1"/>
    <col min="1282" max="1292" width="9.85546875" style="122" customWidth="1"/>
    <col min="1293" max="1293" width="12.5703125" style="122" customWidth="1"/>
    <col min="1294" max="1294" width="9.85546875" style="122" customWidth="1"/>
    <col min="1295" max="1536" width="11.42578125" style="122"/>
    <col min="1537" max="1537" width="43.7109375" style="122" customWidth="1"/>
    <col min="1538" max="1548" width="9.85546875" style="122" customWidth="1"/>
    <col min="1549" max="1549" width="12.5703125" style="122" customWidth="1"/>
    <col min="1550" max="1550" width="9.85546875" style="122" customWidth="1"/>
    <col min="1551" max="1792" width="11.42578125" style="122"/>
    <col min="1793" max="1793" width="43.7109375" style="122" customWidth="1"/>
    <col min="1794" max="1804" width="9.85546875" style="122" customWidth="1"/>
    <col min="1805" max="1805" width="12.5703125" style="122" customWidth="1"/>
    <col min="1806" max="1806" width="9.85546875" style="122" customWidth="1"/>
    <col min="1807" max="2048" width="11.42578125" style="122"/>
    <col min="2049" max="2049" width="43.7109375" style="122" customWidth="1"/>
    <col min="2050" max="2060" width="9.85546875" style="122" customWidth="1"/>
    <col min="2061" max="2061" width="12.5703125" style="122" customWidth="1"/>
    <col min="2062" max="2062" width="9.85546875" style="122" customWidth="1"/>
    <col min="2063" max="2304" width="11.42578125" style="122"/>
    <col min="2305" max="2305" width="43.7109375" style="122" customWidth="1"/>
    <col min="2306" max="2316" width="9.85546875" style="122" customWidth="1"/>
    <col min="2317" max="2317" width="12.5703125" style="122" customWidth="1"/>
    <col min="2318" max="2318" width="9.85546875" style="122" customWidth="1"/>
    <col min="2319" max="2560" width="11.42578125" style="122"/>
    <col min="2561" max="2561" width="43.7109375" style="122" customWidth="1"/>
    <col min="2562" max="2572" width="9.85546875" style="122" customWidth="1"/>
    <col min="2573" max="2573" width="12.5703125" style="122" customWidth="1"/>
    <col min="2574" max="2574" width="9.85546875" style="122" customWidth="1"/>
    <col min="2575" max="2816" width="11.42578125" style="122"/>
    <col min="2817" max="2817" width="43.7109375" style="122" customWidth="1"/>
    <col min="2818" max="2828" width="9.85546875" style="122" customWidth="1"/>
    <col min="2829" max="2829" width="12.5703125" style="122" customWidth="1"/>
    <col min="2830" max="2830" width="9.85546875" style="122" customWidth="1"/>
    <col min="2831" max="3072" width="11.42578125" style="122"/>
    <col min="3073" max="3073" width="43.7109375" style="122" customWidth="1"/>
    <col min="3074" max="3084" width="9.85546875" style="122" customWidth="1"/>
    <col min="3085" max="3085" width="12.5703125" style="122" customWidth="1"/>
    <col min="3086" max="3086" width="9.85546875" style="122" customWidth="1"/>
    <col min="3087" max="3328" width="11.42578125" style="122"/>
    <col min="3329" max="3329" width="43.7109375" style="122" customWidth="1"/>
    <col min="3330" max="3340" width="9.85546875" style="122" customWidth="1"/>
    <col min="3341" max="3341" width="12.5703125" style="122" customWidth="1"/>
    <col min="3342" max="3342" width="9.85546875" style="122" customWidth="1"/>
    <col min="3343" max="3584" width="11.42578125" style="122"/>
    <col min="3585" max="3585" width="43.7109375" style="122" customWidth="1"/>
    <col min="3586" max="3596" width="9.85546875" style="122" customWidth="1"/>
    <col min="3597" max="3597" width="12.5703125" style="122" customWidth="1"/>
    <col min="3598" max="3598" width="9.85546875" style="122" customWidth="1"/>
    <col min="3599" max="3840" width="11.42578125" style="122"/>
    <col min="3841" max="3841" width="43.7109375" style="122" customWidth="1"/>
    <col min="3842" max="3852" width="9.85546875" style="122" customWidth="1"/>
    <col min="3853" max="3853" width="12.5703125" style="122" customWidth="1"/>
    <col min="3854" max="3854" width="9.85546875" style="122" customWidth="1"/>
    <col min="3855" max="4096" width="11.42578125" style="122"/>
    <col min="4097" max="4097" width="43.7109375" style="122" customWidth="1"/>
    <col min="4098" max="4108" width="9.85546875" style="122" customWidth="1"/>
    <col min="4109" max="4109" width="12.5703125" style="122" customWidth="1"/>
    <col min="4110" max="4110" width="9.85546875" style="122" customWidth="1"/>
    <col min="4111" max="4352" width="11.42578125" style="122"/>
    <col min="4353" max="4353" width="43.7109375" style="122" customWidth="1"/>
    <col min="4354" max="4364" width="9.85546875" style="122" customWidth="1"/>
    <col min="4365" max="4365" width="12.5703125" style="122" customWidth="1"/>
    <col min="4366" max="4366" width="9.85546875" style="122" customWidth="1"/>
    <col min="4367" max="4608" width="11.42578125" style="122"/>
    <col min="4609" max="4609" width="43.7109375" style="122" customWidth="1"/>
    <col min="4610" max="4620" width="9.85546875" style="122" customWidth="1"/>
    <col min="4621" max="4621" width="12.5703125" style="122" customWidth="1"/>
    <col min="4622" max="4622" width="9.85546875" style="122" customWidth="1"/>
    <col min="4623" max="4864" width="11.42578125" style="122"/>
    <col min="4865" max="4865" width="43.7109375" style="122" customWidth="1"/>
    <col min="4866" max="4876" width="9.85546875" style="122" customWidth="1"/>
    <col min="4877" max="4877" width="12.5703125" style="122" customWidth="1"/>
    <col min="4878" max="4878" width="9.85546875" style="122" customWidth="1"/>
    <col min="4879" max="5120" width="11.42578125" style="122"/>
    <col min="5121" max="5121" width="43.7109375" style="122" customWidth="1"/>
    <col min="5122" max="5132" width="9.85546875" style="122" customWidth="1"/>
    <col min="5133" max="5133" width="12.5703125" style="122" customWidth="1"/>
    <col min="5134" max="5134" width="9.85546875" style="122" customWidth="1"/>
    <col min="5135" max="5376" width="11.42578125" style="122"/>
    <col min="5377" max="5377" width="43.7109375" style="122" customWidth="1"/>
    <col min="5378" max="5388" width="9.85546875" style="122" customWidth="1"/>
    <col min="5389" max="5389" width="12.5703125" style="122" customWidth="1"/>
    <col min="5390" max="5390" width="9.85546875" style="122" customWidth="1"/>
    <col min="5391" max="5632" width="11.42578125" style="122"/>
    <col min="5633" max="5633" width="43.7109375" style="122" customWidth="1"/>
    <col min="5634" max="5644" width="9.85546875" style="122" customWidth="1"/>
    <col min="5645" max="5645" width="12.5703125" style="122" customWidth="1"/>
    <col min="5646" max="5646" width="9.85546875" style="122" customWidth="1"/>
    <col min="5647" max="5888" width="11.42578125" style="122"/>
    <col min="5889" max="5889" width="43.7109375" style="122" customWidth="1"/>
    <col min="5890" max="5900" width="9.85546875" style="122" customWidth="1"/>
    <col min="5901" max="5901" width="12.5703125" style="122" customWidth="1"/>
    <col min="5902" max="5902" width="9.85546875" style="122" customWidth="1"/>
    <col min="5903" max="6144" width="11.42578125" style="122"/>
    <col min="6145" max="6145" width="43.7109375" style="122" customWidth="1"/>
    <col min="6146" max="6156" width="9.85546875" style="122" customWidth="1"/>
    <col min="6157" max="6157" width="12.5703125" style="122" customWidth="1"/>
    <col min="6158" max="6158" width="9.85546875" style="122" customWidth="1"/>
    <col min="6159" max="6400" width="11.42578125" style="122"/>
    <col min="6401" max="6401" width="43.7109375" style="122" customWidth="1"/>
    <col min="6402" max="6412" width="9.85546875" style="122" customWidth="1"/>
    <col min="6413" max="6413" width="12.5703125" style="122" customWidth="1"/>
    <col min="6414" max="6414" width="9.85546875" style="122" customWidth="1"/>
    <col min="6415" max="6656" width="11.42578125" style="122"/>
    <col min="6657" max="6657" width="43.7109375" style="122" customWidth="1"/>
    <col min="6658" max="6668" width="9.85546875" style="122" customWidth="1"/>
    <col min="6669" max="6669" width="12.5703125" style="122" customWidth="1"/>
    <col min="6670" max="6670" width="9.85546875" style="122" customWidth="1"/>
    <col min="6671" max="6912" width="11.42578125" style="122"/>
    <col min="6913" max="6913" width="43.7109375" style="122" customWidth="1"/>
    <col min="6914" max="6924" width="9.85546875" style="122" customWidth="1"/>
    <col min="6925" max="6925" width="12.5703125" style="122" customWidth="1"/>
    <col min="6926" max="6926" width="9.85546875" style="122" customWidth="1"/>
    <col min="6927" max="7168" width="11.42578125" style="122"/>
    <col min="7169" max="7169" width="43.7109375" style="122" customWidth="1"/>
    <col min="7170" max="7180" width="9.85546875" style="122" customWidth="1"/>
    <col min="7181" max="7181" width="12.5703125" style="122" customWidth="1"/>
    <col min="7182" max="7182" width="9.85546875" style="122" customWidth="1"/>
    <col min="7183" max="7424" width="11.42578125" style="122"/>
    <col min="7425" max="7425" width="43.7109375" style="122" customWidth="1"/>
    <col min="7426" max="7436" width="9.85546875" style="122" customWidth="1"/>
    <col min="7437" max="7437" width="12.5703125" style="122" customWidth="1"/>
    <col min="7438" max="7438" width="9.85546875" style="122" customWidth="1"/>
    <col min="7439" max="7680" width="11.42578125" style="122"/>
    <col min="7681" max="7681" width="43.7109375" style="122" customWidth="1"/>
    <col min="7682" max="7692" width="9.85546875" style="122" customWidth="1"/>
    <col min="7693" max="7693" width="12.5703125" style="122" customWidth="1"/>
    <col min="7694" max="7694" width="9.85546875" style="122" customWidth="1"/>
    <col min="7695" max="7936" width="11.42578125" style="122"/>
    <col min="7937" max="7937" width="43.7109375" style="122" customWidth="1"/>
    <col min="7938" max="7948" width="9.85546875" style="122" customWidth="1"/>
    <col min="7949" max="7949" width="12.5703125" style="122" customWidth="1"/>
    <col min="7950" max="7950" width="9.85546875" style="122" customWidth="1"/>
    <col min="7951" max="8192" width="11.42578125" style="122"/>
    <col min="8193" max="8193" width="43.7109375" style="122" customWidth="1"/>
    <col min="8194" max="8204" width="9.85546875" style="122" customWidth="1"/>
    <col min="8205" max="8205" width="12.5703125" style="122" customWidth="1"/>
    <col min="8206" max="8206" width="9.85546875" style="122" customWidth="1"/>
    <col min="8207" max="8448" width="11.42578125" style="122"/>
    <col min="8449" max="8449" width="43.7109375" style="122" customWidth="1"/>
    <col min="8450" max="8460" width="9.85546875" style="122" customWidth="1"/>
    <col min="8461" max="8461" width="12.5703125" style="122" customWidth="1"/>
    <col min="8462" max="8462" width="9.85546875" style="122" customWidth="1"/>
    <col min="8463" max="8704" width="11.42578125" style="122"/>
    <col min="8705" max="8705" width="43.7109375" style="122" customWidth="1"/>
    <col min="8706" max="8716" width="9.85546875" style="122" customWidth="1"/>
    <col min="8717" max="8717" width="12.5703125" style="122" customWidth="1"/>
    <col min="8718" max="8718" width="9.85546875" style="122" customWidth="1"/>
    <col min="8719" max="8960" width="11.42578125" style="122"/>
    <col min="8961" max="8961" width="43.7109375" style="122" customWidth="1"/>
    <col min="8962" max="8972" width="9.85546875" style="122" customWidth="1"/>
    <col min="8973" max="8973" width="12.5703125" style="122" customWidth="1"/>
    <col min="8974" max="8974" width="9.85546875" style="122" customWidth="1"/>
    <col min="8975" max="9216" width="11.42578125" style="122"/>
    <col min="9217" max="9217" width="43.7109375" style="122" customWidth="1"/>
    <col min="9218" max="9228" width="9.85546875" style="122" customWidth="1"/>
    <col min="9229" max="9229" width="12.5703125" style="122" customWidth="1"/>
    <col min="9230" max="9230" width="9.85546875" style="122" customWidth="1"/>
    <col min="9231" max="9472" width="11.42578125" style="122"/>
    <col min="9473" max="9473" width="43.7109375" style="122" customWidth="1"/>
    <col min="9474" max="9484" width="9.85546875" style="122" customWidth="1"/>
    <col min="9485" max="9485" width="12.5703125" style="122" customWidth="1"/>
    <col min="9486" max="9486" width="9.85546875" style="122" customWidth="1"/>
    <col min="9487" max="9728" width="11.42578125" style="122"/>
    <col min="9729" max="9729" width="43.7109375" style="122" customWidth="1"/>
    <col min="9730" max="9740" width="9.85546875" style="122" customWidth="1"/>
    <col min="9741" max="9741" width="12.5703125" style="122" customWidth="1"/>
    <col min="9742" max="9742" width="9.85546875" style="122" customWidth="1"/>
    <col min="9743" max="9984" width="11.42578125" style="122"/>
    <col min="9985" max="9985" width="43.7109375" style="122" customWidth="1"/>
    <col min="9986" max="9996" width="9.85546875" style="122" customWidth="1"/>
    <col min="9997" max="9997" width="12.5703125" style="122" customWidth="1"/>
    <col min="9998" max="9998" width="9.85546875" style="122" customWidth="1"/>
    <col min="9999" max="10240" width="11.42578125" style="122"/>
    <col min="10241" max="10241" width="43.7109375" style="122" customWidth="1"/>
    <col min="10242" max="10252" width="9.85546875" style="122" customWidth="1"/>
    <col min="10253" max="10253" width="12.5703125" style="122" customWidth="1"/>
    <col min="10254" max="10254" width="9.85546875" style="122" customWidth="1"/>
    <col min="10255" max="10496" width="11.42578125" style="122"/>
    <col min="10497" max="10497" width="43.7109375" style="122" customWidth="1"/>
    <col min="10498" max="10508" width="9.85546875" style="122" customWidth="1"/>
    <col min="10509" max="10509" width="12.5703125" style="122" customWidth="1"/>
    <col min="10510" max="10510" width="9.85546875" style="122" customWidth="1"/>
    <col min="10511" max="10752" width="11.42578125" style="122"/>
    <col min="10753" max="10753" width="43.7109375" style="122" customWidth="1"/>
    <col min="10754" max="10764" width="9.85546875" style="122" customWidth="1"/>
    <col min="10765" max="10765" width="12.5703125" style="122" customWidth="1"/>
    <col min="10766" max="10766" width="9.85546875" style="122" customWidth="1"/>
    <col min="10767" max="11008" width="11.42578125" style="122"/>
    <col min="11009" max="11009" width="43.7109375" style="122" customWidth="1"/>
    <col min="11010" max="11020" width="9.85546875" style="122" customWidth="1"/>
    <col min="11021" max="11021" width="12.5703125" style="122" customWidth="1"/>
    <col min="11022" max="11022" width="9.85546875" style="122" customWidth="1"/>
    <col min="11023" max="11264" width="11.42578125" style="122"/>
    <col min="11265" max="11265" width="43.7109375" style="122" customWidth="1"/>
    <col min="11266" max="11276" width="9.85546875" style="122" customWidth="1"/>
    <col min="11277" max="11277" width="12.5703125" style="122" customWidth="1"/>
    <col min="11278" max="11278" width="9.85546875" style="122" customWidth="1"/>
    <col min="11279" max="11520" width="11.42578125" style="122"/>
    <col min="11521" max="11521" width="43.7109375" style="122" customWidth="1"/>
    <col min="11522" max="11532" width="9.85546875" style="122" customWidth="1"/>
    <col min="11533" max="11533" width="12.5703125" style="122" customWidth="1"/>
    <col min="11534" max="11534" width="9.85546875" style="122" customWidth="1"/>
    <col min="11535" max="11776" width="11.42578125" style="122"/>
    <col min="11777" max="11777" width="43.7109375" style="122" customWidth="1"/>
    <col min="11778" max="11788" width="9.85546875" style="122" customWidth="1"/>
    <col min="11789" max="11789" width="12.5703125" style="122" customWidth="1"/>
    <col min="11790" max="11790" width="9.85546875" style="122" customWidth="1"/>
    <col min="11791" max="12032" width="11.42578125" style="122"/>
    <col min="12033" max="12033" width="43.7109375" style="122" customWidth="1"/>
    <col min="12034" max="12044" width="9.85546875" style="122" customWidth="1"/>
    <col min="12045" max="12045" width="12.5703125" style="122" customWidth="1"/>
    <col min="12046" max="12046" width="9.85546875" style="122" customWidth="1"/>
    <col min="12047" max="12288" width="11.42578125" style="122"/>
    <col min="12289" max="12289" width="43.7109375" style="122" customWidth="1"/>
    <col min="12290" max="12300" width="9.85546875" style="122" customWidth="1"/>
    <col min="12301" max="12301" width="12.5703125" style="122" customWidth="1"/>
    <col min="12302" max="12302" width="9.85546875" style="122" customWidth="1"/>
    <col min="12303" max="12544" width="11.42578125" style="122"/>
    <col min="12545" max="12545" width="43.7109375" style="122" customWidth="1"/>
    <col min="12546" max="12556" width="9.85546875" style="122" customWidth="1"/>
    <col min="12557" max="12557" width="12.5703125" style="122" customWidth="1"/>
    <col min="12558" max="12558" width="9.85546875" style="122" customWidth="1"/>
    <col min="12559" max="12800" width="11.42578125" style="122"/>
    <col min="12801" max="12801" width="43.7109375" style="122" customWidth="1"/>
    <col min="12802" max="12812" width="9.85546875" style="122" customWidth="1"/>
    <col min="12813" max="12813" width="12.5703125" style="122" customWidth="1"/>
    <col min="12814" max="12814" width="9.85546875" style="122" customWidth="1"/>
    <col min="12815" max="13056" width="11.42578125" style="122"/>
    <col min="13057" max="13057" width="43.7109375" style="122" customWidth="1"/>
    <col min="13058" max="13068" width="9.85546875" style="122" customWidth="1"/>
    <col min="13069" max="13069" width="12.5703125" style="122" customWidth="1"/>
    <col min="13070" max="13070" width="9.85546875" style="122" customWidth="1"/>
    <col min="13071" max="13312" width="11.42578125" style="122"/>
    <col min="13313" max="13313" width="43.7109375" style="122" customWidth="1"/>
    <col min="13314" max="13324" width="9.85546875" style="122" customWidth="1"/>
    <col min="13325" max="13325" width="12.5703125" style="122" customWidth="1"/>
    <col min="13326" max="13326" width="9.85546875" style="122" customWidth="1"/>
    <col min="13327" max="13568" width="11.42578125" style="122"/>
    <col min="13569" max="13569" width="43.7109375" style="122" customWidth="1"/>
    <col min="13570" max="13580" width="9.85546875" style="122" customWidth="1"/>
    <col min="13581" max="13581" width="12.5703125" style="122" customWidth="1"/>
    <col min="13582" max="13582" width="9.85546875" style="122" customWidth="1"/>
    <col min="13583" max="13824" width="11.42578125" style="122"/>
    <col min="13825" max="13825" width="43.7109375" style="122" customWidth="1"/>
    <col min="13826" max="13836" width="9.85546875" style="122" customWidth="1"/>
    <col min="13837" max="13837" width="12.5703125" style="122" customWidth="1"/>
    <col min="13838" max="13838" width="9.85546875" style="122" customWidth="1"/>
    <col min="13839" max="14080" width="11.42578125" style="122"/>
    <col min="14081" max="14081" width="43.7109375" style="122" customWidth="1"/>
    <col min="14082" max="14092" width="9.85546875" style="122" customWidth="1"/>
    <col min="14093" max="14093" width="12.5703125" style="122" customWidth="1"/>
    <col min="14094" max="14094" width="9.85546875" style="122" customWidth="1"/>
    <col min="14095" max="14336" width="11.42578125" style="122"/>
    <col min="14337" max="14337" width="43.7109375" style="122" customWidth="1"/>
    <col min="14338" max="14348" width="9.85546875" style="122" customWidth="1"/>
    <col min="14349" max="14349" width="12.5703125" style="122" customWidth="1"/>
    <col min="14350" max="14350" width="9.85546875" style="122" customWidth="1"/>
    <col min="14351" max="14592" width="11.42578125" style="122"/>
    <col min="14593" max="14593" width="43.7109375" style="122" customWidth="1"/>
    <col min="14594" max="14604" width="9.85546875" style="122" customWidth="1"/>
    <col min="14605" max="14605" width="12.5703125" style="122" customWidth="1"/>
    <col min="14606" max="14606" width="9.85546875" style="122" customWidth="1"/>
    <col min="14607" max="14848" width="11.42578125" style="122"/>
    <col min="14849" max="14849" width="43.7109375" style="122" customWidth="1"/>
    <col min="14850" max="14860" width="9.85546875" style="122" customWidth="1"/>
    <col min="14861" max="14861" width="12.5703125" style="122" customWidth="1"/>
    <col min="14862" max="14862" width="9.85546875" style="122" customWidth="1"/>
    <col min="14863" max="15104" width="11.42578125" style="122"/>
    <col min="15105" max="15105" width="43.7109375" style="122" customWidth="1"/>
    <col min="15106" max="15116" width="9.85546875" style="122" customWidth="1"/>
    <col min="15117" max="15117" width="12.5703125" style="122" customWidth="1"/>
    <col min="15118" max="15118" width="9.85546875" style="122" customWidth="1"/>
    <col min="15119" max="15360" width="11.42578125" style="122"/>
    <col min="15361" max="15361" width="43.7109375" style="122" customWidth="1"/>
    <col min="15362" max="15372" width="9.85546875" style="122" customWidth="1"/>
    <col min="15373" max="15373" width="12.5703125" style="122" customWidth="1"/>
    <col min="15374" max="15374" width="9.85546875" style="122" customWidth="1"/>
    <col min="15375" max="15616" width="11.42578125" style="122"/>
    <col min="15617" max="15617" width="43.7109375" style="122" customWidth="1"/>
    <col min="15618" max="15628" width="9.85546875" style="122" customWidth="1"/>
    <col min="15629" max="15629" width="12.5703125" style="122" customWidth="1"/>
    <col min="15630" max="15630" width="9.85546875" style="122" customWidth="1"/>
    <col min="15631" max="15872" width="11.42578125" style="122"/>
    <col min="15873" max="15873" width="43.7109375" style="122" customWidth="1"/>
    <col min="15874" max="15884" width="9.85546875" style="122" customWidth="1"/>
    <col min="15885" max="15885" width="12.5703125" style="122" customWidth="1"/>
    <col min="15886" max="15886" width="9.85546875" style="122" customWidth="1"/>
    <col min="15887" max="16128" width="11.42578125" style="122"/>
    <col min="16129" max="16129" width="43.7109375" style="122" customWidth="1"/>
    <col min="16130" max="16140" width="9.85546875" style="122" customWidth="1"/>
    <col min="16141" max="16141" width="12.5703125" style="122" customWidth="1"/>
    <col min="16142" max="16142" width="9.85546875" style="122" customWidth="1"/>
    <col min="16143" max="16384" width="11.42578125" style="122"/>
  </cols>
  <sheetData>
    <row r="1" spans="1:21" ht="28.5">
      <c r="A1" s="115" t="s">
        <v>237</v>
      </c>
      <c r="B1" s="116"/>
      <c r="C1" s="116"/>
      <c r="D1" s="116"/>
      <c r="E1" s="116"/>
      <c r="F1" s="117"/>
      <c r="G1" s="118"/>
      <c r="H1" s="119"/>
      <c r="I1" s="119"/>
      <c r="J1" s="118"/>
      <c r="K1" s="119"/>
      <c r="L1" s="118"/>
      <c r="M1" s="290"/>
      <c r="N1" s="121"/>
    </row>
    <row r="2" spans="1:21">
      <c r="I2" s="129"/>
      <c r="J2" s="129"/>
      <c r="K2" s="129"/>
      <c r="L2" s="129"/>
      <c r="M2" s="129"/>
      <c r="N2" s="129"/>
    </row>
    <row r="3" spans="1:21" s="123" customFormat="1" ht="15.75">
      <c r="A3" s="291" t="s">
        <v>493</v>
      </c>
      <c r="B3" s="292">
        <v>2000</v>
      </c>
      <c r="C3" s="292">
        <v>2010</v>
      </c>
      <c r="D3" s="292">
        <v>2015</v>
      </c>
      <c r="E3" s="292">
        <v>2020</v>
      </c>
      <c r="F3" s="292">
        <v>2025</v>
      </c>
      <c r="G3" s="292">
        <v>2030</v>
      </c>
      <c r="H3" s="292">
        <v>2035</v>
      </c>
      <c r="I3" s="129"/>
      <c r="J3" s="129"/>
      <c r="K3" s="129"/>
      <c r="L3" s="129"/>
      <c r="M3" s="129"/>
      <c r="N3" s="129"/>
    </row>
    <row r="4" spans="1:21" s="123" customFormat="1">
      <c r="A4" s="293"/>
      <c r="B4" s="294"/>
      <c r="C4" s="294"/>
      <c r="D4" s="294"/>
      <c r="E4" s="295"/>
      <c r="F4" s="295"/>
      <c r="G4" s="295"/>
      <c r="H4" s="295"/>
      <c r="I4" s="129"/>
      <c r="J4" s="129"/>
      <c r="K4" s="129"/>
      <c r="L4" s="129"/>
      <c r="M4" s="129"/>
      <c r="N4" s="129"/>
    </row>
    <row r="5" spans="1:21" s="123" customFormat="1">
      <c r="A5" s="131" t="s">
        <v>494</v>
      </c>
      <c r="B5" s="126" t="s">
        <v>495</v>
      </c>
      <c r="C5" s="296">
        <f>(C14+'[2]Bilans complets'!J39*1/8-0.5*'[2]Réseaux de chaleur'!C75+'[2]Bilans complets'!J40+C16*0.086+C16/C19*C20*0.086)/(C14+C20*0.086+C19*0.086+'[2]Bilans complets'!K40-'[2]Bilans complets'!I40+'[2]Bilans complets'!J39*1/8)</f>
        <v>0.12501475389218289</v>
      </c>
      <c r="D5" s="296">
        <f>(D14+'[2]Bilans complets'!J82*1/8-0.5*'[2]Réseaux de chaleur'!D75+'[2]Bilans complets'!J83+D16*0.086+D16/D19*D20*0.086)/(D14+D20*0.086+D19*0.086+'[2]Bilans complets'!K83-'[2]Bilans complets'!I83+'[2]Bilans complets'!J82*1/8)</f>
        <v>0.15875265158348106</v>
      </c>
      <c r="E5" s="296">
        <f>(E14+'[2]Bilans complets'!J125*1/8-0.5*'[2]Réseaux de chaleur'!E75+'[2]Bilans complets'!J126+E16*0.086+E16/E19*E20*0.086)/(E14+E20*0.086+0.086*E19+'[2]Bilans complets'!K126-'[2]Bilans complets'!I126+'[2]Bilans complets'!J125*1/8)</f>
        <v>0.19193753263937294</v>
      </c>
      <c r="F5" s="296">
        <f>(F14+'[2]Bilans complets'!J168*1/8-0.5*'[2]Réseaux de chaleur'!F75+'[2]Bilans complets'!J169+F16*0.086+F16/F19*F20*0.086)/(F14+F20*0.086+0.086*F19+'[2]Bilans complets'!K169-'[2]Bilans complets'!I169+'[2]Bilans complets'!J168*1/8)</f>
        <v>0.23366314493127205</v>
      </c>
      <c r="G5" s="296">
        <f>(G14+'[2]Bilans complets'!J211*1/8-0.5*'[2]Réseaux de chaleur'!G75+'[2]Bilans complets'!J212+G16*0.086+G16/G19*G20*0.086)/(G14+G20*0.086+0.086*G19+'[2]Bilans complets'!K212-'[2]Bilans complets'!I212+'[2]Bilans complets'!J211*1/8)</f>
        <v>0.26693930666791504</v>
      </c>
      <c r="H5" s="296">
        <f>(H14+'[2]Bilans complets'!J254*1/8-0.5*'[2]Réseaux de chaleur'!H75+'[2]Bilans complets'!J255+H16*0.086+H16/H19*H20*0.086)/(H14+H20*0.086+0.086*H19+'[2]Bilans complets'!K255-'[2]Bilans complets'!I255+'[2]Bilans complets'!J254*1/8)</f>
        <v>0.29311824444166878</v>
      </c>
      <c r="I5" s="129"/>
      <c r="J5" s="129"/>
      <c r="K5" s="129"/>
      <c r="L5" s="129"/>
      <c r="M5" s="129"/>
      <c r="N5" s="129"/>
      <c r="T5" s="127"/>
      <c r="U5" s="128"/>
    </row>
    <row r="6" spans="1:21" s="123" customFormat="1">
      <c r="A6" s="131" t="s">
        <v>496</v>
      </c>
      <c r="B6" s="126" t="s">
        <v>495</v>
      </c>
      <c r="C6" s="296">
        <f t="shared" ref="C6:H6" si="0">C16/C19</f>
        <v>0.13570479423449766</v>
      </c>
      <c r="D6" s="296">
        <f t="shared" si="0"/>
        <v>0.1678502912922363</v>
      </c>
      <c r="E6" s="296">
        <f t="shared" si="0"/>
        <v>0.20985068159761494</v>
      </c>
      <c r="F6" s="296">
        <f t="shared" si="0"/>
        <v>0.27831421746360757</v>
      </c>
      <c r="G6" s="296">
        <f t="shared" si="0"/>
        <v>0.32211659378653407</v>
      </c>
      <c r="H6" s="296">
        <f t="shared" si="0"/>
        <v>0.36406364440146732</v>
      </c>
      <c r="I6" s="129"/>
      <c r="J6" s="129"/>
      <c r="K6" s="129"/>
      <c r="L6" s="129"/>
      <c r="M6" s="129"/>
      <c r="N6" s="129"/>
    </row>
    <row r="7" spans="1:21" s="123" customFormat="1">
      <c r="A7" s="131" t="s">
        <v>497</v>
      </c>
      <c r="B7" s="126" t="s">
        <v>495</v>
      </c>
      <c r="C7" s="296">
        <f>C16/(C19-[2]Electricité!C36)</f>
        <v>0.14346344034442834</v>
      </c>
      <c r="D7" s="296" t="e">
        <f>D16/(D19-[2]Electricité!#REF!)</f>
        <v>#REF!</v>
      </c>
      <c r="E7" s="296">
        <f>E16/(E19-[2]Electricité!D36)</f>
        <v>0.22563992792870702</v>
      </c>
      <c r="F7" s="296">
        <f>F16/(F19-[2]Electricité!E36)</f>
        <v>0.29565108487413061</v>
      </c>
      <c r="G7" s="296">
        <f>G16/(G19-[2]Electricité!F36)</f>
        <v>0.3380124807576661</v>
      </c>
      <c r="H7" s="296">
        <f>H16/(H19-[2]Electricité!G36)</f>
        <v>0.37717722179101759</v>
      </c>
      <c r="I7" s="129"/>
      <c r="J7" s="129"/>
      <c r="K7" s="129"/>
      <c r="L7" s="129"/>
      <c r="M7" s="129"/>
      <c r="N7" s="129"/>
    </row>
    <row r="8" spans="1:21" s="123" customFormat="1">
      <c r="A8" s="131" t="s">
        <v>498</v>
      </c>
      <c r="B8" s="126" t="s">
        <v>495</v>
      </c>
      <c r="C8" s="297">
        <f>'[2]Bilans complets'!$K40/$B$12-1</f>
        <v>-1.1605415860735935E-3</v>
      </c>
      <c r="D8" s="297">
        <f>'[2]Bilans complets'!$K83/$B$12-1</f>
        <v>-1.7973396256199536E-2</v>
      </c>
      <c r="E8" s="297">
        <f>'[2]Bilans complets'!$K126/$B$12-1</f>
        <v>-4.26038401951917E-2</v>
      </c>
      <c r="F8" s="297">
        <f>'[2]Bilans complets'!$K169/$B$12-1</f>
        <v>-6.7519456916150355E-2</v>
      </c>
      <c r="G8" s="297">
        <f>'[2]Bilans complets'!$K212/$B$12-1</f>
        <v>-9.1746727652372462E-2</v>
      </c>
      <c r="H8" s="297">
        <f>'[2]Bilans complets'!$K255/$B$12-1</f>
        <v>-0.10606741488264382</v>
      </c>
      <c r="I8" s="129"/>
      <c r="J8" s="129"/>
      <c r="K8" s="129"/>
      <c r="L8" s="129"/>
      <c r="M8" s="129"/>
      <c r="N8" s="129"/>
      <c r="U8" s="128"/>
    </row>
    <row r="9" spans="1:21" s="123" customFormat="1">
      <c r="A9" s="293"/>
      <c r="C9" s="298"/>
      <c r="D9" s="298"/>
      <c r="E9" s="298"/>
      <c r="F9" s="298"/>
      <c r="G9" s="298"/>
      <c r="H9" s="298"/>
      <c r="I9" s="129"/>
      <c r="J9" s="129"/>
      <c r="K9" s="129"/>
      <c r="L9" s="129"/>
      <c r="M9" s="129"/>
      <c r="N9" s="129"/>
      <c r="U9" s="128"/>
    </row>
    <row r="10" spans="1:21" s="123" customFormat="1">
      <c r="A10" s="293"/>
      <c r="C10" s="298"/>
      <c r="D10" s="298"/>
      <c r="E10" s="298"/>
      <c r="F10" s="298"/>
      <c r="G10" s="298"/>
      <c r="H10" s="298"/>
      <c r="I10" s="129"/>
      <c r="J10" s="129"/>
      <c r="K10" s="129"/>
      <c r="L10" s="129"/>
      <c r="M10" s="129"/>
      <c r="N10" s="129"/>
      <c r="U10" s="128"/>
    </row>
    <row r="11" spans="1:21" s="123" customFormat="1" ht="15.75">
      <c r="A11" s="291" t="s">
        <v>499</v>
      </c>
      <c r="B11" s="292"/>
      <c r="C11" s="292">
        <v>2010</v>
      </c>
      <c r="D11" s="292">
        <v>2015</v>
      </c>
      <c r="E11" s="292">
        <v>2020</v>
      </c>
      <c r="F11" s="292">
        <v>2025</v>
      </c>
      <c r="G11" s="292">
        <v>2030</v>
      </c>
      <c r="H11" s="292">
        <v>2035</v>
      </c>
      <c r="I11" s="129"/>
      <c r="J11" s="129"/>
      <c r="K11" s="129"/>
      <c r="L11" s="129"/>
      <c r="M11" s="129"/>
      <c r="N11" s="129"/>
      <c r="U11" s="128"/>
    </row>
    <row r="12" spans="1:21" s="123" customFormat="1">
      <c r="A12" s="293" t="s">
        <v>500</v>
      </c>
      <c r="B12" s="123">
        <v>155.1</v>
      </c>
      <c r="C12" s="298"/>
      <c r="D12" s="298"/>
      <c r="E12" s="298"/>
      <c r="F12" s="298"/>
      <c r="G12" s="298"/>
      <c r="H12" s="298"/>
      <c r="I12" s="129"/>
      <c r="J12" s="129"/>
      <c r="K12" s="129"/>
      <c r="L12" s="129"/>
      <c r="M12" s="129"/>
      <c r="N12" s="129"/>
      <c r="U12" s="128"/>
    </row>
    <row r="13" spans="1:21" s="123" customFormat="1">
      <c r="A13" s="293"/>
      <c r="C13" s="298"/>
      <c r="D13" s="298"/>
      <c r="E13" s="298"/>
      <c r="F13" s="298"/>
      <c r="G13" s="298"/>
      <c r="H13" s="298"/>
      <c r="I13" s="129"/>
      <c r="J13" s="129"/>
      <c r="K13" s="129"/>
      <c r="L13" s="129"/>
      <c r="M13" s="129"/>
      <c r="N13" s="129"/>
      <c r="U13" s="128"/>
    </row>
    <row r="14" spans="1:21" s="123" customFormat="1">
      <c r="A14" s="293" t="s">
        <v>501</v>
      </c>
      <c r="C14" s="299">
        <v>0.65</v>
      </c>
      <c r="D14" s="299">
        <v>1.3499999999999999</v>
      </c>
      <c r="E14" s="299">
        <v>1.6</v>
      </c>
      <c r="F14" s="299">
        <v>1.76</v>
      </c>
      <c r="G14" s="299">
        <v>1.76</v>
      </c>
      <c r="H14" s="299">
        <v>1.77</v>
      </c>
      <c r="I14" s="129"/>
      <c r="J14" s="129"/>
      <c r="K14" s="129"/>
      <c r="L14" s="129"/>
      <c r="M14" s="129"/>
      <c r="N14" s="129"/>
      <c r="U14" s="128"/>
    </row>
    <row r="15" spans="1:21">
      <c r="A15" s="293"/>
      <c r="B15" s="123"/>
      <c r="C15" s="300"/>
      <c r="D15" s="296"/>
      <c r="E15" s="296"/>
      <c r="F15" s="296"/>
      <c r="G15" s="296"/>
      <c r="H15" s="296"/>
      <c r="I15" s="129"/>
      <c r="J15" s="129"/>
      <c r="K15" s="129"/>
      <c r="L15" s="129"/>
      <c r="M15" s="129"/>
      <c r="N15" s="129"/>
    </row>
    <row r="16" spans="1:21">
      <c r="A16" s="293" t="s">
        <v>502</v>
      </c>
      <c r="B16" s="123"/>
      <c r="C16" s="301">
        <f>C17-C18</f>
        <v>77.158094858632793</v>
      </c>
      <c r="D16" s="301">
        <f>D17-E18</f>
        <v>98.496455085754377</v>
      </c>
      <c r="E16" s="301">
        <f>E17-F18</f>
        <v>123.7806397705078</v>
      </c>
      <c r="F16" s="301">
        <f>F17-G18</f>
        <v>162.2404921875</v>
      </c>
      <c r="G16" s="301">
        <f>G17-H18</f>
        <v>185.56546313476562</v>
      </c>
      <c r="H16" s="301">
        <f>H17-I18</f>
        <v>209.42647436523438</v>
      </c>
      <c r="I16" s="129"/>
      <c r="J16" s="129"/>
      <c r="K16" s="129"/>
      <c r="L16" s="129"/>
      <c r="M16" s="129"/>
      <c r="N16" s="129"/>
    </row>
    <row r="17" spans="1:14">
      <c r="A17" s="293" t="s">
        <v>503</v>
      </c>
      <c r="B17" s="123"/>
      <c r="C17" s="301">
        <f>[2]Electricité!C21+[2]Electricité!C25+[2]Electricité!C26+[2]Electricité!C27+[2]Electricité!C30</f>
        <v>84.158094858632793</v>
      </c>
      <c r="D17" s="301">
        <f>[2]Electricité!D21+[2]Electricité!D25+[2]Electricité!D26+[2]Electricité!D27+[2]Electricité!D30</f>
        <v>105.49645508575438</v>
      </c>
      <c r="E17" s="301">
        <f>[2]Electricité!E21+[2]Electricité!E25+[2]Electricité!E26+[2]Electricité!E27+[2]Electricité!E30</f>
        <v>130.7806397705078</v>
      </c>
      <c r="F17" s="301">
        <f>[2]Electricité!F21+[2]Electricité!F25+[2]Electricité!F26+[2]Electricité!F27+[2]Electricité!F30</f>
        <v>169.2404921875</v>
      </c>
      <c r="G17" s="301">
        <f>[2]Electricité!G21+[2]Electricité!G25+[2]Electricité!G26+[2]Electricité!G27+[2]Electricité!G30</f>
        <v>192.56546313476562</v>
      </c>
      <c r="H17" s="301">
        <f>[2]Electricité!H21+[2]Electricité!H25+[2]Electricité!H26+[2]Electricité!H27+[2]Electricité!H30</f>
        <v>209.42647436523438</v>
      </c>
      <c r="I17" s="129"/>
      <c r="J17" s="129"/>
      <c r="K17" s="129"/>
      <c r="L17" s="129"/>
      <c r="M17" s="129"/>
      <c r="N17" s="129"/>
    </row>
    <row r="18" spans="1:14">
      <c r="A18" s="122" t="s">
        <v>504</v>
      </c>
      <c r="C18" s="302">
        <v>7</v>
      </c>
      <c r="D18" s="302">
        <v>7</v>
      </c>
      <c r="E18" s="302">
        <v>7</v>
      </c>
      <c r="F18" s="302">
        <v>7</v>
      </c>
      <c r="G18" s="302">
        <v>7</v>
      </c>
      <c r="H18" s="302">
        <v>7</v>
      </c>
    </row>
    <row r="19" spans="1:14">
      <c r="A19" s="122" t="s">
        <v>505</v>
      </c>
      <c r="C19" s="303">
        <f>[2]Electricité!C9</f>
        <v>568.57309495863296</v>
      </c>
      <c r="D19" s="303">
        <f>[2]Electricité!D9</f>
        <v>586.81134436798084</v>
      </c>
      <c r="E19" s="303">
        <f>[2]Electricité!E9</f>
        <v>589.85102563476562</v>
      </c>
      <c r="F19" s="303">
        <f>[2]Electricité!F9</f>
        <v>582.9400081176758</v>
      </c>
      <c r="G19" s="303">
        <f>[2]Electricité!G9</f>
        <v>576.08166333007807</v>
      </c>
      <c r="H19" s="303">
        <f>[2]Electricité!H9</f>
        <v>575.24687670898436</v>
      </c>
    </row>
    <row r="20" spans="1:14">
      <c r="A20" s="122" t="s">
        <v>506</v>
      </c>
      <c r="C20" s="303">
        <f>[2]Electricité!C32+[2]Electricité!C34</f>
        <v>93.668480133051517</v>
      </c>
      <c r="D20" s="303">
        <f>[2]Electricité!D32+[2]Electricité!D34</f>
        <v>96.10752087406361</v>
      </c>
      <c r="E20" s="303">
        <f>[2]Electricité!E32+[2]Electricité!E34</f>
        <v>97.344747557402144</v>
      </c>
      <c r="F20" s="303">
        <f>[2]Electricité!F32+[2]Electricité!F34</f>
        <v>96.976120199471239</v>
      </c>
      <c r="G20" s="303">
        <f>[2]Electricité!G32+[2]Electricité!G34</f>
        <v>96.351424704917292</v>
      </c>
      <c r="H20" s="303">
        <f>[2]Electricité!H32+[2]Electricité!H34</f>
        <v>96.318113448195149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topLeftCell="B34" workbookViewId="0">
      <selection activeCell="B60" sqref="B60"/>
    </sheetView>
  </sheetViews>
  <sheetFormatPr baseColWidth="10" defaultRowHeight="12.75"/>
  <cols>
    <col min="1" max="1" width="46.28515625" customWidth="1"/>
    <col min="2" max="2" width="73.42578125" customWidth="1"/>
  </cols>
  <sheetData>
    <row r="1" spans="1:14" ht="28.5">
      <c r="A1" s="647" t="s">
        <v>237</v>
      </c>
      <c r="B1" s="648"/>
      <c r="C1" s="648"/>
      <c r="D1" s="648"/>
      <c r="E1" s="648"/>
      <c r="F1" s="649"/>
      <c r="G1" s="650"/>
      <c r="H1" s="651"/>
      <c r="I1" s="651"/>
      <c r="J1" s="650"/>
      <c r="K1" s="651"/>
      <c r="L1" s="650"/>
      <c r="M1" s="660"/>
      <c r="N1" s="652"/>
    </row>
    <row r="2" spans="1:14" ht="15">
      <c r="A2" s="646"/>
      <c r="B2" s="646"/>
      <c r="C2" s="646"/>
      <c r="D2" s="646"/>
      <c r="E2" s="646"/>
      <c r="F2" s="646"/>
      <c r="G2" s="646"/>
      <c r="H2" s="646"/>
      <c r="I2" s="655"/>
      <c r="J2" s="655"/>
      <c r="K2" s="655"/>
      <c r="L2" s="655"/>
      <c r="M2" s="655"/>
      <c r="N2" s="655"/>
    </row>
    <row r="3" spans="1:14" ht="18.75">
      <c r="A3" s="662" t="s">
        <v>545</v>
      </c>
      <c r="B3" s="663">
        <v>2000</v>
      </c>
      <c r="C3" s="663">
        <v>2010</v>
      </c>
      <c r="D3" s="663">
        <v>2015</v>
      </c>
      <c r="E3" s="663">
        <v>2020</v>
      </c>
      <c r="F3" s="663">
        <v>2025</v>
      </c>
      <c r="G3" s="663">
        <v>2030</v>
      </c>
      <c r="H3" s="663">
        <v>2035</v>
      </c>
      <c r="I3" s="655"/>
      <c r="J3" s="655"/>
      <c r="K3" s="655"/>
      <c r="L3" s="655"/>
      <c r="M3" s="655"/>
      <c r="N3" s="655"/>
    </row>
    <row r="4" spans="1:14" ht="15">
      <c r="A4" s="646"/>
      <c r="B4" s="646"/>
      <c r="C4" s="646"/>
      <c r="D4" s="646"/>
      <c r="E4" s="646"/>
      <c r="F4" s="646"/>
      <c r="G4" s="646"/>
      <c r="H4" s="646"/>
      <c r="I4" s="655"/>
      <c r="J4" s="655"/>
      <c r="K4" s="655"/>
      <c r="L4" s="655"/>
      <c r="M4" s="655"/>
      <c r="N4" s="655"/>
    </row>
    <row r="5" spans="1:14" ht="15.75">
      <c r="A5" s="664" t="s">
        <v>498</v>
      </c>
      <c r="B5" s="665"/>
      <c r="C5" s="666">
        <v>-3.0947775628628049E-3</v>
      </c>
      <c r="D5" s="666">
        <v>-3.5861659105650756E-2</v>
      </c>
      <c r="E5" s="666">
        <v>-9.8416818393759598E-2</v>
      </c>
      <c r="F5" s="666">
        <v>-0.15918744306127841</v>
      </c>
      <c r="G5" s="666">
        <v>-0.21936481598856628</v>
      </c>
      <c r="H5" s="666">
        <v>-0.24177675613809091</v>
      </c>
      <c r="I5" s="655"/>
      <c r="J5" s="655"/>
      <c r="K5" s="655"/>
      <c r="L5" s="655"/>
      <c r="M5" s="655"/>
      <c r="N5" s="655"/>
    </row>
    <row r="6" spans="1:14" ht="15.75">
      <c r="A6" s="714" t="s">
        <v>546</v>
      </c>
      <c r="B6" s="715"/>
      <c r="C6" s="716"/>
      <c r="D6" s="716"/>
      <c r="E6" s="716"/>
      <c r="F6" s="716"/>
      <c r="G6" s="717">
        <v>-0.2</v>
      </c>
      <c r="H6" s="716"/>
      <c r="I6" s="655"/>
      <c r="J6" s="655"/>
      <c r="K6" s="655"/>
      <c r="L6" s="655"/>
      <c r="M6" s="655"/>
      <c r="N6" s="655"/>
    </row>
    <row r="7" spans="1:14" ht="15.75">
      <c r="A7" s="714"/>
      <c r="B7" s="715"/>
      <c r="C7" s="716"/>
      <c r="D7" s="716"/>
      <c r="E7" s="716"/>
      <c r="F7" s="716"/>
      <c r="G7" s="722"/>
      <c r="H7" s="716"/>
      <c r="I7" s="655"/>
      <c r="J7" s="655"/>
      <c r="K7" s="655"/>
      <c r="L7" s="655"/>
      <c r="M7" s="655"/>
      <c r="N7" s="655"/>
    </row>
    <row r="8" spans="1:14" ht="15.75">
      <c r="A8" s="664" t="s">
        <v>547</v>
      </c>
      <c r="B8" s="665"/>
      <c r="C8" s="666">
        <v>0.12551041770002364</v>
      </c>
      <c r="D8" s="666">
        <v>0.16538300620595872</v>
      </c>
      <c r="E8" s="666">
        <v>0.2191024573180913</v>
      </c>
      <c r="F8" s="666">
        <v>0.27923401752082633</v>
      </c>
      <c r="G8" s="666">
        <v>0.33667440754665384</v>
      </c>
      <c r="H8" s="666">
        <v>0.36657377246744993</v>
      </c>
      <c r="I8" s="655"/>
      <c r="J8" s="655"/>
      <c r="K8" s="655"/>
      <c r="L8" s="655"/>
      <c r="M8" s="655"/>
      <c r="N8" s="655"/>
    </row>
    <row r="9" spans="1:14" ht="15.75">
      <c r="A9" s="714" t="s">
        <v>546</v>
      </c>
      <c r="B9" s="715"/>
      <c r="C9" s="716"/>
      <c r="D9" s="716"/>
      <c r="E9" s="718">
        <v>0.23</v>
      </c>
      <c r="F9" s="716"/>
      <c r="G9" s="717">
        <v>0.32</v>
      </c>
      <c r="H9" s="716"/>
      <c r="I9" s="655"/>
      <c r="J9" s="655"/>
      <c r="K9" s="655"/>
      <c r="L9" s="655"/>
      <c r="M9" s="655"/>
      <c r="N9" s="655"/>
    </row>
    <row r="10" spans="1:14" ht="15.75">
      <c r="A10" s="714"/>
      <c r="B10" s="715"/>
      <c r="C10" s="716"/>
      <c r="D10" s="716"/>
      <c r="E10" s="718"/>
      <c r="F10" s="716"/>
      <c r="G10" s="717"/>
      <c r="H10" s="716"/>
      <c r="I10" s="655"/>
      <c r="J10" s="655"/>
      <c r="K10" s="655"/>
      <c r="L10" s="655"/>
      <c r="M10" s="655"/>
      <c r="N10" s="655"/>
    </row>
    <row r="11" spans="1:14" ht="15.75">
      <c r="A11" s="719" t="s">
        <v>548</v>
      </c>
      <c r="B11" s="646"/>
      <c r="C11" s="720">
        <v>2.6766686556985889E-2</v>
      </c>
      <c r="D11" s="720">
        <v>-0.11140454574340623</v>
      </c>
      <c r="E11" s="720">
        <v>-0.23680654147336672</v>
      </c>
      <c r="F11" s="720">
        <v>-0.22153159031967076</v>
      </c>
      <c r="G11" s="720">
        <v>-0.3866810817381589</v>
      </c>
      <c r="H11" s="720">
        <v>-0.46424223615858895</v>
      </c>
      <c r="I11" s="655"/>
      <c r="J11" s="655"/>
      <c r="K11" s="655"/>
      <c r="L11" s="655"/>
      <c r="M11" s="655"/>
      <c r="N11" s="655"/>
    </row>
    <row r="12" spans="1:14" ht="15.75">
      <c r="A12" s="714" t="s">
        <v>546</v>
      </c>
      <c r="B12" s="715"/>
      <c r="C12" s="716"/>
      <c r="D12" s="716"/>
      <c r="E12" s="716"/>
      <c r="F12" s="716"/>
      <c r="G12" s="717">
        <v>-0.3</v>
      </c>
      <c r="H12" s="720"/>
      <c r="I12" s="655"/>
      <c r="J12" s="655"/>
      <c r="K12" s="655"/>
      <c r="L12" s="655"/>
      <c r="M12" s="655"/>
      <c r="N12" s="655"/>
    </row>
    <row r="13" spans="1:14" ht="15.75">
      <c r="A13" s="719"/>
      <c r="B13" s="646"/>
      <c r="C13" s="720"/>
      <c r="D13" s="720"/>
      <c r="E13" s="720"/>
      <c r="F13" s="720"/>
      <c r="G13" s="720"/>
      <c r="H13" s="720"/>
      <c r="I13" s="655"/>
      <c r="J13" s="655"/>
      <c r="K13" s="655"/>
      <c r="L13" s="655"/>
      <c r="M13" s="655"/>
      <c r="N13" s="655"/>
    </row>
    <row r="14" spans="1:14" ht="15.75">
      <c r="A14" s="664" t="s">
        <v>549</v>
      </c>
      <c r="B14" s="665"/>
      <c r="C14" s="666">
        <v>0.75367794202639404</v>
      </c>
      <c r="D14" s="666">
        <v>0.74749362036625688</v>
      </c>
      <c r="E14" s="666">
        <v>0.70658328159322115</v>
      </c>
      <c r="F14" s="666">
        <v>0.49791969782744355</v>
      </c>
      <c r="G14" s="666">
        <v>0.50247004266959217</v>
      </c>
      <c r="H14" s="666">
        <v>0.50382444569339724</v>
      </c>
      <c r="I14" s="655"/>
      <c r="J14" s="655"/>
      <c r="K14" s="655"/>
      <c r="L14" s="655"/>
      <c r="M14" s="655"/>
      <c r="N14" s="655"/>
    </row>
    <row r="15" spans="1:14" ht="15.75">
      <c r="A15" s="714" t="s">
        <v>546</v>
      </c>
      <c r="B15" s="715"/>
      <c r="C15" s="716"/>
      <c r="D15" s="716"/>
      <c r="E15" s="716"/>
      <c r="F15" s="717">
        <v>0.5</v>
      </c>
      <c r="G15" s="717">
        <v>0.5</v>
      </c>
      <c r="H15" s="717">
        <v>0.5</v>
      </c>
      <c r="I15" s="655"/>
      <c r="J15" s="655"/>
      <c r="K15" s="655"/>
      <c r="L15" s="655"/>
      <c r="M15" s="655"/>
      <c r="N15" s="655"/>
    </row>
    <row r="16" spans="1:14" ht="15.75">
      <c r="A16" s="664"/>
      <c r="B16" s="665"/>
      <c r="C16" s="666"/>
      <c r="D16" s="666"/>
      <c r="E16" s="666"/>
      <c r="F16" s="666"/>
      <c r="G16" s="666"/>
      <c r="H16" s="666"/>
      <c r="I16" s="655"/>
      <c r="J16" s="655"/>
      <c r="K16" s="655"/>
      <c r="L16" s="655"/>
      <c r="M16" s="655"/>
      <c r="N16" s="655"/>
    </row>
    <row r="17" spans="1:21" ht="15.75">
      <c r="A17" s="664" t="s">
        <v>497</v>
      </c>
      <c r="B17" s="665"/>
      <c r="C17" s="666">
        <v>0.14592045783211094</v>
      </c>
      <c r="D17" s="666">
        <v>0.18726114805539862</v>
      </c>
      <c r="E17" s="666">
        <v>0.24658337972782399</v>
      </c>
      <c r="F17" s="666">
        <v>0.35022669969112402</v>
      </c>
      <c r="G17" s="666">
        <v>0.42913262397059054</v>
      </c>
      <c r="H17" s="666">
        <v>0.46134851511076813</v>
      </c>
      <c r="I17" s="655"/>
      <c r="J17" s="655"/>
      <c r="K17" s="655"/>
      <c r="L17" s="655"/>
      <c r="M17" s="655"/>
      <c r="N17" s="655"/>
      <c r="O17" s="646"/>
      <c r="P17" s="646"/>
      <c r="Q17" s="646"/>
      <c r="R17" s="646"/>
      <c r="S17" s="646"/>
      <c r="T17" s="646"/>
      <c r="U17" s="646"/>
    </row>
    <row r="18" spans="1:21" ht="15.75">
      <c r="A18" s="714" t="s">
        <v>546</v>
      </c>
      <c r="B18" s="715"/>
      <c r="C18" s="716"/>
      <c r="D18" s="716"/>
      <c r="E18" s="717">
        <v>0.27</v>
      </c>
      <c r="F18" s="717"/>
      <c r="G18" s="717"/>
      <c r="H18" s="717"/>
      <c r="I18" s="655"/>
      <c r="J18" s="655"/>
      <c r="K18" s="655"/>
      <c r="L18" s="655"/>
      <c r="M18" s="655"/>
      <c r="N18" s="655"/>
      <c r="O18" s="646"/>
      <c r="P18" s="646"/>
      <c r="Q18" s="646"/>
      <c r="R18" s="646"/>
      <c r="S18" s="646"/>
      <c r="T18" s="646"/>
      <c r="U18" s="646"/>
    </row>
    <row r="19" spans="1:21" ht="15.75">
      <c r="A19" s="714"/>
      <c r="B19" s="715"/>
      <c r="C19" s="716"/>
      <c r="D19" s="716"/>
      <c r="E19" s="717"/>
      <c r="F19" s="717"/>
      <c r="G19" s="717"/>
      <c r="H19" s="717"/>
      <c r="I19" s="655"/>
      <c r="J19" s="655"/>
      <c r="K19" s="655"/>
      <c r="L19" s="655"/>
      <c r="M19" s="655"/>
      <c r="N19" s="655"/>
      <c r="O19" s="646"/>
      <c r="P19" s="646"/>
      <c r="Q19" s="646"/>
      <c r="R19" s="646"/>
      <c r="S19" s="646"/>
      <c r="T19" s="646"/>
      <c r="U19" s="646"/>
    </row>
    <row r="20" spans="1:21" ht="15.75">
      <c r="A20" s="664" t="s">
        <v>496</v>
      </c>
      <c r="B20" s="665"/>
      <c r="C20" s="666">
        <v>0.15062026056199695</v>
      </c>
      <c r="D20" s="666">
        <v>0.18798221948492133</v>
      </c>
      <c r="E20" s="666">
        <v>0.24502586216374031</v>
      </c>
      <c r="F20" s="666">
        <v>0.36559861642945546</v>
      </c>
      <c r="G20" s="666">
        <v>0.41353718761049885</v>
      </c>
      <c r="H20" s="666">
        <v>0.4670033359272312</v>
      </c>
      <c r="I20" s="655"/>
      <c r="J20" s="655"/>
      <c r="K20" s="655"/>
      <c r="L20" s="655"/>
      <c r="M20" s="655"/>
      <c r="N20" s="655"/>
      <c r="O20" s="646"/>
      <c r="P20" s="646"/>
      <c r="Q20" s="646"/>
      <c r="R20" s="646"/>
      <c r="S20" s="646"/>
      <c r="T20" s="646"/>
      <c r="U20" s="646"/>
    </row>
    <row r="21" spans="1:21" ht="15.75">
      <c r="A21" s="714" t="s">
        <v>546</v>
      </c>
      <c r="B21" s="715"/>
      <c r="C21" s="716"/>
      <c r="D21" s="716"/>
      <c r="E21" s="717"/>
      <c r="F21" s="717"/>
      <c r="G21" s="717">
        <v>0.4</v>
      </c>
      <c r="H21" s="717"/>
      <c r="I21" s="655"/>
      <c r="J21" s="655"/>
      <c r="K21" s="655"/>
      <c r="L21" s="655"/>
      <c r="M21" s="655"/>
      <c r="N21" s="655"/>
      <c r="O21" s="646"/>
      <c r="P21" s="646"/>
      <c r="Q21" s="646"/>
      <c r="R21" s="646"/>
      <c r="S21" s="646"/>
      <c r="T21" s="646"/>
      <c r="U21" s="646"/>
    </row>
    <row r="22" spans="1:21" ht="15.75">
      <c r="A22" s="664"/>
      <c r="B22" s="665"/>
      <c r="C22" s="666"/>
      <c r="D22" s="666"/>
      <c r="E22" s="666"/>
      <c r="F22" s="666"/>
      <c r="G22" s="666"/>
      <c r="H22" s="666"/>
      <c r="I22" s="655"/>
      <c r="J22" s="655"/>
      <c r="K22" s="655"/>
      <c r="L22" s="655"/>
      <c r="M22" s="655"/>
      <c r="N22" s="655"/>
      <c r="O22" s="646"/>
      <c r="P22" s="646"/>
      <c r="Q22" s="646"/>
      <c r="R22" s="646"/>
      <c r="S22" s="646"/>
      <c r="T22" s="646"/>
      <c r="U22" s="646"/>
    </row>
    <row r="23" spans="1:21" ht="15">
      <c r="A23" s="646"/>
      <c r="B23" s="646"/>
      <c r="C23" s="646"/>
      <c r="D23" s="646"/>
      <c r="E23" s="646"/>
      <c r="F23" s="646"/>
      <c r="G23" s="646"/>
      <c r="H23" s="646"/>
      <c r="I23" s="655"/>
      <c r="J23" s="655"/>
      <c r="K23" s="655"/>
      <c r="L23" s="655"/>
      <c r="M23" s="655"/>
      <c r="N23" s="655"/>
      <c r="O23" s="646"/>
      <c r="P23" s="646"/>
      <c r="Q23" s="646"/>
      <c r="R23" s="646"/>
      <c r="S23" s="646"/>
      <c r="T23" s="646"/>
      <c r="U23" s="646"/>
    </row>
    <row r="24" spans="1:21" ht="15.75">
      <c r="A24" s="667" t="s">
        <v>550</v>
      </c>
      <c r="B24" s="668">
        <v>2000</v>
      </c>
      <c r="C24" s="668">
        <v>2010</v>
      </c>
      <c r="D24" s="668">
        <v>2015</v>
      </c>
      <c r="E24" s="668">
        <v>2020</v>
      </c>
      <c r="F24" s="668">
        <v>2025</v>
      </c>
      <c r="G24" s="668">
        <v>2030</v>
      </c>
      <c r="H24" s="668">
        <v>2035</v>
      </c>
      <c r="I24" s="655"/>
      <c r="J24" s="655"/>
      <c r="K24" s="655"/>
      <c r="L24" s="655"/>
      <c r="M24" s="655"/>
      <c r="N24" s="655"/>
      <c r="O24" s="653"/>
      <c r="P24" s="653"/>
      <c r="Q24" s="653"/>
      <c r="R24" s="653"/>
      <c r="S24" s="653"/>
      <c r="T24" s="653"/>
      <c r="U24" s="653"/>
    </row>
    <row r="25" spans="1:21">
      <c r="A25" s="669"/>
      <c r="B25" s="670"/>
      <c r="C25" s="670"/>
      <c r="D25" s="670"/>
      <c r="E25" s="670"/>
      <c r="F25" s="670"/>
      <c r="G25" s="670"/>
      <c r="H25" s="670"/>
      <c r="I25" s="655"/>
      <c r="J25" s="655"/>
      <c r="K25" s="655"/>
      <c r="L25" s="655"/>
      <c r="M25" s="655"/>
      <c r="N25" s="655"/>
      <c r="O25" s="653"/>
      <c r="P25" s="653"/>
      <c r="Q25" s="653"/>
      <c r="R25" s="653"/>
      <c r="S25" s="653"/>
      <c r="T25" s="653"/>
      <c r="U25" s="653"/>
    </row>
    <row r="26" spans="1:21">
      <c r="A26" s="656" t="s">
        <v>551</v>
      </c>
      <c r="B26" s="654"/>
      <c r="C26" s="671">
        <v>163.12087210394242</v>
      </c>
      <c r="D26" s="671">
        <v>158.68151354862124</v>
      </c>
      <c r="E26" s="671">
        <v>149.28931841285834</v>
      </c>
      <c r="F26" s="671">
        <v>138.38972541352899</v>
      </c>
      <c r="G26" s="671">
        <v>129.83288104785473</v>
      </c>
      <c r="H26" s="671">
        <v>126.07257173020093</v>
      </c>
      <c r="I26" s="655"/>
      <c r="J26" s="655"/>
      <c r="K26" s="655"/>
      <c r="L26" s="655"/>
      <c r="M26" s="655"/>
      <c r="N26" s="655"/>
      <c r="O26" s="653"/>
      <c r="P26" s="653"/>
      <c r="Q26" s="653"/>
      <c r="R26" s="653"/>
      <c r="S26" s="653"/>
      <c r="T26" s="658"/>
      <c r="U26" s="657"/>
    </row>
    <row r="27" spans="1:21">
      <c r="A27" s="656" t="s">
        <v>547</v>
      </c>
      <c r="B27" s="654" t="s">
        <v>495</v>
      </c>
      <c r="C27" s="672">
        <v>0.12551041770002364</v>
      </c>
      <c r="D27" s="672">
        <v>0.16538300620595872</v>
      </c>
      <c r="E27" s="672">
        <v>0.2191024573180913</v>
      </c>
      <c r="F27" s="672">
        <v>0.27923401752082633</v>
      </c>
      <c r="G27" s="672">
        <v>0.33667440754665384</v>
      </c>
      <c r="H27" s="672">
        <v>0.36657377246744993</v>
      </c>
      <c r="I27" s="655"/>
      <c r="J27" s="655"/>
      <c r="K27" s="655"/>
      <c r="L27" s="655"/>
      <c r="M27" s="655"/>
      <c r="N27" s="655"/>
      <c r="O27" s="653"/>
      <c r="P27" s="653"/>
      <c r="Q27" s="653"/>
      <c r="R27" s="653"/>
      <c r="S27" s="653"/>
      <c r="T27" s="658"/>
      <c r="U27" s="657"/>
    </row>
    <row r="28" spans="1:21" ht="15">
      <c r="A28" s="646"/>
      <c r="B28" s="646"/>
      <c r="C28" s="646"/>
      <c r="D28" s="646"/>
      <c r="E28" s="646"/>
      <c r="F28" s="646"/>
      <c r="G28" s="646"/>
      <c r="H28" s="646"/>
      <c r="I28" s="646"/>
      <c r="J28" s="646"/>
      <c r="K28" s="646"/>
      <c r="L28" s="646"/>
      <c r="M28" s="646"/>
      <c r="N28" s="646"/>
      <c r="O28" s="646"/>
      <c r="P28" s="646"/>
      <c r="Q28" s="646"/>
      <c r="R28" s="646"/>
      <c r="S28" s="646"/>
      <c r="T28" s="646"/>
      <c r="U28" s="646"/>
    </row>
    <row r="29" spans="1:21">
      <c r="A29" s="656"/>
      <c r="B29" s="654"/>
      <c r="C29" s="671"/>
      <c r="D29" s="671"/>
      <c r="E29" s="671"/>
      <c r="F29" s="671"/>
      <c r="G29" s="671"/>
      <c r="H29" s="671"/>
      <c r="I29" s="655"/>
      <c r="J29" s="655"/>
      <c r="K29" s="655"/>
      <c r="L29" s="655"/>
      <c r="M29" s="655"/>
      <c r="N29" s="655"/>
      <c r="O29" s="653"/>
      <c r="P29" s="653"/>
      <c r="Q29" s="653"/>
      <c r="R29" s="653"/>
      <c r="S29" s="653"/>
      <c r="T29" s="658"/>
      <c r="U29" s="657"/>
    </row>
    <row r="30" spans="1:21">
      <c r="A30" s="673" t="s">
        <v>552</v>
      </c>
      <c r="B30" s="654"/>
      <c r="C30" s="671">
        <v>161.35679540625</v>
      </c>
      <c r="D30" s="671">
        <v>158.09565401626745</v>
      </c>
      <c r="E30" s="671">
        <v>149.06905245616926</v>
      </c>
      <c r="F30" s="671">
        <v>136.13256403023604</v>
      </c>
      <c r="G30" s="671">
        <v>128.73063894963914</v>
      </c>
      <c r="H30" s="671">
        <v>125.08210563360842</v>
      </c>
      <c r="I30" s="655"/>
      <c r="J30" s="655"/>
      <c r="K30" s="655"/>
      <c r="L30" s="655"/>
      <c r="M30" s="655"/>
      <c r="N30" s="655"/>
      <c r="O30" s="653"/>
      <c r="P30" s="653"/>
      <c r="Q30" s="653"/>
      <c r="R30" s="653"/>
      <c r="S30" s="653"/>
      <c r="T30" s="658"/>
      <c r="U30" s="657"/>
    </row>
    <row r="31" spans="1:21">
      <c r="A31" s="674" t="s">
        <v>553</v>
      </c>
      <c r="B31" s="654"/>
      <c r="C31" s="675">
        <v>0.12656556015145601</v>
      </c>
      <c r="D31" s="675">
        <v>0.16550408638798647</v>
      </c>
      <c r="E31" s="675">
        <v>0.21859466740073427</v>
      </c>
      <c r="F31" s="675">
        <v>0.28247447939392178</v>
      </c>
      <c r="G31" s="675">
        <v>0.33784382384414319</v>
      </c>
      <c r="H31" s="675">
        <v>0.36759552875485607</v>
      </c>
      <c r="I31" s="655"/>
      <c r="J31" s="655"/>
      <c r="K31" s="655"/>
      <c r="L31" s="655"/>
      <c r="M31" s="655"/>
      <c r="N31" s="655"/>
      <c r="O31" s="653"/>
      <c r="P31" s="653"/>
      <c r="Q31" s="653"/>
      <c r="R31" s="653"/>
      <c r="S31" s="653"/>
      <c r="T31" s="658"/>
      <c r="U31" s="657"/>
    </row>
    <row r="32" spans="1:21">
      <c r="A32" s="674"/>
      <c r="B32" s="654"/>
      <c r="C32" s="675"/>
      <c r="D32" s="675"/>
      <c r="E32" s="675"/>
      <c r="F32" s="675"/>
      <c r="G32" s="675"/>
      <c r="H32" s="675"/>
      <c r="I32" s="655"/>
      <c r="J32" s="655"/>
      <c r="K32" s="655"/>
      <c r="L32" s="655"/>
      <c r="M32" s="655"/>
      <c r="N32" s="655"/>
      <c r="O32" s="653"/>
      <c r="P32" s="653"/>
      <c r="Q32" s="653"/>
      <c r="R32" s="653"/>
      <c r="S32" s="653"/>
      <c r="T32" s="658"/>
      <c r="U32" s="657"/>
    </row>
    <row r="33" spans="1:21" ht="13.5" customHeight="1">
      <c r="A33" s="656"/>
      <c r="B33" s="654"/>
      <c r="C33" s="671"/>
      <c r="D33" s="671"/>
      <c r="E33" s="671"/>
      <c r="F33" s="671"/>
      <c r="G33" s="671"/>
      <c r="H33" s="671"/>
      <c r="I33" s="655"/>
      <c r="J33" s="655"/>
      <c r="K33" s="655"/>
      <c r="L33" s="655"/>
      <c r="M33" s="655"/>
      <c r="N33" s="655"/>
      <c r="O33" s="653"/>
      <c r="P33" s="653"/>
      <c r="Q33" s="653"/>
      <c r="R33" s="653"/>
      <c r="S33" s="653"/>
      <c r="T33" s="658"/>
      <c r="U33" s="657"/>
    </row>
    <row r="34" spans="1:21">
      <c r="A34" s="656" t="s">
        <v>554</v>
      </c>
      <c r="B34" s="654"/>
      <c r="C34" s="671"/>
      <c r="D34" s="671"/>
      <c r="E34" s="671"/>
      <c r="F34" s="671"/>
      <c r="G34" s="671"/>
      <c r="H34" s="671"/>
      <c r="I34" s="655"/>
      <c r="J34" s="655"/>
      <c r="K34" s="655"/>
      <c r="L34" s="655"/>
      <c r="M34" s="655"/>
      <c r="N34" s="655"/>
      <c r="O34" s="653"/>
      <c r="P34" s="653"/>
      <c r="Q34" s="653"/>
      <c r="R34" s="653"/>
      <c r="S34" s="653"/>
      <c r="T34" s="658"/>
      <c r="U34" s="657"/>
    </row>
    <row r="35" spans="1:21">
      <c r="A35" s="656" t="s">
        <v>555</v>
      </c>
      <c r="B35" s="654"/>
      <c r="C35" s="671">
        <v>45.650872103942433</v>
      </c>
      <c r="D35" s="671">
        <v>44.908470594518221</v>
      </c>
      <c r="E35" s="671">
        <v>44.934143840243472</v>
      </c>
      <c r="F35" s="671">
        <v>41.378783907977301</v>
      </c>
      <c r="G35" s="671">
        <v>40.059084364738069</v>
      </c>
      <c r="H35" s="671">
        <v>40.191460163330028</v>
      </c>
      <c r="I35" s="655"/>
      <c r="J35" s="655"/>
      <c r="K35" s="655"/>
      <c r="L35" s="655"/>
      <c r="M35" s="655"/>
      <c r="N35" s="655"/>
      <c r="O35" s="653"/>
      <c r="P35" s="653"/>
      <c r="Q35" s="653"/>
      <c r="R35" s="653"/>
      <c r="S35" s="653"/>
      <c r="T35" s="658"/>
      <c r="U35" s="657"/>
    </row>
    <row r="36" spans="1:21">
      <c r="A36" s="656" t="s">
        <v>556</v>
      </c>
      <c r="B36" s="654"/>
      <c r="C36" s="671">
        <v>49.410000000000004</v>
      </c>
      <c r="D36" s="671">
        <v>48.446491081254614</v>
      </c>
      <c r="E36" s="671">
        <v>44.696819104980896</v>
      </c>
      <c r="F36" s="671">
        <v>42.592553510013992</v>
      </c>
      <c r="G36" s="671">
        <v>40.611287915047079</v>
      </c>
      <c r="H36" s="671">
        <v>39.860740481086864</v>
      </c>
      <c r="I36" s="655"/>
      <c r="J36" s="655"/>
      <c r="K36" s="655"/>
      <c r="L36" s="655"/>
      <c r="M36" s="655"/>
      <c r="N36" s="655"/>
      <c r="O36" s="653"/>
      <c r="P36" s="653"/>
      <c r="Q36" s="653"/>
      <c r="R36" s="653"/>
      <c r="S36" s="653"/>
      <c r="T36" s="658"/>
      <c r="U36" s="657"/>
    </row>
    <row r="37" spans="1:21">
      <c r="A37" s="676" t="s">
        <v>557</v>
      </c>
      <c r="B37" s="677"/>
      <c r="C37" s="678">
        <v>42.133990025571599</v>
      </c>
      <c r="D37" s="678">
        <v>40.314231027472751</v>
      </c>
      <c r="E37" s="678">
        <v>35.45985633132377</v>
      </c>
      <c r="F37" s="678">
        <v>32.29794301188128</v>
      </c>
      <c r="G37" s="678">
        <v>29.23071872483019</v>
      </c>
      <c r="H37" s="678">
        <v>27.229774822364359</v>
      </c>
      <c r="I37" s="655"/>
      <c r="J37" s="655"/>
      <c r="K37" s="655"/>
      <c r="L37" s="655"/>
      <c r="M37" s="655"/>
      <c r="N37" s="655"/>
      <c r="O37" s="679"/>
      <c r="P37" s="679"/>
      <c r="Q37" s="679"/>
      <c r="R37" s="679"/>
      <c r="S37" s="679"/>
      <c r="T37" s="680"/>
      <c r="U37" s="681"/>
    </row>
    <row r="38" spans="1:21">
      <c r="A38" s="676" t="s">
        <v>558</v>
      </c>
      <c r="B38" s="677"/>
      <c r="C38" s="678">
        <v>41.082074096512727</v>
      </c>
      <c r="D38" s="678">
        <v>38.963197571437163</v>
      </c>
      <c r="E38" s="678">
        <v>33.704231703592185</v>
      </c>
      <c r="F38" s="678">
        <v>30.18742860807167</v>
      </c>
      <c r="G38" s="678">
        <v>26.765314544942555</v>
      </c>
      <c r="H38" s="678">
        <v>24.494218343294207</v>
      </c>
      <c r="I38" s="655"/>
      <c r="J38" s="655"/>
      <c r="K38" s="655"/>
      <c r="L38" s="655"/>
      <c r="M38" s="655"/>
      <c r="N38" s="655"/>
      <c r="O38" s="679"/>
      <c r="P38" s="679"/>
      <c r="Q38" s="679"/>
      <c r="R38" s="679"/>
      <c r="S38" s="679"/>
      <c r="T38" s="680"/>
      <c r="U38" s="681"/>
    </row>
    <row r="39" spans="1:21">
      <c r="A39" s="676" t="s">
        <v>559</v>
      </c>
      <c r="B39" s="677"/>
      <c r="C39" s="678">
        <v>40.920075866645234</v>
      </c>
      <c r="D39" s="678">
        <v>38.942932394672582</v>
      </c>
      <c r="E39" s="678">
        <v>33.866820813995339</v>
      </c>
      <c r="F39" s="678">
        <v>30.4830446115452</v>
      </c>
      <c r="G39" s="678">
        <v>27.193957441486457</v>
      </c>
      <c r="H39" s="678">
        <v>24.985704792975653</v>
      </c>
      <c r="I39" s="655"/>
      <c r="J39" s="655"/>
      <c r="K39" s="655"/>
      <c r="L39" s="655"/>
      <c r="M39" s="655"/>
      <c r="N39" s="655"/>
      <c r="O39" s="679"/>
      <c r="P39" s="679"/>
      <c r="Q39" s="679"/>
      <c r="R39" s="679"/>
      <c r="S39" s="679"/>
      <c r="T39" s="680"/>
      <c r="U39" s="681"/>
    </row>
    <row r="40" spans="1:21">
      <c r="A40" s="656" t="s">
        <v>560</v>
      </c>
      <c r="B40" s="654"/>
      <c r="C40" s="671">
        <v>68.059999999999974</v>
      </c>
      <c r="D40" s="671">
        <v>65.326551872848398</v>
      </c>
      <c r="E40" s="671">
        <v>59.65835546763396</v>
      </c>
      <c r="F40" s="671">
        <v>54.418387995537707</v>
      </c>
      <c r="G40" s="671">
        <v>49.162508768069578</v>
      </c>
      <c r="H40" s="671">
        <v>46.020371085784049</v>
      </c>
      <c r="I40" s="655"/>
      <c r="J40" s="655"/>
      <c r="K40" s="655"/>
      <c r="L40" s="655"/>
      <c r="M40" s="655"/>
      <c r="N40" s="655"/>
      <c r="O40" s="653"/>
      <c r="P40" s="653"/>
      <c r="Q40" s="653"/>
      <c r="R40" s="653"/>
      <c r="S40" s="653"/>
      <c r="T40" s="658"/>
      <c r="U40" s="657"/>
    </row>
    <row r="41" spans="1:21">
      <c r="A41" s="656"/>
      <c r="B41" s="654"/>
      <c r="C41" s="671"/>
      <c r="D41" s="671"/>
      <c r="E41" s="671"/>
      <c r="F41" s="671"/>
      <c r="G41" s="671"/>
      <c r="H41" s="671"/>
      <c r="I41" s="655"/>
      <c r="J41" s="655"/>
      <c r="K41" s="655"/>
      <c r="L41" s="655"/>
      <c r="M41" s="655"/>
      <c r="N41" s="655"/>
      <c r="O41" s="653"/>
      <c r="P41" s="653"/>
      <c r="Q41" s="653"/>
      <c r="R41" s="653"/>
      <c r="S41" s="653"/>
      <c r="T41" s="658"/>
      <c r="U41" s="657"/>
    </row>
    <row r="42" spans="1:21">
      <c r="A42" s="656" t="s">
        <v>561</v>
      </c>
      <c r="B42" s="654"/>
      <c r="C42" s="671"/>
      <c r="D42" s="671"/>
      <c r="E42" s="671"/>
      <c r="F42" s="671"/>
      <c r="G42" s="671"/>
      <c r="H42" s="671"/>
      <c r="I42" s="655"/>
      <c r="J42" s="655"/>
      <c r="K42" s="655"/>
      <c r="L42" s="655"/>
      <c r="M42" s="655"/>
      <c r="N42" s="655"/>
      <c r="O42" s="653"/>
      <c r="P42" s="653"/>
      <c r="Q42" s="653"/>
      <c r="R42" s="653"/>
      <c r="S42" s="653"/>
      <c r="T42" s="658"/>
      <c r="U42" s="657"/>
    </row>
    <row r="43" spans="1:21">
      <c r="A43" s="656" t="s">
        <v>562</v>
      </c>
      <c r="B43" s="654"/>
      <c r="C43" s="671">
        <v>43.886795406250002</v>
      </c>
      <c r="D43" s="671">
        <v>44.322611062164412</v>
      </c>
      <c r="E43" s="671">
        <v>44.713877883554375</v>
      </c>
      <c r="F43" s="671">
        <v>39.12162252468439</v>
      </c>
      <c r="G43" s="671">
        <v>38.956842266522472</v>
      </c>
      <c r="H43" s="671">
        <v>39.200994066737501</v>
      </c>
      <c r="I43" s="655"/>
      <c r="J43" s="655"/>
      <c r="K43" s="655"/>
      <c r="L43" s="655"/>
      <c r="M43" s="655"/>
      <c r="N43" s="655"/>
      <c r="O43" s="653"/>
      <c r="P43" s="653"/>
      <c r="Q43" s="653"/>
      <c r="R43" s="653"/>
      <c r="S43" s="653"/>
      <c r="T43" s="658"/>
      <c r="U43" s="657"/>
    </row>
    <row r="44" spans="1:21">
      <c r="A44" s="656" t="s">
        <v>556</v>
      </c>
      <c r="B44" s="654"/>
      <c r="C44" s="671">
        <v>49.410000000000004</v>
      </c>
      <c r="D44" s="671">
        <v>48.446491081254614</v>
      </c>
      <c r="E44" s="671">
        <v>44.696819104980896</v>
      </c>
      <c r="F44" s="671">
        <v>42.592553510013992</v>
      </c>
      <c r="G44" s="671">
        <v>40.611287915047079</v>
      </c>
      <c r="H44" s="671">
        <v>39.860740481086864</v>
      </c>
      <c r="I44" s="655"/>
      <c r="J44" s="655"/>
      <c r="K44" s="655"/>
      <c r="L44" s="655"/>
      <c r="M44" s="655"/>
      <c r="N44" s="655"/>
      <c r="O44" s="653"/>
      <c r="P44" s="653"/>
      <c r="Q44" s="653"/>
      <c r="R44" s="653"/>
      <c r="S44" s="653"/>
      <c r="T44" s="658"/>
      <c r="U44" s="657"/>
    </row>
    <row r="45" spans="1:21">
      <c r="A45" s="656" t="s">
        <v>560</v>
      </c>
      <c r="B45" s="654"/>
      <c r="C45" s="671">
        <v>68.06</v>
      </c>
      <c r="D45" s="671">
        <v>65.326551872848427</v>
      </c>
      <c r="E45" s="671">
        <v>59.658355467633989</v>
      </c>
      <c r="F45" s="671">
        <v>54.41838799553765</v>
      </c>
      <c r="G45" s="671">
        <v>49.162508768069593</v>
      </c>
      <c r="H45" s="671">
        <v>46.020371085784049</v>
      </c>
      <c r="I45" s="655"/>
      <c r="J45" s="655"/>
      <c r="K45" s="655"/>
      <c r="L45" s="655"/>
      <c r="M45" s="655"/>
      <c r="N45" s="655"/>
      <c r="O45" s="653"/>
      <c r="P45" s="653"/>
      <c r="Q45" s="653"/>
      <c r="R45" s="653"/>
      <c r="S45" s="653"/>
      <c r="T45" s="658"/>
      <c r="U45" s="657"/>
    </row>
    <row r="46" spans="1:21">
      <c r="A46" s="656"/>
      <c r="B46" s="654"/>
      <c r="C46" s="671"/>
      <c r="D46" s="671"/>
      <c r="E46" s="671"/>
      <c r="F46" s="671"/>
      <c r="G46" s="671"/>
      <c r="H46" s="671"/>
      <c r="I46" s="655"/>
      <c r="J46" s="655"/>
      <c r="K46" s="655"/>
      <c r="L46" s="655"/>
      <c r="M46" s="655"/>
      <c r="N46" s="655"/>
      <c r="O46" s="653"/>
      <c r="P46" s="653"/>
      <c r="Q46" s="653"/>
      <c r="R46" s="653"/>
      <c r="S46" s="653"/>
      <c r="T46" s="658"/>
      <c r="U46" s="657"/>
    </row>
    <row r="47" spans="1:21">
      <c r="A47" s="656" t="s">
        <v>563</v>
      </c>
      <c r="B47" s="653"/>
      <c r="C47" s="657">
        <v>120.45000000000002</v>
      </c>
      <c r="D47" s="657">
        <v>104.24113273884102</v>
      </c>
      <c r="E47" s="657">
        <v>89.530224619759352</v>
      </c>
      <c r="F47" s="657">
        <v>91.322129139599426</v>
      </c>
      <c r="G47" s="657">
        <v>71.948442301296581</v>
      </c>
      <c r="H47" s="657">
        <v>62.849743276235934</v>
      </c>
      <c r="I47" s="655"/>
      <c r="J47" s="655"/>
      <c r="K47" s="655"/>
      <c r="L47" s="655"/>
      <c r="M47" s="655"/>
      <c r="N47" s="655"/>
      <c r="O47" s="653"/>
      <c r="P47" s="653"/>
      <c r="Q47" s="653"/>
      <c r="R47" s="653"/>
      <c r="S47" s="653"/>
      <c r="T47" s="658"/>
      <c r="U47" s="657"/>
    </row>
    <row r="48" spans="1:21">
      <c r="A48" s="656" t="s">
        <v>564</v>
      </c>
      <c r="B48" s="654"/>
      <c r="C48" s="682">
        <v>-2.6766686556985889E-2</v>
      </c>
      <c r="D48" s="682">
        <v>0.11140454574340623</v>
      </c>
      <c r="E48" s="682">
        <v>0.23680654147336672</v>
      </c>
      <c r="F48" s="682">
        <v>0.22153159031967076</v>
      </c>
      <c r="G48" s="682">
        <v>0.3866810817381589</v>
      </c>
      <c r="H48" s="682">
        <v>0.46424223615858895</v>
      </c>
      <c r="I48" s="655"/>
      <c r="J48" s="655"/>
      <c r="K48" s="655"/>
      <c r="L48" s="655"/>
      <c r="M48" s="655"/>
      <c r="N48" s="655"/>
      <c r="O48" s="653"/>
      <c r="P48" s="653"/>
      <c r="Q48" s="653"/>
      <c r="R48" s="653"/>
      <c r="S48" s="653"/>
      <c r="T48" s="658"/>
      <c r="U48" s="657"/>
    </row>
    <row r="49" spans="1:21">
      <c r="A49" s="656"/>
      <c r="B49" s="654"/>
      <c r="C49" s="671"/>
      <c r="D49" s="671"/>
      <c r="E49" s="671"/>
      <c r="F49" s="671"/>
      <c r="G49" s="671"/>
      <c r="H49" s="671"/>
      <c r="I49" s="655"/>
      <c r="J49" s="655"/>
      <c r="K49" s="655"/>
      <c r="L49" s="655"/>
      <c r="M49" s="655"/>
      <c r="N49" s="655"/>
      <c r="O49" s="653"/>
      <c r="P49" s="653"/>
      <c r="Q49" s="653"/>
      <c r="R49" s="653"/>
      <c r="S49" s="653"/>
      <c r="T49" s="658"/>
      <c r="U49" s="657"/>
    </row>
    <row r="50" spans="1:21">
      <c r="A50" s="656"/>
      <c r="B50" s="654"/>
      <c r="C50" s="671"/>
      <c r="D50" s="671"/>
      <c r="E50" s="671"/>
      <c r="F50" s="671"/>
      <c r="G50" s="671"/>
      <c r="H50" s="671"/>
      <c r="I50" s="655"/>
      <c r="J50" s="655"/>
      <c r="K50" s="655"/>
      <c r="L50" s="655"/>
      <c r="M50" s="655"/>
      <c r="N50" s="655"/>
      <c r="O50" s="653"/>
      <c r="P50" s="653"/>
      <c r="Q50" s="653"/>
      <c r="R50" s="653"/>
      <c r="S50" s="653"/>
      <c r="T50" s="658"/>
      <c r="U50" s="657"/>
    </row>
    <row r="51" spans="1:21">
      <c r="A51" s="656" t="s">
        <v>565</v>
      </c>
      <c r="B51" s="654"/>
      <c r="C51" s="671">
        <v>20.473368793357945</v>
      </c>
      <c r="D51" s="671">
        <v>26.243225739982549</v>
      </c>
      <c r="E51" s="671">
        <v>32.709656515600237</v>
      </c>
      <c r="F51" s="671">
        <v>38.643119010823696</v>
      </c>
      <c r="G51" s="671">
        <v>43.711408306861671</v>
      </c>
      <c r="H51" s="671">
        <v>46.214898223812938</v>
      </c>
      <c r="I51" s="655"/>
      <c r="J51" s="655"/>
      <c r="K51" s="655"/>
      <c r="L51" s="655"/>
      <c r="M51" s="655"/>
      <c r="N51" s="655"/>
      <c r="O51" s="653"/>
      <c r="P51" s="653"/>
      <c r="Q51" s="653"/>
      <c r="R51" s="653"/>
      <c r="S51" s="653"/>
      <c r="T51" s="658"/>
      <c r="U51" s="657"/>
    </row>
    <row r="52" spans="1:21">
      <c r="A52" s="656"/>
      <c r="B52" s="654"/>
      <c r="C52" s="671"/>
      <c r="D52" s="671"/>
      <c r="E52" s="671"/>
      <c r="F52" s="671"/>
      <c r="G52" s="671"/>
      <c r="H52" s="671"/>
      <c r="I52" s="655"/>
      <c r="J52" s="655"/>
      <c r="K52" s="655"/>
      <c r="L52" s="655"/>
      <c r="M52" s="655"/>
      <c r="N52" s="655"/>
      <c r="O52" s="653"/>
      <c r="P52" s="653"/>
      <c r="Q52" s="653"/>
      <c r="R52" s="653"/>
      <c r="S52" s="653"/>
      <c r="T52" s="658"/>
      <c r="U52" s="657"/>
    </row>
    <row r="53" spans="1:21">
      <c r="A53" s="656" t="s">
        <v>566</v>
      </c>
      <c r="B53" s="654"/>
      <c r="C53" s="657">
        <v>6.6102405593204265</v>
      </c>
      <c r="D53" s="657">
        <v>8.3318628008325923</v>
      </c>
      <c r="E53" s="657">
        <v>10.956056479102111</v>
      </c>
      <c r="F53" s="657">
        <v>14.302811067500032</v>
      </c>
      <c r="G53" s="657">
        <v>16.110102989083515</v>
      </c>
      <c r="H53" s="657">
        <v>18.30699500083001</v>
      </c>
      <c r="I53" s="723"/>
      <c r="J53" s="655"/>
      <c r="K53" s="655"/>
      <c r="L53" s="655"/>
      <c r="M53" s="655"/>
      <c r="N53" s="655"/>
      <c r="O53" s="653"/>
      <c r="P53" s="653"/>
      <c r="Q53" s="653"/>
      <c r="R53" s="653"/>
      <c r="S53" s="653"/>
      <c r="T53" s="658"/>
      <c r="U53" s="657"/>
    </row>
    <row r="54" spans="1:21">
      <c r="A54" s="656" t="s">
        <v>567</v>
      </c>
      <c r="B54" s="654"/>
      <c r="C54" s="683">
        <v>0.15062026056199695</v>
      </c>
      <c r="D54" s="683">
        <v>0.18798221948492133</v>
      </c>
      <c r="E54" s="683">
        <v>0.24502586216374031</v>
      </c>
      <c r="F54" s="683">
        <v>0.36559861642945546</v>
      </c>
      <c r="G54" s="683">
        <v>0.41353718761049885</v>
      </c>
      <c r="H54" s="683">
        <v>0.4670033359272312</v>
      </c>
      <c r="I54" s="655"/>
      <c r="J54" s="655"/>
      <c r="K54" s="655"/>
      <c r="L54" s="655"/>
      <c r="M54" s="655"/>
      <c r="N54" s="655"/>
      <c r="O54" s="653"/>
      <c r="P54" s="653"/>
      <c r="Q54" s="653"/>
      <c r="R54" s="653"/>
      <c r="S54" s="653"/>
      <c r="T54" s="658"/>
      <c r="U54" s="657"/>
    </row>
    <row r="55" spans="1:21">
      <c r="A55" s="656" t="s">
        <v>568</v>
      </c>
      <c r="B55" s="654"/>
      <c r="C55" s="671">
        <v>6.6613961578424208</v>
      </c>
      <c r="D55" s="671">
        <v>8.4096117609415924</v>
      </c>
      <c r="E55" s="671">
        <v>11.08001305330342</v>
      </c>
      <c r="F55" s="671">
        <v>14.491954925323082</v>
      </c>
      <c r="G55" s="671">
        <v>17.190659987299306</v>
      </c>
      <c r="H55" s="671">
        <v>18.542270466485899</v>
      </c>
      <c r="I55" s="655"/>
      <c r="J55" s="655"/>
      <c r="K55" s="655"/>
      <c r="L55" s="655"/>
      <c r="M55" s="655"/>
      <c r="N55" s="655"/>
      <c r="O55" s="653"/>
      <c r="P55" s="653"/>
      <c r="Q55" s="653"/>
      <c r="R55" s="653"/>
      <c r="S55" s="653"/>
      <c r="T55" s="658"/>
      <c r="U55" s="657"/>
    </row>
    <row r="56" spans="1:21">
      <c r="A56" s="656" t="s">
        <v>569</v>
      </c>
      <c r="B56" s="654"/>
      <c r="C56" s="683">
        <v>0.14592045783211094</v>
      </c>
      <c r="D56" s="683">
        <v>0.18726114805539862</v>
      </c>
      <c r="E56" s="683">
        <v>0.24658337972782399</v>
      </c>
      <c r="F56" s="683">
        <v>0.35022669969112402</v>
      </c>
      <c r="G56" s="683">
        <v>0.42913262397059054</v>
      </c>
      <c r="H56" s="683">
        <v>0.46134851511076813</v>
      </c>
      <c r="I56" s="655"/>
      <c r="J56" s="655"/>
      <c r="K56" s="655"/>
      <c r="L56" s="655"/>
      <c r="M56" s="655"/>
      <c r="N56" s="655"/>
      <c r="O56" s="653"/>
      <c r="P56" s="653"/>
      <c r="Q56" s="653"/>
      <c r="R56" s="653"/>
      <c r="S56" s="653"/>
      <c r="T56" s="658"/>
      <c r="U56" s="657"/>
    </row>
    <row r="57" spans="1:21" ht="15">
      <c r="A57" s="646"/>
      <c r="B57" s="646"/>
      <c r="C57" s="646"/>
      <c r="D57" s="646"/>
      <c r="E57" s="646"/>
      <c r="F57" s="646"/>
      <c r="G57" s="646"/>
      <c r="H57" s="646"/>
      <c r="I57" s="646"/>
      <c r="J57" s="646"/>
      <c r="K57" s="646"/>
      <c r="L57" s="646"/>
      <c r="M57" s="646"/>
      <c r="N57" s="646"/>
      <c r="O57" s="646"/>
      <c r="P57" s="646"/>
      <c r="Q57" s="646"/>
      <c r="R57" s="646"/>
      <c r="S57" s="646"/>
      <c r="T57" s="646"/>
      <c r="U57" s="646"/>
    </row>
    <row r="58" spans="1:21">
      <c r="A58" s="656"/>
      <c r="B58" s="654"/>
      <c r="C58" s="682"/>
      <c r="D58" s="682"/>
      <c r="E58" s="682"/>
      <c r="F58" s="682"/>
      <c r="G58" s="682"/>
      <c r="H58" s="682"/>
      <c r="I58" s="655"/>
      <c r="J58" s="655"/>
      <c r="K58" s="655"/>
      <c r="L58" s="655"/>
      <c r="M58" s="655"/>
      <c r="N58" s="655"/>
      <c r="O58" s="653"/>
      <c r="P58" s="653"/>
      <c r="Q58" s="653"/>
      <c r="R58" s="653"/>
      <c r="S58" s="653"/>
      <c r="T58" s="658"/>
      <c r="U58" s="657"/>
    </row>
    <row r="59" spans="1:21">
      <c r="A59" s="656"/>
      <c r="B59" s="654"/>
      <c r="C59" s="671"/>
      <c r="D59" s="671"/>
      <c r="E59" s="671"/>
      <c r="F59" s="671"/>
      <c r="G59" s="671"/>
      <c r="H59" s="671"/>
      <c r="I59" s="655"/>
      <c r="J59" s="655"/>
      <c r="K59" s="655"/>
      <c r="L59" s="655"/>
      <c r="M59" s="655"/>
      <c r="N59" s="655"/>
      <c r="O59" s="653"/>
      <c r="P59" s="653"/>
      <c r="Q59" s="653"/>
      <c r="R59" s="653"/>
      <c r="S59" s="653"/>
      <c r="T59" s="658"/>
      <c r="U59" s="657"/>
    </row>
    <row r="60" spans="1:21">
      <c r="A60" s="656" t="s">
        <v>570</v>
      </c>
      <c r="B60" s="654"/>
      <c r="C60" s="671">
        <v>2.42</v>
      </c>
      <c r="D60" s="671">
        <v>2.5091652930733832</v>
      </c>
      <c r="E60" s="671">
        <v>3.5433572712322463</v>
      </c>
      <c r="F60" s="671">
        <v>3.8874293754637548</v>
      </c>
      <c r="G60" s="671">
        <v>4.0896480134148225</v>
      </c>
      <c r="H60" s="671">
        <v>3.7909146092801418</v>
      </c>
      <c r="I60" s="655"/>
      <c r="J60" s="655"/>
      <c r="K60" s="655"/>
      <c r="L60" s="655"/>
      <c r="M60" s="655"/>
      <c r="N60" s="655"/>
      <c r="O60" s="653"/>
      <c r="P60" s="653"/>
      <c r="Q60" s="653"/>
      <c r="R60" s="653"/>
      <c r="S60" s="653"/>
      <c r="T60" s="658"/>
      <c r="U60" s="657"/>
    </row>
    <row r="61" spans="1:21">
      <c r="A61" s="656" t="s">
        <v>571</v>
      </c>
      <c r="B61" s="654"/>
      <c r="C61" s="671">
        <v>1.05</v>
      </c>
      <c r="D61" s="671">
        <v>1.3491175269767199</v>
      </c>
      <c r="E61" s="671">
        <v>1.7537086986727168</v>
      </c>
      <c r="F61" s="671">
        <v>2.1085984747507398</v>
      </c>
      <c r="G61" s="671">
        <v>2.4634882508287639</v>
      </c>
      <c r="H61" s="671">
        <v>2.7336405500112795</v>
      </c>
      <c r="I61" s="655"/>
      <c r="J61" s="655"/>
      <c r="K61" s="655"/>
      <c r="L61" s="655"/>
      <c r="M61" s="655"/>
      <c r="N61" s="655"/>
      <c r="O61" s="653"/>
      <c r="P61" s="653"/>
      <c r="Q61" s="653"/>
      <c r="R61" s="653"/>
      <c r="S61" s="653"/>
      <c r="T61" s="658"/>
      <c r="U61" s="657"/>
    </row>
    <row r="62" spans="1:21">
      <c r="A62" s="656" t="s">
        <v>572</v>
      </c>
      <c r="B62" s="654"/>
      <c r="C62" s="684">
        <v>0</v>
      </c>
      <c r="D62" s="684">
        <v>0</v>
      </c>
      <c r="E62" s="684">
        <v>0.16183646867839876</v>
      </c>
      <c r="F62" s="684">
        <v>0.30379237910960799</v>
      </c>
      <c r="G62" s="684">
        <v>0.44574828954081758</v>
      </c>
      <c r="H62" s="684">
        <v>0.55380920921382382</v>
      </c>
      <c r="I62" s="655"/>
      <c r="J62" s="655"/>
      <c r="K62" s="655"/>
      <c r="L62" s="655"/>
      <c r="M62" s="655"/>
      <c r="N62" s="655"/>
      <c r="O62" s="653"/>
      <c r="P62" s="653"/>
      <c r="Q62" s="653"/>
      <c r="R62" s="653"/>
      <c r="S62" s="653"/>
      <c r="T62" s="658"/>
      <c r="U62" s="657"/>
    </row>
    <row r="63" spans="1:21">
      <c r="A63" s="656" t="s">
        <v>573</v>
      </c>
      <c r="B63" s="654"/>
      <c r="C63" s="671">
        <v>0.15815127359009681</v>
      </c>
      <c r="D63" s="671">
        <v>0.25361010706709203</v>
      </c>
      <c r="E63" s="671">
        <v>0.42970398587633352</v>
      </c>
      <c r="F63" s="671">
        <v>0.77090068497413056</v>
      </c>
      <c r="G63" s="671">
        <v>1.0187440029592341</v>
      </c>
      <c r="H63" s="671">
        <v>1.2766192560812186</v>
      </c>
      <c r="I63" s="655"/>
      <c r="J63" s="655"/>
      <c r="K63" s="655"/>
      <c r="L63" s="655"/>
      <c r="M63" s="655"/>
      <c r="N63" s="655"/>
      <c r="O63" s="653"/>
      <c r="P63" s="653"/>
      <c r="Q63" s="653"/>
      <c r="R63" s="653"/>
      <c r="S63" s="653"/>
      <c r="T63" s="658"/>
      <c r="U63" s="657"/>
    </row>
    <row r="64" spans="1:21">
      <c r="A64" s="685" t="s">
        <v>574</v>
      </c>
      <c r="B64" s="653"/>
      <c r="C64" s="657">
        <v>0</v>
      </c>
      <c r="D64" s="657">
        <v>0</v>
      </c>
      <c r="E64" s="657">
        <v>3.9654120267459812E-2</v>
      </c>
      <c r="F64" s="657">
        <v>0.11106607348428529</v>
      </c>
      <c r="G64" s="657">
        <v>0.18433349403890004</v>
      </c>
      <c r="H64" s="657">
        <v>0.25863074817007764</v>
      </c>
      <c r="I64" s="655"/>
      <c r="J64" s="655"/>
      <c r="K64" s="655"/>
      <c r="L64" s="655"/>
      <c r="M64" s="655"/>
      <c r="N64" s="655"/>
      <c r="O64" s="653"/>
      <c r="P64" s="653"/>
      <c r="Q64" s="653"/>
      <c r="R64" s="653"/>
      <c r="S64" s="653"/>
      <c r="T64" s="658"/>
      <c r="U64" s="657"/>
    </row>
    <row r="65" spans="1:21">
      <c r="A65" s="685" t="s">
        <v>575</v>
      </c>
      <c r="B65" s="653"/>
      <c r="C65" s="721">
        <v>1</v>
      </c>
      <c r="D65" s="721">
        <v>1</v>
      </c>
      <c r="E65" s="721">
        <v>1</v>
      </c>
      <c r="F65" s="721">
        <v>1</v>
      </c>
      <c r="G65" s="721">
        <v>1</v>
      </c>
      <c r="H65" s="721">
        <v>1</v>
      </c>
      <c r="I65" s="655"/>
      <c r="J65" s="655"/>
      <c r="K65" s="655"/>
      <c r="L65" s="655"/>
      <c r="M65" s="655"/>
      <c r="N65" s="655"/>
      <c r="O65" s="653"/>
      <c r="P65" s="653"/>
      <c r="Q65" s="653"/>
      <c r="R65" s="653"/>
      <c r="S65" s="653"/>
      <c r="T65" s="658"/>
      <c r="U65" s="657"/>
    </row>
    <row r="66" spans="1:21">
      <c r="A66" s="645" t="s">
        <v>576</v>
      </c>
      <c r="B66" s="653"/>
      <c r="C66" s="721">
        <v>2.5</v>
      </c>
      <c r="D66" s="721">
        <v>2.5</v>
      </c>
      <c r="E66" s="721">
        <v>2.5</v>
      </c>
      <c r="F66" s="721">
        <v>2.5</v>
      </c>
      <c r="G66" s="721">
        <v>2.5</v>
      </c>
      <c r="H66" s="721">
        <v>2.5</v>
      </c>
      <c r="I66" s="655"/>
      <c r="J66" s="655"/>
      <c r="K66" s="655"/>
      <c r="L66" s="655"/>
      <c r="M66" s="655"/>
      <c r="N66" s="655"/>
      <c r="O66" s="653"/>
      <c r="P66" s="653"/>
      <c r="Q66" s="653"/>
      <c r="R66" s="653"/>
      <c r="S66" s="653"/>
      <c r="T66" s="658"/>
      <c r="U66" s="657"/>
    </row>
    <row r="67" spans="1:21">
      <c r="A67" s="656" t="s">
        <v>577</v>
      </c>
      <c r="B67" s="654"/>
      <c r="C67" s="686">
        <v>6.1189345514758686E-2</v>
      </c>
      <c r="D67" s="686">
        <v>6.8531020677480861E-2</v>
      </c>
      <c r="E67" s="686">
        <v>0.11204391862126474</v>
      </c>
      <c r="F67" s="686">
        <v>0.14422993002137161</v>
      </c>
      <c r="G67" s="686">
        <v>0.17476108146580416</v>
      </c>
      <c r="H67" s="686">
        <v>0.18610267247598733</v>
      </c>
      <c r="I67" s="655"/>
      <c r="J67" s="655"/>
      <c r="K67" s="655"/>
      <c r="L67" s="655"/>
      <c r="M67" s="655"/>
      <c r="N67" s="655"/>
      <c r="O67" s="653"/>
      <c r="P67" s="653"/>
      <c r="Q67" s="653"/>
      <c r="R67" s="653"/>
      <c r="S67" s="653"/>
      <c r="T67" s="658"/>
      <c r="U67" s="657"/>
    </row>
    <row r="68" spans="1:21">
      <c r="A68" s="477" t="s">
        <v>578</v>
      </c>
      <c r="B68" s="654"/>
      <c r="C68" s="687">
        <v>1E-3</v>
      </c>
      <c r="D68" s="687">
        <v>3.5000000000000001E-3</v>
      </c>
      <c r="E68" s="687">
        <v>5.0000000000000001E-3</v>
      </c>
      <c r="F68" s="687">
        <v>7.4999999999999997E-3</v>
      </c>
      <c r="G68" s="687">
        <v>0.01</v>
      </c>
      <c r="H68" s="687">
        <v>0.01</v>
      </c>
      <c r="I68" s="655"/>
      <c r="J68" s="655"/>
      <c r="K68" s="655"/>
      <c r="L68" s="655"/>
      <c r="M68" s="655"/>
      <c r="N68" s="655"/>
      <c r="O68" s="653"/>
      <c r="P68" s="653"/>
      <c r="Q68" s="653"/>
      <c r="R68" s="653"/>
      <c r="S68" s="653"/>
      <c r="T68" s="658"/>
      <c r="U68" s="657"/>
    </row>
    <row r="69" spans="1:21">
      <c r="A69" s="477" t="s">
        <v>579</v>
      </c>
      <c r="B69" s="654"/>
      <c r="C69" s="687">
        <v>0</v>
      </c>
      <c r="D69" s="687">
        <v>1E-3</v>
      </c>
      <c r="E69" s="687">
        <v>2.5000000000000001E-3</v>
      </c>
      <c r="F69" s="687">
        <v>6.2500000000000003E-3</v>
      </c>
      <c r="G69" s="687">
        <v>0.01</v>
      </c>
      <c r="H69" s="687">
        <v>0.01</v>
      </c>
      <c r="I69" s="655"/>
      <c r="J69" s="655"/>
      <c r="K69" s="655"/>
      <c r="L69" s="655"/>
      <c r="M69" s="655"/>
      <c r="N69" s="655"/>
      <c r="O69" s="653"/>
      <c r="P69" s="653"/>
      <c r="Q69" s="653"/>
      <c r="R69" s="653"/>
      <c r="S69" s="653"/>
      <c r="T69" s="658"/>
      <c r="U69" s="657"/>
    </row>
    <row r="70" spans="1:21">
      <c r="A70" s="656" t="s">
        <v>580</v>
      </c>
      <c r="B70" s="654"/>
      <c r="C70" s="688">
        <v>0.8</v>
      </c>
      <c r="D70" s="688">
        <v>0.8</v>
      </c>
      <c r="E70" s="688">
        <v>0.8</v>
      </c>
      <c r="F70" s="688">
        <v>0.8</v>
      </c>
      <c r="G70" s="688">
        <v>0.8</v>
      </c>
      <c r="H70" s="688">
        <v>0.8</v>
      </c>
      <c r="I70" s="655"/>
      <c r="J70" s="655"/>
      <c r="K70" s="655"/>
      <c r="L70" s="655"/>
      <c r="M70" s="655"/>
      <c r="N70" s="655"/>
      <c r="O70" s="653"/>
      <c r="P70" s="653"/>
      <c r="Q70" s="653"/>
      <c r="R70" s="653"/>
      <c r="S70" s="653"/>
      <c r="T70" s="658"/>
      <c r="U70" s="657"/>
    </row>
    <row r="71" spans="1:21">
      <c r="A71" s="656" t="s">
        <v>581</v>
      </c>
      <c r="B71" s="654"/>
      <c r="C71" s="688">
        <v>0.19999999999999996</v>
      </c>
      <c r="D71" s="688">
        <v>0.19999999999999996</v>
      </c>
      <c r="E71" s="688">
        <v>0.19999999999999996</v>
      </c>
      <c r="F71" s="688">
        <v>0.19999999999999996</v>
      </c>
      <c r="G71" s="688">
        <v>0.19999999999999996</v>
      </c>
      <c r="H71" s="688">
        <v>0.19999999999999996</v>
      </c>
      <c r="I71" s="655"/>
      <c r="J71" s="655"/>
      <c r="K71" s="655"/>
      <c r="L71" s="655"/>
      <c r="M71" s="655"/>
      <c r="N71" s="655"/>
      <c r="O71" s="653"/>
      <c r="P71" s="653"/>
      <c r="Q71" s="653"/>
      <c r="R71" s="653"/>
      <c r="S71" s="653"/>
      <c r="T71" s="658"/>
      <c r="U71" s="657"/>
    </row>
    <row r="72" spans="1:21">
      <c r="A72" s="656" t="s">
        <v>582</v>
      </c>
      <c r="B72" s="654"/>
      <c r="C72" s="689">
        <v>6.1969372738794763E-2</v>
      </c>
      <c r="D72" s="689">
        <v>7.1430482969956563E-2</v>
      </c>
      <c r="E72" s="689">
        <v>0.11799854576623807</v>
      </c>
      <c r="F72" s="689">
        <v>0.15616437326108973</v>
      </c>
      <c r="G72" s="689">
        <v>0.19337688737979089</v>
      </c>
      <c r="H72" s="689">
        <v>0.20934518218518461</v>
      </c>
      <c r="I72" s="655"/>
      <c r="J72" s="655"/>
      <c r="K72" s="655"/>
      <c r="L72" s="655"/>
      <c r="M72" s="655"/>
      <c r="N72" s="655"/>
      <c r="O72" s="653"/>
      <c r="P72" s="653"/>
      <c r="Q72" s="653"/>
      <c r="R72" s="653"/>
      <c r="S72" s="653"/>
      <c r="T72" s="658"/>
      <c r="U72" s="657"/>
    </row>
    <row r="73" spans="1:21">
      <c r="A73" s="656" t="s">
        <v>583</v>
      </c>
      <c r="B73" s="654"/>
      <c r="C73" s="689">
        <v>5.8906470844553166E-2</v>
      </c>
      <c r="D73" s="689">
        <v>6.4398341241705029E-2</v>
      </c>
      <c r="E73" s="689">
        <v>0.1051309314033287</v>
      </c>
      <c r="F73" s="689">
        <v>0.12877643292957763</v>
      </c>
      <c r="G73" s="689">
        <v>0.15279656088284541</v>
      </c>
      <c r="H73" s="689">
        <v>0.15476773155808754</v>
      </c>
      <c r="I73" s="655"/>
      <c r="J73" s="655"/>
      <c r="K73" s="655"/>
      <c r="L73" s="655"/>
      <c r="M73" s="655"/>
      <c r="N73" s="655"/>
      <c r="O73" s="653"/>
      <c r="P73" s="653"/>
      <c r="Q73" s="653"/>
      <c r="R73" s="653"/>
      <c r="S73" s="653"/>
      <c r="T73" s="658"/>
      <c r="U73" s="657"/>
    </row>
    <row r="74" spans="1:21">
      <c r="A74" s="656"/>
      <c r="B74" s="654"/>
      <c r="C74" s="675"/>
      <c r="D74" s="675"/>
      <c r="E74" s="675"/>
      <c r="F74" s="675"/>
      <c r="G74" s="671"/>
      <c r="H74" s="675"/>
      <c r="I74" s="655"/>
      <c r="J74" s="655"/>
      <c r="K74" s="655"/>
      <c r="L74" s="655"/>
      <c r="M74" s="655"/>
      <c r="N74" s="655"/>
      <c r="O74" s="653"/>
      <c r="P74" s="653"/>
      <c r="Q74" s="653"/>
      <c r="R74" s="653"/>
      <c r="S74" s="653"/>
      <c r="T74" s="658"/>
      <c r="U74" s="657"/>
    </row>
    <row r="75" spans="1:21">
      <c r="A75" s="656" t="s">
        <v>584</v>
      </c>
      <c r="B75" s="654"/>
      <c r="C75" s="671">
        <v>11.391972635515524</v>
      </c>
      <c r="D75" s="671">
        <v>15.324448685967571</v>
      </c>
      <c r="E75" s="671">
        <v>18.086286191064573</v>
      </c>
      <c r="F75" s="671">
        <v>20.263734710036861</v>
      </c>
      <c r="G75" s="671">
        <v>22.431100306147542</v>
      </c>
      <c r="H75" s="671">
        <v>23.881713148046899</v>
      </c>
      <c r="I75" s="655"/>
      <c r="J75" s="655"/>
      <c r="K75" s="655"/>
      <c r="L75" s="655"/>
      <c r="M75" s="655"/>
      <c r="N75" s="655"/>
      <c r="O75" s="653"/>
      <c r="P75" s="653"/>
      <c r="Q75" s="653"/>
      <c r="R75" s="653"/>
      <c r="S75" s="653"/>
      <c r="T75" s="658"/>
      <c r="U75" s="657"/>
    </row>
    <row r="76" spans="1:21">
      <c r="A76" s="656" t="s">
        <v>585</v>
      </c>
      <c r="B76" s="654"/>
      <c r="C76" s="683">
        <v>0.16738131994586436</v>
      </c>
      <c r="D76" s="683">
        <v>0.2345822371858089</v>
      </c>
      <c r="E76" s="683">
        <v>0.30316434385920682</v>
      </c>
      <c r="F76" s="683">
        <v>0.37236925709189478</v>
      </c>
      <c r="G76" s="683">
        <v>0.45626435404200233</v>
      </c>
      <c r="H76" s="683">
        <v>0.51893786565802147</v>
      </c>
      <c r="I76" s="655"/>
      <c r="J76" s="655"/>
      <c r="K76" s="655"/>
      <c r="L76" s="655"/>
      <c r="M76" s="655"/>
      <c r="N76" s="655"/>
      <c r="O76" s="653"/>
      <c r="P76" s="653"/>
      <c r="Q76" s="653"/>
      <c r="R76" s="653"/>
      <c r="S76" s="653"/>
      <c r="T76" s="658"/>
      <c r="U76" s="657"/>
    </row>
    <row r="77" spans="1:21">
      <c r="A77" s="656"/>
      <c r="B77" s="654"/>
      <c r="C77" s="671">
        <v>0</v>
      </c>
      <c r="D77" s="671">
        <v>3.9324760504520473</v>
      </c>
      <c r="E77" s="671">
        <v>6.6943135555490496</v>
      </c>
      <c r="F77" s="671">
        <v>8.871762074521337</v>
      </c>
      <c r="G77" s="671">
        <v>11.039127670632018</v>
      </c>
      <c r="H77" s="671">
        <v>12.489740512531375</v>
      </c>
      <c r="I77" s="655"/>
      <c r="J77" s="655"/>
      <c r="K77" s="655"/>
      <c r="L77" s="655"/>
      <c r="M77" s="655"/>
      <c r="N77" s="655"/>
      <c r="O77" s="653"/>
      <c r="P77" s="653"/>
      <c r="Q77" s="653"/>
      <c r="R77" s="653"/>
      <c r="S77" s="653"/>
      <c r="T77" s="658"/>
      <c r="U77" s="657"/>
    </row>
    <row r="78" spans="1:21">
      <c r="A78" s="656"/>
      <c r="B78" s="654"/>
      <c r="C78" s="671"/>
      <c r="D78" s="671"/>
      <c r="E78" s="671"/>
      <c r="F78" s="671"/>
      <c r="G78" s="671"/>
      <c r="H78" s="671"/>
      <c r="I78" s="655"/>
      <c r="J78" s="655"/>
      <c r="K78" s="655"/>
      <c r="L78" s="655"/>
      <c r="M78" s="655"/>
      <c r="N78" s="655"/>
      <c r="O78" s="653"/>
      <c r="P78" s="653"/>
      <c r="Q78" s="653"/>
      <c r="R78" s="653"/>
      <c r="S78" s="653"/>
      <c r="T78" s="658"/>
      <c r="U78" s="657"/>
    </row>
    <row r="79" spans="1:21">
      <c r="A79" s="656" t="s">
        <v>586</v>
      </c>
      <c r="B79" s="654"/>
      <c r="C79" s="671">
        <v>39.502839999999999</v>
      </c>
      <c r="D79" s="671">
        <v>33.628723012707418</v>
      </c>
      <c r="E79" s="671">
        <v>30.346172522897412</v>
      </c>
      <c r="F79" s="671">
        <v>38.128808485106624</v>
      </c>
      <c r="G79" s="671">
        <v>25.695548033555045</v>
      </c>
      <c r="H79" s="671">
        <v>19.972276266333683</v>
      </c>
      <c r="I79" s="655"/>
      <c r="J79" s="655"/>
      <c r="K79" s="655"/>
      <c r="L79" s="655"/>
      <c r="M79" s="655"/>
      <c r="N79" s="655"/>
      <c r="O79" s="653"/>
      <c r="P79" s="653"/>
      <c r="Q79" s="653"/>
      <c r="R79" s="653"/>
      <c r="S79" s="653"/>
      <c r="T79" s="658"/>
      <c r="U79" s="657"/>
    </row>
    <row r="80" spans="1:21">
      <c r="A80" s="656" t="s">
        <v>587</v>
      </c>
      <c r="B80" s="654"/>
      <c r="C80" s="690">
        <v>0</v>
      </c>
      <c r="D80" s="691">
        <v>0.49449999999999994</v>
      </c>
      <c r="E80" s="690">
        <v>0.98899999999999988</v>
      </c>
      <c r="F80" s="690">
        <v>1.7844999999999998</v>
      </c>
      <c r="G80" s="690">
        <v>2.5799999999999996</v>
      </c>
      <c r="H80" s="690">
        <v>3.3754999999999997</v>
      </c>
      <c r="I80" s="655"/>
      <c r="J80" s="655"/>
      <c r="K80" s="655"/>
      <c r="L80" s="655"/>
      <c r="M80" s="655"/>
      <c r="N80" s="655"/>
      <c r="O80" s="653"/>
      <c r="P80" s="653"/>
      <c r="Q80" s="653"/>
      <c r="R80" s="653"/>
      <c r="S80" s="653"/>
      <c r="T80" s="658"/>
      <c r="U80" s="657"/>
    </row>
    <row r="81" spans="1:21">
      <c r="A81" s="656" t="s">
        <v>588</v>
      </c>
      <c r="B81" s="654"/>
      <c r="C81" s="684">
        <v>0.25284000000000001</v>
      </c>
      <c r="D81" s="684">
        <v>0.56200000000000006</v>
      </c>
      <c r="E81" s="684">
        <v>0.877</v>
      </c>
      <c r="F81" s="684">
        <v>1.1930000000000001</v>
      </c>
      <c r="G81" s="684">
        <v>1.508</v>
      </c>
      <c r="H81" s="684">
        <v>1.823</v>
      </c>
      <c r="I81" s="655"/>
      <c r="J81" s="655"/>
      <c r="K81" s="655"/>
      <c r="L81" s="655"/>
      <c r="M81" s="655"/>
      <c r="N81" s="655"/>
      <c r="O81" s="653"/>
      <c r="P81" s="653"/>
      <c r="Q81" s="653"/>
      <c r="R81" s="653"/>
      <c r="S81" s="653"/>
      <c r="T81" s="658"/>
      <c r="U81" s="657"/>
    </row>
    <row r="82" spans="1:21">
      <c r="A82" s="656" t="s">
        <v>589</v>
      </c>
      <c r="B82" s="654"/>
      <c r="C82" s="675">
        <v>6.4005524666074648E-3</v>
      </c>
      <c r="D82" s="675">
        <v>3.1416595854703619E-2</v>
      </c>
      <c r="E82" s="675">
        <v>6.1490456451864815E-2</v>
      </c>
      <c r="F82" s="675">
        <v>7.8090559823369043E-2</v>
      </c>
      <c r="G82" s="675">
        <v>0.15909370738703851</v>
      </c>
      <c r="H82" s="675">
        <v>0.26028580471635393</v>
      </c>
      <c r="I82" s="655"/>
      <c r="J82" s="655"/>
      <c r="K82" s="655"/>
      <c r="L82" s="655"/>
      <c r="M82" s="655"/>
      <c r="N82" s="655"/>
      <c r="O82" s="653"/>
      <c r="P82" s="653"/>
      <c r="Q82" s="653"/>
      <c r="R82" s="653"/>
      <c r="S82" s="653"/>
      <c r="T82" s="658"/>
      <c r="U82" s="657"/>
    </row>
    <row r="83" spans="1:21">
      <c r="A83" s="656"/>
      <c r="B83" s="654"/>
      <c r="C83" s="671"/>
      <c r="D83" s="671"/>
      <c r="E83" s="671"/>
      <c r="F83" s="671"/>
      <c r="G83" s="671"/>
      <c r="H83" s="671"/>
      <c r="I83" s="655"/>
      <c r="J83" s="655"/>
      <c r="K83" s="655"/>
      <c r="L83" s="655"/>
      <c r="M83" s="655"/>
      <c r="N83" s="655"/>
      <c r="O83" s="653"/>
      <c r="P83" s="653"/>
      <c r="Q83" s="653"/>
      <c r="R83" s="653"/>
      <c r="S83" s="653"/>
      <c r="T83" s="658"/>
      <c r="U83" s="657"/>
    </row>
    <row r="84" spans="1:21">
      <c r="A84" s="656"/>
      <c r="B84" s="654"/>
      <c r="C84" s="671"/>
      <c r="D84" s="671"/>
      <c r="E84" s="671"/>
      <c r="F84" s="671"/>
      <c r="G84" s="671"/>
      <c r="H84" s="671"/>
      <c r="I84" s="655"/>
      <c r="J84" s="655"/>
      <c r="K84" s="655"/>
      <c r="L84" s="655"/>
      <c r="M84" s="655"/>
      <c r="N84" s="655"/>
      <c r="O84" s="653"/>
      <c r="P84" s="653"/>
      <c r="Q84" s="653"/>
      <c r="R84" s="653"/>
      <c r="S84" s="653"/>
      <c r="T84" s="658"/>
      <c r="U84" s="657"/>
    </row>
    <row r="85" spans="1:21">
      <c r="A85" s="656" t="s">
        <v>498</v>
      </c>
      <c r="B85" s="654" t="s">
        <v>495</v>
      </c>
      <c r="C85" s="692">
        <v>-3.0947775628628049E-3</v>
      </c>
      <c r="D85" s="692">
        <v>-3.5861659105650756E-2</v>
      </c>
      <c r="E85" s="692">
        <v>-9.8416818393759598E-2</v>
      </c>
      <c r="F85" s="692">
        <v>-0.15918744306127841</v>
      </c>
      <c r="G85" s="692">
        <v>-0.21936481598856628</v>
      </c>
      <c r="H85" s="692">
        <v>-0.24177675613809091</v>
      </c>
      <c r="I85" s="655"/>
      <c r="J85" s="655"/>
      <c r="K85" s="655"/>
      <c r="L85" s="655"/>
      <c r="M85" s="655"/>
      <c r="N85" s="655"/>
      <c r="O85" s="653"/>
      <c r="P85" s="653"/>
      <c r="Q85" s="653"/>
      <c r="R85" s="653"/>
      <c r="S85" s="653"/>
      <c r="T85" s="653"/>
      <c r="U85" s="657"/>
    </row>
    <row r="86" spans="1:21">
      <c r="A86" s="669"/>
      <c r="B86" s="653"/>
      <c r="C86" s="693"/>
      <c r="D86" s="693"/>
      <c r="E86" s="693"/>
      <c r="F86" s="693"/>
      <c r="G86" s="693"/>
      <c r="H86" s="693"/>
      <c r="I86" s="655"/>
      <c r="J86" s="655"/>
      <c r="K86" s="655"/>
      <c r="L86" s="655"/>
      <c r="M86" s="655"/>
      <c r="N86" s="655"/>
      <c r="O86" s="653"/>
      <c r="P86" s="653"/>
      <c r="Q86" s="653"/>
      <c r="R86" s="653"/>
      <c r="S86" s="653"/>
      <c r="T86" s="653"/>
      <c r="U86" s="657"/>
    </row>
    <row r="87" spans="1:21">
      <c r="A87" s="669"/>
      <c r="B87" s="653"/>
      <c r="C87" s="693"/>
      <c r="D87" s="693"/>
      <c r="E87" s="693"/>
      <c r="F87" s="693"/>
      <c r="G87" s="693"/>
      <c r="H87" s="693"/>
      <c r="I87" s="655"/>
      <c r="J87" s="655"/>
      <c r="K87" s="655"/>
      <c r="L87" s="655"/>
      <c r="M87" s="655"/>
      <c r="N87" s="655"/>
      <c r="O87" s="653"/>
      <c r="P87" s="653"/>
      <c r="Q87" s="653"/>
      <c r="R87" s="653"/>
      <c r="S87" s="653"/>
      <c r="T87" s="653"/>
      <c r="U87" s="657"/>
    </row>
    <row r="88" spans="1:21" ht="15.75">
      <c r="A88" s="667" t="s">
        <v>499</v>
      </c>
      <c r="B88" s="668"/>
      <c r="C88" s="668">
        <v>2010</v>
      </c>
      <c r="D88" s="668">
        <v>2015</v>
      </c>
      <c r="E88" s="668">
        <v>2020</v>
      </c>
      <c r="F88" s="668">
        <v>2025</v>
      </c>
      <c r="G88" s="668">
        <v>2030</v>
      </c>
      <c r="H88" s="668">
        <v>2035</v>
      </c>
      <c r="I88" s="655"/>
      <c r="J88" s="655"/>
      <c r="K88" s="655"/>
      <c r="L88" s="655"/>
      <c r="M88" s="655"/>
      <c r="N88" s="655"/>
      <c r="O88" s="653"/>
      <c r="P88" s="653"/>
      <c r="Q88" s="653"/>
      <c r="R88" s="653"/>
      <c r="S88" s="653"/>
      <c r="T88" s="653"/>
      <c r="U88" s="657"/>
    </row>
    <row r="89" spans="1:21">
      <c r="A89" s="669" t="s">
        <v>500</v>
      </c>
      <c r="B89" s="653">
        <v>155.1</v>
      </c>
      <c r="C89" s="693"/>
      <c r="D89" s="693"/>
      <c r="E89" s="693"/>
      <c r="F89" s="693"/>
      <c r="G89" s="693"/>
      <c r="H89" s="693"/>
      <c r="I89" s="655"/>
      <c r="J89" s="655"/>
      <c r="K89" s="655"/>
      <c r="L89" s="655"/>
      <c r="M89" s="655"/>
      <c r="N89" s="655"/>
      <c r="O89" s="653"/>
      <c r="P89" s="653"/>
      <c r="Q89" s="653"/>
      <c r="R89" s="653"/>
      <c r="S89" s="653"/>
      <c r="T89" s="653"/>
      <c r="U89" s="657"/>
    </row>
    <row r="90" spans="1:21">
      <c r="A90" s="669" t="s">
        <v>590</v>
      </c>
      <c r="B90" s="653">
        <v>-0.3</v>
      </c>
      <c r="C90" s="693"/>
      <c r="D90" s="693"/>
      <c r="E90" s="693"/>
      <c r="F90" s="693"/>
      <c r="G90" s="693"/>
      <c r="H90" s="693"/>
      <c r="I90" s="655"/>
      <c r="J90" s="655"/>
      <c r="K90" s="655"/>
      <c r="L90" s="655"/>
      <c r="M90" s="655"/>
      <c r="N90" s="655"/>
      <c r="O90" s="653"/>
      <c r="P90" s="653"/>
      <c r="Q90" s="653"/>
      <c r="R90" s="653"/>
      <c r="S90" s="653"/>
      <c r="T90" s="653"/>
      <c r="U90" s="657"/>
    </row>
    <row r="91" spans="1:21">
      <c r="A91" s="478" t="s">
        <v>501</v>
      </c>
      <c r="B91" s="653"/>
      <c r="C91" s="684">
        <v>0.65</v>
      </c>
      <c r="D91" s="684">
        <v>1.44</v>
      </c>
      <c r="E91" s="684">
        <v>1.8</v>
      </c>
      <c r="F91" s="684">
        <v>2.2999999999999998</v>
      </c>
      <c r="G91" s="684">
        <v>2.81</v>
      </c>
      <c r="H91" s="684">
        <v>2.57</v>
      </c>
      <c r="I91" s="655"/>
      <c r="J91" s="655"/>
      <c r="K91" s="655"/>
      <c r="L91" s="655"/>
      <c r="M91" s="655"/>
      <c r="N91" s="655"/>
      <c r="O91" s="653"/>
      <c r="P91" s="653"/>
      <c r="Q91" s="653"/>
      <c r="R91" s="653"/>
      <c r="S91" s="653"/>
      <c r="T91" s="653"/>
      <c r="U91" s="657"/>
    </row>
    <row r="92" spans="1:21" ht="15">
      <c r="A92" s="669"/>
      <c r="B92" s="653"/>
      <c r="C92" s="694"/>
      <c r="D92" s="682"/>
      <c r="E92" s="682"/>
      <c r="F92" s="682"/>
      <c r="G92" s="682"/>
      <c r="H92" s="682"/>
      <c r="I92" s="655"/>
      <c r="J92" s="655"/>
      <c r="K92" s="655"/>
      <c r="L92" s="655"/>
      <c r="M92" s="655"/>
      <c r="N92" s="655"/>
      <c r="O92" s="646"/>
      <c r="P92" s="646"/>
      <c r="Q92" s="646"/>
      <c r="R92" s="646"/>
      <c r="S92" s="646"/>
      <c r="T92" s="646"/>
      <c r="U92" s="646"/>
    </row>
    <row r="93" spans="1:21" ht="15">
      <c r="A93" s="669" t="s">
        <v>591</v>
      </c>
      <c r="B93" s="653"/>
      <c r="C93" s="695">
        <v>77.458094858632805</v>
      </c>
      <c r="D93" s="696">
        <v>97.78618326676272</v>
      </c>
      <c r="E93" s="696">
        <v>128.83736108492349</v>
      </c>
      <c r="F93" s="696">
        <v>168.51110378282655</v>
      </c>
      <c r="G93" s="696">
        <v>199.89139520115472</v>
      </c>
      <c r="H93" s="696">
        <v>215.60779612192908</v>
      </c>
      <c r="I93" s="655"/>
      <c r="J93" s="655"/>
      <c r="K93" s="655"/>
      <c r="L93" s="655"/>
      <c r="M93" s="655"/>
      <c r="N93" s="655"/>
      <c r="O93" s="646"/>
      <c r="P93" s="646"/>
      <c r="Q93" s="646"/>
      <c r="R93" s="646"/>
      <c r="S93" s="646"/>
      <c r="T93" s="646"/>
      <c r="U93" s="646"/>
    </row>
    <row r="94" spans="1:21" ht="15">
      <c r="A94" s="669" t="s">
        <v>592</v>
      </c>
      <c r="B94" s="653"/>
      <c r="C94" s="697">
        <v>84.158094858632793</v>
      </c>
      <c r="D94" s="697">
        <v>104.95257913747849</v>
      </c>
      <c r="E94" s="697">
        <v>136.89123742675781</v>
      </c>
      <c r="F94" s="697">
        <v>178.60316894531249</v>
      </c>
      <c r="G94" s="697">
        <v>212.03071484375002</v>
      </c>
      <c r="H94" s="697">
        <v>228.95458447265625</v>
      </c>
      <c r="I94" s="655"/>
      <c r="J94" s="655"/>
      <c r="K94" s="655"/>
      <c r="L94" s="655"/>
      <c r="M94" s="655"/>
      <c r="N94" s="655"/>
      <c r="O94" s="646"/>
      <c r="P94" s="646"/>
      <c r="Q94" s="646"/>
      <c r="R94" s="646"/>
      <c r="S94" s="646"/>
      <c r="T94" s="646"/>
      <c r="U94" s="646"/>
    </row>
    <row r="95" spans="1:21" ht="15">
      <c r="A95" s="669" t="s">
        <v>593</v>
      </c>
      <c r="B95" s="653"/>
      <c r="C95" s="697">
        <v>84.158094858632793</v>
      </c>
      <c r="D95" s="697">
        <v>104.59618326676271</v>
      </c>
      <c r="E95" s="697">
        <v>135.75736108492347</v>
      </c>
      <c r="F95" s="697">
        <v>175.54110378282655</v>
      </c>
      <c r="G95" s="697">
        <v>207.03139520115471</v>
      </c>
      <c r="H95" s="697">
        <v>222.85779612192908</v>
      </c>
      <c r="I95" s="655"/>
      <c r="J95" s="655"/>
      <c r="K95" s="655"/>
      <c r="L95" s="655"/>
      <c r="M95" s="655"/>
      <c r="N95" s="655"/>
      <c r="O95" s="646"/>
      <c r="P95" s="646"/>
      <c r="Q95" s="646"/>
      <c r="R95" s="646"/>
      <c r="S95" s="646"/>
      <c r="T95" s="646"/>
      <c r="U95" s="646"/>
    </row>
    <row r="96" spans="1:21" ht="15">
      <c r="A96" s="669" t="s">
        <v>594</v>
      </c>
      <c r="B96" s="653"/>
      <c r="C96" s="698">
        <v>2.2000000000000002</v>
      </c>
      <c r="D96" s="698">
        <v>2.4200000000000004</v>
      </c>
      <c r="E96" s="698">
        <v>2.64</v>
      </c>
      <c r="F96" s="698">
        <v>2.8600000000000003</v>
      </c>
      <c r="G96" s="698">
        <v>3.08</v>
      </c>
      <c r="H96" s="698">
        <v>3.3000000000000003</v>
      </c>
      <c r="I96" s="655"/>
      <c r="J96" s="655"/>
      <c r="K96" s="655"/>
      <c r="L96" s="655"/>
      <c r="M96" s="655"/>
      <c r="N96" s="655"/>
      <c r="O96" s="646"/>
      <c r="P96" s="646"/>
      <c r="Q96" s="646"/>
      <c r="R96" s="646"/>
      <c r="S96" s="646"/>
      <c r="T96" s="646"/>
      <c r="U96" s="646"/>
    </row>
    <row r="97" spans="1:14">
      <c r="A97" s="669" t="s">
        <v>595</v>
      </c>
      <c r="B97" s="653"/>
      <c r="C97" s="698">
        <v>4.5999999999999996</v>
      </c>
      <c r="D97" s="698">
        <v>6.3872080078125002</v>
      </c>
      <c r="E97" s="698">
        <v>10.719825195312499</v>
      </c>
      <c r="F97" s="698">
        <v>16.233964843750002</v>
      </c>
      <c r="G97" s="698">
        <v>18.715003906249997</v>
      </c>
      <c r="H97" s="698">
        <v>19.8011640625</v>
      </c>
      <c r="I97" s="655"/>
      <c r="J97" s="655"/>
      <c r="K97" s="655"/>
      <c r="L97" s="655"/>
      <c r="M97" s="655"/>
      <c r="N97" s="655"/>
    </row>
    <row r="98" spans="1:14" ht="15">
      <c r="A98" s="659" t="s">
        <v>504</v>
      </c>
      <c r="B98" s="646"/>
      <c r="C98" s="699">
        <v>7</v>
      </c>
      <c r="D98" s="699">
        <v>7</v>
      </c>
      <c r="E98" s="699">
        <v>7</v>
      </c>
      <c r="F98" s="699">
        <v>7</v>
      </c>
      <c r="G98" s="699">
        <v>7</v>
      </c>
      <c r="H98" s="699">
        <v>7</v>
      </c>
      <c r="I98" s="646"/>
      <c r="J98" s="646"/>
      <c r="K98" s="646"/>
      <c r="L98" s="646"/>
      <c r="M98" s="646"/>
      <c r="N98" s="646"/>
    </row>
    <row r="99" spans="1:14" ht="15">
      <c r="A99" s="659" t="s">
        <v>596</v>
      </c>
      <c r="B99" s="646"/>
      <c r="C99" s="700">
        <v>568.57309495863296</v>
      </c>
      <c r="D99" s="700">
        <v>574.21928201833782</v>
      </c>
      <c r="E99" s="700">
        <v>579.28831896972656</v>
      </c>
      <c r="F99" s="700">
        <v>506.83814556884766</v>
      </c>
      <c r="G99" s="700">
        <v>504.70334350585938</v>
      </c>
      <c r="H99" s="700">
        <v>507.86643945312494</v>
      </c>
      <c r="I99" s="646"/>
      <c r="J99" s="646"/>
      <c r="K99" s="646"/>
      <c r="L99" s="646"/>
      <c r="M99" s="646"/>
      <c r="N99" s="646"/>
    </row>
    <row r="100" spans="1:14" ht="15">
      <c r="A100" s="659" t="s">
        <v>597</v>
      </c>
      <c r="B100" s="646"/>
      <c r="C100" s="700">
        <v>568.57309495863296</v>
      </c>
      <c r="D100" s="700">
        <v>572.26935965646192</v>
      </c>
      <c r="E100" s="700">
        <v>574.49004749283836</v>
      </c>
      <c r="F100" s="700">
        <v>498.14865009275934</v>
      </c>
      <c r="G100" s="700">
        <v>492.8033065667218</v>
      </c>
      <c r="H100" s="700">
        <v>494.34256003872133</v>
      </c>
      <c r="I100" s="646"/>
      <c r="J100" s="646"/>
      <c r="K100" s="646"/>
      <c r="L100" s="646"/>
      <c r="M100" s="646"/>
      <c r="N100" s="646"/>
    </row>
    <row r="101" spans="1:14" ht="15">
      <c r="A101" s="659" t="s">
        <v>598</v>
      </c>
      <c r="B101" s="646"/>
      <c r="C101" s="701">
        <v>491.2150001</v>
      </c>
      <c r="D101" s="701">
        <v>478.07391088867189</v>
      </c>
      <c r="E101" s="701">
        <v>455.75690673828126</v>
      </c>
      <c r="F101" s="701">
        <v>347.32894146728512</v>
      </c>
      <c r="G101" s="701">
        <v>314.46763256835936</v>
      </c>
      <c r="H101" s="701">
        <v>302.01301904296872</v>
      </c>
      <c r="I101" s="646"/>
      <c r="J101" s="646"/>
      <c r="K101" s="646"/>
      <c r="L101" s="646"/>
      <c r="M101" s="646"/>
      <c r="N101" s="646"/>
    </row>
    <row r="102" spans="1:14" ht="15">
      <c r="A102" s="659" t="s">
        <v>599</v>
      </c>
      <c r="B102" s="646"/>
      <c r="C102" s="701">
        <v>428.52100010000004</v>
      </c>
      <c r="D102" s="701">
        <v>429.22525000000002</v>
      </c>
      <c r="E102" s="701">
        <v>409.31544140624999</v>
      </c>
      <c r="F102" s="701">
        <v>252.36469628906249</v>
      </c>
      <c r="G102" s="701">
        <v>253.59831054687498</v>
      </c>
      <c r="H102" s="701">
        <v>255.87552734374998</v>
      </c>
      <c r="I102" s="646"/>
      <c r="J102" s="646"/>
      <c r="K102" s="646"/>
      <c r="L102" s="646"/>
      <c r="M102" s="646"/>
      <c r="N102" s="646"/>
    </row>
    <row r="103" spans="1:14" ht="15">
      <c r="A103" s="659" t="s">
        <v>600</v>
      </c>
      <c r="B103" s="646"/>
      <c r="C103" s="701">
        <v>428.52100010000004</v>
      </c>
      <c r="D103" s="701">
        <v>427.76769547428825</v>
      </c>
      <c r="E103" s="701">
        <v>405.9250630001352</v>
      </c>
      <c r="F103" s="701">
        <v>248.03802532733565</v>
      </c>
      <c r="G103" s="701">
        <v>247.61889847829681</v>
      </c>
      <c r="H103" s="701">
        <v>249.06186629416374</v>
      </c>
      <c r="I103" s="646"/>
      <c r="J103" s="646"/>
      <c r="K103" s="646"/>
      <c r="L103" s="646"/>
      <c r="M103" s="646"/>
      <c r="N103" s="646"/>
    </row>
    <row r="104" spans="1:14" ht="15">
      <c r="A104" s="659" t="s">
        <v>601</v>
      </c>
      <c r="B104" s="646"/>
      <c r="C104" s="702">
        <v>0.1043565861321787</v>
      </c>
      <c r="D104" s="702">
        <v>0.11899867355959759</v>
      </c>
      <c r="E104" s="702">
        <v>0.1197156512313715</v>
      </c>
      <c r="F104" s="702">
        <v>0.12451039183126217</v>
      </c>
      <c r="G104" s="702">
        <v>0.1266164287202019</v>
      </c>
      <c r="H104" s="702">
        <v>0.12753439489744944</v>
      </c>
      <c r="I104" s="646"/>
      <c r="J104" s="646"/>
      <c r="K104" s="646"/>
      <c r="L104" s="646"/>
      <c r="M104" s="646"/>
      <c r="N104" s="646"/>
    </row>
    <row r="105" spans="1:14" ht="15">
      <c r="A105" s="659" t="s">
        <v>506</v>
      </c>
      <c r="B105" s="646"/>
      <c r="C105" s="703">
        <v>93.67552046735382</v>
      </c>
      <c r="D105" s="703">
        <v>91.833247196701222</v>
      </c>
      <c r="E105" s="703">
        <v>89.661438018368784</v>
      </c>
      <c r="F105" s="703">
        <v>77.079757908929196</v>
      </c>
      <c r="G105" s="703">
        <v>72.096036162027318</v>
      </c>
      <c r="H105" s="703">
        <v>70.84675075979689</v>
      </c>
      <c r="I105" s="646"/>
      <c r="J105" s="646"/>
      <c r="K105" s="646"/>
      <c r="L105" s="646"/>
      <c r="M105" s="646"/>
      <c r="N105" s="646"/>
    </row>
    <row r="106" spans="1:14" ht="15">
      <c r="A106" s="659" t="s">
        <v>10</v>
      </c>
      <c r="B106" s="646"/>
      <c r="C106" s="700">
        <v>35.414000000000001</v>
      </c>
      <c r="D106" s="700">
        <v>34.943085937500001</v>
      </c>
      <c r="E106" s="700">
        <v>35.100203125</v>
      </c>
      <c r="F106" s="700">
        <v>33.833695312499998</v>
      </c>
      <c r="G106" s="700">
        <v>32.279267578125001</v>
      </c>
      <c r="H106" s="700">
        <v>32.329703125000002</v>
      </c>
      <c r="I106" s="646"/>
      <c r="J106" s="646"/>
      <c r="K106" s="646"/>
      <c r="L106" s="646"/>
      <c r="M106" s="646"/>
      <c r="N106" s="646"/>
    </row>
    <row r="107" spans="1:14" ht="15">
      <c r="A107" s="659" t="s">
        <v>602</v>
      </c>
      <c r="B107" s="646"/>
      <c r="C107" s="700">
        <v>58.261520467353819</v>
      </c>
      <c r="D107" s="700">
        <v>58.840083621077156</v>
      </c>
      <c r="E107" s="700">
        <v>59.359506370257009</v>
      </c>
      <c r="F107" s="700">
        <v>51.93555807251748</v>
      </c>
      <c r="G107" s="700">
        <v>51.71680552303993</v>
      </c>
      <c r="H107" s="700">
        <v>52.040927049200469</v>
      </c>
      <c r="I107" s="646"/>
      <c r="J107" s="646"/>
      <c r="K107" s="646"/>
      <c r="L107" s="646"/>
      <c r="M107" s="646"/>
      <c r="N107" s="646"/>
    </row>
    <row r="108" spans="1:14" ht="15">
      <c r="A108" s="659" t="s">
        <v>603</v>
      </c>
      <c r="B108" s="646"/>
      <c r="C108" s="700">
        <v>58.261520467353819</v>
      </c>
      <c r="D108" s="700">
        <v>56.890161259201214</v>
      </c>
      <c r="E108" s="700">
        <v>54.561234893368784</v>
      </c>
      <c r="F108" s="700">
        <v>43.246062596429191</v>
      </c>
      <c r="G108" s="700">
        <v>39.816768583902316</v>
      </c>
      <c r="H108" s="700">
        <v>38.517047634796896</v>
      </c>
      <c r="I108" s="646"/>
      <c r="J108" s="646"/>
      <c r="K108" s="646"/>
      <c r="L108" s="646"/>
      <c r="M108" s="646"/>
      <c r="N108" s="646"/>
    </row>
    <row r="109" spans="1:14" ht="15">
      <c r="A109" s="659" t="s">
        <v>604</v>
      </c>
      <c r="B109" s="646"/>
      <c r="C109" s="704">
        <v>0.22958448949079316</v>
      </c>
      <c r="D109" s="704">
        <v>0.28797679001422621</v>
      </c>
      <c r="E109" s="704">
        <v>0.31604931925082075</v>
      </c>
      <c r="F109" s="704">
        <v>0.35609972063740986</v>
      </c>
      <c r="G109" s="704">
        <v>0.38997860045822186</v>
      </c>
      <c r="H109" s="704">
        <v>0.42086350316158322</v>
      </c>
      <c r="I109" s="646"/>
      <c r="J109" s="646"/>
      <c r="K109" s="646"/>
      <c r="L109" s="646"/>
      <c r="M109" s="646"/>
      <c r="N109" s="646"/>
    </row>
    <row r="110" spans="1:14" ht="15">
      <c r="A110" s="659" t="s">
        <v>605</v>
      </c>
      <c r="B110" s="646"/>
      <c r="C110" s="704">
        <v>0.48004029620802197</v>
      </c>
      <c r="D110" s="704">
        <v>0.76006928067892732</v>
      </c>
      <c r="E110" s="704">
        <v>1.2833308543433</v>
      </c>
      <c r="F110" s="704">
        <v>2.0212973236702476</v>
      </c>
      <c r="G110" s="704">
        <v>2.369626958094003</v>
      </c>
      <c r="H110" s="704">
        <v>2.5253294769760593</v>
      </c>
      <c r="I110" s="646"/>
      <c r="J110" s="646"/>
      <c r="K110" s="646"/>
      <c r="L110" s="646"/>
      <c r="M110" s="646"/>
      <c r="N110" s="646"/>
    </row>
    <row r="111" spans="1:14" ht="15">
      <c r="A111" s="659" t="s">
        <v>606</v>
      </c>
      <c r="B111" s="646"/>
      <c r="C111" s="700">
        <v>30.749000726744189</v>
      </c>
      <c r="D111" s="700">
        <v>43.077841115552332</v>
      </c>
      <c r="E111" s="700">
        <v>45.00000283884448</v>
      </c>
      <c r="F111" s="700">
        <v>10</v>
      </c>
      <c r="G111" s="700">
        <v>20</v>
      </c>
      <c r="H111" s="700">
        <v>20</v>
      </c>
      <c r="I111" s="646"/>
      <c r="J111" s="646"/>
      <c r="K111" s="646"/>
      <c r="L111" s="646"/>
      <c r="M111" s="646"/>
      <c r="N111" s="646"/>
    </row>
    <row r="112" spans="1:14" ht="15">
      <c r="A112" s="646"/>
      <c r="B112" s="646"/>
      <c r="C112" s="646"/>
      <c r="D112" s="646"/>
      <c r="E112" s="646"/>
      <c r="F112" s="646"/>
      <c r="G112" s="646"/>
      <c r="H112" s="646"/>
      <c r="I112" s="646"/>
      <c r="J112" s="646"/>
      <c r="K112" s="646"/>
      <c r="L112" s="646"/>
      <c r="M112" s="646"/>
      <c r="N112" s="646"/>
    </row>
    <row r="113" spans="1:8" ht="15">
      <c r="A113" s="646"/>
      <c r="B113" s="646"/>
      <c r="C113" s="646"/>
      <c r="D113" s="646"/>
      <c r="E113" s="646"/>
      <c r="F113" s="646"/>
      <c r="G113" s="646"/>
      <c r="H113" s="646"/>
    </row>
    <row r="114" spans="1:8" ht="15">
      <c r="A114" s="646"/>
      <c r="B114" s="646"/>
      <c r="C114" s="646"/>
      <c r="D114" s="646"/>
      <c r="E114" s="646"/>
      <c r="F114" s="646"/>
      <c r="G114" s="646"/>
      <c r="H114" s="646"/>
    </row>
    <row r="115" spans="1:8" ht="15">
      <c r="A115" s="705" t="s">
        <v>607</v>
      </c>
      <c r="B115" s="706"/>
      <c r="C115" s="706"/>
      <c r="D115" s="706"/>
      <c r="E115" s="706"/>
      <c r="F115" s="706"/>
      <c r="G115" s="706"/>
      <c r="H115" s="706"/>
    </row>
    <row r="116" spans="1:8" ht="15">
      <c r="A116" s="659" t="s">
        <v>608</v>
      </c>
      <c r="B116" s="646"/>
      <c r="C116" s="707">
        <v>0.49605472896895636</v>
      </c>
      <c r="D116" s="707">
        <v>0.49605472888061164</v>
      </c>
      <c r="E116" s="707">
        <v>0.49605472888061164</v>
      </c>
      <c r="F116" s="707">
        <v>0.4960547288806117</v>
      </c>
      <c r="G116" s="707">
        <v>0.49605472888061158</v>
      </c>
      <c r="H116" s="707">
        <v>0.49605472888061164</v>
      </c>
    </row>
    <row r="117" spans="1:8" ht="15">
      <c r="A117" s="646"/>
      <c r="B117" s="646"/>
      <c r="C117" s="661"/>
      <c r="D117" s="661"/>
      <c r="E117" s="661"/>
      <c r="F117" s="661"/>
      <c r="G117" s="661"/>
      <c r="H117" s="661"/>
    </row>
    <row r="118" spans="1:8" ht="15">
      <c r="A118" s="659" t="s">
        <v>609</v>
      </c>
      <c r="B118" s="646"/>
      <c r="C118" s="708">
        <v>2.42</v>
      </c>
      <c r="D118" s="708">
        <v>2.5091652930733832</v>
      </c>
      <c r="E118" s="708">
        <v>3.5433572712322463</v>
      </c>
      <c r="F118" s="708">
        <v>3.8874293754637548</v>
      </c>
      <c r="G118" s="708">
        <v>4.0896480134148225</v>
      </c>
      <c r="H118" s="708">
        <v>3.7909146092801418</v>
      </c>
    </row>
    <row r="119" spans="1:8" ht="15">
      <c r="A119" s="659" t="s">
        <v>610</v>
      </c>
      <c r="B119" s="646"/>
      <c r="C119" s="707">
        <v>13.410000000000002</v>
      </c>
      <c r="D119" s="707">
        <v>16.641641343481261</v>
      </c>
      <c r="E119" s="707">
        <v>20.077670826737126</v>
      </c>
      <c r="F119" s="707">
        <v>22.099191449940921</v>
      </c>
      <c r="G119" s="707">
        <v>23.958775684002674</v>
      </c>
      <c r="H119" s="707">
        <v>25.350655121767346</v>
      </c>
    </row>
    <row r="120" spans="1:8" ht="15">
      <c r="A120" s="659" t="s">
        <v>611</v>
      </c>
      <c r="B120" s="646"/>
      <c r="C120" s="708">
        <v>49.410000000000004</v>
      </c>
      <c r="D120" s="708">
        <v>48.446491081254614</v>
      </c>
      <c r="E120" s="708">
        <v>44.696819104980896</v>
      </c>
      <c r="F120" s="708">
        <v>42.592553510013992</v>
      </c>
      <c r="G120" s="708">
        <v>40.611287915047079</v>
      </c>
      <c r="H120" s="708">
        <v>39.860740481086864</v>
      </c>
    </row>
    <row r="121" spans="1:8" ht="15">
      <c r="A121" s="659" t="s">
        <v>612</v>
      </c>
      <c r="B121" s="646"/>
      <c r="C121" s="707">
        <v>154.91999999999999</v>
      </c>
      <c r="D121" s="707">
        <v>149.83785667271357</v>
      </c>
      <c r="E121" s="707">
        <v>140.1355514671279</v>
      </c>
      <c r="F121" s="707">
        <v>130.71002758119573</v>
      </c>
      <c r="G121" s="707">
        <v>121.37651704017337</v>
      </c>
      <c r="H121" s="707">
        <v>117.90042512298209</v>
      </c>
    </row>
    <row r="122" spans="1:8" ht="15">
      <c r="A122" s="659" t="s">
        <v>613</v>
      </c>
      <c r="B122" s="646"/>
      <c r="C122" s="708">
        <v>1.05</v>
      </c>
      <c r="D122" s="708">
        <v>1.3491175269767199</v>
      </c>
      <c r="E122" s="708">
        <v>1.7537086986727168</v>
      </c>
      <c r="F122" s="708">
        <v>2.1085984747507398</v>
      </c>
      <c r="G122" s="708">
        <v>2.4634882508287639</v>
      </c>
      <c r="H122" s="708">
        <v>2.7336405500112795</v>
      </c>
    </row>
    <row r="123" spans="1:8" ht="15">
      <c r="A123" s="659" t="s">
        <v>614</v>
      </c>
      <c r="B123" s="646"/>
      <c r="C123" s="707">
        <v>38.099999999999994</v>
      </c>
      <c r="D123" s="707">
        <v>37.504813718610535</v>
      </c>
      <c r="E123" s="707">
        <v>37.580376894513016</v>
      </c>
      <c r="F123" s="707">
        <v>35.999086075644058</v>
      </c>
      <c r="G123" s="707">
        <v>34.412720357056713</v>
      </c>
      <c r="H123" s="707">
        <v>34.589313556111158</v>
      </c>
    </row>
    <row r="124" spans="1:8" ht="15">
      <c r="A124" s="659" t="s">
        <v>615</v>
      </c>
      <c r="B124" s="646"/>
      <c r="C124" s="708">
        <v>32.82</v>
      </c>
      <c r="D124" s="708">
        <v>30.40662439649682</v>
      </c>
      <c r="E124" s="708">
        <v>27.454140563513512</v>
      </c>
      <c r="F124" s="708">
        <v>23.052734985613327</v>
      </c>
      <c r="G124" s="708">
        <v>18.542149111366353</v>
      </c>
      <c r="H124" s="708">
        <v>14.961555300442168</v>
      </c>
    </row>
    <row r="125" spans="1:8" ht="15">
      <c r="A125" s="659" t="s">
        <v>616</v>
      </c>
      <c r="B125" s="646"/>
      <c r="C125" s="707">
        <v>6.4300000000000015</v>
      </c>
      <c r="D125" s="707">
        <v>2.6600986162106017</v>
      </c>
      <c r="E125" s="707">
        <v>2.0150319593839021</v>
      </c>
      <c r="F125" s="707">
        <v>13.8830734994933</v>
      </c>
      <c r="G125" s="707">
        <v>5.6453989221886953</v>
      </c>
      <c r="H125" s="707">
        <v>3.1877209658915144</v>
      </c>
    </row>
    <row r="126" spans="1:8" ht="15">
      <c r="A126" s="659" t="s">
        <v>617</v>
      </c>
      <c r="B126" s="646"/>
      <c r="C126" s="708">
        <v>120.45000000000002</v>
      </c>
      <c r="D126" s="708">
        <v>104.24113273884102</v>
      </c>
      <c r="E126" s="708">
        <v>89.530224619759352</v>
      </c>
      <c r="F126" s="708">
        <v>91.322129139599426</v>
      </c>
      <c r="G126" s="708">
        <v>71.948442301296581</v>
      </c>
      <c r="H126" s="708">
        <v>62.849743276235934</v>
      </c>
    </row>
    <row r="127" spans="1:8" ht="15">
      <c r="A127" s="659" t="s">
        <v>618</v>
      </c>
      <c r="B127" s="709">
        <v>117.31</v>
      </c>
      <c r="C127" s="659" t="s">
        <v>64</v>
      </c>
      <c r="D127" s="659" t="s">
        <v>619</v>
      </c>
      <c r="E127" s="646"/>
      <c r="F127" s="646"/>
      <c r="G127" s="646"/>
      <c r="H127" s="646"/>
    </row>
    <row r="128" spans="1:8" ht="15">
      <c r="A128" s="659" t="s">
        <v>620</v>
      </c>
      <c r="B128" s="709">
        <v>120.29</v>
      </c>
      <c r="C128" s="659" t="s">
        <v>64</v>
      </c>
      <c r="D128" s="659" t="s">
        <v>621</v>
      </c>
      <c r="E128" s="646"/>
      <c r="F128" s="646"/>
      <c r="G128" s="646"/>
      <c r="H128" s="646"/>
    </row>
    <row r="129" spans="1:8" ht="15">
      <c r="A129" s="646"/>
      <c r="B129" s="710">
        <v>2012</v>
      </c>
      <c r="C129" s="646"/>
      <c r="D129" s="646"/>
      <c r="E129" s="646"/>
      <c r="F129" s="646"/>
      <c r="G129" s="646"/>
      <c r="H129" s="646"/>
    </row>
    <row r="130" spans="1:8" ht="15">
      <c r="A130" s="659" t="s">
        <v>40</v>
      </c>
      <c r="B130" s="711">
        <v>11</v>
      </c>
      <c r="C130" s="708">
        <v>11.43</v>
      </c>
      <c r="D130" s="708">
        <v>11.150590040377386</v>
      </c>
      <c r="E130" s="708">
        <v>9.7654604196892336</v>
      </c>
      <c r="F130" s="708">
        <v>9.5621675282366496</v>
      </c>
      <c r="G130" s="708">
        <v>7.7875697625224323</v>
      </c>
      <c r="H130" s="708">
        <v>6.1519092945334126</v>
      </c>
    </row>
    <row r="131" spans="1:8" ht="15">
      <c r="A131" s="646"/>
      <c r="B131" s="710"/>
      <c r="C131" s="724">
        <v>-3.9090909090909065E-2</v>
      </c>
      <c r="D131" s="724">
        <v>-1.3690003670671464E-2</v>
      </c>
      <c r="E131" s="724">
        <v>0.11223087093734239</v>
      </c>
      <c r="F131" s="724">
        <v>0.13071204288757732</v>
      </c>
      <c r="G131" s="724">
        <v>0.29203911249796072</v>
      </c>
      <c r="H131" s="724">
        <v>0.44073551867878069</v>
      </c>
    </row>
    <row r="132" spans="1:8" ht="15">
      <c r="A132" s="659" t="s">
        <v>622</v>
      </c>
      <c r="B132" s="711">
        <v>69.260000000000005</v>
      </c>
      <c r="C132" s="708">
        <v>70.170000000000016</v>
      </c>
      <c r="D132" s="708">
        <v>60.023819685756209</v>
      </c>
      <c r="E132" s="708">
        <v>50.295591677172716</v>
      </c>
      <c r="F132" s="708">
        <v>44.824153126256157</v>
      </c>
      <c r="G132" s="708">
        <v>39.973324505219111</v>
      </c>
      <c r="H132" s="708">
        <v>38.548557715368837</v>
      </c>
    </row>
    <row r="133" spans="1:8" ht="15">
      <c r="A133" s="646"/>
      <c r="B133" s="710"/>
      <c r="C133" s="724">
        <v>-1.3138896910193629E-2</v>
      </c>
      <c r="D133" s="724">
        <v>0.13335518790418416</v>
      </c>
      <c r="E133" s="724">
        <v>0.27381473177631083</v>
      </c>
      <c r="F133" s="724">
        <v>0.35281326701911414</v>
      </c>
      <c r="G133" s="724">
        <v>0.42285121996507208</v>
      </c>
      <c r="H133" s="724">
        <v>0.44342249905618203</v>
      </c>
    </row>
    <row r="134" spans="1:8" ht="15">
      <c r="A134" s="659" t="s">
        <v>243</v>
      </c>
      <c r="B134" s="712">
        <v>37.04</v>
      </c>
      <c r="C134" s="708">
        <v>38.85</v>
      </c>
      <c r="D134" s="708">
        <v>33.066723012707421</v>
      </c>
      <c r="E134" s="708">
        <v>29.469172522897413</v>
      </c>
      <c r="F134" s="708">
        <v>36.935808485106627</v>
      </c>
      <c r="G134" s="708">
        <v>24.187548033555046</v>
      </c>
      <c r="H134" s="708">
        <v>18.149276266333683</v>
      </c>
    </row>
    <row r="135" spans="1:8" ht="15">
      <c r="A135" s="646"/>
      <c r="B135" s="646"/>
      <c r="C135" s="724">
        <v>-4.8866090712743046E-2</v>
      </c>
      <c r="D135" s="724">
        <v>0.10726989706513441</v>
      </c>
      <c r="E135" s="724">
        <v>0.20439599020255364</v>
      </c>
      <c r="F135" s="724">
        <v>2.8129458664517422E-3</v>
      </c>
      <c r="G135" s="724">
        <v>0.34698844401849227</v>
      </c>
      <c r="H135" s="724">
        <v>0.51000874010978181</v>
      </c>
    </row>
    <row r="136" spans="1:8" ht="15">
      <c r="A136" s="713" t="s">
        <v>623</v>
      </c>
      <c r="B136" s="646"/>
      <c r="C136" s="646"/>
      <c r="D136" s="646"/>
      <c r="E136" s="646"/>
      <c r="F136" s="646"/>
      <c r="G136" s="646"/>
      <c r="H136" s="64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C25"/>
  <sheetViews>
    <sheetView topLeftCell="A4" workbookViewId="0">
      <selection activeCell="B4" sqref="B4:C25"/>
    </sheetView>
  </sheetViews>
  <sheetFormatPr baseColWidth="10" defaultRowHeight="12.75"/>
  <cols>
    <col min="3" max="3" width="69" customWidth="1"/>
  </cols>
  <sheetData>
    <row r="4" spans="2:3" ht="15">
      <c r="B4" s="729" t="s">
        <v>632</v>
      </c>
      <c r="C4" s="44" t="s">
        <v>633</v>
      </c>
    </row>
    <row r="5" spans="2:3">
      <c r="B5" s="41" t="s">
        <v>635</v>
      </c>
      <c r="C5" s="47" t="s">
        <v>66</v>
      </c>
    </row>
    <row r="6" spans="2:3">
      <c r="B6" s="730"/>
      <c r="C6" s="48" t="s">
        <v>67</v>
      </c>
    </row>
    <row r="7" spans="2:3">
      <c r="B7" s="730"/>
      <c r="C7" s="48" t="s">
        <v>65</v>
      </c>
    </row>
    <row r="8" spans="2:3">
      <c r="B8" s="730"/>
      <c r="C8" s="48" t="s">
        <v>83</v>
      </c>
    </row>
    <row r="9" spans="2:3">
      <c r="B9" s="41" t="s">
        <v>636</v>
      </c>
      <c r="C9" s="47" t="s">
        <v>54</v>
      </c>
    </row>
    <row r="10" spans="2:3">
      <c r="B10" s="730"/>
      <c r="C10" s="48" t="s">
        <v>631</v>
      </c>
    </row>
    <row r="11" spans="2:3">
      <c r="B11" s="730"/>
      <c r="C11" s="48" t="s">
        <v>627</v>
      </c>
    </row>
    <row r="12" spans="2:3">
      <c r="B12" s="730"/>
      <c r="C12" s="48" t="s">
        <v>628</v>
      </c>
    </row>
    <row r="13" spans="2:3">
      <c r="B13" s="730"/>
      <c r="C13" s="48" t="s">
        <v>629</v>
      </c>
    </row>
    <row r="14" spans="2:3">
      <c r="B14" s="730"/>
      <c r="C14" s="48" t="s">
        <v>69</v>
      </c>
    </row>
    <row r="15" spans="2:3">
      <c r="B15" s="730"/>
      <c r="C15" s="48" t="s">
        <v>70</v>
      </c>
    </row>
    <row r="16" spans="2:3">
      <c r="B16" s="730"/>
      <c r="C16" s="48" t="s">
        <v>22</v>
      </c>
    </row>
    <row r="17" spans="2:3">
      <c r="B17" s="730"/>
      <c r="C17" s="48" t="s">
        <v>98</v>
      </c>
    </row>
    <row r="18" spans="2:3">
      <c r="B18" s="41" t="s">
        <v>637</v>
      </c>
      <c r="C18" s="47" t="s">
        <v>72</v>
      </c>
    </row>
    <row r="19" spans="2:3">
      <c r="B19" s="730"/>
      <c r="C19" s="48" t="s">
        <v>73</v>
      </c>
    </row>
    <row r="20" spans="2:3">
      <c r="B20" s="730"/>
      <c r="C20" s="48" t="s">
        <v>76</v>
      </c>
    </row>
    <row r="21" spans="2:3">
      <c r="B21" s="730"/>
      <c r="C21" s="48" t="s">
        <v>77</v>
      </c>
    </row>
    <row r="22" spans="2:3">
      <c r="B22" s="730"/>
      <c r="C22" s="48" t="s">
        <v>74</v>
      </c>
    </row>
    <row r="23" spans="2:3">
      <c r="B23" s="730"/>
      <c r="C23" s="48" t="s">
        <v>96</v>
      </c>
    </row>
    <row r="24" spans="2:3">
      <c r="B24" s="730"/>
      <c r="C24" s="48" t="s">
        <v>133</v>
      </c>
    </row>
    <row r="25" spans="2:3">
      <c r="B25" s="41" t="s">
        <v>634</v>
      </c>
      <c r="C25" s="47" t="s">
        <v>40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50"/>
  <sheetViews>
    <sheetView topLeftCell="O1" workbookViewId="0">
      <selection activeCell="T4" sqref="T4"/>
    </sheetView>
  </sheetViews>
  <sheetFormatPr baseColWidth="10" defaultRowHeight="12"/>
  <cols>
    <col min="1" max="1" width="53.7109375" style="42" bestFit="1" customWidth="1"/>
    <col min="2" max="2" width="11" style="42" customWidth="1"/>
    <col min="3" max="3" width="7.7109375" style="321" bestFit="1" customWidth="1"/>
    <col min="4" max="4" width="7.7109375" style="321" customWidth="1"/>
    <col min="5" max="5" width="12.28515625" style="321" customWidth="1"/>
    <col min="6" max="6" width="8.7109375" style="42" customWidth="1"/>
    <col min="7" max="7" width="4.5703125" style="42" customWidth="1"/>
    <col min="8" max="8" width="6.5703125" style="42" customWidth="1"/>
    <col min="9" max="9" width="66.28515625" style="42" customWidth="1"/>
    <col min="10" max="10" width="11.140625" style="42" customWidth="1"/>
    <col min="11" max="11" width="5.5703125" style="42" bestFit="1" customWidth="1"/>
    <col min="12" max="13" width="5.5703125" style="42" customWidth="1"/>
    <col min="14" max="14" width="9" style="42" bestFit="1" customWidth="1"/>
    <col min="15" max="15" width="11.42578125" style="42"/>
    <col min="16" max="16" width="71.42578125" style="42" customWidth="1"/>
    <col min="17" max="19" width="10.42578125" style="42" customWidth="1"/>
    <col min="20" max="20" width="14.85546875" style="42" bestFit="1" customWidth="1"/>
    <col min="21" max="22" width="11.42578125" style="42"/>
    <col min="23" max="23" width="17.5703125" style="42" customWidth="1"/>
    <col min="24" max="24" width="11.42578125" style="42" customWidth="1"/>
    <col min="25" max="25" width="19.42578125" style="42" customWidth="1"/>
    <col min="26" max="26" width="9.5703125" style="42" customWidth="1"/>
    <col min="27" max="28" width="11.42578125" style="42"/>
    <col min="29" max="29" width="11.42578125" style="42" customWidth="1"/>
    <col min="30" max="30" width="20.42578125" style="42" customWidth="1"/>
    <col min="31" max="31" width="20" style="42" customWidth="1"/>
    <col min="32" max="35" width="11.42578125" style="42" customWidth="1"/>
    <col min="36" max="36" width="19.140625" style="60" customWidth="1"/>
    <col min="37" max="37" width="11.42578125" style="42" customWidth="1"/>
    <col min="38" max="38" width="18.5703125" style="42" customWidth="1"/>
    <col min="39" max="39" width="10.7109375" style="42" customWidth="1"/>
    <col min="40" max="42" width="11.42578125" style="42" customWidth="1"/>
    <col min="43" max="45" width="11.42578125" style="42"/>
    <col min="46" max="46" width="16.85546875" style="42" customWidth="1"/>
    <col min="47" max="48" width="10.42578125" style="42" customWidth="1"/>
    <col min="49" max="16384" width="11.42578125" style="42"/>
  </cols>
  <sheetData>
    <row r="1" spans="1:50" ht="12.75">
      <c r="B1" s="42">
        <v>2015</v>
      </c>
      <c r="C1" s="150">
        <v>2020</v>
      </c>
      <c r="D1" s="356">
        <v>2025</v>
      </c>
      <c r="E1" s="356">
        <v>2030</v>
      </c>
      <c r="F1" s="746">
        <v>2035</v>
      </c>
      <c r="G1" s="747"/>
      <c r="J1" s="42">
        <v>2015</v>
      </c>
      <c r="K1" s="150">
        <v>2020</v>
      </c>
      <c r="L1" s="356">
        <v>2025</v>
      </c>
      <c r="M1" s="356">
        <v>2030</v>
      </c>
      <c r="N1" s="356">
        <v>2035</v>
      </c>
      <c r="Q1" s="42">
        <v>2015</v>
      </c>
      <c r="R1" s="150">
        <v>2020</v>
      </c>
      <c r="S1" s="356">
        <v>2025</v>
      </c>
      <c r="T1" s="356">
        <v>2030</v>
      </c>
      <c r="U1" s="356">
        <v>2035</v>
      </c>
    </row>
    <row r="2" spans="1:50" ht="30">
      <c r="A2" s="727" t="s">
        <v>624</v>
      </c>
      <c r="B2" s="313">
        <f>B3+B9+B27+B37</f>
        <v>258.17160308398735</v>
      </c>
      <c r="C2" s="313">
        <f>C3+C9+C27+C37</f>
        <v>244.66009733865232</v>
      </c>
      <c r="D2" s="313">
        <f>D3+D9+D27+D37</f>
        <v>214.8881817571405</v>
      </c>
      <c r="E2" s="313">
        <f>E3+E9+E27+E37</f>
        <v>200.1357467673094</v>
      </c>
      <c r="F2" s="313">
        <f>F3+F9+F27+F37</f>
        <v>195.1502137533133</v>
      </c>
      <c r="G2" s="52"/>
      <c r="I2" s="726" t="s">
        <v>630</v>
      </c>
      <c r="J2" s="44">
        <f>J3+J7+J16+J23</f>
        <v>240.79051875441891</v>
      </c>
      <c r="K2" s="44">
        <f>K3+K7+K16+K23</f>
        <v>226.72182991411935</v>
      </c>
      <c r="L2" s="44">
        <f t="shared" ref="L2:N2" si="0">L3+L7+L16+L23</f>
        <v>195.73473739922889</v>
      </c>
      <c r="M2" s="44">
        <f t="shared" si="0"/>
        <v>179.48289313476434</v>
      </c>
      <c r="N2" s="44">
        <f t="shared" si="0"/>
        <v>172.47724358380032</v>
      </c>
      <c r="O2" s="734">
        <f>N2-('Sankey 2035'!H64-'FLUX 2035'!G41-('FLUX 2035'!AH39-'FLUX 2035'!AA40))</f>
        <v>0.68759740341161546</v>
      </c>
      <c r="P2" s="44" t="s">
        <v>95</v>
      </c>
      <c r="Q2" s="44">
        <f>Q3+Q7+Q16+Q23</f>
        <v>149.95237695799045</v>
      </c>
      <c r="R2" s="44">
        <f>R3+R7+R16+R23</f>
        <v>140.50799490543116</v>
      </c>
      <c r="S2" s="44">
        <f>S3+S7+S16+S23</f>
        <v>130.84491115460531</v>
      </c>
      <c r="T2" s="44">
        <f>T3+T7+T16+T23</f>
        <v>121.27004018707515</v>
      </c>
      <c r="U2" s="44">
        <f>U3+U7+U16+U23</f>
        <v>117.68949472285604</v>
      </c>
      <c r="V2" s="734">
        <f>U2-(N2-SUM(AI4:AI20)-SUM(AX4:AX20))</f>
        <v>7.9163851448244316</v>
      </c>
    </row>
    <row r="3" spans="1:50" ht="12.75">
      <c r="A3" s="56" t="s">
        <v>66</v>
      </c>
      <c r="B3" s="314">
        <f>SUM(B4:B5)</f>
        <v>78.565257338750186</v>
      </c>
      <c r="C3" s="314">
        <f>SUM(C4:C5)</f>
        <v>69.685509742138606</v>
      </c>
      <c r="D3" s="314">
        <f>SUM(D4:D5)</f>
        <v>65.053024200635249</v>
      </c>
      <c r="E3" s="314">
        <f>SUM(E4:E5)</f>
        <v>60.692276321948228</v>
      </c>
      <c r="F3" s="314">
        <f>SUM(F4:F5)</f>
        <v>59.850839984832618</v>
      </c>
      <c r="G3" s="52"/>
      <c r="I3" s="47" t="s">
        <v>66</v>
      </c>
      <c r="J3" s="47">
        <f>SUM(J4:J6)</f>
        <v>62.693163878054023</v>
      </c>
      <c r="K3" s="47">
        <f>SUM(K4:K6)</f>
        <v>53.301257539450319</v>
      </c>
      <c r="L3" s="47">
        <f t="shared" ref="L3:N3" si="1">SUM(L4:L6)</f>
        <v>47.502862798270954</v>
      </c>
      <c r="M3" s="47">
        <f t="shared" si="1"/>
        <v>41.691973378653131</v>
      </c>
      <c r="N3" s="47">
        <f t="shared" si="1"/>
        <v>38.871409147343122</v>
      </c>
      <c r="P3" s="47" t="s">
        <v>66</v>
      </c>
      <c r="Q3" s="47">
        <f t="shared" ref="Q3" si="2">SUM(Q4:Q6)</f>
        <v>59.71362092191719</v>
      </c>
      <c r="R3" s="47">
        <f t="shared" ref="R3:T3" si="3">SUM(R4:R6)</f>
        <v>49.942894284926091</v>
      </c>
      <c r="S3" s="47">
        <f t="shared" si="3"/>
        <v>44.775431149562401</v>
      </c>
      <c r="T3" s="47">
        <f t="shared" si="3"/>
        <v>39.966063163405494</v>
      </c>
      <c r="U3" s="47">
        <f>SUM(U4:U6)</f>
        <v>38.535346491934739</v>
      </c>
      <c r="Y3" s="58"/>
      <c r="Z3" s="58">
        <v>2015</v>
      </c>
      <c r="AA3" s="58">
        <v>2020</v>
      </c>
      <c r="AB3" s="58">
        <v>2030</v>
      </c>
      <c r="AC3" s="58">
        <v>2035</v>
      </c>
      <c r="AE3" s="58" t="s">
        <v>115</v>
      </c>
      <c r="AF3" s="58">
        <v>2015</v>
      </c>
      <c r="AG3" s="58">
        <v>2020</v>
      </c>
      <c r="AH3" s="58">
        <v>2030</v>
      </c>
      <c r="AI3" s="58">
        <v>2035</v>
      </c>
      <c r="AL3" s="58" t="s">
        <v>132</v>
      </c>
      <c r="AM3" s="58">
        <v>2015</v>
      </c>
      <c r="AN3" s="58">
        <v>2020</v>
      </c>
      <c r="AO3" s="58">
        <v>2030</v>
      </c>
      <c r="AP3" s="58">
        <v>2035</v>
      </c>
      <c r="AT3" s="58" t="s">
        <v>517</v>
      </c>
      <c r="AU3" s="58">
        <v>2015</v>
      </c>
      <c r="AV3" s="58">
        <v>2020</v>
      </c>
      <c r="AW3" s="58">
        <v>2030</v>
      </c>
      <c r="AX3" s="58">
        <v>2035</v>
      </c>
    </row>
    <row r="4" spans="1:50" ht="12.75">
      <c r="A4" s="57" t="s">
        <v>67</v>
      </c>
      <c r="B4" s="315">
        <f>'FLUX 2015'!$G$40+'FLUX 2015'!$G$41</f>
        <v>72.107300037372056</v>
      </c>
      <c r="C4" s="315">
        <f>'FLUX 2020'!$G$40+'FLUX 2020'!$G$41</f>
        <v>60.546354887935678</v>
      </c>
      <c r="D4" s="315">
        <f>'FLUX 2025'!$G$40+'FLUX 2025'!$G$41</f>
        <v>54.707637523793366</v>
      </c>
      <c r="E4" s="315">
        <f>'FLUX 2030'!$G$40+'FLUX 2030'!$G$41</f>
        <v>49.618115888166024</v>
      </c>
      <c r="F4" s="315">
        <f>'FLUX 2035'!$G$40+'FLUX 2035'!$G$41</f>
        <v>48.431098059909033</v>
      </c>
      <c r="G4" s="52"/>
      <c r="I4" s="48" t="s">
        <v>67</v>
      </c>
      <c r="J4" s="48">
        <f>B4-'FLUX 2015'!$G$41-('FLUX 2015'!AH39-'FLUX 2015'!AA40)</f>
        <v>56.235206576675893</v>
      </c>
      <c r="K4" s="48">
        <f>C4-'FLUX 2020'!$G$41-('FLUX 2020'!AH39-'FLUX 2020'!AA40)</f>
        <v>44.162102685247383</v>
      </c>
      <c r="L4" s="48">
        <f>D4-'FLUX 2025'!$G$41-('FLUX 2025'!AH39-'FLUX 2025'!AA40)</f>
        <v>37.15747612142907</v>
      </c>
      <c r="M4" s="48">
        <f>E4-'FLUX 2030'!$G$41-('FLUX 2030'!AH39-'FLUX 2030'!AA40)</f>
        <v>30.617812944870927</v>
      </c>
      <c r="N4" s="48">
        <f>F4-'FLUX 2035'!$G$41-('FLUX 2035'!AH39-'FLUX 2035'!AA40)</f>
        <v>27.451667222419537</v>
      </c>
      <c r="O4" s="60">
        <f>2201</f>
        <v>2201</v>
      </c>
      <c r="P4" s="48" t="s">
        <v>67</v>
      </c>
      <c r="Q4" s="48">
        <f>'FLUX 2015'!$K$40</f>
        <v>55.621385531790033</v>
      </c>
      <c r="R4" s="48">
        <f>'FLUX 2020'!$K$40</f>
        <v>44.347096701955401</v>
      </c>
      <c r="S4" s="48">
        <f>'FLUX 2025'!$K$40</f>
        <v>38.317473848184271</v>
      </c>
      <c r="T4" s="48">
        <f>'FLUX 2030'!$K$40</f>
        <v>32.981550743038113</v>
      </c>
      <c r="U4" s="48">
        <f>'FLUX 2035'!$K$40</f>
        <v>31.36381552499752</v>
      </c>
      <c r="V4" s="43"/>
      <c r="W4" s="43"/>
      <c r="X4" s="43"/>
      <c r="Y4" s="41" t="s">
        <v>99</v>
      </c>
      <c r="Z4" s="58">
        <f>AF4/Q4</f>
        <v>9.6029277825109352E-2</v>
      </c>
      <c r="AA4" s="58">
        <f>AG4/R4</f>
        <v>0.10113210357435576</v>
      </c>
      <c r="AB4" s="58">
        <f t="shared" ref="AB4:AB5" si="4">AH4/T4</f>
        <v>0.11143854394086743</v>
      </c>
      <c r="AC4" s="58">
        <f>AI4/U4</f>
        <v>0.11438304572092493</v>
      </c>
      <c r="AE4" s="59" t="s">
        <v>116</v>
      </c>
      <c r="AF4" s="741">
        <f>'FLUX 2015'!$I41+'FLUX 2015'!$I40</f>
        <v>5.3412814842497829</v>
      </c>
      <c r="AG4" s="741">
        <f>'FLUX 2020'!$I41+'FLUX 2020'!$I40</f>
        <v>4.4849151768841242</v>
      </c>
      <c r="AH4" s="741">
        <f>'FLUX 2030'!$I41+'FLUX 2030'!$I40</f>
        <v>3.6754159917160014</v>
      </c>
      <c r="AI4" s="741">
        <f>'FLUX 2035'!$I41+'FLUX 2035'!$I40</f>
        <v>3.5874887451784465</v>
      </c>
      <c r="AJ4" s="63"/>
      <c r="AL4" s="113" t="s">
        <v>221</v>
      </c>
      <c r="AM4" s="58">
        <f>AU4/Q4</f>
        <v>0</v>
      </c>
      <c r="AN4" s="58">
        <f>AV4/R4</f>
        <v>0</v>
      </c>
      <c r="AO4" s="58">
        <f t="shared" ref="AO4:AO5" si="5">AW4/T4</f>
        <v>0</v>
      </c>
      <c r="AP4" s="58">
        <f>AX4/U4</f>
        <v>0</v>
      </c>
      <c r="AQ4" s="43"/>
      <c r="AR4" s="43"/>
      <c r="AS4" s="43"/>
      <c r="AT4" s="113" t="s">
        <v>518</v>
      </c>
      <c r="AU4" s="58">
        <f t="shared" ref="AU4:AX4" si="6">AV4</f>
        <v>0</v>
      </c>
      <c r="AV4" s="58">
        <f t="shared" si="6"/>
        <v>0</v>
      </c>
      <c r="AW4" s="58">
        <f t="shared" si="6"/>
        <v>0</v>
      </c>
      <c r="AX4" s="58">
        <f t="shared" si="6"/>
        <v>0</v>
      </c>
    </row>
    <row r="5" spans="1:50" ht="12.75">
      <c r="A5" s="57" t="s">
        <v>65</v>
      </c>
      <c r="B5" s="48">
        <f>'FLUX 2025'!$K$39</f>
        <v>6.4579573013781273</v>
      </c>
      <c r="C5" s="48">
        <f>'FLUX 2020'!$K$39+'FLUX 2020'!AO35</f>
        <v>9.1391548542029337</v>
      </c>
      <c r="D5" s="48">
        <f>'FLUX 2025'!$K$39+'FLUX 2025'!AO35</f>
        <v>10.345386676841882</v>
      </c>
      <c r="E5" s="48">
        <f>'FLUX 2030'!$K$39+'FLUX 2030'!AO35</f>
        <v>11.074160433782204</v>
      </c>
      <c r="F5" s="48">
        <f>'FLUX 2035'!$K$39+'FLUX 2035'!AO35</f>
        <v>11.419741924923583</v>
      </c>
      <c r="G5" s="53"/>
      <c r="I5" s="48" t="s">
        <v>65</v>
      </c>
      <c r="J5" s="48">
        <f>B5</f>
        <v>6.4579573013781273</v>
      </c>
      <c r="K5" s="48">
        <f>C5</f>
        <v>9.1391548542029337</v>
      </c>
      <c r="L5" s="48">
        <f t="shared" ref="L5:N5" si="7">D5</f>
        <v>10.345386676841882</v>
      </c>
      <c r="M5" s="48">
        <f t="shared" si="7"/>
        <v>11.074160433782204</v>
      </c>
      <c r="N5" s="48">
        <f t="shared" si="7"/>
        <v>11.419741924923583</v>
      </c>
      <c r="O5" s="60">
        <f>O4+1</f>
        <v>2202</v>
      </c>
      <c r="P5" s="48" t="s">
        <v>65</v>
      </c>
      <c r="Q5" s="48">
        <f>'FLUX 2015'!$K$39</f>
        <v>4.0922353901271604</v>
      </c>
      <c r="R5" s="48">
        <f>'FLUX 2020'!$K$39</f>
        <v>5.595797582970687</v>
      </c>
      <c r="S5" s="48">
        <f>'FLUX 2025'!$K$39</f>
        <v>6.4579573013781273</v>
      </c>
      <c r="T5" s="48">
        <f>'FLUX 2030'!$K$39</f>
        <v>6.9845124203673823</v>
      </c>
      <c r="U5" s="48">
        <f>'FLUX 2035'!$K$39</f>
        <v>7.171530966937218</v>
      </c>
      <c r="V5" s="43"/>
      <c r="Y5" s="41" t="s">
        <v>100</v>
      </c>
      <c r="Z5" s="58">
        <f t="shared" ref="Z5" si="8">AF5/R5</f>
        <v>0</v>
      </c>
      <c r="AA5" s="58">
        <f>AG5/R5</f>
        <v>0</v>
      </c>
      <c r="AB5" s="58">
        <f t="shared" si="4"/>
        <v>0</v>
      </c>
      <c r="AC5" s="58">
        <f>AI5/U5</f>
        <v>0</v>
      </c>
      <c r="AE5" s="59" t="s">
        <v>117</v>
      </c>
      <c r="AF5" s="58">
        <f t="shared" ref="AF5:AI19" si="9">AG5</f>
        <v>0</v>
      </c>
      <c r="AG5" s="58">
        <f t="shared" si="9"/>
        <v>0</v>
      </c>
      <c r="AH5" s="58">
        <f t="shared" si="9"/>
        <v>0</v>
      </c>
      <c r="AI5" s="58">
        <f t="shared" si="9"/>
        <v>0</v>
      </c>
      <c r="AJ5" s="63"/>
      <c r="AL5" s="59" t="s">
        <v>222</v>
      </c>
      <c r="AM5" s="58">
        <f>AU5/Q5</f>
        <v>0</v>
      </c>
      <c r="AN5" s="58">
        <f>AV5/R5</f>
        <v>0</v>
      </c>
      <c r="AO5" s="58">
        <f t="shared" si="5"/>
        <v>0</v>
      </c>
      <c r="AP5" s="58">
        <f t="shared" ref="AP5" si="10">AX5/U5</f>
        <v>0</v>
      </c>
      <c r="AQ5" s="43"/>
      <c r="AR5" s="43"/>
      <c r="AS5" s="43"/>
      <c r="AT5" s="59" t="s">
        <v>519</v>
      </c>
      <c r="AU5" s="58">
        <f t="shared" ref="AU5:AX20" si="11">AV5</f>
        <v>0</v>
      </c>
      <c r="AV5" s="58">
        <f t="shared" si="11"/>
        <v>0</v>
      </c>
      <c r="AW5" s="58">
        <f t="shared" si="11"/>
        <v>0</v>
      </c>
      <c r="AX5" s="58">
        <f t="shared" si="11"/>
        <v>0</v>
      </c>
    </row>
    <row r="6" spans="1:50" ht="12.75">
      <c r="A6" s="49" t="s">
        <v>87</v>
      </c>
      <c r="B6" s="316"/>
      <c r="C6" s="316"/>
      <c r="D6" s="316"/>
      <c r="E6" s="316"/>
      <c r="F6" s="316"/>
      <c r="G6" s="52">
        <f>'FLUX 2035'!$G39</f>
        <v>7.171530966937218</v>
      </c>
      <c r="I6" s="48" t="s">
        <v>83</v>
      </c>
      <c r="J6" s="48"/>
      <c r="K6" s="48"/>
      <c r="L6" s="48"/>
      <c r="M6" s="48"/>
      <c r="N6" s="48"/>
      <c r="O6" s="60"/>
      <c r="P6" s="48" t="s">
        <v>83</v>
      </c>
      <c r="Q6" s="48"/>
      <c r="R6" s="48"/>
      <c r="S6" s="48"/>
      <c r="T6" s="48"/>
      <c r="U6" s="48"/>
      <c r="V6" s="43"/>
      <c r="Y6" s="41" t="s">
        <v>101</v>
      </c>
      <c r="Z6" s="58">
        <f>AF6/Q8</f>
        <v>2.6733146179449134</v>
      </c>
      <c r="AA6" s="58">
        <f>AG6/R8</f>
        <v>2.6914911368326164</v>
      </c>
      <c r="AB6" s="58">
        <f t="shared" ref="AB6:AC13" si="12">AH6/T8</f>
        <v>2.5608048904565788</v>
      </c>
      <c r="AC6" s="58">
        <f>AI6/U8</f>
        <v>2.5636981249449913</v>
      </c>
      <c r="AE6" s="59" t="s">
        <v>118</v>
      </c>
      <c r="AF6" s="58">
        <f>'FLUX 2015'!$I10</f>
        <v>74.945330015151498</v>
      </c>
      <c r="AG6" s="58">
        <f>'FLUX 2020'!$I10</f>
        <v>71.468956769176131</v>
      </c>
      <c r="AH6" s="58">
        <f>'FLUX 2030'!$I10</f>
        <v>44.279801980942224</v>
      </c>
      <c r="AI6" s="58">
        <f>'FLUX 2035'!$I10</f>
        <v>44.677417834990521</v>
      </c>
      <c r="AJ6" s="63"/>
      <c r="AL6" s="59" t="s">
        <v>223</v>
      </c>
      <c r="AM6" s="58">
        <f>AU6/Q8</f>
        <v>0.21504846397985086</v>
      </c>
      <c r="AN6" s="58">
        <f>AV6/R8</f>
        <v>0.21616427742049046</v>
      </c>
      <c r="AO6" s="58">
        <f>AW6/T8</f>
        <v>0.20991256174314304</v>
      </c>
      <c r="AP6" s="58">
        <f>AX6/U8</f>
        <v>0.20977213621804561</v>
      </c>
      <c r="AQ6" s="43"/>
      <c r="AR6" s="43"/>
      <c r="AS6" s="43"/>
      <c r="AT6" s="59" t="s">
        <v>520</v>
      </c>
      <c r="AU6" s="58">
        <f>('FLUX 2015'!$M13+'FLUX 2015'!$O12)*'FLUX 2015'!$K10/SUM('FLUX 2015'!$K7:K19)</f>
        <v>6.0287996010776492</v>
      </c>
      <c r="AV6" s="58">
        <f>('FLUX 2020'!$M13+'FLUX 2020'!$O12)*'FLUX 2020'!$K10/SUM('FLUX 2020'!$K7:$K19)</f>
        <v>5.7399540301610896</v>
      </c>
      <c r="AW6" s="58">
        <f>('FLUX 2030'!$M13+'FLUX 2030'!$O12)*'FLUX 2030'!$K10/SUM('FLUX 2030'!$K7:$K19)</f>
        <v>3.6296738974289644</v>
      </c>
      <c r="AX6" s="58">
        <f>('FLUX 2035'!$M13+'FLUX 2035'!$O12)*'FLUX 2035'!$K10/SUM('FLUX 2035'!$K7:$K19)</f>
        <v>3.6556867943074485</v>
      </c>
    </row>
    <row r="7" spans="1:50" ht="12.75">
      <c r="A7" s="50" t="s">
        <v>88</v>
      </c>
      <c r="B7" s="317"/>
      <c r="C7" s="317"/>
      <c r="D7" s="317"/>
      <c r="E7" s="317"/>
      <c r="F7" s="317"/>
      <c r="G7" s="52">
        <f>'FLUX 2035'!AO35</f>
        <v>4.2482109579863652</v>
      </c>
      <c r="I7" s="47" t="s">
        <v>54</v>
      </c>
      <c r="J7" s="47">
        <f>SUM(J8:J15)</f>
        <v>127.31997008163201</v>
      </c>
      <c r="K7" s="47">
        <f>SUM(K8:K15)</f>
        <v>123.70310925467869</v>
      </c>
      <c r="L7" s="47">
        <f t="shared" ref="L7:M7" si="13">SUM(L8:L15)</f>
        <v>101.6314595620705</v>
      </c>
      <c r="M7" s="47">
        <f t="shared" si="13"/>
        <v>94.433212654767132</v>
      </c>
      <c r="N7" s="47">
        <f>SUM(N8:N15)</f>
        <v>92.78748156909333</v>
      </c>
      <c r="O7" s="60"/>
      <c r="P7" s="47" t="s">
        <v>54</v>
      </c>
      <c r="Q7" s="47">
        <f>SUM(Q8:Q15)</f>
        <v>37.504813716264707</v>
      </c>
      <c r="R7" s="47">
        <f>SUM(R8:R15)</f>
        <v>37.458031313692558</v>
      </c>
      <c r="S7" s="47">
        <f>SUM(S8:S15)</f>
        <v>35.757509746667999</v>
      </c>
      <c r="T7" s="47">
        <f>SUM(T8:T15)</f>
        <v>34.024085494937772</v>
      </c>
      <c r="U7" s="47">
        <f>SUM(U8:U15)</f>
        <v>34.126535712467472</v>
      </c>
      <c r="V7" s="43"/>
      <c r="Y7" s="41" t="s">
        <v>102</v>
      </c>
      <c r="Z7" s="58">
        <f t="shared" ref="Z7:AA12" si="14">AF7/Q9</f>
        <v>2.0384368940719413</v>
      </c>
      <c r="AA7" s="58">
        <f t="shared" si="14"/>
        <v>2.0271519333637742</v>
      </c>
      <c r="AB7" s="58">
        <f t="shared" si="12"/>
        <v>1.8957244383474163</v>
      </c>
      <c r="AC7" s="58">
        <f t="shared" si="12"/>
        <v>1.8855207521059436</v>
      </c>
      <c r="AE7" s="59" t="s">
        <v>119</v>
      </c>
      <c r="AF7" s="58">
        <f>'FLUX 2015'!$I17</f>
        <v>0.33206526708984374</v>
      </c>
      <c r="AG7" s="58">
        <f>'FLUX 2020'!$I17</f>
        <v>0.29318579223632812</v>
      </c>
      <c r="AH7" s="58">
        <f>'FLUX 2030'!$I17</f>
        <v>2.5851635742187497E-2</v>
      </c>
      <c r="AI7" s="58">
        <f>'FLUX 2035'!$I17</f>
        <v>2.5683472442626955E-2</v>
      </c>
      <c r="AJ7" s="63"/>
      <c r="AL7" s="59" t="s">
        <v>224</v>
      </c>
      <c r="AM7" s="58">
        <f t="shared" ref="AM7:AN7" si="15">AU7/Q9</f>
        <v>0</v>
      </c>
      <c r="AN7" s="58">
        <f t="shared" si="15"/>
        <v>0</v>
      </c>
      <c r="AO7" s="58">
        <f t="shared" ref="AO7:AO13" si="16">AW7/T9</f>
        <v>0</v>
      </c>
      <c r="AP7" s="58">
        <f t="shared" ref="AP7:AP13" si="17">AX7/U9</f>
        <v>0</v>
      </c>
      <c r="AQ7" s="43"/>
      <c r="AR7" s="43"/>
      <c r="AS7" s="43"/>
      <c r="AT7" s="59" t="s">
        <v>521</v>
      </c>
      <c r="AU7" s="58">
        <f t="shared" si="11"/>
        <v>0</v>
      </c>
      <c r="AV7" s="58">
        <f t="shared" si="11"/>
        <v>0</v>
      </c>
      <c r="AW7" s="58">
        <f t="shared" si="11"/>
        <v>0</v>
      </c>
      <c r="AX7" s="58">
        <f t="shared" si="11"/>
        <v>0</v>
      </c>
    </row>
    <row r="8" spans="1:50" ht="12.75">
      <c r="A8" s="57" t="s">
        <v>83</v>
      </c>
      <c r="B8" s="315"/>
      <c r="C8" s="315"/>
      <c r="D8" s="315"/>
      <c r="E8" s="315"/>
      <c r="F8" s="315"/>
      <c r="G8" s="39"/>
      <c r="I8" s="48" t="s">
        <v>24</v>
      </c>
      <c r="J8" s="48">
        <f t="shared" ref="J8:N12" si="18">B10</f>
        <v>108.1553056640625</v>
      </c>
      <c r="K8" s="48">
        <f t="shared" si="18"/>
        <v>102.79999975585937</v>
      </c>
      <c r="L8" s="48">
        <f t="shared" si="18"/>
        <v>64.91</v>
      </c>
      <c r="M8" s="48">
        <f t="shared" si="18"/>
        <v>64.37</v>
      </c>
      <c r="N8" s="48">
        <f t="shared" si="18"/>
        <v>64.960000000000008</v>
      </c>
      <c r="O8" s="60">
        <v>2301</v>
      </c>
      <c r="P8" s="48" t="s">
        <v>631</v>
      </c>
      <c r="Q8" s="48">
        <f>'FLUX 2015'!$AJ$13*'FLUX 2015'!$K10/SUM('FLUX 2015'!$K$7:$K$19)</f>
        <v>28.034608987686248</v>
      </c>
      <c r="R8" s="48">
        <f>'FLUX 2020'!$AJ$13*'FLUX 2020'!$K10/SUM('FLUX 2020'!$K$7:$K$19)</f>
        <v>26.553666029635075</v>
      </c>
      <c r="S8" s="48">
        <f>'FLUX 2025'!$AJ$13*'FLUX 2025'!$K10/SUM('FLUX 2025'!$K$7:$K$19)</f>
        <v>17.92465406084882</v>
      </c>
      <c r="T8" s="48">
        <f>'FLUX 2030'!$AJ$13*'FLUX 2030'!$K10/SUM('FLUX 2030'!$K$7:$K$19)</f>
        <v>17.291361066187029</v>
      </c>
      <c r="U8" s="48">
        <f>'FLUX 2035'!$AJ$13*'FLUX 2035'!$K10/SUM('FLUX 2035'!$K$7:$K$19)</f>
        <v>17.426941729322813</v>
      </c>
      <c r="V8" s="43"/>
      <c r="Y8" s="41" t="s">
        <v>103</v>
      </c>
      <c r="Z8" s="58">
        <f>AF8/Q10</f>
        <v>0.82128601664772261</v>
      </c>
      <c r="AA8" s="58">
        <f>AG8/R10</f>
        <v>0.52052852015189599</v>
      </c>
      <c r="AB8" s="58">
        <f>AH8/T10</f>
        <v>1.899777769286614</v>
      </c>
      <c r="AC8" s="58">
        <f>AI8/U10</f>
        <v>1.7938813095138921</v>
      </c>
      <c r="AE8" s="59" t="s">
        <v>120</v>
      </c>
      <c r="AF8" s="58">
        <f>'FLUX 2015'!$I19</f>
        <v>0.79182674517819507</v>
      </c>
      <c r="AG8" s="58">
        <f>'FLUX 2020'!$I19</f>
        <v>0.40302761609368454</v>
      </c>
      <c r="AH8" s="58">
        <f>'FLUX 2030'!$I19</f>
        <v>3.0729972407363442</v>
      </c>
      <c r="AI8" s="58">
        <f>'FLUX 2035'!$I19</f>
        <v>1.5893276989594614</v>
      </c>
      <c r="AJ8" s="63"/>
      <c r="AL8" s="59" t="s">
        <v>225</v>
      </c>
      <c r="AM8" s="58">
        <f t="shared" ref="AM8:AN8" si="19">AU8/Q10</f>
        <v>0.21504846397985081</v>
      </c>
      <c r="AN8" s="58">
        <f t="shared" si="19"/>
        <v>0.21616427742049046</v>
      </c>
      <c r="AO8" s="58">
        <f t="shared" si="16"/>
        <v>0.20991256174314307</v>
      </c>
      <c r="AP8" s="58">
        <f t="shared" si="17"/>
        <v>0.20977213621804555</v>
      </c>
      <c r="AQ8" s="43"/>
      <c r="AR8" s="43"/>
      <c r="AS8" s="43"/>
      <c r="AT8" s="59" t="s">
        <v>522</v>
      </c>
      <c r="AU8" s="58">
        <f>('FLUX 2015'!$M13+'FLUX 2015'!$O12)*'FLUX 2015'!$K19/'FLUX 2015'!$L7</f>
        <v>0.20733474311882133</v>
      </c>
      <c r="AV8" s="58">
        <f>('FLUX 2020'!$M13+'FLUX 2020'!$O12)*'FLUX 2020'!$K19/'FLUX 2020'!$L7</f>
        <v>0.16736868402133184</v>
      </c>
      <c r="AW8" s="58">
        <f>('FLUX 2030'!$M13+'FLUX 2030'!$O12)*'FLUX 2030'!$K19/'FLUX 2030'!$L7</f>
        <v>0.33954535812617864</v>
      </c>
      <c r="AX8" s="58">
        <f>('FLUX 2035'!$M13+'FLUX 2035'!$O12)*'FLUX 2035'!$K19/'FLUX 2035'!$L7</f>
        <v>0.18585213235293768</v>
      </c>
    </row>
    <row r="9" spans="1:50" ht="12.75">
      <c r="A9" s="56" t="s">
        <v>54</v>
      </c>
      <c r="B9" s="314">
        <f>SUM(B10:B19)</f>
        <v>127.31997008163201</v>
      </c>
      <c r="C9" s="314">
        <f>SUM(C10:C19)</f>
        <v>123.70310925467869</v>
      </c>
      <c r="D9" s="314">
        <f>SUM(D10:D19)</f>
        <v>101.6314595620705</v>
      </c>
      <c r="E9" s="47">
        <f>SUM(E10:E19)</f>
        <v>94.433212654767132</v>
      </c>
      <c r="F9" s="314">
        <f>SUM(F10:F19)</f>
        <v>92.78748156909333</v>
      </c>
      <c r="G9" s="54"/>
      <c r="I9" s="48" t="s">
        <v>68</v>
      </c>
      <c r="J9" s="48">
        <f t="shared" si="18"/>
        <v>0.54655938720703123</v>
      </c>
      <c r="K9" s="48">
        <f t="shared" si="18"/>
        <v>0.4849151916503906</v>
      </c>
      <c r="L9" s="48">
        <f t="shared" si="18"/>
        <v>0.10049864959716796</v>
      </c>
      <c r="M9" s="48">
        <f t="shared" si="18"/>
        <v>4.3051635742187497E-2</v>
      </c>
      <c r="N9" s="48">
        <f t="shared" si="18"/>
        <v>4.2883472442626955E-2</v>
      </c>
      <c r="O9" s="60">
        <f>O8+1</f>
        <v>2302</v>
      </c>
      <c r="P9" s="48" t="s">
        <v>627</v>
      </c>
      <c r="Q9" s="48">
        <f>'FLUX 2015'!$AJ$13*'FLUX 2015'!$K$17/SUM('FLUX 2015'!$K$7:$K$19)</f>
        <v>0.16290191178129471</v>
      </c>
      <c r="R9" s="48">
        <f>'FLUX 2020'!$AJ$13*'FLUX 2020'!$K$17/SUM('FLUX 2020'!$K$7:$K$19)</f>
        <v>0.14462941203910032</v>
      </c>
      <c r="S9" s="48">
        <f>'FLUX 2025'!$AJ$13*'FLUX 2025'!$K$17/SUM('FLUX 2025'!$K$7:$K$19)</f>
        <v>3.3006565936672012E-2</v>
      </c>
      <c r="T9" s="48">
        <f>'FLUX 2030'!$AJ$13*'FLUX 2030'!$K$17/SUM('FLUX 2030'!$K$7:$K$19)</f>
        <v>1.3636810930560914E-2</v>
      </c>
      <c r="U9" s="48">
        <f>'FLUX 2035'!$AJ$13*'FLUX 2035'!$K$17/SUM('FLUX 2035'!$K$7:$K$19)</f>
        <v>1.3621421251365709E-2</v>
      </c>
      <c r="V9" s="43"/>
      <c r="Y9" s="41" t="s">
        <v>104</v>
      </c>
      <c r="Z9" s="58">
        <f t="shared" si="14"/>
        <v>0</v>
      </c>
      <c r="AA9" s="58">
        <f t="shared" si="14"/>
        <v>0</v>
      </c>
      <c r="AB9" s="58">
        <f t="shared" si="12"/>
        <v>0</v>
      </c>
      <c r="AC9" s="58">
        <f t="shared" si="12"/>
        <v>0</v>
      </c>
      <c r="AE9" s="59" t="s">
        <v>121</v>
      </c>
      <c r="AF9" s="58">
        <f t="shared" si="9"/>
        <v>0</v>
      </c>
      <c r="AG9" s="58">
        <f t="shared" si="9"/>
        <v>0</v>
      </c>
      <c r="AH9" s="58">
        <f t="shared" si="9"/>
        <v>0</v>
      </c>
      <c r="AI9" s="58">
        <f t="shared" si="9"/>
        <v>0</v>
      </c>
      <c r="AJ9" s="63"/>
      <c r="AL9" s="59" t="s">
        <v>226</v>
      </c>
      <c r="AM9" s="58">
        <f t="shared" ref="AM9:AN9" si="20">AU9/Q11</f>
        <v>0.21504846397985086</v>
      </c>
      <c r="AN9" s="58">
        <f t="shared" si="20"/>
        <v>0.21616427742049046</v>
      </c>
      <c r="AO9" s="58">
        <f t="shared" si="16"/>
        <v>0.20991256174314304</v>
      </c>
      <c r="AP9" s="58">
        <f t="shared" si="17"/>
        <v>0.20977213621804558</v>
      </c>
      <c r="AQ9" s="43"/>
      <c r="AR9" s="43"/>
      <c r="AS9" s="43"/>
      <c r="AT9" s="59" t="s">
        <v>523</v>
      </c>
      <c r="AU9" s="58">
        <f>('FLUX 2015'!$M13+'FLUX 2015'!$O12)*'FLUX 2015'!$K18/'FLUX 2015'!$L7</f>
        <v>0.29103539955799301</v>
      </c>
      <c r="AV9" s="58">
        <f>('FLUX 2020'!$M13+'FLUX 2020'!$O12)*'FLUX 2020'!$K18/'FLUX 2020'!$L7</f>
        <v>0.23919669398309168</v>
      </c>
      <c r="AW9" s="58">
        <f>('FLUX 2030'!$M13+'FLUX 2030'!$O12)*'FLUX 2030'!$K18/'FLUX 2030'!$L7</f>
        <v>0.16474119560827163</v>
      </c>
      <c r="AX9" s="58">
        <f>('FLUX 2035'!$M13+'FLUX 2035'!$O12)*'FLUX 2035'!$K18/'FLUX 2035'!$L7</f>
        <v>7.8861887469292846E-2</v>
      </c>
    </row>
    <row r="10" spans="1:50" ht="12.75">
      <c r="A10" s="57" t="s">
        <v>24</v>
      </c>
      <c r="B10" s="315">
        <f>'FLUX 2015'!$G10</f>
        <v>108.1553056640625</v>
      </c>
      <c r="C10" s="315">
        <f>'FLUX 2020'!$G10</f>
        <v>102.79999975585937</v>
      </c>
      <c r="D10" s="315">
        <f>'FLUX 2025'!$G10</f>
        <v>64.91</v>
      </c>
      <c r="E10" s="48">
        <f>'FLUX 2030'!$G10</f>
        <v>64.37</v>
      </c>
      <c r="F10" s="315">
        <f>'FLUX 2035'!$G10</f>
        <v>64.960000000000008</v>
      </c>
      <c r="G10" s="39"/>
      <c r="I10" s="48" t="s">
        <v>34</v>
      </c>
      <c r="J10" s="48">
        <f t="shared" si="18"/>
        <v>2.0613040713500701</v>
      </c>
      <c r="K10" s="48">
        <f t="shared" si="18"/>
        <v>1.4294411434374346</v>
      </c>
      <c r="L10" s="48">
        <f t="shared" si="18"/>
        <v>13.324880235851008</v>
      </c>
      <c r="M10" s="48">
        <f t="shared" si="18"/>
        <v>5.1132078266738441</v>
      </c>
      <c r="N10" s="48">
        <f t="shared" si="18"/>
        <v>2.7080589509125863</v>
      </c>
      <c r="O10" s="60">
        <f t="shared" ref="O10:O15" si="21">O9+1</f>
        <v>2303</v>
      </c>
      <c r="P10" s="48" t="s">
        <v>628</v>
      </c>
      <c r="Q10" s="48">
        <f>'FLUX 2015'!$AJ$13*'FLUX 2015'!$K$19/SUM('FLUX 2015'!$K$7:$K$19)</f>
        <v>0.96413031407770378</v>
      </c>
      <c r="R10" s="48">
        <f>'FLUX 2020'!$AJ$13*'FLUX 2020'!$K$19/SUM('FLUX 2020'!$K$7:$K$19)</f>
        <v>0.77426615543770128</v>
      </c>
      <c r="S10" s="48">
        <f>'FLUX 2025'!$AJ$13*'FLUX 2025'!$K$19/SUM('FLUX 2025'!$K$7:$K$19)</f>
        <v>3.9588645360837615</v>
      </c>
      <c r="T10" s="48">
        <f>'FLUX 2030'!$AJ$13*'FLUX 2030'!$K$19/SUM('FLUX 2030'!$K$7:$K$19)</f>
        <v>1.617556163892941</v>
      </c>
      <c r="U10" s="48">
        <f>'FLUX 2035'!$AJ$13*'FLUX 2035'!$K$19/SUM('FLUX 2035'!$K$7:$K$19)</f>
        <v>0.88597149127449193</v>
      </c>
      <c r="V10" s="43"/>
      <c r="Y10" s="41" t="s">
        <v>105</v>
      </c>
      <c r="Z10" s="58">
        <f t="shared" si="14"/>
        <v>0</v>
      </c>
      <c r="AA10" s="58">
        <f t="shared" si="14"/>
        <v>0</v>
      </c>
      <c r="AB10" s="58">
        <f t="shared" si="12"/>
        <v>0</v>
      </c>
      <c r="AC10" s="58">
        <f t="shared" si="12"/>
        <v>0</v>
      </c>
      <c r="AE10" s="59" t="s">
        <v>122</v>
      </c>
      <c r="AF10" s="58">
        <f t="shared" si="9"/>
        <v>0</v>
      </c>
      <c r="AG10" s="58">
        <f t="shared" si="9"/>
        <v>0</v>
      </c>
      <c r="AH10" s="58">
        <f t="shared" si="9"/>
        <v>0</v>
      </c>
      <c r="AI10" s="58">
        <f t="shared" si="9"/>
        <v>0</v>
      </c>
      <c r="AJ10" s="63"/>
      <c r="AL10" s="59" t="s">
        <v>227</v>
      </c>
      <c r="AM10" s="58">
        <f t="shared" ref="AM10:AN10" si="22">AU10/Q12</f>
        <v>0.21504846397985083</v>
      </c>
      <c r="AN10" s="58">
        <f t="shared" si="22"/>
        <v>0.21616427742049046</v>
      </c>
      <c r="AO10" s="58">
        <f t="shared" si="16"/>
        <v>0.2099125617431431</v>
      </c>
      <c r="AP10" s="58">
        <f t="shared" si="17"/>
        <v>0.20977213621804558</v>
      </c>
      <c r="AQ10" s="43"/>
      <c r="AR10" s="43"/>
      <c r="AS10" s="43"/>
      <c r="AT10" s="59" t="s">
        <v>524</v>
      </c>
      <c r="AU10" s="58">
        <f>('FLUX 2015'!$M13+'FLUX 2015'!$O12)*'FLUX 2015'!$K7/SUM('FLUX 2015'!$K7:K19)</f>
        <v>0.28014893938164703</v>
      </c>
      <c r="AV10" s="58">
        <f>('FLUX 2020'!$M13+'FLUX 2020'!$O12)*'FLUX 2020'!$K7/SUM('FLUX 2020'!$K7:$K19)</f>
        <v>0.5644520365946718</v>
      </c>
      <c r="AW10" s="58">
        <f>('FLUX 2030'!$M13+'FLUX 2030'!$O12)*'FLUX 2030'!$K7/SUM('FLUX 2030'!$K7:$K19)</f>
        <v>1.2334013920050817</v>
      </c>
      <c r="AX10" s="58">
        <f>('FLUX 2035'!$M13+'FLUX 2035'!$O12)*'FLUX 2035'!$K7/SUM('FLUX 2035'!$K7:$K19)</f>
        <v>1.2457866688344461</v>
      </c>
    </row>
    <row r="11" spans="1:50" ht="12.75">
      <c r="A11" s="57" t="s">
        <v>68</v>
      </c>
      <c r="B11" s="315">
        <f>'FLUX 2015'!$G$17</f>
        <v>0.54655938720703123</v>
      </c>
      <c r="C11" s="315">
        <f>'FLUX 2020'!$G$17</f>
        <v>0.4849151916503906</v>
      </c>
      <c r="D11" s="315">
        <f>'FLUX 2025'!$G$17</f>
        <v>0.10049864959716796</v>
      </c>
      <c r="E11" s="48">
        <f>'FLUX 2030'!$G$17</f>
        <v>4.3051635742187497E-2</v>
      </c>
      <c r="F11" s="315">
        <f>'FLUX 2035'!$G$17</f>
        <v>4.2883472442626955E-2</v>
      </c>
      <c r="G11" s="39"/>
      <c r="I11" s="48" t="s">
        <v>40</v>
      </c>
      <c r="J11" s="48">
        <f t="shared" si="18"/>
        <v>5.2225161132812499</v>
      </c>
      <c r="K11" s="48">
        <f t="shared" si="18"/>
        <v>4.29916796875</v>
      </c>
      <c r="L11" s="48">
        <f t="shared" si="18"/>
        <v>4.3214882812499997</v>
      </c>
      <c r="M11" s="48">
        <f t="shared" si="18"/>
        <v>2.9010854492187499</v>
      </c>
      <c r="N11" s="48">
        <f t="shared" si="18"/>
        <v>1.3912541503906251</v>
      </c>
      <c r="O11" s="60">
        <f t="shared" si="21"/>
        <v>2304</v>
      </c>
      <c r="P11" s="48" t="s">
        <v>629</v>
      </c>
      <c r="Q11" s="48">
        <f>'FLUX 2015'!$AJ$13*'FLUX 2015'!$K$18/SUM('FLUX 2015'!$K$7:$K$19)</f>
        <v>1.3533479578131831</v>
      </c>
      <c r="R11" s="48">
        <f>'FLUX 2020'!$AJ$13*'FLUX 2020'!$K$18/SUM('FLUX 2020'!$K$7:$K$19)</f>
        <v>1.1065505218413019</v>
      </c>
      <c r="S11" s="48">
        <f>'FLUX 2025'!$AJ$13*'FLUX 2025'!$K$18/SUM('FLUX 2025'!$K$7:$K$19)</f>
        <v>1.2178000781889093</v>
      </c>
      <c r="T11" s="48">
        <f>'FLUX 2030'!$AJ$13*'FLUX 2030'!$K$18/SUM('FLUX 2030'!$K$7:$K$19)</f>
        <v>0.78480865671038402</v>
      </c>
      <c r="U11" s="48">
        <f>'FLUX 2035'!$AJ$13*'FLUX 2035'!$K$18/SUM('FLUX 2035'!$K$7:$K$19)</f>
        <v>0.37594071782403282</v>
      </c>
      <c r="V11" s="43"/>
      <c r="Y11" s="41" t="s">
        <v>106</v>
      </c>
      <c r="Z11" s="58">
        <f t="shared" si="14"/>
        <v>0</v>
      </c>
      <c r="AA11" s="58">
        <f t="shared" si="14"/>
        <v>0</v>
      </c>
      <c r="AB11" s="58">
        <f t="shared" si="12"/>
        <v>0</v>
      </c>
      <c r="AC11" s="58">
        <f t="shared" si="12"/>
        <v>0</v>
      </c>
      <c r="AE11" s="59" t="s">
        <v>123</v>
      </c>
      <c r="AF11" s="58">
        <f t="shared" si="9"/>
        <v>0</v>
      </c>
      <c r="AG11" s="58">
        <f t="shared" si="9"/>
        <v>0</v>
      </c>
      <c r="AH11" s="58">
        <f t="shared" si="9"/>
        <v>0</v>
      </c>
      <c r="AI11" s="58">
        <f t="shared" si="9"/>
        <v>0</v>
      </c>
      <c r="AJ11" s="63"/>
      <c r="AL11" s="59" t="s">
        <v>228</v>
      </c>
      <c r="AM11" s="58">
        <f t="shared" ref="AM11:AN11" si="23">AU11/Q13</f>
        <v>0.21504846397985086</v>
      </c>
      <c r="AN11" s="58">
        <f t="shared" si="23"/>
        <v>0.21616427742049049</v>
      </c>
      <c r="AO11" s="58">
        <f t="shared" si="16"/>
        <v>0.20991256174314304</v>
      </c>
      <c r="AP11" s="58">
        <f t="shared" si="17"/>
        <v>0.20977213621804555</v>
      </c>
      <c r="AQ11" s="43"/>
      <c r="AR11" s="43"/>
      <c r="AS11" s="43"/>
      <c r="AT11" s="59" t="s">
        <v>525</v>
      </c>
      <c r="AU11" s="58">
        <f>('FLUX 2015'!$M13+'FLUX 2015'!$O12)*'FLUX 2015'!$K9/SUM('FLUX 2015'!$K7:K19)</f>
        <v>7.9507788024706663E-2</v>
      </c>
      <c r="AV11" s="58">
        <f>('FLUX 2020'!$M13+'FLUX 2020'!$O12)*'FLUX 2020'!$K9/SUM('FLUX 2020'!$K7:$K19)</f>
        <v>0.20488413912990125</v>
      </c>
      <c r="AW11" s="58">
        <f>('FLUX 2030'!$M13+'FLUX 2030'!$O12)*'FLUX 2030'!$K9/SUM('FLUX 2030'!$K7:$K19)</f>
        <v>0.43761794781988944</v>
      </c>
      <c r="AX11" s="58">
        <f>('FLUX 2035'!$M13+'FLUX 2035'!$O12)*'FLUX 2035'!$K9/SUM('FLUX 2035'!$K7:$K19)</f>
        <v>0.62261697077994416</v>
      </c>
    </row>
    <row r="12" spans="1:50" ht="12.75">
      <c r="A12" s="57" t="s">
        <v>34</v>
      </c>
      <c r="B12" s="315">
        <f>'FLUX 2015'!$G$19</f>
        <v>2.0613040713500701</v>
      </c>
      <c r="C12" s="315">
        <f>'FLUX 2020'!$G$19</f>
        <v>1.4294411434374346</v>
      </c>
      <c r="D12" s="315">
        <f>'FLUX 2025'!$G$19</f>
        <v>13.324880235851008</v>
      </c>
      <c r="E12" s="48">
        <f>'FLUX 2030'!$G$19</f>
        <v>5.1132078266738441</v>
      </c>
      <c r="F12" s="315">
        <f>'FLUX 2035'!$G$19</f>
        <v>2.7080589509125863</v>
      </c>
      <c r="G12" s="39"/>
      <c r="I12" s="48" t="s">
        <v>69</v>
      </c>
      <c r="J12" s="48">
        <f t="shared" si="18"/>
        <v>1.7153069562137759</v>
      </c>
      <c r="K12" s="48">
        <f t="shared" si="18"/>
        <v>3.6237752917480464</v>
      </c>
      <c r="L12" s="48">
        <f t="shared" si="18"/>
        <v>6.0477797636718744</v>
      </c>
      <c r="M12" s="48">
        <f t="shared" si="18"/>
        <v>7.90126427734375</v>
      </c>
      <c r="N12" s="48">
        <f t="shared" si="18"/>
        <v>8.0833323662109358</v>
      </c>
      <c r="O12" s="60">
        <f t="shared" si="21"/>
        <v>2305</v>
      </c>
      <c r="P12" s="48" t="s">
        <v>639</v>
      </c>
      <c r="Q12" s="48">
        <f>'FLUX 2015'!$AJ$13*'FLUX 2015'!$K$7/SUM('FLUX 2015'!$K$7:$K$19)</f>
        <v>1.3027246705091362</v>
      </c>
      <c r="R12" s="48">
        <f>'FLUX 2020'!$AJ$13*'FLUX 2020'!$K$7/SUM('FLUX 2020'!$K$7:$K$19)</f>
        <v>2.6112179280051881</v>
      </c>
      <c r="S12" s="48">
        <f>'FLUX 2025'!$AJ$13*'FLUX 2025'!$K$7/SUM('FLUX 2025'!$K$7:$K$19)</f>
        <v>4.7532420178528634</v>
      </c>
      <c r="T12" s="48">
        <f>'FLUX 2030'!$AJ$13*'FLUX 2030'!$K$7/SUM('FLUX 2030'!$K$7:$K$19)</f>
        <v>5.875786478725928</v>
      </c>
      <c r="U12" s="48">
        <f>'FLUX 2035'!$AJ$13*'FLUX 2035'!$K$7/SUM('FLUX 2035'!$K$7:$K$19)</f>
        <v>5.9387614165282914</v>
      </c>
      <c r="V12" s="43"/>
      <c r="Y12" s="41" t="s">
        <v>107</v>
      </c>
      <c r="Z12" s="58">
        <f t="shared" si="14"/>
        <v>0</v>
      </c>
      <c r="AA12" s="58">
        <f t="shared" si="14"/>
        <v>0</v>
      </c>
      <c r="AB12" s="58">
        <f t="shared" si="12"/>
        <v>0</v>
      </c>
      <c r="AC12" s="58">
        <f t="shared" si="12"/>
        <v>0</v>
      </c>
      <c r="AE12" s="59" t="s">
        <v>124</v>
      </c>
      <c r="AF12" s="58">
        <f t="shared" si="9"/>
        <v>0</v>
      </c>
      <c r="AG12" s="58">
        <f t="shared" si="9"/>
        <v>0</v>
      </c>
      <c r="AH12" s="58">
        <f t="shared" si="9"/>
        <v>0</v>
      </c>
      <c r="AI12" s="58">
        <f t="shared" si="9"/>
        <v>0</v>
      </c>
      <c r="AJ12" s="63"/>
      <c r="AL12" s="59" t="s">
        <v>229</v>
      </c>
      <c r="AM12" s="58">
        <f t="shared" ref="AM12" si="24">AU12/Q14</f>
        <v>0.21504846408934555</v>
      </c>
      <c r="AN12" s="742">
        <f>AV12/R14</f>
        <v>0.22226852235927377</v>
      </c>
      <c r="AO12" s="742">
        <f t="shared" si="16"/>
        <v>0.22756332990424824</v>
      </c>
      <c r="AP12" s="742">
        <f t="shared" si="17"/>
        <v>0.23064695629455656</v>
      </c>
      <c r="AQ12" s="43"/>
      <c r="AR12" s="43"/>
      <c r="AS12" s="43"/>
      <c r="AT12" s="59" t="s">
        <v>526</v>
      </c>
      <c r="AU12" s="58">
        <f>('FLUX 2015'!$M13+'FLUX 2015'!$O12)*('FLUX 2015'!$K8)/SUM('FLUX 2015'!$K7:K19)+('FLUX 2015'!$M13+'FLUX 2015'!$O12)*'FLUX 2015'!$K15/SUM('FLUX 2015'!$K7:K19)</f>
        <v>0.99077914539468226</v>
      </c>
      <c r="AV12" s="58">
        <f>('FLUX 2020'!$M13+'FLUX 2020'!$O12)*('FLUX 2020'!$K8)/SUM('FLUX 2020'!$K7:$K19)+('FLUX 2020'!$M13+'FLUX 2020'!$O12)*'FLUX 2020'!$K15/SUM('FLUX 2020'!$K7:$K19)</f>
        <v>0.96298211906856446</v>
      </c>
      <c r="AW12" s="58">
        <f>('FLUX 2030'!$M13+'FLUX 2030'!$O12)*('FLUX 2030'!$K8)/SUM('FLUX 2030'!$K7:$K19)+('FLUX 2030'!$M13+'FLUX 2030'!$O12)*'FLUX 2030'!$K15/SUM('FLUX 2030'!$K7:$K19)</f>
        <v>1.051765338273486</v>
      </c>
      <c r="AX12" s="58">
        <f>('FLUX 2035'!$M13+'FLUX 2035'!$O12)*('FLUX 2035'!$K8)/SUM('FLUX 2035'!$K7:$K19)+('FLUX 2035'!$M13+'FLUX 2035'!$O12)*'FLUX 2035'!$K15/SUM('FLUX 2035'!$K7:$K19)</f>
        <v>1.0726186549696917</v>
      </c>
    </row>
    <row r="13" spans="1:50" ht="12.75">
      <c r="A13" s="57" t="s">
        <v>40</v>
      </c>
      <c r="B13" s="48">
        <f>'FLUX 2015'!$G$18</f>
        <v>5.2225161132812499</v>
      </c>
      <c r="C13" s="48">
        <f>'FLUX 2020'!$G$18</f>
        <v>4.29916796875</v>
      </c>
      <c r="D13" s="48">
        <f>'FLUX 2025'!$G$18</f>
        <v>4.3214882812499997</v>
      </c>
      <c r="E13" s="48">
        <f>'FLUX 2030'!$G$18</f>
        <v>2.9010854492187499</v>
      </c>
      <c r="F13" s="48">
        <f>'FLUX 2035'!$G$18</f>
        <v>1.3912541503906251</v>
      </c>
      <c r="G13" s="39"/>
      <c r="I13" s="48" t="s">
        <v>70</v>
      </c>
      <c r="J13" s="48">
        <f t="shared" ref="J13:N15" si="25">B17</f>
        <v>0.48681341406249995</v>
      </c>
      <c r="K13" s="48">
        <f t="shared" si="25"/>
        <v>1.2564826757812499</v>
      </c>
      <c r="L13" s="48">
        <f t="shared" si="25"/>
        <v>1.8833029140624997</v>
      </c>
      <c r="M13" s="48">
        <f t="shared" si="25"/>
        <v>2.6294948476562499</v>
      </c>
      <c r="N13" s="48">
        <f t="shared" si="25"/>
        <v>3.7478238984374999</v>
      </c>
      <c r="O13" s="60">
        <f t="shared" si="21"/>
        <v>2306</v>
      </c>
      <c r="P13" s="48" t="s">
        <v>70</v>
      </c>
      <c r="Q13" s="48">
        <f>'FLUX 2015'!$AJ$13*'FLUX 2015'!$K$9/SUM('FLUX 2015'!$K$7:$K$19)</f>
        <v>0.36972032514566672</v>
      </c>
      <c r="R13" s="48">
        <f>'FLUX 2020'!$AJ$13*'FLUX 2020'!$K$9/SUM('FLUX 2020'!$K$7:$K$19)</f>
        <v>0.94781682512394627</v>
      </c>
      <c r="S13" s="48">
        <f>'FLUX 2025'!$AJ$13*'FLUX 2025'!$K$9/SUM('FLUX 2025'!$K$7:$K$19)</f>
        <v>1.5554064988114704</v>
      </c>
      <c r="T13" s="48">
        <f>'FLUX 2030'!$AJ$13*'FLUX 2030'!$K$9/SUM('FLUX 2030'!$K$7:$K$19)</f>
        <v>2.0847630279286253</v>
      </c>
      <c r="U13" s="48">
        <f>'FLUX 2035'!$AJ$13*'FLUX 2035'!$K$9/SUM('FLUX 2035'!$K$7:$K$19)</f>
        <v>2.9680632614274907</v>
      </c>
      <c r="V13" s="43"/>
      <c r="Y13" s="41" t="s">
        <v>108</v>
      </c>
      <c r="Z13" s="58">
        <f>AF13/Q15</f>
        <v>3.2505608966667809</v>
      </c>
      <c r="AA13" s="58">
        <f>AG13/R15</f>
        <v>2.9542581817224494</v>
      </c>
      <c r="AB13" s="58">
        <f>AH13/T15</f>
        <v>2.1744752684868707</v>
      </c>
      <c r="AC13" s="58">
        <f t="shared" si="12"/>
        <v>2.1401766986639106</v>
      </c>
      <c r="AE13" s="59" t="s">
        <v>125</v>
      </c>
      <c r="AF13" s="58">
        <f>'FLUX 2015'!$I14+'FLUX 2015'!$I13+'FLUX 2015'!$I11+'FLUX 2015'!$I12</f>
        <v>2.3083630399080262</v>
      </c>
      <c r="AG13" s="58">
        <f>'FLUX 2020'!$I14+'FLUX 2020'!$I13+'FLUX 2020'!$I11+'FLUX 2020'!$I12</f>
        <v>2.9169387762803289</v>
      </c>
      <c r="AH13" s="58">
        <f>'FLUX 2030'!$I14+'FLUX 2030'!$I13+'FLUX 2030'!$I11+'FLUX 2030'!$I12</f>
        <v>3.7712262665698377</v>
      </c>
      <c r="AI13" s="58">
        <f>'FLUX 2035'!$I14+'FLUX 2035'!$I13+'FLUX 2035'!$I11+'FLUX 2035'!$I12</f>
        <v>3.9951907306990426</v>
      </c>
      <c r="AJ13" s="63"/>
      <c r="AL13" s="59" t="s">
        <v>230</v>
      </c>
      <c r="AM13" s="58">
        <f t="shared" ref="AM13:AN13" si="26">AU13/Q15</f>
        <v>0.21504846397985081</v>
      </c>
      <c r="AN13" s="58">
        <f t="shared" si="26"/>
        <v>0.21616427742049046</v>
      </c>
      <c r="AO13" s="58">
        <f t="shared" si="16"/>
        <v>0.20991256174314307</v>
      </c>
      <c r="AP13" s="58">
        <f t="shared" si="17"/>
        <v>0.20977213621804561</v>
      </c>
      <c r="AQ13" s="43"/>
      <c r="AR13" s="43"/>
      <c r="AS13" s="43"/>
      <c r="AT13" s="59" t="s">
        <v>527</v>
      </c>
      <c r="AU13" s="58">
        <f>('FLUX 2015'!$M13+'FLUX 2015'!$O12)*'FLUX 2015'!$K14/'FLUX 2015'!$L7+('FLUX 2015'!$O12+'FLUX 2015'!$M13)*'FLUX 2015'!$K13/'FLUX 2015'!$L7+('FLUX 2015'!$O12+'FLUX 2015'!$M13)*('FLUX 2015'!$K19*'FLUX 2015'!$K22/'FLUX 2015'!$L21)/'FLUX 2015'!$L7+('FLUX 2015'!$O12+'FLUX 2015'!$M13)*'FLUX 2015'!$K11/'FLUX 2015'!$L7+('FLUX 2015'!$O12+'FLUX 2015'!$M13)*('FLUX 2015'!$K19*SUM('FLUX 2015'!$K21:K23)/'FLUX 2015'!$L21)/'FLUX 2015'!$L7+('FLUX 2015'!$O12+'FLUX 2015'!$M13)*'FLUX 2015'!$K12/'FLUX 2015'!$L7+('FLUX 2015'!$O12+'FLUX 2015'!$M13)*'FLUX 2015'!$K16/'FLUX 2015'!$L7</f>
        <v>0.15271515957418708</v>
      </c>
      <c r="AV13" s="58">
        <f>('FLUX 2020'!$M13+'FLUX 2020'!$O12)*'FLUX 2020'!$K14/'FLUX 2020'!$L7+('FLUX 2020'!$O12+'FLUX 2020'!$M13)*'FLUX 2020'!$K13/'FLUX 2020'!$L7+('FLUX 2020'!$O12+'FLUX 2020'!$M13)*('FLUX 2020'!$K19*'FLUX 2020'!$K22/'FLUX 2020'!$L21)/'FLUX 2020'!$L7+('FLUX 2020'!$O12+'FLUX 2020'!$M13)*'FLUX 2020'!$K11/'FLUX 2020'!$L7+('FLUX 2020'!$O12+'FLUX 2020'!$M13)*('FLUX 2020'!$K19*SUM('FLUX 2020'!$K21:$K23)/'FLUX 2020'!$L21)/'FLUX 2020'!$L7+('FLUX 2020'!$O12+'FLUX 2020'!$M13)*'FLUX 2020'!$K12/'FLUX 2020'!$L7+('FLUX 2020'!$O12+'FLUX 2020'!$M13)*'FLUX 2020'!$K16/'FLUX 2020'!$L7</f>
        <v>0.21343360128626893</v>
      </c>
      <c r="AW13" s="58">
        <f>('FLUX 2030'!$M13+'FLUX 2030'!$O12)*'FLUX 2030'!$K14/'FLUX 2030'!$L7+('FLUX 2030'!$O12+'FLUX 2030'!$M13)*'FLUX 2030'!$K13/'FLUX 2030'!$L7+('FLUX 2030'!$O12+'FLUX 2030'!$M13)*('FLUX 2030'!$K19*'FLUX 2030'!$K22/'FLUX 2030'!$L21)/'FLUX 2030'!$L7+('FLUX 2030'!$O12+'FLUX 2030'!$M13)*'FLUX 2030'!$K11/'FLUX 2030'!$L7+('FLUX 2030'!$O12+'FLUX 2030'!$M13)*('FLUX 2030'!$K19*SUM('FLUX 2030'!$K21:$K23)/'FLUX 2030'!$L21)/'FLUX 2030'!$L7+('FLUX 2030'!$O12+'FLUX 2030'!$M13)*'FLUX 2030'!$K12/'FLUX 2030'!$L7+('FLUX 2030'!$O12+'FLUX 2030'!$M13)*'FLUX 2030'!$K16/'FLUX 2030'!$L7</f>
        <v>0.36405461952187007</v>
      </c>
      <c r="AX13" s="58">
        <f>('FLUX 2035'!$M13+'FLUX 2035'!$O12)*'FLUX 2035'!$K14/'FLUX 2035'!$L7+('FLUX 2035'!$O12+'FLUX 2035'!$M13)*'FLUX 2035'!$K13/'FLUX 2035'!$L7+('FLUX 2035'!$O12+'FLUX 2035'!$M13)*('FLUX 2035'!$K19*'FLUX 2035'!$K22/'FLUX 2035'!$L21)/'FLUX 2035'!$L7+('FLUX 2035'!$O12+'FLUX 2035'!$M13)*'FLUX 2035'!$K11/'FLUX 2035'!$L7+('FLUX 2035'!$O12+'FLUX 2035'!$M13)*('FLUX 2035'!$K19*SUM('FLUX 2035'!$K21:$K23)/'FLUX 2035'!$L21)/'FLUX 2035'!$L7+('FLUX 2035'!$O12+'FLUX 2035'!$M13)*'FLUX 2035'!$K12/'FLUX 2035'!$L7+('FLUX 2035'!$O12+'FLUX 2035'!$M13)*'FLUX 2035'!$K16/'FLUX 2035'!$L7</f>
        <v>0.39159369163325486</v>
      </c>
    </row>
    <row r="14" spans="1:50" ht="12.75">
      <c r="A14" s="57" t="s">
        <v>69</v>
      </c>
      <c r="B14" s="315">
        <f>'FLUX 2015'!$G7+'FLUX 2015'!$G15</f>
        <v>1.7153069562137759</v>
      </c>
      <c r="C14" s="315">
        <f>'FLUX 2020'!$G7+'FLUX 2020'!$G15</f>
        <v>3.6237752917480464</v>
      </c>
      <c r="D14" s="315">
        <f>'FLUX 2025'!$G7+'FLUX 2025'!$G15</f>
        <v>6.0477797636718744</v>
      </c>
      <c r="E14" s="48">
        <f>'FLUX 2030'!$G7+'FLUX 2030'!$G15</f>
        <v>7.90126427734375</v>
      </c>
      <c r="F14" s="315">
        <f>'FLUX 2035'!$G7+'FLUX 2035'!$G15</f>
        <v>8.0833323662109358</v>
      </c>
      <c r="G14" s="39"/>
      <c r="I14" s="48" t="s">
        <v>22</v>
      </c>
      <c r="J14" s="48">
        <f t="shared" si="25"/>
        <v>6.0663815468749993</v>
      </c>
      <c r="K14" s="48">
        <f t="shared" si="25"/>
        <v>5.7434434843749989</v>
      </c>
      <c r="L14" s="48">
        <f t="shared" si="25"/>
        <v>5.7867088749999995</v>
      </c>
      <c r="M14" s="48">
        <f t="shared" si="25"/>
        <v>5.8295120156249993</v>
      </c>
      <c r="N14" s="48">
        <f t="shared" si="25"/>
        <v>5.8722378906249997</v>
      </c>
      <c r="O14" s="60">
        <f t="shared" si="21"/>
        <v>2307</v>
      </c>
      <c r="P14" s="48" t="s">
        <v>640</v>
      </c>
      <c r="Q14" s="48">
        <f>'FLUX 2015'!$AJ$13*'FLUX 2015'!$K$8/SUM('FLUX 2015'!$K$7:$K$19)</f>
        <v>4.60723655753731</v>
      </c>
      <c r="R14" s="48">
        <f>'FLUX 2020'!$AJ$13*'FLUX 2020'!$K$8/SUM('FLUX 2020'!$K$7:$K$19)</f>
        <v>4.3325168532501639</v>
      </c>
      <c r="S14" s="48">
        <f>'FLUX 2025'!$AJ$13*'FLUX 2025'!$K$8/SUM('FLUX 2025'!$K$7:$K$19)</f>
        <v>4.7792017543739185</v>
      </c>
      <c r="T14" s="48">
        <f>'FLUX 2030'!$AJ$13*'FLUX 2030'!$K$8/SUM('FLUX 2030'!$K$7:$K$19)</f>
        <v>4.6218577427041385</v>
      </c>
      <c r="U14" s="48">
        <f>'FLUX 2035'!$AJ$13*'FLUX 2035'!$K$8/SUM('FLUX 2035'!$K$7:$K$19)</f>
        <v>4.6504782556066457</v>
      </c>
      <c r="V14" s="43"/>
      <c r="Y14" s="41" t="s">
        <v>109</v>
      </c>
      <c r="Z14" s="58">
        <f>AF14/Q17</f>
        <v>1.6294173716790393E-2</v>
      </c>
      <c r="AA14" s="58">
        <f>AG14/R17</f>
        <v>1.4079629144126707E-2</v>
      </c>
      <c r="AB14" s="58">
        <f t="shared" ref="AB14:AB15" si="27">AH14/T17</f>
        <v>9.5498982950410968E-3</v>
      </c>
      <c r="AC14" s="58">
        <f>AI14/U17</f>
        <v>9.8339036628909225E-3</v>
      </c>
      <c r="AE14" s="59" t="s">
        <v>126</v>
      </c>
      <c r="AF14" s="741">
        <f>'FLUX 2015'!$I32</f>
        <v>0.50520768239233993</v>
      </c>
      <c r="AG14" s="741">
        <f>'FLUX 2020'!$I32</f>
        <v>0.39478901912372888</v>
      </c>
      <c r="AH14" s="741">
        <f>'FLUX 2030'!$I32</f>
        <v>0.18215800902072865</v>
      </c>
      <c r="AI14" s="741">
        <f>'FLUX 2035'!$I32</f>
        <v>0.15184744351761426</v>
      </c>
      <c r="AJ14" s="63"/>
      <c r="AL14" s="59" t="s">
        <v>231</v>
      </c>
      <c r="AM14" s="58">
        <f>AU14/Q17</f>
        <v>0</v>
      </c>
      <c r="AN14" s="58">
        <f>AV14/R17</f>
        <v>0</v>
      </c>
      <c r="AO14" s="58">
        <f>AW14/T17</f>
        <v>0</v>
      </c>
      <c r="AP14" s="58">
        <f>AX14/U17</f>
        <v>0</v>
      </c>
      <c r="AQ14" s="43"/>
      <c r="AR14" s="43"/>
      <c r="AS14" s="43"/>
      <c r="AT14" s="59" t="s">
        <v>528</v>
      </c>
      <c r="AU14" s="58">
        <f t="shared" si="11"/>
        <v>0</v>
      </c>
      <c r="AV14" s="58">
        <f t="shared" si="11"/>
        <v>0</v>
      </c>
      <c r="AW14" s="58">
        <f t="shared" si="11"/>
        <v>0</v>
      </c>
      <c r="AX14" s="58">
        <f t="shared" si="11"/>
        <v>0</v>
      </c>
    </row>
    <row r="15" spans="1:50" ht="12.75">
      <c r="A15" s="49" t="s">
        <v>21</v>
      </c>
      <c r="B15" s="316"/>
      <c r="C15" s="316"/>
      <c r="D15" s="316"/>
      <c r="E15" s="365"/>
      <c r="F15" s="316"/>
      <c r="G15" s="52"/>
      <c r="I15" s="48" t="s">
        <v>71</v>
      </c>
      <c r="J15" s="48">
        <f t="shared" si="25"/>
        <v>3.065782928579901</v>
      </c>
      <c r="K15" s="48">
        <f t="shared" si="25"/>
        <v>4.0658837430772037</v>
      </c>
      <c r="L15" s="48">
        <f t="shared" si="25"/>
        <v>5.2568008426379524</v>
      </c>
      <c r="M15" s="48">
        <f t="shared" si="25"/>
        <v>5.6455966025073376</v>
      </c>
      <c r="N15" s="48">
        <f t="shared" si="25"/>
        <v>5.9818908400740423</v>
      </c>
      <c r="O15" s="60">
        <f t="shared" si="21"/>
        <v>2308</v>
      </c>
      <c r="P15" s="48" t="s">
        <v>98</v>
      </c>
      <c r="Q15" s="48">
        <f>'FLUX 2015'!$AJ$13*SUM('FLUX 2015'!$K$11:$K$14,'FLUX 2015'!$K$16)/SUM('FLUX 2015'!$K$7:$K$19)</f>
        <v>0.71014299171416484</v>
      </c>
      <c r="R15" s="48">
        <f>'FLUX 2020'!$AJ$13*SUM('FLUX 2020'!$K$11:$K$14,'FLUX 2020'!$K$16)/SUM('FLUX 2020'!$K$7:$K$19)</f>
        <v>0.98736758836007976</v>
      </c>
      <c r="S15" s="48">
        <f>'FLUX 2025'!$AJ$13*SUM('FLUX 2025'!$K$11:$K$14,'FLUX 2025'!$K$16)/SUM('FLUX 2025'!$K$7:$K$19)</f>
        <v>1.5353342345715886</v>
      </c>
      <c r="T15" s="48">
        <f>'FLUX 2030'!$AJ$13*SUM('FLUX 2030'!$K$11:$K$14,'FLUX 2030'!$K$16)/SUM('FLUX 2030'!$K$7:$K$19)</f>
        <v>1.7343155478581651</v>
      </c>
      <c r="U15" s="48">
        <f>'FLUX 2035'!$AJ$13*SUM('FLUX 2035'!$K$11:$K$14,'FLUX 2035'!$K$16)/SUM('FLUX 2035'!$K$7:$K$19)</f>
        <v>1.8667574192323455</v>
      </c>
      <c r="V15" s="43"/>
      <c r="W15" s="43"/>
      <c r="X15" s="43"/>
      <c r="Y15" s="41" t="s">
        <v>110</v>
      </c>
      <c r="Z15" s="58">
        <f t="shared" ref="Z15:AA19" si="28">AF15/Q18</f>
        <v>6.8487289933723203E-3</v>
      </c>
      <c r="AA15" s="58">
        <f t="shared" si="28"/>
        <v>1.149500738539498E-2</v>
      </c>
      <c r="AB15" s="58">
        <f t="shared" si="27"/>
        <v>1.8293696586360937E-2</v>
      </c>
      <c r="AC15" s="58">
        <f>AI15/U18</f>
        <v>1.5737270562541136E-2</v>
      </c>
      <c r="AE15" s="59" t="s">
        <v>127</v>
      </c>
      <c r="AF15" s="741">
        <f>'FLUX 2015'!$I29+'FLUX 2015'!$I35</f>
        <v>9.3586862468191701E-2</v>
      </c>
      <c r="AG15" s="741">
        <f>'FLUX 2020'!$I29+'FLUX 2020'!$I35</f>
        <v>0.19080179682273857</v>
      </c>
      <c r="AH15" s="741">
        <f>'FLUX 2030'!$I29+'FLUX 2030'!$I35</f>
        <v>0.35003308649412279</v>
      </c>
      <c r="AI15" s="741">
        <f>'FLUX 2035'!$I29+'FLUX 2035'!$I35</f>
        <v>0.32781457146131365</v>
      </c>
      <c r="AJ15" s="63"/>
      <c r="AL15" s="59" t="s">
        <v>232</v>
      </c>
      <c r="AM15" s="58">
        <f t="shared" ref="AM15:AN15" si="29">AU15/Q18</f>
        <v>0</v>
      </c>
      <c r="AN15" s="58">
        <f t="shared" si="29"/>
        <v>0</v>
      </c>
      <c r="AO15" s="58">
        <f t="shared" ref="AO15:AP15" si="30">AW15/T18</f>
        <v>0</v>
      </c>
      <c r="AP15" s="58">
        <f t="shared" si="30"/>
        <v>0</v>
      </c>
      <c r="AQ15" s="43"/>
      <c r="AR15" s="43"/>
      <c r="AS15" s="43"/>
      <c r="AT15" s="59" t="s">
        <v>529</v>
      </c>
      <c r="AU15" s="58">
        <f t="shared" si="11"/>
        <v>0</v>
      </c>
      <c r="AV15" s="58">
        <f t="shared" si="11"/>
        <v>0</v>
      </c>
      <c r="AW15" s="58">
        <f t="shared" si="11"/>
        <v>0</v>
      </c>
      <c r="AX15" s="58">
        <f t="shared" si="11"/>
        <v>0</v>
      </c>
    </row>
    <row r="16" spans="1:50" ht="12.75">
      <c r="A16" s="50" t="s">
        <v>29</v>
      </c>
      <c r="B16" s="317"/>
      <c r="C16" s="317"/>
      <c r="D16" s="317"/>
      <c r="E16" s="366"/>
      <c r="F16" s="317"/>
      <c r="G16" s="52"/>
      <c r="I16" s="47" t="s">
        <v>72</v>
      </c>
      <c r="J16" s="47">
        <f>SUM(J17:J22)</f>
        <v>45.206228502525114</v>
      </c>
      <c r="K16" s="47">
        <f>SUM(K17:K22)</f>
        <v>44.636994222552204</v>
      </c>
      <c r="L16" s="47">
        <f t="shared" ref="L16:N16" si="31">SUM(L17:L22)</f>
        <v>41.81683111845242</v>
      </c>
      <c r="M16" s="47">
        <f t="shared" si="31"/>
        <v>38.860898377001909</v>
      </c>
      <c r="N16" s="47">
        <f t="shared" si="31"/>
        <v>36.354798214637178</v>
      </c>
      <c r="O16" s="60"/>
      <c r="P16" s="47" t="s">
        <v>72</v>
      </c>
      <c r="Q16" s="47">
        <f>SUM(Q17:Q22)</f>
        <v>47.653473422370425</v>
      </c>
      <c r="R16" s="47">
        <f>SUM(R17:R22)</f>
        <v>48.026600409374367</v>
      </c>
      <c r="S16" s="47">
        <f>SUM(S17:S22)</f>
        <v>45.528386337939914</v>
      </c>
      <c r="T16" s="47">
        <f>SUM(T17:T22)</f>
        <v>42.78308280438975</v>
      </c>
      <c r="U16" s="47">
        <f>SUM(U17:U22)</f>
        <v>40.564057865727129</v>
      </c>
      <c r="V16" s="43"/>
      <c r="Y16" s="41" t="s">
        <v>111</v>
      </c>
      <c r="Z16" s="58">
        <v>0</v>
      </c>
      <c r="AA16" s="58">
        <v>0</v>
      </c>
      <c r="AB16" s="58">
        <f t="shared" ref="AB16" si="32">AC16</f>
        <v>0</v>
      </c>
      <c r="AC16" s="58">
        <v>0</v>
      </c>
      <c r="AE16" s="59" t="s">
        <v>128</v>
      </c>
      <c r="AF16" s="58">
        <f t="shared" si="9"/>
        <v>0</v>
      </c>
      <c r="AG16" s="58">
        <f t="shared" si="9"/>
        <v>0</v>
      </c>
      <c r="AH16" s="58">
        <f t="shared" si="9"/>
        <v>0</v>
      </c>
      <c r="AI16" s="58">
        <f t="shared" si="9"/>
        <v>0</v>
      </c>
      <c r="AJ16" s="63"/>
      <c r="AL16" s="59" t="s">
        <v>233</v>
      </c>
      <c r="AM16" s="58">
        <f t="shared" ref="AM16:AN16" si="33">AU16/Q19</f>
        <v>0</v>
      </c>
      <c r="AN16" s="58">
        <f t="shared" si="33"/>
        <v>0</v>
      </c>
      <c r="AO16" s="58">
        <f t="shared" ref="AO16:AP16" si="34">AW16/T19</f>
        <v>0</v>
      </c>
      <c r="AP16" s="58">
        <f t="shared" si="34"/>
        <v>0</v>
      </c>
      <c r="AQ16" s="43"/>
      <c r="AR16" s="43"/>
      <c r="AS16" s="43"/>
      <c r="AT16" s="59" t="s">
        <v>530</v>
      </c>
      <c r="AU16" s="58">
        <f t="shared" si="11"/>
        <v>0</v>
      </c>
      <c r="AV16" s="58">
        <f t="shared" si="11"/>
        <v>0</v>
      </c>
      <c r="AW16" s="58">
        <f t="shared" si="11"/>
        <v>0</v>
      </c>
      <c r="AX16" s="58">
        <f t="shared" si="11"/>
        <v>0</v>
      </c>
    </row>
    <row r="17" spans="1:50" ht="12.75">
      <c r="A17" s="57" t="s">
        <v>70</v>
      </c>
      <c r="B17" s="315">
        <f>'FLUX 2015'!$G9</f>
        <v>0.48681341406249995</v>
      </c>
      <c r="C17" s="315">
        <f>'FLUX 2020'!$G9</f>
        <v>1.2564826757812499</v>
      </c>
      <c r="D17" s="315">
        <f>'FLUX 2025'!$G9</f>
        <v>1.8833029140624997</v>
      </c>
      <c r="E17" s="48">
        <f>'FLUX 2030'!$G9</f>
        <v>2.6294948476562499</v>
      </c>
      <c r="F17" s="315">
        <f>'FLUX 2035'!$G9</f>
        <v>3.7478238984374999</v>
      </c>
      <c r="G17" s="39"/>
      <c r="I17" s="48" t="s">
        <v>73</v>
      </c>
      <c r="J17" s="48">
        <f>B28-'FLUX 2015'!$G$43</f>
        <v>31.005418941357352</v>
      </c>
      <c r="K17" s="48">
        <f>C28-'FLUX 2020'!$G$43</f>
        <v>28.03973137945998</v>
      </c>
      <c r="L17" s="48">
        <f>D28-'FLUX 2025'!$G$43</f>
        <v>23.610928249255618</v>
      </c>
      <c r="M17" s="48">
        <f>E28-'FLUX 2030'!$G$43</f>
        <v>19.074340206881203</v>
      </c>
      <c r="N17" s="48">
        <f>F28-'FLUX 2035'!$G$43</f>
        <v>15.441217315421095</v>
      </c>
      <c r="O17" s="60">
        <v>2401</v>
      </c>
      <c r="P17" s="48" t="s">
        <v>73</v>
      </c>
      <c r="Q17" s="48">
        <f>'FLUX 2015'!$K$24-'FLUX 2015'!S23</f>
        <v>31.005418941357352</v>
      </c>
      <c r="R17" s="48">
        <f>'FLUX 2020'!$K$24-'FLUX 2020'!S23</f>
        <v>28.03973137945998</v>
      </c>
      <c r="S17" s="48">
        <f>'FLUX 2025'!$K$24-'FLUX 2025'!S23</f>
        <v>23.610928249255618</v>
      </c>
      <c r="T17" s="48">
        <f>'FLUX 2030'!$K$24-'FLUX 2030'!S23</f>
        <v>19.074340206881203</v>
      </c>
      <c r="U17" s="48">
        <f>'FLUX 2035'!$K$24-'FLUX 2035'!S23</f>
        <v>15.441217315421095</v>
      </c>
      <c r="V17" s="43"/>
      <c r="Y17" s="41" t="s">
        <v>112</v>
      </c>
      <c r="Z17" s="58">
        <f t="shared" si="28"/>
        <v>0</v>
      </c>
      <c r="AA17" s="58">
        <f t="shared" si="28"/>
        <v>0</v>
      </c>
      <c r="AB17" s="58">
        <f t="shared" ref="AB17:AC19" si="35">AH17/T20</f>
        <v>0</v>
      </c>
      <c r="AC17" s="58">
        <f t="shared" si="35"/>
        <v>0</v>
      </c>
      <c r="AE17" s="59" t="s">
        <v>129</v>
      </c>
      <c r="AF17" s="58">
        <f t="shared" si="9"/>
        <v>0</v>
      </c>
      <c r="AG17" s="58">
        <f t="shared" si="9"/>
        <v>0</v>
      </c>
      <c r="AH17" s="58">
        <f t="shared" si="9"/>
        <v>0</v>
      </c>
      <c r="AI17" s="58">
        <f t="shared" si="9"/>
        <v>0</v>
      </c>
      <c r="AJ17" s="63"/>
      <c r="AL17" s="59" t="s">
        <v>234</v>
      </c>
      <c r="AM17" s="58">
        <f t="shared" ref="AM17:AN17" si="36">AU17/Q20</f>
        <v>0</v>
      </c>
      <c r="AN17" s="58">
        <f t="shared" si="36"/>
        <v>0</v>
      </c>
      <c r="AO17" s="58">
        <f t="shared" ref="AO17:AP17" si="37">AW17/T20</f>
        <v>0</v>
      </c>
      <c r="AP17" s="58">
        <f t="shared" si="37"/>
        <v>0</v>
      </c>
      <c r="AQ17" s="43"/>
      <c r="AR17" s="43"/>
      <c r="AS17" s="43"/>
      <c r="AT17" s="59" t="s">
        <v>531</v>
      </c>
      <c r="AU17" s="58">
        <f t="shared" si="11"/>
        <v>0</v>
      </c>
      <c r="AV17" s="58">
        <f t="shared" si="11"/>
        <v>0</v>
      </c>
      <c r="AW17" s="58">
        <f t="shared" si="11"/>
        <v>0</v>
      </c>
      <c r="AX17" s="58">
        <f t="shared" si="11"/>
        <v>0</v>
      </c>
    </row>
    <row r="18" spans="1:50" ht="12.75">
      <c r="A18" s="57" t="s">
        <v>22</v>
      </c>
      <c r="B18" s="315">
        <f>'FLUX 2015'!$G8</f>
        <v>6.0663815468749993</v>
      </c>
      <c r="C18" s="315">
        <f>'FLUX 2020'!$G8</f>
        <v>5.7434434843749989</v>
      </c>
      <c r="D18" s="315">
        <f>'FLUX 2025'!$G8</f>
        <v>5.7867088749999995</v>
      </c>
      <c r="E18" s="48">
        <f>'FLUX 2030'!$G8</f>
        <v>5.8295120156249993</v>
      </c>
      <c r="F18" s="315">
        <f>'FLUX 2035'!$G8</f>
        <v>5.8722378906249997</v>
      </c>
      <c r="G18" s="39"/>
      <c r="I18" s="48" t="s">
        <v>76</v>
      </c>
      <c r="J18" s="48">
        <f t="shared" ref="J18:N22" si="38">B29</f>
        <v>11.249272749629558</v>
      </c>
      <c r="K18" s="48">
        <f t="shared" si="38"/>
        <v>13.246111270699544</v>
      </c>
      <c r="L18" s="48">
        <f t="shared" si="38"/>
        <v>14.331157580075685</v>
      </c>
      <c r="M18" s="48">
        <f t="shared" si="38"/>
        <v>15.394466850465601</v>
      </c>
      <c r="N18" s="48">
        <f t="shared" si="38"/>
        <v>16.910062755583041</v>
      </c>
      <c r="O18" s="60">
        <f>O17+1</f>
        <v>2402</v>
      </c>
      <c r="P18" s="48" t="s">
        <v>76</v>
      </c>
      <c r="Q18" s="48">
        <f>'FLUX 2015'!$K$29+'FLUX 2015'!$K$35</f>
        <v>13.66485118023475</v>
      </c>
      <c r="R18" s="48">
        <f>'FLUX 2020'!$K$29+'FLUX 2020'!$K$35</f>
        <v>16.59866674510905</v>
      </c>
      <c r="S18" s="48">
        <f>'FLUX 2025'!$K$29+'FLUX 2025'!$K$35</f>
        <v>17.936853594282809</v>
      </c>
      <c r="T18" s="48">
        <f>'FLUX 2030'!$K$29+'FLUX 2030'!$K$35</f>
        <v>19.134081777386299</v>
      </c>
      <c r="U18" s="48">
        <f>'FLUX 2035'!$K$29+'FLUX 2035'!$K$35</f>
        <v>20.830459142108097</v>
      </c>
      <c r="V18" s="43"/>
      <c r="Y18" s="41" t="s">
        <v>113</v>
      </c>
      <c r="Z18" s="58">
        <f t="shared" si="28"/>
        <v>0</v>
      </c>
      <c r="AA18" s="58">
        <f t="shared" si="28"/>
        <v>0</v>
      </c>
      <c r="AB18" s="58">
        <f t="shared" si="35"/>
        <v>0</v>
      </c>
      <c r="AC18" s="58">
        <f t="shared" si="35"/>
        <v>0</v>
      </c>
      <c r="AE18" s="59" t="s">
        <v>130</v>
      </c>
      <c r="AF18" s="58">
        <f t="shared" si="9"/>
        <v>0</v>
      </c>
      <c r="AG18" s="58">
        <f t="shared" si="9"/>
        <v>0</v>
      </c>
      <c r="AH18" s="58">
        <f t="shared" si="9"/>
        <v>0</v>
      </c>
      <c r="AI18" s="58">
        <f t="shared" si="9"/>
        <v>0</v>
      </c>
      <c r="AJ18" s="63"/>
      <c r="AL18" s="59" t="s">
        <v>235</v>
      </c>
      <c r="AM18" s="58">
        <f t="shared" ref="AM18:AN18" si="39">AU18/Q21</f>
        <v>0.70232284463701111</v>
      </c>
      <c r="AN18" s="58">
        <f t="shared" si="39"/>
        <v>0.73339202294820449</v>
      </c>
      <c r="AO18" s="58">
        <f t="shared" ref="AO18:AP18" si="40">AW18/T21</f>
        <v>0.72671560227673127</v>
      </c>
      <c r="AP18" s="58">
        <f t="shared" si="40"/>
        <v>0.90033801736958141</v>
      </c>
      <c r="AQ18" s="43"/>
      <c r="AR18" s="43"/>
      <c r="AS18" s="43"/>
      <c r="AT18" s="59" t="s">
        <v>532</v>
      </c>
      <c r="AU18" s="58">
        <f>('FLUX 2015'!$M13+'FLUX 2015'!$O26)*'FLUX 2015'!$H53/'FLUX 2015'!$L26</f>
        <v>9.5120546448667034E-2</v>
      </c>
      <c r="AV18" s="58">
        <f>('FLUX 2020'!$M13+'FLUX 2020'!$O26)*'FLUX 2020'!$H53/'FLUX 2020'!$L26</f>
        <v>0.12264675722575587</v>
      </c>
      <c r="AW18" s="58">
        <f>('FLUX 2030'!$M13+'FLUX 2030'!$O26)*'FLUX 2030'!$H53/'FLUX 2030'!$L26</f>
        <v>0.15762112256778116</v>
      </c>
      <c r="AX18" s="58">
        <f>('FLUX 2035'!$M13+'FLUX 2035'!$O26)*'FLUX 2035'!$H53/'FLUX 2035'!$L26</f>
        <v>0.17979928825077976</v>
      </c>
    </row>
    <row r="19" spans="1:50" ht="12.75">
      <c r="A19" s="57" t="s">
        <v>71</v>
      </c>
      <c r="B19" s="315">
        <f>'FLUX 2015'!$G$12+'FLUX 2015'!$G$13+'FLUX 2015'!$G$14+'FLUX 2015'!$G$16</f>
        <v>3.065782928579901</v>
      </c>
      <c r="C19" s="315">
        <f>'FLUX 2020'!$G$12+'FLUX 2020'!$G$13+'FLUX 2020'!$G$14+'FLUX 2020'!$G$16</f>
        <v>4.0658837430772037</v>
      </c>
      <c r="D19" s="315">
        <f>'FLUX 2025'!$G$12+'FLUX 2025'!$G$13+'FLUX 2025'!$G$14+'FLUX 2025'!$G$16</f>
        <v>5.2568008426379524</v>
      </c>
      <c r="E19" s="48">
        <f>'FLUX 2030'!$G$12+'FLUX 2030'!$G$13+'FLUX 2030'!$G$14+'FLUX 2030'!$G$16</f>
        <v>5.6455966025073376</v>
      </c>
      <c r="F19" s="315">
        <f>'FLUX 2035'!$G$12+'FLUX 2035'!$G$13+'FLUX 2035'!$G$14+'FLUX 2035'!$G$16</f>
        <v>5.9818908400740423</v>
      </c>
      <c r="G19" s="54"/>
      <c r="I19" s="48" t="s">
        <v>77</v>
      </c>
      <c r="J19" s="48">
        <f t="shared" si="38"/>
        <v>0.13543706740427786</v>
      </c>
      <c r="K19" s="48">
        <f t="shared" si="38"/>
        <v>0.16723219422638544</v>
      </c>
      <c r="L19" s="48">
        <f t="shared" si="38"/>
        <v>0.19601459598080881</v>
      </c>
      <c r="M19" s="48">
        <f t="shared" si="38"/>
        <v>0.21689519541615604</v>
      </c>
      <c r="N19" s="48">
        <f t="shared" si="38"/>
        <v>0.1997019839016457</v>
      </c>
      <c r="O19" s="60">
        <f t="shared" ref="O19:O22" si="41">O18+1</f>
        <v>2403</v>
      </c>
      <c r="P19" s="48" t="s">
        <v>77</v>
      </c>
      <c r="Q19" s="48">
        <f>'FLUX 2015'!$K$22+'FLUX 2015'!$K$21+'FLUX 2015'!$K$26+'FLUX 2015'!$K$34+0.1</f>
        <v>0.1</v>
      </c>
      <c r="R19" s="48">
        <f>'FLUX 2020'!$K$22+'FLUX 2020'!$K$21+'FLUX 2020'!$K$26+'FLUX 2020'!$K$34+0.1</f>
        <v>0.1</v>
      </c>
      <c r="S19" s="48">
        <f>'FLUX 2025'!$K$22+'FLUX 2025'!$K$21+'FLUX 2025'!$K$26+'FLUX 2025'!$K$34+0.1</f>
        <v>0.1</v>
      </c>
      <c r="T19" s="48">
        <f>'FLUX 2030'!$K$22+'FLUX 2030'!$K$21+'FLUX 2030'!$K$26+'FLUX 2030'!$K$34+0.1</f>
        <v>0.1</v>
      </c>
      <c r="U19" s="48">
        <f>'FLUX 2035'!$K$22+'FLUX 2035'!$K$21+'FLUX 2035'!$K$26+'FLUX 2035'!$K$34+0.1</f>
        <v>0.1</v>
      </c>
      <c r="V19" s="43"/>
      <c r="Y19" s="41" t="s">
        <v>114</v>
      </c>
      <c r="Z19" s="58">
        <f t="shared" si="28"/>
        <v>0</v>
      </c>
      <c r="AA19" s="58">
        <f t="shared" si="28"/>
        <v>0</v>
      </c>
      <c r="AB19" s="58">
        <f t="shared" si="35"/>
        <v>0</v>
      </c>
      <c r="AC19" s="58">
        <f t="shared" si="35"/>
        <v>0</v>
      </c>
      <c r="AE19" s="59" t="s">
        <v>131</v>
      </c>
      <c r="AF19" s="58">
        <f t="shared" si="9"/>
        <v>0</v>
      </c>
      <c r="AG19" s="58">
        <f t="shared" si="9"/>
        <v>0</v>
      </c>
      <c r="AH19" s="58">
        <f t="shared" si="9"/>
        <v>0</v>
      </c>
      <c r="AI19" s="58">
        <f t="shared" si="9"/>
        <v>0</v>
      </c>
      <c r="AJ19" s="63"/>
      <c r="AL19" s="59" t="s">
        <v>236</v>
      </c>
      <c r="AM19" s="58">
        <f t="shared" ref="AM19:AN19" si="42">AU19/Q22</f>
        <v>0</v>
      </c>
      <c r="AN19" s="58">
        <f t="shared" si="42"/>
        <v>0</v>
      </c>
      <c r="AO19" s="58">
        <f t="shared" ref="AO19:AP19" si="43">AW19/T22</f>
        <v>0</v>
      </c>
      <c r="AP19" s="58">
        <f t="shared" si="43"/>
        <v>0</v>
      </c>
      <c r="AQ19" s="43"/>
      <c r="AR19" s="43"/>
      <c r="AS19" s="43"/>
      <c r="AT19" s="59" t="s">
        <v>533</v>
      </c>
      <c r="AU19" s="58">
        <f t="shared" si="11"/>
        <v>0</v>
      </c>
      <c r="AV19" s="58">
        <f t="shared" si="11"/>
        <v>0</v>
      </c>
      <c r="AW19" s="58">
        <f t="shared" si="11"/>
        <v>0</v>
      </c>
      <c r="AX19" s="58">
        <f t="shared" si="11"/>
        <v>0</v>
      </c>
    </row>
    <row r="20" spans="1:50" ht="12.75">
      <c r="A20" s="49" t="s">
        <v>25</v>
      </c>
      <c r="B20" s="316"/>
      <c r="C20" s="316"/>
      <c r="D20" s="316"/>
      <c r="E20" s="365"/>
      <c r="F20" s="316"/>
      <c r="G20" s="52"/>
      <c r="I20" s="48" t="s">
        <v>74</v>
      </c>
      <c r="J20" s="48">
        <f t="shared" si="38"/>
        <v>0.87546553104923652</v>
      </c>
      <c r="K20" s="48">
        <f t="shared" si="38"/>
        <v>0.85854738083722726</v>
      </c>
      <c r="L20" s="48">
        <f t="shared" si="38"/>
        <v>0.83457590487817235</v>
      </c>
      <c r="M20" s="48">
        <f t="shared" si="38"/>
        <v>0.81029106566347953</v>
      </c>
      <c r="N20" s="48">
        <f t="shared" si="38"/>
        <v>0.72971592769660609</v>
      </c>
      <c r="O20" s="60">
        <f t="shared" si="41"/>
        <v>2404</v>
      </c>
      <c r="P20" s="48" t="s">
        <v>74</v>
      </c>
      <c r="Q20" s="48">
        <f>'FLUX 2015'!$K$27+'FLUX 2015'!$K$42</f>
        <v>0.87546553104923652</v>
      </c>
      <c r="R20" s="48">
        <f>'FLUX 2020'!$K$27+'FLUX 2020'!$K$42</f>
        <v>0.85854738083722726</v>
      </c>
      <c r="S20" s="48">
        <f>'FLUX 2025'!$K$27+'FLUX 2025'!$K$42</f>
        <v>0.83457590487817235</v>
      </c>
      <c r="T20" s="48">
        <f>'FLUX 2030'!$K$27+'FLUX 2030'!$K$42</f>
        <v>0.81029106566347953</v>
      </c>
      <c r="U20" s="48">
        <f>'FLUX 2035'!$K$27+'FLUX 2035'!$K$42</f>
        <v>0.72971592769660609</v>
      </c>
      <c r="V20" s="43"/>
      <c r="Y20" s="110" t="s">
        <v>516</v>
      </c>
      <c r="Z20" s="58">
        <f>AF20/Q23</f>
        <v>0.67721172646409855</v>
      </c>
      <c r="AA20" s="58">
        <f>AG20/'Cibles THREEME'!R23</f>
        <v>0.55747972624818654</v>
      </c>
      <c r="AB20" s="58">
        <f>AH20/'Cibles THREEME'!T23</f>
        <v>0.42501532014550503</v>
      </c>
      <c r="AC20" s="58">
        <f>AI20/'Cibles THREEME'!U23</f>
        <v>0.20534024812757193</v>
      </c>
      <c r="AE20" s="113" t="s">
        <v>514</v>
      </c>
      <c r="AF20" s="58">
        <f>'FLUX 2015'!$I18</f>
        <v>3.4405531132812497</v>
      </c>
      <c r="AG20" s="58">
        <f>'FLUX 2020'!$I18</f>
        <v>2.8322584101562502</v>
      </c>
      <c r="AH20" s="58">
        <f>'FLUX 2030'!$I18</f>
        <v>1.911212599609375</v>
      </c>
      <c r="AI20" s="58">
        <f>'FLUX 2035'!$I18</f>
        <v>0.91654741992187505</v>
      </c>
      <c r="AJ20" s="63"/>
      <c r="AL20" s="113" t="s">
        <v>515</v>
      </c>
      <c r="AM20" s="58">
        <f t="shared" ref="AM20:AN20" si="44">AU20/Q23</f>
        <v>0</v>
      </c>
      <c r="AN20" s="58">
        <f t="shared" si="44"/>
        <v>0</v>
      </c>
      <c r="AO20" s="58">
        <f t="shared" ref="AO20:AP20" si="45">AW20/T23</f>
        <v>0</v>
      </c>
      <c r="AP20" s="58">
        <f t="shared" si="45"/>
        <v>0</v>
      </c>
      <c r="AS20" s="43"/>
      <c r="AT20" s="113" t="s">
        <v>534</v>
      </c>
      <c r="AU20" s="58">
        <f t="shared" si="11"/>
        <v>0</v>
      </c>
      <c r="AV20" s="58">
        <f t="shared" si="11"/>
        <v>0</v>
      </c>
      <c r="AW20" s="58">
        <f t="shared" si="11"/>
        <v>0</v>
      </c>
      <c r="AX20" s="58">
        <f t="shared" si="11"/>
        <v>0</v>
      </c>
    </row>
    <row r="21" spans="1:50" ht="12.75">
      <c r="A21" s="50" t="s">
        <v>26</v>
      </c>
      <c r="B21" s="317"/>
      <c r="C21" s="317"/>
      <c r="D21" s="317"/>
      <c r="E21" s="366"/>
      <c r="F21" s="317"/>
      <c r="G21" s="52"/>
      <c r="I21" s="48" t="s">
        <v>97</v>
      </c>
      <c r="J21" s="48">
        <f t="shared" si="38"/>
        <v>0.13543706740427786</v>
      </c>
      <c r="K21" s="48">
        <f t="shared" si="38"/>
        <v>0.16723219422638544</v>
      </c>
      <c r="L21" s="48">
        <f t="shared" si="38"/>
        <v>0.19601459598080881</v>
      </c>
      <c r="M21" s="48">
        <f t="shared" si="38"/>
        <v>0.21689519541615604</v>
      </c>
      <c r="N21" s="48">
        <f t="shared" si="38"/>
        <v>0.1997019839016457</v>
      </c>
      <c r="O21" s="60">
        <f t="shared" si="41"/>
        <v>2405</v>
      </c>
      <c r="P21" s="48" t="s">
        <v>96</v>
      </c>
      <c r="Q21" s="48">
        <f>'FLUX 2015'!$K$37+'FLUX 2015'!$K$30</f>
        <v>0.13543706740427786</v>
      </c>
      <c r="R21" s="48">
        <f>'FLUX 2020'!$K$37+'FLUX 2020'!$K$30</f>
        <v>0.16723219422638544</v>
      </c>
      <c r="S21" s="48">
        <f>'FLUX 2025'!$K$37+'FLUX 2025'!$K$30</f>
        <v>0.19601459598080881</v>
      </c>
      <c r="T21" s="48">
        <f>'FLUX 2030'!$K$37+'FLUX 2030'!$K$30</f>
        <v>0.21689519541615604</v>
      </c>
      <c r="U21" s="48">
        <f>'FLUX 2035'!$K$37+'FLUX 2035'!$K$30</f>
        <v>0.1997019839016457</v>
      </c>
      <c r="V21" s="43"/>
      <c r="AH21" s="61"/>
      <c r="AI21" s="61">
        <f>SUM(AI4:AI20)-SUM('Sankey 2035'!J2:J19)</f>
        <v>-2.5683472442622701E-2</v>
      </c>
    </row>
    <row r="22" spans="1:50" ht="12.75">
      <c r="A22" s="49" t="s">
        <v>89</v>
      </c>
      <c r="B22" s="316"/>
      <c r="C22" s="316"/>
      <c r="D22" s="316"/>
      <c r="E22" s="365"/>
      <c r="F22" s="316"/>
      <c r="G22" s="52"/>
      <c r="I22" s="48" t="s">
        <v>78</v>
      </c>
      <c r="J22" s="48">
        <f t="shared" si="38"/>
        <v>1.8051971456804177</v>
      </c>
      <c r="K22" s="48">
        <f t="shared" si="38"/>
        <v>2.1581398031026771</v>
      </c>
      <c r="L22" s="48">
        <f t="shared" si="38"/>
        <v>2.6481401922813328</v>
      </c>
      <c r="M22" s="48">
        <f t="shared" si="38"/>
        <v>3.1480098631593121</v>
      </c>
      <c r="N22" s="48">
        <f t="shared" si="38"/>
        <v>2.8743982481331423</v>
      </c>
      <c r="O22" s="60">
        <f t="shared" si="41"/>
        <v>2406</v>
      </c>
      <c r="P22" s="48" t="s">
        <v>133</v>
      </c>
      <c r="Q22" s="48">
        <f>'FLUX 2015'!K38+'FLUX 2015'!$K$36+'FLUX 2015'!$K$31+'FLUX 2015'!$K$28</f>
        <v>1.8723007023248068</v>
      </c>
      <c r="R22" s="48">
        <f>'FLUX 2020'!K38+'FLUX 2020'!$K$36+'FLUX 2020'!$K$31+'FLUX 2020'!$K$28</f>
        <v>2.2624227097417218</v>
      </c>
      <c r="S22" s="48">
        <f>'FLUX 2025'!$K$38+'FLUX 2025'!$K$36+'FLUX 2025'!$K$31+'FLUX 2025'!$K$28</f>
        <v>2.8500139935425057</v>
      </c>
      <c r="T22" s="48">
        <f>'FLUX 2030'!$K$38+'FLUX 2030'!$K$36+'FLUX 2030'!$K$31+'FLUX 2030'!$K$28</f>
        <v>3.4474745590426137</v>
      </c>
      <c r="U22" s="48">
        <f>'FLUX 2035'!$K$38+'FLUX 2035'!$K$36+'FLUX 2035'!$K$31+'FLUX 2035'!$K$28</f>
        <v>3.2629634965996823</v>
      </c>
      <c r="V22" s="43"/>
      <c r="W22" s="43"/>
      <c r="X22" s="43"/>
      <c r="AX22" s="735">
        <f>SUM(AX4:AX20)-'Sankey 2035'!K20</f>
        <v>0</v>
      </c>
    </row>
    <row r="23" spans="1:50" ht="12.75">
      <c r="A23" s="50" t="s">
        <v>75</v>
      </c>
      <c r="B23" s="317"/>
      <c r="C23" s="317"/>
      <c r="D23" s="317"/>
      <c r="E23" s="366"/>
      <c r="F23" s="317"/>
      <c r="G23" s="52"/>
      <c r="I23" s="47" t="s">
        <v>40</v>
      </c>
      <c r="J23" s="47">
        <f>B37</f>
        <v>5.5711562922077693</v>
      </c>
      <c r="K23" s="47">
        <f>C37</f>
        <v>5.0804688974381573</v>
      </c>
      <c r="L23" s="47">
        <f t="shared" ref="L23:N23" si="46">D37</f>
        <v>4.7835839204350208</v>
      </c>
      <c r="M23" s="47">
        <f t="shared" si="46"/>
        <v>4.4968087243421406</v>
      </c>
      <c r="N23" s="47">
        <f t="shared" si="46"/>
        <v>4.4635546527266818</v>
      </c>
      <c r="O23" s="60"/>
      <c r="P23" s="47" t="s">
        <v>40</v>
      </c>
      <c r="Q23" s="47">
        <f>'FLUX 2020'!$K$44</f>
        <v>5.0804688974381573</v>
      </c>
      <c r="R23" s="47">
        <f>'FLUX 2020'!$K$44</f>
        <v>5.0804688974381573</v>
      </c>
      <c r="S23" s="47">
        <f>'FLUX 2025'!$K$44</f>
        <v>4.7835839204350208</v>
      </c>
      <c r="T23" s="47">
        <f>'FLUX 2030'!$K$44</f>
        <v>4.4968087243421406</v>
      </c>
      <c r="U23" s="47">
        <f>'FLUX 2035'!$K$44</f>
        <v>4.4635546527266818</v>
      </c>
      <c r="V23" s="43"/>
      <c r="W23" s="43"/>
      <c r="X23" s="43"/>
      <c r="AE23" s="62"/>
      <c r="AF23" s="62"/>
      <c r="AG23" s="62"/>
    </row>
    <row r="24" spans="1:50" ht="12.75">
      <c r="A24" s="49" t="s">
        <v>90</v>
      </c>
      <c r="B24" s="316"/>
      <c r="C24" s="316"/>
      <c r="D24" s="316"/>
      <c r="E24" s="365"/>
      <c r="F24" s="316"/>
      <c r="G24" s="52"/>
      <c r="Q24" s="318">
        <f>Q2-'FLUX 2015'!$AJ$5</f>
        <v>0.21268002261689389</v>
      </c>
      <c r="R24" s="318">
        <f>R2-'FLUX 2020'!$AJ$5</f>
        <v>0.38255321921351992</v>
      </c>
      <c r="S24" s="318">
        <f>S2-'FLUX 2025'!$AJ$5</f>
        <v>0.13488357340958146</v>
      </c>
      <c r="T24" s="318">
        <f>T2-'FLUX 2030'!$AJ$5</f>
        <v>-0.10647685309821497</v>
      </c>
      <c r="U24" s="318">
        <f>U2-'FLUX 2035'!$AJ$5</f>
        <v>-0.21093040012607389</v>
      </c>
    </row>
    <row r="25" spans="1:50">
      <c r="A25" s="50" t="s">
        <v>91</v>
      </c>
      <c r="B25" s="317"/>
      <c r="C25" s="317"/>
      <c r="D25" s="317"/>
      <c r="E25" s="366"/>
      <c r="F25" s="317"/>
      <c r="G25" s="52"/>
      <c r="T25" s="319"/>
      <c r="U25" s="43"/>
    </row>
    <row r="26" spans="1:50" ht="12.75">
      <c r="A26" s="49" t="s">
        <v>32</v>
      </c>
      <c r="B26" s="316"/>
      <c r="C26" s="316"/>
      <c r="D26" s="316"/>
      <c r="E26" s="365"/>
      <c r="F26" s="316"/>
      <c r="G26" s="52"/>
      <c r="J26" s="42">
        <v>2015</v>
      </c>
      <c r="K26" s="150">
        <v>2020</v>
      </c>
      <c r="L26" s="725">
        <v>2025</v>
      </c>
      <c r="M26" s="725">
        <v>2030</v>
      </c>
      <c r="N26" s="725">
        <v>2035</v>
      </c>
      <c r="Q26" s="42">
        <v>2015</v>
      </c>
      <c r="R26" s="150">
        <v>2020</v>
      </c>
      <c r="S26" s="740">
        <v>2025</v>
      </c>
      <c r="T26" s="740">
        <v>2030</v>
      </c>
      <c r="U26" s="740">
        <v>2035</v>
      </c>
    </row>
    <row r="27" spans="1:50" ht="30">
      <c r="A27" s="56" t="s">
        <v>72</v>
      </c>
      <c r="B27" s="314">
        <f>SUM(B28:B33)</f>
        <v>46.71521937139741</v>
      </c>
      <c r="C27" s="314">
        <f>SUM(C28:C33)</f>
        <v>46.191009444396876</v>
      </c>
      <c r="D27" s="314">
        <f>SUM(D28:D33)</f>
        <v>43.420114073999748</v>
      </c>
      <c r="E27" s="314">
        <f>SUM(E28:E33)</f>
        <v>40.513449066251894</v>
      </c>
      <c r="F27" s="314">
        <f>SUM(F28:F33)</f>
        <v>38.048337546660669</v>
      </c>
      <c r="G27" s="54"/>
      <c r="I27" s="726" t="s">
        <v>625</v>
      </c>
      <c r="J27" s="44"/>
      <c r="K27" s="44"/>
      <c r="L27" s="44"/>
      <c r="M27" s="44"/>
      <c r="N27" s="44"/>
      <c r="P27" s="726" t="s">
        <v>641</v>
      </c>
      <c r="Q27" s="44"/>
      <c r="R27" s="44"/>
      <c r="S27" s="44"/>
      <c r="T27" s="44"/>
      <c r="U27" s="44"/>
    </row>
    <row r="28" spans="1:50" ht="12.75">
      <c r="A28" s="57" t="s">
        <v>73</v>
      </c>
      <c r="B28" s="315">
        <f>'FLUX 2015'!$G$24-'FLUX 2015'!$S$23+'FLUX 2015'!$G$43</f>
        <v>32.514409810229651</v>
      </c>
      <c r="C28" s="315">
        <f>'FLUX 2020'!$G$24-'FLUX 2020'!$S$23+'FLUX 2020'!$G$43</f>
        <v>29.593746601304652</v>
      </c>
      <c r="D28" s="315">
        <f>'FLUX 2025'!$G$24-'FLUX 2025'!$S$23+'FLUX 2025'!$G$43</f>
        <v>25.21421120480295</v>
      </c>
      <c r="E28" s="315">
        <f>'FLUX 2030'!$G$24-'FLUX 2030'!$S$23+'FLUX 2030'!$G$43</f>
        <v>20.726890896131192</v>
      </c>
      <c r="F28" s="315">
        <f>'FLUX 2035'!$G$24-'FLUX 2035'!$S$23+'FLUX 2035'!$G$43</f>
        <v>17.134756647444586</v>
      </c>
      <c r="G28" s="54"/>
      <c r="I28" s="47" t="s">
        <v>66</v>
      </c>
      <c r="J28" s="47"/>
      <c r="K28" s="47"/>
      <c r="L28" s="47"/>
      <c r="M28" s="47"/>
      <c r="N28" s="47"/>
      <c r="P28" s="47" t="s">
        <v>66</v>
      </c>
      <c r="Q28" s="47"/>
      <c r="R28" s="47"/>
      <c r="S28" s="47"/>
      <c r="T28" s="47"/>
      <c r="U28" s="47"/>
    </row>
    <row r="29" spans="1:50" ht="12.75">
      <c r="A29" s="57" t="s">
        <v>92</v>
      </c>
      <c r="B29" s="315">
        <f>'FLUX 2015'!$G$29+'FLUX 2015'!$G$35-'FLUX 2015'!AO35</f>
        <v>11.249272749629558</v>
      </c>
      <c r="C29" s="315">
        <f>'FLUX 2020'!$G$29+'FLUX 2020'!$G$35-'FLUX 2020'!AO35</f>
        <v>13.246111270699544</v>
      </c>
      <c r="D29" s="315">
        <f>'FLUX 2025'!$G$29+'FLUX 2025'!$G$35-'FLUX 2025'!AO35</f>
        <v>14.331157580075685</v>
      </c>
      <c r="E29" s="48">
        <f>'FLUX 2030'!$G$29+'FLUX 2030'!$G$35-+'FLUX 2030'!AO35</f>
        <v>15.394466850465601</v>
      </c>
      <c r="F29" s="315">
        <f>'FLUX 2035'!$G$29+'FLUX 2035'!$G$35-'FLUX 2035'!AO35</f>
        <v>16.910062755583041</v>
      </c>
      <c r="G29" s="54"/>
      <c r="I29" s="48" t="s">
        <v>67</v>
      </c>
      <c r="J29" s="728">
        <f>J4/J$3</f>
        <v>0.89699104492573289</v>
      </c>
      <c r="K29" s="728">
        <f t="shared" ref="K29:N29" si="47">K4/K$3</f>
        <v>0.82853772544787163</v>
      </c>
      <c r="L29" s="728">
        <f t="shared" si="47"/>
        <v>0.78221551149926816</v>
      </c>
      <c r="M29" s="728">
        <f t="shared" si="47"/>
        <v>0.73438147594490388</v>
      </c>
      <c r="N29" s="728">
        <f t="shared" si="47"/>
        <v>0.7062174442496606</v>
      </c>
      <c r="P29" s="48" t="s">
        <v>67</v>
      </c>
      <c r="Q29" s="728">
        <f>Q4/Q$3</f>
        <v>0.93146897932251915</v>
      </c>
      <c r="R29" s="728">
        <f t="shared" ref="R29:T29" si="48">R4/R$3</f>
        <v>0.88795608137873516</v>
      </c>
      <c r="S29" s="728">
        <f t="shared" si="48"/>
        <v>0.85577006997862837</v>
      </c>
      <c r="T29" s="728">
        <f t="shared" si="48"/>
        <v>0.82523891853419584</v>
      </c>
      <c r="U29" s="728">
        <f>U4/U$3</f>
        <v>0.81389732752401267</v>
      </c>
    </row>
    <row r="30" spans="1:50" ht="12.75">
      <c r="A30" s="57" t="s">
        <v>93</v>
      </c>
      <c r="B30" s="315">
        <f>'FLUX 2015'!$G$26+'FLUX 2015'!$G$28+'FLUX 2015'!$G$30+'FLUX 2015'!$G$34</f>
        <v>0.13543706740427786</v>
      </c>
      <c r="C30" s="315">
        <f>'FLUX 2020'!$G$26+'FLUX 2020'!$G$28+'FLUX 2020'!$G$30+'FLUX 2020'!$G$34</f>
        <v>0.16723219422638544</v>
      </c>
      <c r="D30" s="315">
        <f>'FLUX 2025'!$G$26+'FLUX 2025'!$G$28+'FLUX 2025'!$G$30+'FLUX 2025'!$G$34</f>
        <v>0.19601459598080881</v>
      </c>
      <c r="E30" s="48">
        <f>'FLUX 2030'!$G$26+'FLUX 2030'!$G$28+'FLUX 2030'!$G$30+'FLUX 2030'!$G$34</f>
        <v>0.21689519541615604</v>
      </c>
      <c r="F30" s="315">
        <f>'FLUX 2035'!$G$26+'FLUX 2035'!$G$28+'FLUX 2035'!$G$30+'FLUX 2035'!$G$34</f>
        <v>0.1997019839016457</v>
      </c>
      <c r="G30" s="55"/>
      <c r="I30" s="48" t="s">
        <v>65</v>
      </c>
      <c r="J30" s="728">
        <f>J5/J$3</f>
        <v>0.10300895507426702</v>
      </c>
      <c r="K30" s="728">
        <f t="shared" ref="K30:N30" si="49">K5/K$3</f>
        <v>0.1714622745521284</v>
      </c>
      <c r="L30" s="728">
        <f t="shared" si="49"/>
        <v>0.21778448850073182</v>
      </c>
      <c r="M30" s="728">
        <f t="shared" si="49"/>
        <v>0.26561852405509612</v>
      </c>
      <c r="N30" s="728">
        <f t="shared" si="49"/>
        <v>0.2937825557503394</v>
      </c>
      <c r="P30" s="48" t="s">
        <v>65</v>
      </c>
      <c r="Q30" s="728">
        <f>Q5/Q$3</f>
        <v>6.8531020677480861E-2</v>
      </c>
      <c r="R30" s="728">
        <f t="shared" ref="R30:U30" si="50">R5/R$3</f>
        <v>0.11204391862126474</v>
      </c>
      <c r="S30" s="728">
        <f t="shared" si="50"/>
        <v>0.14422993002137161</v>
      </c>
      <c r="T30" s="728">
        <f t="shared" si="50"/>
        <v>0.17476108146580416</v>
      </c>
      <c r="U30" s="728">
        <f t="shared" si="50"/>
        <v>0.18610267247598733</v>
      </c>
    </row>
    <row r="31" spans="1:50" ht="12.75">
      <c r="A31" s="57" t="s">
        <v>74</v>
      </c>
      <c r="B31" s="315">
        <f>'FLUX 2015'!$G$27+'FLUX 2015'!$G$42</f>
        <v>0.87546553104923652</v>
      </c>
      <c r="C31" s="315">
        <f>'FLUX 2020'!$G$27+'FLUX 2020'!$G$42</f>
        <v>0.85854738083722726</v>
      </c>
      <c r="D31" s="315">
        <f>'FLUX 2025'!$G$27+'FLUX 2025'!$G$42</f>
        <v>0.83457590487817235</v>
      </c>
      <c r="E31" s="48">
        <f>'FLUX 2030'!$G$27+'FLUX 2030'!$G$42</f>
        <v>0.81029106566347953</v>
      </c>
      <c r="F31" s="315">
        <f>'FLUX 2035'!$G$27+'FLUX 2035'!$G$42</f>
        <v>0.72971592769660609</v>
      </c>
      <c r="G31" s="55"/>
      <c r="I31" s="48" t="s">
        <v>83</v>
      </c>
      <c r="J31" s="48"/>
      <c r="K31" s="48"/>
      <c r="L31" s="48"/>
      <c r="M31" s="48"/>
      <c r="N31" s="48"/>
      <c r="P31" s="48" t="s">
        <v>83</v>
      </c>
      <c r="Q31" s="48"/>
      <c r="R31" s="48"/>
      <c r="S31" s="48"/>
      <c r="T31" s="48"/>
      <c r="U31" s="48"/>
    </row>
    <row r="32" spans="1:50" ht="12.75">
      <c r="A32" s="57" t="s">
        <v>75</v>
      </c>
      <c r="B32" s="48">
        <f>'FLUX 2015'!$G$30</f>
        <v>0.13543706740427786</v>
      </c>
      <c r="C32" s="48">
        <f>'FLUX 2020'!$G$30</f>
        <v>0.16723219422638544</v>
      </c>
      <c r="D32" s="48">
        <f>'FLUX 2025'!$G$30</f>
        <v>0.19601459598080881</v>
      </c>
      <c r="E32" s="48">
        <f>'FLUX 2030'!$G$30</f>
        <v>0.21689519541615604</v>
      </c>
      <c r="F32" s="48">
        <f>'FLUX 2035'!$G$30</f>
        <v>0.1997019839016457</v>
      </c>
      <c r="G32" s="55"/>
      <c r="I32" s="47" t="s">
        <v>54</v>
      </c>
      <c r="J32" s="47"/>
      <c r="K32" s="47"/>
      <c r="L32" s="47"/>
      <c r="M32" s="47"/>
      <c r="N32" s="47"/>
      <c r="P32" s="47" t="s">
        <v>54</v>
      </c>
      <c r="Q32" s="47"/>
      <c r="R32" s="47"/>
      <c r="S32" s="47"/>
      <c r="T32" s="47"/>
      <c r="U32" s="47"/>
    </row>
    <row r="33" spans="1:21" ht="12.75">
      <c r="A33" s="57" t="s">
        <v>94</v>
      </c>
      <c r="B33" s="320">
        <f>'FLUX 2015'!$G$31+'FLUX 2015'!$G$37+'FLUX 2015'!$G$38</f>
        <v>1.8051971456804177</v>
      </c>
      <c r="C33" s="320">
        <f>'FLUX 2020'!$G$31+'FLUX 2020'!$G$37+'FLUX 2020'!$G$38</f>
        <v>2.1581398031026771</v>
      </c>
      <c r="D33" s="320">
        <f>'FLUX 2025'!$G$31+'FLUX 2025'!$G$37+'FLUX 2025'!$G$38</f>
        <v>2.6481401922813328</v>
      </c>
      <c r="E33" s="367">
        <f>'FLUX 2030'!$G$31+'FLUX 2030'!$G$37+'FLUX 2030'!$G$38</f>
        <v>3.1480098631593121</v>
      </c>
      <c r="F33" s="320">
        <f>'FLUX 2035'!$G$31+'FLUX 2035'!$G$37+'FLUX 2035'!$G$38</f>
        <v>2.8743982481331423</v>
      </c>
      <c r="G33" s="55"/>
      <c r="I33" s="48" t="s">
        <v>24</v>
      </c>
      <c r="J33" s="728">
        <f>J8/J$7</f>
        <v>0.84947636725580467</v>
      </c>
      <c r="K33" s="728">
        <f t="shared" ref="K33:N33" si="51">K8/K$7</f>
        <v>0.83102195551298386</v>
      </c>
      <c r="L33" s="728">
        <f t="shared" si="51"/>
        <v>0.63868019095363671</v>
      </c>
      <c r="M33" s="728">
        <f t="shared" si="51"/>
        <v>0.68164577049100861</v>
      </c>
      <c r="N33" s="728">
        <f t="shared" si="51"/>
        <v>0.70009444055907644</v>
      </c>
      <c r="P33" s="48" t="s">
        <v>24</v>
      </c>
      <c r="Q33" s="728">
        <f>Q8/Q$7</f>
        <v>0.74749362041301071</v>
      </c>
      <c r="R33" s="728">
        <f t="shared" ref="R33:U33" si="52">R8/R$7</f>
        <v>0.70889112690576828</v>
      </c>
      <c r="S33" s="728">
        <f t="shared" si="52"/>
        <v>0.5012836237154098</v>
      </c>
      <c r="T33" s="728">
        <f t="shared" si="52"/>
        <v>0.50820942913394984</v>
      </c>
      <c r="U33" s="728">
        <f t="shared" si="52"/>
        <v>0.510656630258436</v>
      </c>
    </row>
    <row r="34" spans="1:21" ht="12.75">
      <c r="A34" s="49" t="s">
        <v>35</v>
      </c>
      <c r="B34" s="316"/>
      <c r="C34" s="316"/>
      <c r="D34" s="316"/>
      <c r="E34" s="365"/>
      <c r="F34" s="316"/>
      <c r="G34" s="52"/>
      <c r="I34" s="48" t="s">
        <v>627</v>
      </c>
      <c r="J34" s="728">
        <f t="shared" ref="J34:N34" si="53">J9/J$7</f>
        <v>4.2928017251072335E-3</v>
      </c>
      <c r="K34" s="728">
        <f t="shared" si="53"/>
        <v>3.9199919433880372E-3</v>
      </c>
      <c r="L34" s="728">
        <f t="shared" si="53"/>
        <v>9.8885374696197604E-4</v>
      </c>
      <c r="M34" s="728">
        <f t="shared" si="53"/>
        <v>4.5589506627903743E-4</v>
      </c>
      <c r="N34" s="728">
        <f t="shared" si="53"/>
        <v>4.6216872920183937E-4</v>
      </c>
      <c r="P34" s="48" t="s">
        <v>627</v>
      </c>
      <c r="Q34" s="728">
        <f t="shared" ref="Q34:U34" si="54">Q9/Q$7</f>
        <v>4.3434934249693144E-3</v>
      </c>
      <c r="R34" s="728">
        <f t="shared" si="54"/>
        <v>3.8611055350960717E-3</v>
      </c>
      <c r="S34" s="728">
        <f t="shared" si="54"/>
        <v>9.2306668362853968E-4</v>
      </c>
      <c r="T34" s="728">
        <f t="shared" si="54"/>
        <v>4.0079874983237534E-4</v>
      </c>
      <c r="U34" s="728">
        <f t="shared" si="54"/>
        <v>3.9914456498405681E-4</v>
      </c>
    </row>
    <row r="35" spans="1:21" ht="12.75">
      <c r="A35" s="50" t="s">
        <v>30</v>
      </c>
      <c r="B35" s="317"/>
      <c r="C35" s="317"/>
      <c r="D35" s="317"/>
      <c r="E35" s="366"/>
      <c r="F35" s="317"/>
      <c r="G35" s="52"/>
      <c r="I35" s="48" t="s">
        <v>628</v>
      </c>
      <c r="J35" s="728">
        <f t="shared" ref="J35:N35" si="55">J10/J$7</f>
        <v>1.6189950956071165E-2</v>
      </c>
      <c r="K35" s="728">
        <f t="shared" si="55"/>
        <v>1.1555418065478983E-2</v>
      </c>
      <c r="L35" s="728">
        <f t="shared" si="55"/>
        <v>0.13110979900581823</v>
      </c>
      <c r="M35" s="728">
        <f t="shared" si="55"/>
        <v>5.4146286914614691E-2</v>
      </c>
      <c r="N35" s="728">
        <f t="shared" si="55"/>
        <v>2.9185606777095845E-2</v>
      </c>
      <c r="P35" s="48" t="s">
        <v>628</v>
      </c>
      <c r="Q35" s="728">
        <f t="shared" ref="Q35:U35" si="56">Q10/Q$7</f>
        <v>2.5706841830268563E-2</v>
      </c>
      <c r="R35" s="728">
        <f t="shared" si="56"/>
        <v>2.0670230876620389E-2</v>
      </c>
      <c r="S35" s="728">
        <f t="shared" si="56"/>
        <v>0.11071421259845035</v>
      </c>
      <c r="T35" s="728">
        <f t="shared" si="56"/>
        <v>4.7541503037123713E-2</v>
      </c>
      <c r="U35" s="728">
        <f t="shared" si="56"/>
        <v>2.5961366214819728E-2</v>
      </c>
    </row>
    <row r="36" spans="1:21" ht="12.75">
      <c r="A36" s="49" t="s">
        <v>81</v>
      </c>
      <c r="B36" s="316"/>
      <c r="C36" s="316"/>
      <c r="D36" s="316"/>
      <c r="E36" s="365"/>
      <c r="F36" s="316"/>
      <c r="G36" s="52"/>
      <c r="I36" s="48" t="s">
        <v>629</v>
      </c>
      <c r="J36" s="728">
        <f t="shared" ref="J36:N36" si="57">J11/J$7</f>
        <v>4.1018829253044911E-2</v>
      </c>
      <c r="K36" s="728">
        <f t="shared" si="57"/>
        <v>3.4753920048193103E-2</v>
      </c>
      <c r="L36" s="728">
        <f t="shared" si="57"/>
        <v>4.2521167164884507E-2</v>
      </c>
      <c r="M36" s="728">
        <f t="shared" si="57"/>
        <v>3.0721028837858759E-2</v>
      </c>
      <c r="N36" s="728">
        <f t="shared" si="57"/>
        <v>1.4993985469415296E-2</v>
      </c>
      <c r="P36" s="48" t="s">
        <v>629</v>
      </c>
      <c r="Q36" s="728">
        <f t="shared" ref="Q36:U36" si="58">Q11/Q$7</f>
        <v>3.608464684164734E-2</v>
      </c>
      <c r="R36" s="728">
        <f t="shared" si="58"/>
        <v>2.9541075252313354E-2</v>
      </c>
      <c r="S36" s="728">
        <f t="shared" si="58"/>
        <v>3.4057183702575593E-2</v>
      </c>
      <c r="T36" s="728">
        <f t="shared" si="58"/>
        <v>2.3066267477700488E-2</v>
      </c>
      <c r="U36" s="728">
        <f t="shared" si="58"/>
        <v>1.1016082059764716E-2</v>
      </c>
    </row>
    <row r="37" spans="1:21" ht="12.75">
      <c r="A37" s="56" t="s">
        <v>40</v>
      </c>
      <c r="B37" s="314">
        <f>'FLUX 2015'!$G$44</f>
        <v>5.5711562922077693</v>
      </c>
      <c r="C37" s="314">
        <f>'FLUX 2020'!$G$44</f>
        <v>5.0804688974381573</v>
      </c>
      <c r="D37" s="314">
        <f>'FLUX 2025'!$G$44</f>
        <v>4.7835839204350208</v>
      </c>
      <c r="E37" s="47">
        <f>'FLUX 2030'!$G$44</f>
        <v>4.4968087243421406</v>
      </c>
      <c r="F37" s="314">
        <f>'FLUX 2035'!$G$44</f>
        <v>4.4635546527266818</v>
      </c>
      <c r="G37" s="55"/>
      <c r="I37" s="48" t="s">
        <v>69</v>
      </c>
      <c r="J37" s="728">
        <f t="shared" ref="J37:N37" si="59">J12/J$7</f>
        <v>1.3472410927476624E-2</v>
      </c>
      <c r="K37" s="728">
        <f t="shared" si="59"/>
        <v>2.9294132650194385E-2</v>
      </c>
      <c r="L37" s="728">
        <f t="shared" si="59"/>
        <v>5.9506965557040409E-2</v>
      </c>
      <c r="M37" s="728">
        <f t="shared" si="59"/>
        <v>8.3670395777272991E-2</v>
      </c>
      <c r="N37" s="728">
        <f t="shared" si="59"/>
        <v>8.7116626397406402E-2</v>
      </c>
      <c r="P37" s="48" t="s">
        <v>69</v>
      </c>
      <c r="Q37" s="728">
        <f t="shared" ref="Q37:U37" si="60">Q12/Q$7</f>
        <v>3.4734865779220865E-2</v>
      </c>
      <c r="R37" s="728">
        <f t="shared" si="60"/>
        <v>6.9710495624757327E-2</v>
      </c>
      <c r="S37" s="728">
        <f t="shared" si="60"/>
        <v>0.13292989504941086</v>
      </c>
      <c r="T37" s="728">
        <f t="shared" si="60"/>
        <v>0.17269491283168065</v>
      </c>
      <c r="U37" s="728">
        <f t="shared" si="60"/>
        <v>0.17402180715221791</v>
      </c>
    </row>
    <row r="38" spans="1:21" ht="12.75">
      <c r="B38" s="321"/>
      <c r="E38" s="43"/>
      <c r="F38" s="321"/>
      <c r="I38" s="48" t="s">
        <v>70</v>
      </c>
      <c r="J38" s="728">
        <f t="shared" ref="J38:N38" si="61">J13/J$7</f>
        <v>3.8235432646612816E-3</v>
      </c>
      <c r="K38" s="728">
        <f t="shared" si="61"/>
        <v>1.0157244093148995E-2</v>
      </c>
      <c r="L38" s="728">
        <f t="shared" si="61"/>
        <v>1.8530708130903989E-2</v>
      </c>
      <c r="M38" s="728">
        <f t="shared" si="61"/>
        <v>2.7845021616168735E-2</v>
      </c>
      <c r="N38" s="728">
        <f t="shared" si="61"/>
        <v>4.0391482073438081E-2</v>
      </c>
      <c r="P38" s="48" t="s">
        <v>70</v>
      </c>
      <c r="Q38" s="728">
        <f t="shared" ref="Q38:U38" si="62">Q13/Q$7</f>
        <v>9.8579432481044477E-3</v>
      </c>
      <c r="R38" s="728">
        <f t="shared" si="62"/>
        <v>2.5303434053606483E-2</v>
      </c>
      <c r="S38" s="728">
        <f t="shared" si="62"/>
        <v>4.349873662430892E-2</v>
      </c>
      <c r="T38" s="728">
        <f t="shared" si="62"/>
        <v>6.1273153932052161E-2</v>
      </c>
      <c r="U38" s="728">
        <f t="shared" si="62"/>
        <v>8.6972298812714413E-2</v>
      </c>
    </row>
    <row r="39" spans="1:21" ht="12.75">
      <c r="A39" s="42" t="s">
        <v>80</v>
      </c>
      <c r="B39" s="321"/>
      <c r="E39" s="43"/>
      <c r="F39" s="321"/>
      <c r="I39" s="48" t="s">
        <v>22</v>
      </c>
      <c r="J39" s="728">
        <f t="shared" ref="J39:N39" si="63">J14/J$7</f>
        <v>4.7646740279513891E-2</v>
      </c>
      <c r="K39" s="728">
        <f t="shared" si="63"/>
        <v>4.6429257267498879E-2</v>
      </c>
      <c r="L39" s="728">
        <f t="shared" si="63"/>
        <v>5.6938165602805485E-2</v>
      </c>
      <c r="M39" s="728">
        <f t="shared" si="63"/>
        <v>6.173158628984457E-2</v>
      </c>
      <c r="N39" s="728">
        <f t="shared" si="63"/>
        <v>6.3286962759650858E-2</v>
      </c>
      <c r="P39" s="48" t="s">
        <v>22</v>
      </c>
      <c r="Q39" s="728">
        <f t="shared" ref="Q39:U39" si="64">Q14/Q$7</f>
        <v>0.12284387258639523</v>
      </c>
      <c r="R39" s="728">
        <f t="shared" si="64"/>
        <v>0.11566322898732903</v>
      </c>
      <c r="S39" s="728">
        <f t="shared" si="64"/>
        <v>0.13365588902116596</v>
      </c>
      <c r="T39" s="728">
        <f t="shared" si="64"/>
        <v>0.13584076325554129</v>
      </c>
      <c r="U39" s="728">
        <f t="shared" si="64"/>
        <v>0.13627161850793085</v>
      </c>
    </row>
    <row r="40" spans="1:21" ht="12.75">
      <c r="A40" s="42" t="s">
        <v>79</v>
      </c>
      <c r="B40" s="321">
        <f>B2-'FLUX 2015'!$G$41-'FLUX 2015'!$G$43</f>
        <v>244.62640855207621</v>
      </c>
      <c r="C40" s="321">
        <f>C2-'FLUX 2020'!$G$41-'FLUX 2020'!$G$43</f>
        <v>230.45459166698379</v>
      </c>
      <c r="D40" s="321">
        <f>D2-'FLUX 2025'!$G$41-'FLUX 2025'!$G$43</f>
        <v>199.96013303383882</v>
      </c>
      <c r="E40" s="43">
        <f>E2-'FLUX 2030'!$G$41-'FLUX 2030'!$G$43</f>
        <v>184.48515499237456</v>
      </c>
      <c r="F40" s="321">
        <f>F2-'FLUX 2035'!$G$41-'FLUX 2035'!$G$43</f>
        <v>178.8984971283781</v>
      </c>
      <c r="I40" s="48" t="s">
        <v>71</v>
      </c>
      <c r="J40" s="728">
        <f t="shared" ref="J40:N40" si="65">J15/J$7</f>
        <v>2.4079356338320333E-2</v>
      </c>
      <c r="K40" s="728">
        <f t="shared" si="65"/>
        <v>3.2868080419113828E-2</v>
      </c>
      <c r="L40" s="728">
        <f t="shared" si="65"/>
        <v>5.1724149837948638E-2</v>
      </c>
      <c r="M40" s="728">
        <f t="shared" si="65"/>
        <v>5.9784015006952532E-2</v>
      </c>
      <c r="N40" s="728">
        <f t="shared" si="65"/>
        <v>6.4468727234715209E-2</v>
      </c>
      <c r="P40" s="48" t="s">
        <v>71</v>
      </c>
      <c r="Q40" s="728">
        <f t="shared" ref="Q40:U40" si="66">Q15/Q$7</f>
        <v>1.893471587638355E-2</v>
      </c>
      <c r="R40" s="728">
        <f t="shared" si="66"/>
        <v>2.6359302764508968E-2</v>
      </c>
      <c r="S40" s="728">
        <f t="shared" si="66"/>
        <v>4.2937392605050077E-2</v>
      </c>
      <c r="T40" s="728">
        <f t="shared" si="66"/>
        <v>5.0973171582119461E-2</v>
      </c>
      <c r="U40" s="728">
        <f t="shared" si="66"/>
        <v>5.4701052429132493E-2</v>
      </c>
    </row>
    <row r="41" spans="1:21" ht="12.75">
      <c r="A41" s="42" t="s">
        <v>86</v>
      </c>
      <c r="B41" s="321">
        <f>('FLUX 2015'!$C13)</f>
        <v>4.0922353901271604</v>
      </c>
      <c r="C41" s="321">
        <f>('FLUX 2020'!$C13)</f>
        <v>5.595797582970687</v>
      </c>
      <c r="D41" s="321">
        <f>('FLUX 2025'!$C13)</f>
        <v>6.4579573013781273</v>
      </c>
      <c r="E41" s="43">
        <f>('FLUX 2030'!$C13)</f>
        <v>6.9845124203673823</v>
      </c>
      <c r="F41" s="321">
        <f>('FLUX 2035'!$C13)</f>
        <v>7.171530966937218</v>
      </c>
      <c r="I41" s="47" t="s">
        <v>72</v>
      </c>
      <c r="J41" s="47"/>
      <c r="K41" s="47"/>
      <c r="L41" s="47"/>
      <c r="M41" s="47"/>
      <c r="N41" s="47"/>
      <c r="P41" s="47" t="s">
        <v>72</v>
      </c>
      <c r="Q41" s="47"/>
      <c r="R41" s="47"/>
      <c r="S41" s="47"/>
      <c r="T41" s="47"/>
      <c r="U41" s="47"/>
    </row>
    <row r="42" spans="1:21" ht="12.75">
      <c r="A42" s="42" t="s">
        <v>81</v>
      </c>
      <c r="B42" s="321"/>
      <c r="E42" s="43"/>
      <c r="F42" s="321"/>
      <c r="I42" s="48" t="s">
        <v>73</v>
      </c>
      <c r="J42" s="728">
        <f>J17/J$16</f>
        <v>0.68586608457340037</v>
      </c>
      <c r="K42" s="728">
        <f t="shared" ref="K42:N42" si="67">K17/K$16</f>
        <v>0.6281724804241704</v>
      </c>
      <c r="L42" s="728">
        <f t="shared" si="67"/>
        <v>0.56462739087938385</v>
      </c>
      <c r="M42" s="728">
        <f t="shared" si="67"/>
        <v>0.49083631628468738</v>
      </c>
      <c r="N42" s="728">
        <f t="shared" si="67"/>
        <v>0.42473670804763669</v>
      </c>
      <c r="P42" s="48" t="s">
        <v>73</v>
      </c>
      <c r="Q42" s="728">
        <f>Q17/Q$16</f>
        <v>0.65064342039760281</v>
      </c>
      <c r="R42" s="728">
        <f t="shared" ref="R42:U42" si="68">R17/R$16</f>
        <v>0.58383752213256535</v>
      </c>
      <c r="S42" s="728">
        <f t="shared" si="68"/>
        <v>0.51859795939176645</v>
      </c>
      <c r="T42" s="728">
        <f t="shared" si="68"/>
        <v>0.44583837714761604</v>
      </c>
      <c r="U42" s="728">
        <f t="shared" si="68"/>
        <v>0.3806625403832562</v>
      </c>
    </row>
    <row r="43" spans="1:21" ht="12.75">
      <c r="A43" s="42" t="s">
        <v>85</v>
      </c>
      <c r="B43" s="321">
        <f>-'FLUX 2015'!$G26</f>
        <v>0</v>
      </c>
      <c r="C43" s="321">
        <f>-'FLUX 2020'!$G26</f>
        <v>0</v>
      </c>
      <c r="D43" s="321">
        <f>-'FLUX 2025'!$G26</f>
        <v>0</v>
      </c>
      <c r="E43" s="43">
        <f>-'FLUX 2030'!$G26</f>
        <v>0</v>
      </c>
      <c r="F43" s="321">
        <f>-'FLUX 2035'!$G26</f>
        <v>0</v>
      </c>
      <c r="I43" s="48" t="s">
        <v>76</v>
      </c>
      <c r="J43" s="728">
        <f t="shared" ref="J43:N43" si="69">J18/J$16</f>
        <v>0.24884342539217133</v>
      </c>
      <c r="K43" s="728">
        <f t="shared" si="69"/>
        <v>0.29675186471241238</v>
      </c>
      <c r="L43" s="728">
        <f t="shared" si="69"/>
        <v>0.34271266369946923</v>
      </c>
      <c r="M43" s="728">
        <f t="shared" si="69"/>
        <v>0.39614284520957266</v>
      </c>
      <c r="N43" s="728">
        <f t="shared" si="69"/>
        <v>0.4651397775816758</v>
      </c>
      <c r="P43" s="48" t="s">
        <v>76</v>
      </c>
      <c r="Q43" s="728">
        <f t="shared" ref="Q43:U43" si="70">Q18/Q$16</f>
        <v>0.28675456790144344</v>
      </c>
      <c r="R43" s="728">
        <f t="shared" si="70"/>
        <v>0.34561402646915512</v>
      </c>
      <c r="S43" s="728">
        <f t="shared" si="70"/>
        <v>0.39397077377494472</v>
      </c>
      <c r="T43" s="728">
        <f t="shared" si="70"/>
        <v>0.44723476017074326</v>
      </c>
      <c r="U43" s="728">
        <f t="shared" si="70"/>
        <v>0.51352010223089406</v>
      </c>
    </row>
    <row r="44" spans="1:21" ht="12.75">
      <c r="A44" s="42" t="s">
        <v>84</v>
      </c>
      <c r="B44" s="321">
        <f>-'FLUX 2015'!$G16</f>
        <v>0</v>
      </c>
      <c r="C44" s="321">
        <f>-'FLUX 2020'!$G16</f>
        <v>0</v>
      </c>
      <c r="D44" s="321">
        <f>-'FLUX 2025'!$G16</f>
        <v>0</v>
      </c>
      <c r="E44" s="43">
        <f>-'FLUX 2030'!$G16</f>
        <v>0</v>
      </c>
      <c r="F44" s="321">
        <f>-'FLUX 2035'!$G16</f>
        <v>0</v>
      </c>
      <c r="I44" s="48" t="s">
        <v>77</v>
      </c>
      <c r="J44" s="728">
        <f t="shared" ref="J44:N44" si="71">J19/J$16</f>
        <v>2.9959824539822571E-3</v>
      </c>
      <c r="K44" s="728">
        <f t="shared" si="71"/>
        <v>3.7464931754274296E-3</v>
      </c>
      <c r="L44" s="728">
        <f t="shared" si="71"/>
        <v>4.6874569578351883E-3</v>
      </c>
      <c r="M44" s="728">
        <f t="shared" si="71"/>
        <v>5.5813222152505818E-3</v>
      </c>
      <c r="N44" s="728">
        <f t="shared" si="71"/>
        <v>5.4931396599319218E-3</v>
      </c>
      <c r="P44" s="48" t="s">
        <v>77</v>
      </c>
      <c r="Q44" s="728">
        <f t="shared" ref="Q44:U44" si="72">Q19/Q$16</f>
        <v>2.0984829188349582E-3</v>
      </c>
      <c r="R44" s="728">
        <f t="shared" si="72"/>
        <v>2.0821794411348942E-3</v>
      </c>
      <c r="S44" s="728">
        <f t="shared" si="72"/>
        <v>2.1964318976240012E-3</v>
      </c>
      <c r="T44" s="728">
        <f t="shared" si="72"/>
        <v>2.3373724716662897E-3</v>
      </c>
      <c r="U44" s="728">
        <f t="shared" si="72"/>
        <v>2.4652365976553531E-3</v>
      </c>
    </row>
    <row r="45" spans="1:21" ht="12.75">
      <c r="B45" s="321"/>
      <c r="E45" s="43"/>
      <c r="F45" s="321"/>
      <c r="I45" s="48" t="s">
        <v>74</v>
      </c>
      <c r="J45" s="728">
        <f t="shared" ref="J45:N45" si="73">J20/J$16</f>
        <v>1.9366037823755528E-2</v>
      </c>
      <c r="K45" s="728">
        <f t="shared" si="73"/>
        <v>1.9233987319053361E-2</v>
      </c>
      <c r="L45" s="728">
        <f t="shared" si="73"/>
        <v>1.9957894526108671E-2</v>
      </c>
      <c r="M45" s="728">
        <f t="shared" si="73"/>
        <v>2.0851063652790235E-2</v>
      </c>
      <c r="N45" s="728">
        <f t="shared" si="73"/>
        <v>2.0072066509306263E-2</v>
      </c>
      <c r="P45" s="48" t="s">
        <v>74</v>
      </c>
      <c r="Q45" s="728">
        <f t="shared" ref="Q45:U45" si="74">Q20/Q$16</f>
        <v>1.8371494629355986E-2</v>
      </c>
      <c r="R45" s="728">
        <f t="shared" si="74"/>
        <v>1.7876497056194849E-2</v>
      </c>
      <c r="S45" s="728">
        <f t="shared" si="74"/>
        <v>1.8330891384628317E-2</v>
      </c>
      <c r="T45" s="728">
        <f t="shared" si="74"/>
        <v>1.8939520309189588E-2</v>
      </c>
      <c r="U45" s="728">
        <f t="shared" si="74"/>
        <v>1.7989224108497005E-2</v>
      </c>
    </row>
    <row r="46" spans="1:21" ht="12.75">
      <c r="A46" s="42" t="s">
        <v>9</v>
      </c>
      <c r="B46" s="321">
        <f>B2</f>
        <v>258.17160308398735</v>
      </c>
      <c r="C46" s="321">
        <f>C2</f>
        <v>244.66009733865232</v>
      </c>
      <c r="D46" s="321">
        <f>D2</f>
        <v>214.8881817571405</v>
      </c>
      <c r="E46" s="43">
        <f>E2</f>
        <v>200.1357467673094</v>
      </c>
      <c r="F46" s="321">
        <f>F2</f>
        <v>195.1502137533133</v>
      </c>
      <c r="I46" s="48" t="s">
        <v>97</v>
      </c>
      <c r="J46" s="728">
        <f t="shared" ref="J46:N46" si="75">J21/J$16</f>
        <v>2.9959824539822571E-3</v>
      </c>
      <c r="K46" s="728">
        <f t="shared" si="75"/>
        <v>3.7464931754274296E-3</v>
      </c>
      <c r="L46" s="728">
        <f t="shared" si="75"/>
        <v>4.6874569578351883E-3</v>
      </c>
      <c r="M46" s="728">
        <f t="shared" si="75"/>
        <v>5.5813222152505818E-3</v>
      </c>
      <c r="N46" s="728">
        <f t="shared" si="75"/>
        <v>5.4931396599319218E-3</v>
      </c>
      <c r="P46" s="48" t="s">
        <v>97</v>
      </c>
      <c r="Q46" s="728">
        <f t="shared" ref="Q46:U46" si="76">Q21/Q$16</f>
        <v>2.8421237252497598E-3</v>
      </c>
      <c r="R46" s="728">
        <f t="shared" si="76"/>
        <v>3.4820743671405731E-3</v>
      </c>
      <c r="S46" s="728">
        <f t="shared" si="76"/>
        <v>4.3053271101212978E-3</v>
      </c>
      <c r="T46" s="728">
        <f t="shared" si="76"/>
        <v>5.0696485900240352E-3</v>
      </c>
      <c r="U46" s="728">
        <f t="shared" si="76"/>
        <v>4.9231263933871708E-3</v>
      </c>
    </row>
    <row r="47" spans="1:21" ht="12.75">
      <c r="A47" s="42" t="s">
        <v>82</v>
      </c>
      <c r="B47" s="321">
        <f>'FLUX 2015'!$G$5</f>
        <v>258.24671295504982</v>
      </c>
      <c r="C47" s="321">
        <f>'FLUX 2020'!$G$5</f>
        <v>244.59714805106501</v>
      </c>
      <c r="D47" s="321">
        <f>'FLUX 2025'!$G$5</f>
        <v>214.89404096242089</v>
      </c>
      <c r="E47" s="43">
        <f>'FLUX 2030'!$G$5</f>
        <v>200.21831626777654</v>
      </c>
      <c r="F47" s="321">
        <f>'FLUX 2035'!$G$5</f>
        <v>195.33907701787817</v>
      </c>
      <c r="I47" s="48" t="s">
        <v>78</v>
      </c>
      <c r="J47" s="728">
        <f t="shared" ref="J47:N47" si="77">J22/J$16</f>
        <v>3.9932487302708375E-2</v>
      </c>
      <c r="K47" s="728">
        <f t="shared" si="77"/>
        <v>4.8348681193508942E-2</v>
      </c>
      <c r="L47" s="728">
        <f t="shared" si="77"/>
        <v>6.3327136979367954E-2</v>
      </c>
      <c r="M47" s="728">
        <f t="shared" si="77"/>
        <v>8.1007130422448531E-2</v>
      </c>
      <c r="N47" s="728">
        <f t="shared" si="77"/>
        <v>7.9065168541517336E-2</v>
      </c>
      <c r="P47" s="48" t="s">
        <v>78</v>
      </c>
      <c r="Q47" s="728">
        <f t="shared" ref="Q47:U47" si="78">Q22/Q$16</f>
        <v>3.9289910427513029E-2</v>
      </c>
      <c r="R47" s="728">
        <f t="shared" si="78"/>
        <v>4.710770053380911E-2</v>
      </c>
      <c r="S47" s="728">
        <f t="shared" si="78"/>
        <v>6.2598616440915231E-2</v>
      </c>
      <c r="T47" s="728">
        <f t="shared" si="78"/>
        <v>8.0580321310760858E-2</v>
      </c>
      <c r="U47" s="728">
        <f t="shared" si="78"/>
        <v>8.0439770286310136E-2</v>
      </c>
    </row>
    <row r="48" spans="1:21" ht="12.75">
      <c r="I48" s="47" t="s">
        <v>40</v>
      </c>
      <c r="J48" s="47"/>
      <c r="K48" s="47"/>
      <c r="L48" s="47"/>
      <c r="M48" s="47"/>
      <c r="N48" s="47"/>
      <c r="P48" s="47" t="s">
        <v>40</v>
      </c>
      <c r="Q48" s="47"/>
      <c r="R48" s="47"/>
      <c r="S48" s="47"/>
      <c r="T48" s="47"/>
      <c r="U48" s="47"/>
    </row>
    <row r="49" spans="1:16">
      <c r="I49" s="42" t="s">
        <v>626</v>
      </c>
      <c r="P49" s="42" t="s">
        <v>626</v>
      </c>
    </row>
    <row r="50" spans="1:16">
      <c r="A50" s="42" t="s">
        <v>134</v>
      </c>
      <c r="C50" s="42"/>
      <c r="D50" s="42"/>
      <c r="E50" s="42"/>
    </row>
  </sheetData>
  <mergeCells count="1">
    <mergeCell ref="F1:G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6"/>
  <sheetViews>
    <sheetView topLeftCell="E4" workbookViewId="0">
      <selection activeCell="AM35" sqref="AM35"/>
    </sheetView>
  </sheetViews>
  <sheetFormatPr baseColWidth="10" defaultRowHeight="12.75"/>
  <cols>
    <col min="1" max="1" width="14.85546875" style="24" bestFit="1" customWidth="1"/>
    <col min="2" max="2" width="28" style="24" bestFit="1" customWidth="1"/>
    <col min="3" max="3" width="4.42578125" style="24" bestFit="1" customWidth="1"/>
    <col min="4" max="4" width="8" style="24" bestFit="1" customWidth="1"/>
    <col min="5" max="5" width="11.42578125" style="24"/>
    <col min="6" max="6" width="22.85546875" style="24" bestFit="1" customWidth="1"/>
    <col min="7" max="7" width="7" style="24" customWidth="1"/>
    <col min="8" max="8" width="6.28515625" style="24" customWidth="1"/>
    <col min="9" max="9" width="5.7109375" style="24" customWidth="1"/>
    <col min="10" max="10" width="5.7109375" style="24" bestFit="1" customWidth="1"/>
    <col min="11" max="11" width="5.85546875" style="24" bestFit="1" customWidth="1"/>
    <col min="12" max="12" width="9.42578125" style="24" customWidth="1"/>
    <col min="13" max="13" width="9.28515625" style="24" customWidth="1"/>
    <col min="14" max="14" width="9.7109375" style="24" customWidth="1"/>
    <col min="15" max="15" width="6.7109375" style="24" bestFit="1" customWidth="1"/>
    <col min="16" max="16" width="4.85546875" style="24" customWidth="1"/>
    <col min="17" max="17" width="5.28515625" style="24" customWidth="1"/>
    <col min="18" max="19" width="4.42578125" style="24" bestFit="1" customWidth="1"/>
    <col min="20" max="20" width="19.28515625" style="24" customWidth="1"/>
    <col min="21" max="21" width="6" style="24" customWidth="1"/>
    <col min="22" max="22" width="5.85546875" style="24" bestFit="1" customWidth="1"/>
    <col min="23" max="23" width="4.42578125" style="24" bestFit="1" customWidth="1"/>
    <col min="24" max="24" width="6.42578125" style="24" customWidth="1"/>
    <col min="25" max="26" width="5.42578125" style="24" bestFit="1" customWidth="1"/>
    <col min="27" max="27" width="4.42578125" style="24" bestFit="1" customWidth="1"/>
    <col min="28" max="28" width="7.28515625" style="24" customWidth="1"/>
    <col min="29" max="29" width="12.7109375" style="24" customWidth="1"/>
    <col min="30" max="256" width="11.42578125" style="24"/>
    <col min="257" max="257" width="14.85546875" style="24" bestFit="1" customWidth="1"/>
    <col min="258" max="258" width="28" style="24" bestFit="1" customWidth="1"/>
    <col min="259" max="259" width="4.42578125" style="24" bestFit="1" customWidth="1"/>
    <col min="260" max="260" width="8" style="24" bestFit="1" customWidth="1"/>
    <col min="261" max="261" width="11.42578125" style="24"/>
    <col min="262" max="262" width="22.85546875" style="24" bestFit="1" customWidth="1"/>
    <col min="263" max="263" width="7" style="24" customWidth="1"/>
    <col min="264" max="264" width="6.28515625" style="24" customWidth="1"/>
    <col min="265" max="265" width="5.7109375" style="24" customWidth="1"/>
    <col min="266" max="266" width="5.7109375" style="24" bestFit="1" customWidth="1"/>
    <col min="267" max="267" width="5.85546875" style="24" bestFit="1" customWidth="1"/>
    <col min="268" max="268" width="9.42578125" style="24" customWidth="1"/>
    <col min="269" max="269" width="5.140625" style="24" customWidth="1"/>
    <col min="270" max="270" width="9.7109375" style="24" customWidth="1"/>
    <col min="271" max="271" width="6.7109375" style="24" bestFit="1" customWidth="1"/>
    <col min="272" max="272" width="4.85546875" style="24" customWidth="1"/>
    <col min="273" max="273" width="5.28515625" style="24" customWidth="1"/>
    <col min="274" max="275" width="4.42578125" style="24" bestFit="1" customWidth="1"/>
    <col min="276" max="276" width="13.28515625" style="24" bestFit="1" customWidth="1"/>
    <col min="277" max="277" width="3.140625" style="24" customWidth="1"/>
    <col min="278" max="278" width="5.42578125" style="24" bestFit="1" customWidth="1"/>
    <col min="279" max="279" width="4.42578125" style="24" bestFit="1" customWidth="1"/>
    <col min="280" max="280" width="6.42578125" style="24" customWidth="1"/>
    <col min="281" max="281" width="5" style="24" bestFit="1" customWidth="1"/>
    <col min="282" max="282" width="4.5703125" style="24" bestFit="1" customWidth="1"/>
    <col min="283" max="283" width="4.42578125" style="24" bestFit="1" customWidth="1"/>
    <col min="284" max="284" width="4" style="24" customWidth="1"/>
    <col min="285" max="512" width="11.42578125" style="24"/>
    <col min="513" max="513" width="14.85546875" style="24" bestFit="1" customWidth="1"/>
    <col min="514" max="514" width="28" style="24" bestFit="1" customWidth="1"/>
    <col min="515" max="515" width="4.42578125" style="24" bestFit="1" customWidth="1"/>
    <col min="516" max="516" width="8" style="24" bestFit="1" customWidth="1"/>
    <col min="517" max="517" width="11.42578125" style="24"/>
    <col min="518" max="518" width="22.85546875" style="24" bestFit="1" customWidth="1"/>
    <col min="519" max="519" width="7" style="24" customWidth="1"/>
    <col min="520" max="520" width="6.28515625" style="24" customWidth="1"/>
    <col min="521" max="521" width="5.7109375" style="24" customWidth="1"/>
    <col min="522" max="522" width="5.7109375" style="24" bestFit="1" customWidth="1"/>
    <col min="523" max="523" width="5.85546875" style="24" bestFit="1" customWidth="1"/>
    <col min="524" max="524" width="9.42578125" style="24" customWidth="1"/>
    <col min="525" max="525" width="5.140625" style="24" customWidth="1"/>
    <col min="526" max="526" width="9.7109375" style="24" customWidth="1"/>
    <col min="527" max="527" width="6.7109375" style="24" bestFit="1" customWidth="1"/>
    <col min="528" max="528" width="4.85546875" style="24" customWidth="1"/>
    <col min="529" max="529" width="5.28515625" style="24" customWidth="1"/>
    <col min="530" max="531" width="4.42578125" style="24" bestFit="1" customWidth="1"/>
    <col min="532" max="532" width="13.28515625" style="24" bestFit="1" customWidth="1"/>
    <col min="533" max="533" width="3.140625" style="24" customWidth="1"/>
    <col min="534" max="534" width="5.42578125" style="24" bestFit="1" customWidth="1"/>
    <col min="535" max="535" width="4.42578125" style="24" bestFit="1" customWidth="1"/>
    <col min="536" max="536" width="6.42578125" style="24" customWidth="1"/>
    <col min="537" max="537" width="5" style="24" bestFit="1" customWidth="1"/>
    <col min="538" max="538" width="4.5703125" style="24" bestFit="1" customWidth="1"/>
    <col min="539" max="539" width="4.42578125" style="24" bestFit="1" customWidth="1"/>
    <col min="540" max="540" width="4" style="24" customWidth="1"/>
    <col min="541" max="768" width="11.42578125" style="24"/>
    <col min="769" max="769" width="14.85546875" style="24" bestFit="1" customWidth="1"/>
    <col min="770" max="770" width="28" style="24" bestFit="1" customWidth="1"/>
    <col min="771" max="771" width="4.42578125" style="24" bestFit="1" customWidth="1"/>
    <col min="772" max="772" width="8" style="24" bestFit="1" customWidth="1"/>
    <col min="773" max="773" width="11.42578125" style="24"/>
    <col min="774" max="774" width="22.85546875" style="24" bestFit="1" customWidth="1"/>
    <col min="775" max="775" width="7" style="24" customWidth="1"/>
    <col min="776" max="776" width="6.28515625" style="24" customWidth="1"/>
    <col min="777" max="777" width="5.7109375" style="24" customWidth="1"/>
    <col min="778" max="778" width="5.7109375" style="24" bestFit="1" customWidth="1"/>
    <col min="779" max="779" width="5.85546875" style="24" bestFit="1" customWidth="1"/>
    <col min="780" max="780" width="9.42578125" style="24" customWidth="1"/>
    <col min="781" max="781" width="5.140625" style="24" customWidth="1"/>
    <col min="782" max="782" width="9.7109375" style="24" customWidth="1"/>
    <col min="783" max="783" width="6.7109375" style="24" bestFit="1" customWidth="1"/>
    <col min="784" max="784" width="4.85546875" style="24" customWidth="1"/>
    <col min="785" max="785" width="5.28515625" style="24" customWidth="1"/>
    <col min="786" max="787" width="4.42578125" style="24" bestFit="1" customWidth="1"/>
    <col min="788" max="788" width="13.28515625" style="24" bestFit="1" customWidth="1"/>
    <col min="789" max="789" width="3.140625" style="24" customWidth="1"/>
    <col min="790" max="790" width="5.42578125" style="24" bestFit="1" customWidth="1"/>
    <col min="791" max="791" width="4.42578125" style="24" bestFit="1" customWidth="1"/>
    <col min="792" max="792" width="6.42578125" style="24" customWidth="1"/>
    <col min="793" max="793" width="5" style="24" bestFit="1" customWidth="1"/>
    <col min="794" max="794" width="4.5703125" style="24" bestFit="1" customWidth="1"/>
    <col min="795" max="795" width="4.42578125" style="24" bestFit="1" customWidth="1"/>
    <col min="796" max="796" width="4" style="24" customWidth="1"/>
    <col min="797" max="1024" width="11.42578125" style="24"/>
    <col min="1025" max="1025" width="14.85546875" style="24" bestFit="1" customWidth="1"/>
    <col min="1026" max="1026" width="28" style="24" bestFit="1" customWidth="1"/>
    <col min="1027" max="1027" width="4.42578125" style="24" bestFit="1" customWidth="1"/>
    <col min="1028" max="1028" width="8" style="24" bestFit="1" customWidth="1"/>
    <col min="1029" max="1029" width="11.42578125" style="24"/>
    <col min="1030" max="1030" width="22.85546875" style="24" bestFit="1" customWidth="1"/>
    <col min="1031" max="1031" width="7" style="24" customWidth="1"/>
    <col min="1032" max="1032" width="6.28515625" style="24" customWidth="1"/>
    <col min="1033" max="1033" width="5.7109375" style="24" customWidth="1"/>
    <col min="1034" max="1034" width="5.7109375" style="24" bestFit="1" customWidth="1"/>
    <col min="1035" max="1035" width="5.85546875" style="24" bestFit="1" customWidth="1"/>
    <col min="1036" max="1036" width="9.42578125" style="24" customWidth="1"/>
    <col min="1037" max="1037" width="5.140625" style="24" customWidth="1"/>
    <col min="1038" max="1038" width="9.7109375" style="24" customWidth="1"/>
    <col min="1039" max="1039" width="6.7109375" style="24" bestFit="1" customWidth="1"/>
    <col min="1040" max="1040" width="4.85546875" style="24" customWidth="1"/>
    <col min="1041" max="1041" width="5.28515625" style="24" customWidth="1"/>
    <col min="1042" max="1043" width="4.42578125" style="24" bestFit="1" customWidth="1"/>
    <col min="1044" max="1044" width="13.28515625" style="24" bestFit="1" customWidth="1"/>
    <col min="1045" max="1045" width="3.140625" style="24" customWidth="1"/>
    <col min="1046" max="1046" width="5.42578125" style="24" bestFit="1" customWidth="1"/>
    <col min="1047" max="1047" width="4.42578125" style="24" bestFit="1" customWidth="1"/>
    <col min="1048" max="1048" width="6.42578125" style="24" customWidth="1"/>
    <col min="1049" max="1049" width="5" style="24" bestFit="1" customWidth="1"/>
    <col min="1050" max="1050" width="4.5703125" style="24" bestFit="1" customWidth="1"/>
    <col min="1051" max="1051" width="4.42578125" style="24" bestFit="1" customWidth="1"/>
    <col min="1052" max="1052" width="4" style="24" customWidth="1"/>
    <col min="1053" max="1280" width="11.42578125" style="24"/>
    <col min="1281" max="1281" width="14.85546875" style="24" bestFit="1" customWidth="1"/>
    <col min="1282" max="1282" width="28" style="24" bestFit="1" customWidth="1"/>
    <col min="1283" max="1283" width="4.42578125" style="24" bestFit="1" customWidth="1"/>
    <col min="1284" max="1284" width="8" style="24" bestFit="1" customWidth="1"/>
    <col min="1285" max="1285" width="11.42578125" style="24"/>
    <col min="1286" max="1286" width="22.85546875" style="24" bestFit="1" customWidth="1"/>
    <col min="1287" max="1287" width="7" style="24" customWidth="1"/>
    <col min="1288" max="1288" width="6.28515625" style="24" customWidth="1"/>
    <col min="1289" max="1289" width="5.7109375" style="24" customWidth="1"/>
    <col min="1290" max="1290" width="5.7109375" style="24" bestFit="1" customWidth="1"/>
    <col min="1291" max="1291" width="5.85546875" style="24" bestFit="1" customWidth="1"/>
    <col min="1292" max="1292" width="9.42578125" style="24" customWidth="1"/>
    <col min="1293" max="1293" width="5.140625" style="24" customWidth="1"/>
    <col min="1294" max="1294" width="9.7109375" style="24" customWidth="1"/>
    <col min="1295" max="1295" width="6.7109375" style="24" bestFit="1" customWidth="1"/>
    <col min="1296" max="1296" width="4.85546875" style="24" customWidth="1"/>
    <col min="1297" max="1297" width="5.28515625" style="24" customWidth="1"/>
    <col min="1298" max="1299" width="4.42578125" style="24" bestFit="1" customWidth="1"/>
    <col min="1300" max="1300" width="13.28515625" style="24" bestFit="1" customWidth="1"/>
    <col min="1301" max="1301" width="3.140625" style="24" customWidth="1"/>
    <col min="1302" max="1302" width="5.42578125" style="24" bestFit="1" customWidth="1"/>
    <col min="1303" max="1303" width="4.42578125" style="24" bestFit="1" customWidth="1"/>
    <col min="1304" max="1304" width="6.42578125" style="24" customWidth="1"/>
    <col min="1305" max="1305" width="5" style="24" bestFit="1" customWidth="1"/>
    <col min="1306" max="1306" width="4.5703125" style="24" bestFit="1" customWidth="1"/>
    <col min="1307" max="1307" width="4.42578125" style="24" bestFit="1" customWidth="1"/>
    <col min="1308" max="1308" width="4" style="24" customWidth="1"/>
    <col min="1309" max="1536" width="11.42578125" style="24"/>
    <col min="1537" max="1537" width="14.85546875" style="24" bestFit="1" customWidth="1"/>
    <col min="1538" max="1538" width="28" style="24" bestFit="1" customWidth="1"/>
    <col min="1539" max="1539" width="4.42578125" style="24" bestFit="1" customWidth="1"/>
    <col min="1540" max="1540" width="8" style="24" bestFit="1" customWidth="1"/>
    <col min="1541" max="1541" width="11.42578125" style="24"/>
    <col min="1542" max="1542" width="22.85546875" style="24" bestFit="1" customWidth="1"/>
    <col min="1543" max="1543" width="7" style="24" customWidth="1"/>
    <col min="1544" max="1544" width="6.28515625" style="24" customWidth="1"/>
    <col min="1545" max="1545" width="5.7109375" style="24" customWidth="1"/>
    <col min="1546" max="1546" width="5.7109375" style="24" bestFit="1" customWidth="1"/>
    <col min="1547" max="1547" width="5.85546875" style="24" bestFit="1" customWidth="1"/>
    <col min="1548" max="1548" width="9.42578125" style="24" customWidth="1"/>
    <col min="1549" max="1549" width="5.140625" style="24" customWidth="1"/>
    <col min="1550" max="1550" width="9.7109375" style="24" customWidth="1"/>
    <col min="1551" max="1551" width="6.7109375" style="24" bestFit="1" customWidth="1"/>
    <col min="1552" max="1552" width="4.85546875" style="24" customWidth="1"/>
    <col min="1553" max="1553" width="5.28515625" style="24" customWidth="1"/>
    <col min="1554" max="1555" width="4.42578125" style="24" bestFit="1" customWidth="1"/>
    <col min="1556" max="1556" width="13.28515625" style="24" bestFit="1" customWidth="1"/>
    <col min="1557" max="1557" width="3.140625" style="24" customWidth="1"/>
    <col min="1558" max="1558" width="5.42578125" style="24" bestFit="1" customWidth="1"/>
    <col min="1559" max="1559" width="4.42578125" style="24" bestFit="1" customWidth="1"/>
    <col min="1560" max="1560" width="6.42578125" style="24" customWidth="1"/>
    <col min="1561" max="1561" width="5" style="24" bestFit="1" customWidth="1"/>
    <col min="1562" max="1562" width="4.5703125" style="24" bestFit="1" customWidth="1"/>
    <col min="1563" max="1563" width="4.42578125" style="24" bestFit="1" customWidth="1"/>
    <col min="1564" max="1564" width="4" style="24" customWidth="1"/>
    <col min="1565" max="1792" width="11.42578125" style="24"/>
    <col min="1793" max="1793" width="14.85546875" style="24" bestFit="1" customWidth="1"/>
    <col min="1794" max="1794" width="28" style="24" bestFit="1" customWidth="1"/>
    <col min="1795" max="1795" width="4.42578125" style="24" bestFit="1" customWidth="1"/>
    <col min="1796" max="1796" width="8" style="24" bestFit="1" customWidth="1"/>
    <col min="1797" max="1797" width="11.42578125" style="24"/>
    <col min="1798" max="1798" width="22.85546875" style="24" bestFit="1" customWidth="1"/>
    <col min="1799" max="1799" width="7" style="24" customWidth="1"/>
    <col min="1800" max="1800" width="6.28515625" style="24" customWidth="1"/>
    <col min="1801" max="1801" width="5.7109375" style="24" customWidth="1"/>
    <col min="1802" max="1802" width="5.7109375" style="24" bestFit="1" customWidth="1"/>
    <col min="1803" max="1803" width="5.85546875" style="24" bestFit="1" customWidth="1"/>
    <col min="1804" max="1804" width="9.42578125" style="24" customWidth="1"/>
    <col min="1805" max="1805" width="5.140625" style="24" customWidth="1"/>
    <col min="1806" max="1806" width="9.7109375" style="24" customWidth="1"/>
    <col min="1807" max="1807" width="6.7109375" style="24" bestFit="1" customWidth="1"/>
    <col min="1808" max="1808" width="4.85546875" style="24" customWidth="1"/>
    <col min="1809" max="1809" width="5.28515625" style="24" customWidth="1"/>
    <col min="1810" max="1811" width="4.42578125" style="24" bestFit="1" customWidth="1"/>
    <col min="1812" max="1812" width="13.28515625" style="24" bestFit="1" customWidth="1"/>
    <col min="1813" max="1813" width="3.140625" style="24" customWidth="1"/>
    <col min="1814" max="1814" width="5.42578125" style="24" bestFit="1" customWidth="1"/>
    <col min="1815" max="1815" width="4.42578125" style="24" bestFit="1" customWidth="1"/>
    <col min="1816" max="1816" width="6.42578125" style="24" customWidth="1"/>
    <col min="1817" max="1817" width="5" style="24" bestFit="1" customWidth="1"/>
    <col min="1818" max="1818" width="4.5703125" style="24" bestFit="1" customWidth="1"/>
    <col min="1819" max="1819" width="4.42578125" style="24" bestFit="1" customWidth="1"/>
    <col min="1820" max="1820" width="4" style="24" customWidth="1"/>
    <col min="1821" max="2048" width="11.42578125" style="24"/>
    <col min="2049" max="2049" width="14.85546875" style="24" bestFit="1" customWidth="1"/>
    <col min="2050" max="2050" width="28" style="24" bestFit="1" customWidth="1"/>
    <col min="2051" max="2051" width="4.42578125" style="24" bestFit="1" customWidth="1"/>
    <col min="2052" max="2052" width="8" style="24" bestFit="1" customWidth="1"/>
    <col min="2053" max="2053" width="11.42578125" style="24"/>
    <col min="2054" max="2054" width="22.85546875" style="24" bestFit="1" customWidth="1"/>
    <col min="2055" max="2055" width="7" style="24" customWidth="1"/>
    <col min="2056" max="2056" width="6.28515625" style="24" customWidth="1"/>
    <col min="2057" max="2057" width="5.7109375" style="24" customWidth="1"/>
    <col min="2058" max="2058" width="5.7109375" style="24" bestFit="1" customWidth="1"/>
    <col min="2059" max="2059" width="5.85546875" style="24" bestFit="1" customWidth="1"/>
    <col min="2060" max="2060" width="9.42578125" style="24" customWidth="1"/>
    <col min="2061" max="2061" width="5.140625" style="24" customWidth="1"/>
    <col min="2062" max="2062" width="9.7109375" style="24" customWidth="1"/>
    <col min="2063" max="2063" width="6.7109375" style="24" bestFit="1" customWidth="1"/>
    <col min="2064" max="2064" width="4.85546875" style="24" customWidth="1"/>
    <col min="2065" max="2065" width="5.28515625" style="24" customWidth="1"/>
    <col min="2066" max="2067" width="4.42578125" style="24" bestFit="1" customWidth="1"/>
    <col min="2068" max="2068" width="13.28515625" style="24" bestFit="1" customWidth="1"/>
    <col min="2069" max="2069" width="3.140625" style="24" customWidth="1"/>
    <col min="2070" max="2070" width="5.42578125" style="24" bestFit="1" customWidth="1"/>
    <col min="2071" max="2071" width="4.42578125" style="24" bestFit="1" customWidth="1"/>
    <col min="2072" max="2072" width="6.42578125" style="24" customWidth="1"/>
    <col min="2073" max="2073" width="5" style="24" bestFit="1" customWidth="1"/>
    <col min="2074" max="2074" width="4.5703125" style="24" bestFit="1" customWidth="1"/>
    <col min="2075" max="2075" width="4.42578125" style="24" bestFit="1" customWidth="1"/>
    <col min="2076" max="2076" width="4" style="24" customWidth="1"/>
    <col min="2077" max="2304" width="11.42578125" style="24"/>
    <col min="2305" max="2305" width="14.85546875" style="24" bestFit="1" customWidth="1"/>
    <col min="2306" max="2306" width="28" style="24" bestFit="1" customWidth="1"/>
    <col min="2307" max="2307" width="4.42578125" style="24" bestFit="1" customWidth="1"/>
    <col min="2308" max="2308" width="8" style="24" bestFit="1" customWidth="1"/>
    <col min="2309" max="2309" width="11.42578125" style="24"/>
    <col min="2310" max="2310" width="22.85546875" style="24" bestFit="1" customWidth="1"/>
    <col min="2311" max="2311" width="7" style="24" customWidth="1"/>
    <col min="2312" max="2312" width="6.28515625" style="24" customWidth="1"/>
    <col min="2313" max="2313" width="5.7109375" style="24" customWidth="1"/>
    <col min="2314" max="2314" width="5.7109375" style="24" bestFit="1" customWidth="1"/>
    <col min="2315" max="2315" width="5.85546875" style="24" bestFit="1" customWidth="1"/>
    <col min="2316" max="2316" width="9.42578125" style="24" customWidth="1"/>
    <col min="2317" max="2317" width="5.140625" style="24" customWidth="1"/>
    <col min="2318" max="2318" width="9.7109375" style="24" customWidth="1"/>
    <col min="2319" max="2319" width="6.7109375" style="24" bestFit="1" customWidth="1"/>
    <col min="2320" max="2320" width="4.85546875" style="24" customWidth="1"/>
    <col min="2321" max="2321" width="5.28515625" style="24" customWidth="1"/>
    <col min="2322" max="2323" width="4.42578125" style="24" bestFit="1" customWidth="1"/>
    <col min="2324" max="2324" width="13.28515625" style="24" bestFit="1" customWidth="1"/>
    <col min="2325" max="2325" width="3.140625" style="24" customWidth="1"/>
    <col min="2326" max="2326" width="5.42578125" style="24" bestFit="1" customWidth="1"/>
    <col min="2327" max="2327" width="4.42578125" style="24" bestFit="1" customWidth="1"/>
    <col min="2328" max="2328" width="6.42578125" style="24" customWidth="1"/>
    <col min="2329" max="2329" width="5" style="24" bestFit="1" customWidth="1"/>
    <col min="2330" max="2330" width="4.5703125" style="24" bestFit="1" customWidth="1"/>
    <col min="2331" max="2331" width="4.42578125" style="24" bestFit="1" customWidth="1"/>
    <col min="2332" max="2332" width="4" style="24" customWidth="1"/>
    <col min="2333" max="2560" width="11.42578125" style="24"/>
    <col min="2561" max="2561" width="14.85546875" style="24" bestFit="1" customWidth="1"/>
    <col min="2562" max="2562" width="28" style="24" bestFit="1" customWidth="1"/>
    <col min="2563" max="2563" width="4.42578125" style="24" bestFit="1" customWidth="1"/>
    <col min="2564" max="2564" width="8" style="24" bestFit="1" customWidth="1"/>
    <col min="2565" max="2565" width="11.42578125" style="24"/>
    <col min="2566" max="2566" width="22.85546875" style="24" bestFit="1" customWidth="1"/>
    <col min="2567" max="2567" width="7" style="24" customWidth="1"/>
    <col min="2568" max="2568" width="6.28515625" style="24" customWidth="1"/>
    <col min="2569" max="2569" width="5.7109375" style="24" customWidth="1"/>
    <col min="2570" max="2570" width="5.7109375" style="24" bestFit="1" customWidth="1"/>
    <col min="2571" max="2571" width="5.85546875" style="24" bestFit="1" customWidth="1"/>
    <col min="2572" max="2572" width="9.42578125" style="24" customWidth="1"/>
    <col min="2573" max="2573" width="5.140625" style="24" customWidth="1"/>
    <col min="2574" max="2574" width="9.7109375" style="24" customWidth="1"/>
    <col min="2575" max="2575" width="6.7109375" style="24" bestFit="1" customWidth="1"/>
    <col min="2576" max="2576" width="4.85546875" style="24" customWidth="1"/>
    <col min="2577" max="2577" width="5.28515625" style="24" customWidth="1"/>
    <col min="2578" max="2579" width="4.42578125" style="24" bestFit="1" customWidth="1"/>
    <col min="2580" max="2580" width="13.28515625" style="24" bestFit="1" customWidth="1"/>
    <col min="2581" max="2581" width="3.140625" style="24" customWidth="1"/>
    <col min="2582" max="2582" width="5.42578125" style="24" bestFit="1" customWidth="1"/>
    <col min="2583" max="2583" width="4.42578125" style="24" bestFit="1" customWidth="1"/>
    <col min="2584" max="2584" width="6.42578125" style="24" customWidth="1"/>
    <col min="2585" max="2585" width="5" style="24" bestFit="1" customWidth="1"/>
    <col min="2586" max="2586" width="4.5703125" style="24" bestFit="1" customWidth="1"/>
    <col min="2587" max="2587" width="4.42578125" style="24" bestFit="1" customWidth="1"/>
    <col min="2588" max="2588" width="4" style="24" customWidth="1"/>
    <col min="2589" max="2816" width="11.42578125" style="24"/>
    <col min="2817" max="2817" width="14.85546875" style="24" bestFit="1" customWidth="1"/>
    <col min="2818" max="2818" width="28" style="24" bestFit="1" customWidth="1"/>
    <col min="2819" max="2819" width="4.42578125" style="24" bestFit="1" customWidth="1"/>
    <col min="2820" max="2820" width="8" style="24" bestFit="1" customWidth="1"/>
    <col min="2821" max="2821" width="11.42578125" style="24"/>
    <col min="2822" max="2822" width="22.85546875" style="24" bestFit="1" customWidth="1"/>
    <col min="2823" max="2823" width="7" style="24" customWidth="1"/>
    <col min="2824" max="2824" width="6.28515625" style="24" customWidth="1"/>
    <col min="2825" max="2825" width="5.7109375" style="24" customWidth="1"/>
    <col min="2826" max="2826" width="5.7109375" style="24" bestFit="1" customWidth="1"/>
    <col min="2827" max="2827" width="5.85546875" style="24" bestFit="1" customWidth="1"/>
    <col min="2828" max="2828" width="9.42578125" style="24" customWidth="1"/>
    <col min="2829" max="2829" width="5.140625" style="24" customWidth="1"/>
    <col min="2830" max="2830" width="9.7109375" style="24" customWidth="1"/>
    <col min="2831" max="2831" width="6.7109375" style="24" bestFit="1" customWidth="1"/>
    <col min="2832" max="2832" width="4.85546875" style="24" customWidth="1"/>
    <col min="2833" max="2833" width="5.28515625" style="24" customWidth="1"/>
    <col min="2834" max="2835" width="4.42578125" style="24" bestFit="1" customWidth="1"/>
    <col min="2836" max="2836" width="13.28515625" style="24" bestFit="1" customWidth="1"/>
    <col min="2837" max="2837" width="3.140625" style="24" customWidth="1"/>
    <col min="2838" max="2838" width="5.42578125" style="24" bestFit="1" customWidth="1"/>
    <col min="2839" max="2839" width="4.42578125" style="24" bestFit="1" customWidth="1"/>
    <col min="2840" max="2840" width="6.42578125" style="24" customWidth="1"/>
    <col min="2841" max="2841" width="5" style="24" bestFit="1" customWidth="1"/>
    <col min="2842" max="2842" width="4.5703125" style="24" bestFit="1" customWidth="1"/>
    <col min="2843" max="2843" width="4.42578125" style="24" bestFit="1" customWidth="1"/>
    <col min="2844" max="2844" width="4" style="24" customWidth="1"/>
    <col min="2845" max="3072" width="11.42578125" style="24"/>
    <col min="3073" max="3073" width="14.85546875" style="24" bestFit="1" customWidth="1"/>
    <col min="3074" max="3074" width="28" style="24" bestFit="1" customWidth="1"/>
    <col min="3075" max="3075" width="4.42578125" style="24" bestFit="1" customWidth="1"/>
    <col min="3076" max="3076" width="8" style="24" bestFit="1" customWidth="1"/>
    <col min="3077" max="3077" width="11.42578125" style="24"/>
    <col min="3078" max="3078" width="22.85546875" style="24" bestFit="1" customWidth="1"/>
    <col min="3079" max="3079" width="7" style="24" customWidth="1"/>
    <col min="3080" max="3080" width="6.28515625" style="24" customWidth="1"/>
    <col min="3081" max="3081" width="5.7109375" style="24" customWidth="1"/>
    <col min="3082" max="3082" width="5.7109375" style="24" bestFit="1" customWidth="1"/>
    <col min="3083" max="3083" width="5.85546875" style="24" bestFit="1" customWidth="1"/>
    <col min="3084" max="3084" width="9.42578125" style="24" customWidth="1"/>
    <col min="3085" max="3085" width="5.140625" style="24" customWidth="1"/>
    <col min="3086" max="3086" width="9.7109375" style="24" customWidth="1"/>
    <col min="3087" max="3087" width="6.7109375" style="24" bestFit="1" customWidth="1"/>
    <col min="3088" max="3088" width="4.85546875" style="24" customWidth="1"/>
    <col min="3089" max="3089" width="5.28515625" style="24" customWidth="1"/>
    <col min="3090" max="3091" width="4.42578125" style="24" bestFit="1" customWidth="1"/>
    <col min="3092" max="3092" width="13.28515625" style="24" bestFit="1" customWidth="1"/>
    <col min="3093" max="3093" width="3.140625" style="24" customWidth="1"/>
    <col min="3094" max="3094" width="5.42578125" style="24" bestFit="1" customWidth="1"/>
    <col min="3095" max="3095" width="4.42578125" style="24" bestFit="1" customWidth="1"/>
    <col min="3096" max="3096" width="6.42578125" style="24" customWidth="1"/>
    <col min="3097" max="3097" width="5" style="24" bestFit="1" customWidth="1"/>
    <col min="3098" max="3098" width="4.5703125" style="24" bestFit="1" customWidth="1"/>
    <col min="3099" max="3099" width="4.42578125" style="24" bestFit="1" customWidth="1"/>
    <col min="3100" max="3100" width="4" style="24" customWidth="1"/>
    <col min="3101" max="3328" width="11.42578125" style="24"/>
    <col min="3329" max="3329" width="14.85546875" style="24" bestFit="1" customWidth="1"/>
    <col min="3330" max="3330" width="28" style="24" bestFit="1" customWidth="1"/>
    <col min="3331" max="3331" width="4.42578125" style="24" bestFit="1" customWidth="1"/>
    <col min="3332" max="3332" width="8" style="24" bestFit="1" customWidth="1"/>
    <col min="3333" max="3333" width="11.42578125" style="24"/>
    <col min="3334" max="3334" width="22.85546875" style="24" bestFit="1" customWidth="1"/>
    <col min="3335" max="3335" width="7" style="24" customWidth="1"/>
    <col min="3336" max="3336" width="6.28515625" style="24" customWidth="1"/>
    <col min="3337" max="3337" width="5.7109375" style="24" customWidth="1"/>
    <col min="3338" max="3338" width="5.7109375" style="24" bestFit="1" customWidth="1"/>
    <col min="3339" max="3339" width="5.85546875" style="24" bestFit="1" customWidth="1"/>
    <col min="3340" max="3340" width="9.42578125" style="24" customWidth="1"/>
    <col min="3341" max="3341" width="5.140625" style="24" customWidth="1"/>
    <col min="3342" max="3342" width="9.7109375" style="24" customWidth="1"/>
    <col min="3343" max="3343" width="6.7109375" style="24" bestFit="1" customWidth="1"/>
    <col min="3344" max="3344" width="4.85546875" style="24" customWidth="1"/>
    <col min="3345" max="3345" width="5.28515625" style="24" customWidth="1"/>
    <col min="3346" max="3347" width="4.42578125" style="24" bestFit="1" customWidth="1"/>
    <col min="3348" max="3348" width="13.28515625" style="24" bestFit="1" customWidth="1"/>
    <col min="3349" max="3349" width="3.140625" style="24" customWidth="1"/>
    <col min="3350" max="3350" width="5.42578125" style="24" bestFit="1" customWidth="1"/>
    <col min="3351" max="3351" width="4.42578125" style="24" bestFit="1" customWidth="1"/>
    <col min="3352" max="3352" width="6.42578125" style="24" customWidth="1"/>
    <col min="3353" max="3353" width="5" style="24" bestFit="1" customWidth="1"/>
    <col min="3354" max="3354" width="4.5703125" style="24" bestFit="1" customWidth="1"/>
    <col min="3355" max="3355" width="4.42578125" style="24" bestFit="1" customWidth="1"/>
    <col min="3356" max="3356" width="4" style="24" customWidth="1"/>
    <col min="3357" max="3584" width="11.42578125" style="24"/>
    <col min="3585" max="3585" width="14.85546875" style="24" bestFit="1" customWidth="1"/>
    <col min="3586" max="3586" width="28" style="24" bestFit="1" customWidth="1"/>
    <col min="3587" max="3587" width="4.42578125" style="24" bestFit="1" customWidth="1"/>
    <col min="3588" max="3588" width="8" style="24" bestFit="1" customWidth="1"/>
    <col min="3589" max="3589" width="11.42578125" style="24"/>
    <col min="3590" max="3590" width="22.85546875" style="24" bestFit="1" customWidth="1"/>
    <col min="3591" max="3591" width="7" style="24" customWidth="1"/>
    <col min="3592" max="3592" width="6.28515625" style="24" customWidth="1"/>
    <col min="3593" max="3593" width="5.7109375" style="24" customWidth="1"/>
    <col min="3594" max="3594" width="5.7109375" style="24" bestFit="1" customWidth="1"/>
    <col min="3595" max="3595" width="5.85546875" style="24" bestFit="1" customWidth="1"/>
    <col min="3596" max="3596" width="9.42578125" style="24" customWidth="1"/>
    <col min="3597" max="3597" width="5.140625" style="24" customWidth="1"/>
    <col min="3598" max="3598" width="9.7109375" style="24" customWidth="1"/>
    <col min="3599" max="3599" width="6.7109375" style="24" bestFit="1" customWidth="1"/>
    <col min="3600" max="3600" width="4.85546875" style="24" customWidth="1"/>
    <col min="3601" max="3601" width="5.28515625" style="24" customWidth="1"/>
    <col min="3602" max="3603" width="4.42578125" style="24" bestFit="1" customWidth="1"/>
    <col min="3604" max="3604" width="13.28515625" style="24" bestFit="1" customWidth="1"/>
    <col min="3605" max="3605" width="3.140625" style="24" customWidth="1"/>
    <col min="3606" max="3606" width="5.42578125" style="24" bestFit="1" customWidth="1"/>
    <col min="3607" max="3607" width="4.42578125" style="24" bestFit="1" customWidth="1"/>
    <col min="3608" max="3608" width="6.42578125" style="24" customWidth="1"/>
    <col min="3609" max="3609" width="5" style="24" bestFit="1" customWidth="1"/>
    <col min="3610" max="3610" width="4.5703125" style="24" bestFit="1" customWidth="1"/>
    <col min="3611" max="3611" width="4.42578125" style="24" bestFit="1" customWidth="1"/>
    <col min="3612" max="3612" width="4" style="24" customWidth="1"/>
    <col min="3613" max="3840" width="11.42578125" style="24"/>
    <col min="3841" max="3841" width="14.85546875" style="24" bestFit="1" customWidth="1"/>
    <col min="3842" max="3842" width="28" style="24" bestFit="1" customWidth="1"/>
    <col min="3843" max="3843" width="4.42578125" style="24" bestFit="1" customWidth="1"/>
    <col min="3844" max="3844" width="8" style="24" bestFit="1" customWidth="1"/>
    <col min="3845" max="3845" width="11.42578125" style="24"/>
    <col min="3846" max="3846" width="22.85546875" style="24" bestFit="1" customWidth="1"/>
    <col min="3847" max="3847" width="7" style="24" customWidth="1"/>
    <col min="3848" max="3848" width="6.28515625" style="24" customWidth="1"/>
    <col min="3849" max="3849" width="5.7109375" style="24" customWidth="1"/>
    <col min="3850" max="3850" width="5.7109375" style="24" bestFit="1" customWidth="1"/>
    <col min="3851" max="3851" width="5.85546875" style="24" bestFit="1" customWidth="1"/>
    <col min="3852" max="3852" width="9.42578125" style="24" customWidth="1"/>
    <col min="3853" max="3853" width="5.140625" style="24" customWidth="1"/>
    <col min="3854" max="3854" width="9.7109375" style="24" customWidth="1"/>
    <col min="3855" max="3855" width="6.7109375" style="24" bestFit="1" customWidth="1"/>
    <col min="3856" max="3856" width="4.85546875" style="24" customWidth="1"/>
    <col min="3857" max="3857" width="5.28515625" style="24" customWidth="1"/>
    <col min="3858" max="3859" width="4.42578125" style="24" bestFit="1" customWidth="1"/>
    <col min="3860" max="3860" width="13.28515625" style="24" bestFit="1" customWidth="1"/>
    <col min="3861" max="3861" width="3.140625" style="24" customWidth="1"/>
    <col min="3862" max="3862" width="5.42578125" style="24" bestFit="1" customWidth="1"/>
    <col min="3863" max="3863" width="4.42578125" style="24" bestFit="1" customWidth="1"/>
    <col min="3864" max="3864" width="6.42578125" style="24" customWidth="1"/>
    <col min="3865" max="3865" width="5" style="24" bestFit="1" customWidth="1"/>
    <col min="3866" max="3866" width="4.5703125" style="24" bestFit="1" customWidth="1"/>
    <col min="3867" max="3867" width="4.42578125" style="24" bestFit="1" customWidth="1"/>
    <col min="3868" max="3868" width="4" style="24" customWidth="1"/>
    <col min="3869" max="4096" width="11.42578125" style="24"/>
    <col min="4097" max="4097" width="14.85546875" style="24" bestFit="1" customWidth="1"/>
    <col min="4098" max="4098" width="28" style="24" bestFit="1" customWidth="1"/>
    <col min="4099" max="4099" width="4.42578125" style="24" bestFit="1" customWidth="1"/>
    <col min="4100" max="4100" width="8" style="24" bestFit="1" customWidth="1"/>
    <col min="4101" max="4101" width="11.42578125" style="24"/>
    <col min="4102" max="4102" width="22.85546875" style="24" bestFit="1" customWidth="1"/>
    <col min="4103" max="4103" width="7" style="24" customWidth="1"/>
    <col min="4104" max="4104" width="6.28515625" style="24" customWidth="1"/>
    <col min="4105" max="4105" width="5.7109375" style="24" customWidth="1"/>
    <col min="4106" max="4106" width="5.7109375" style="24" bestFit="1" customWidth="1"/>
    <col min="4107" max="4107" width="5.85546875" style="24" bestFit="1" customWidth="1"/>
    <col min="4108" max="4108" width="9.42578125" style="24" customWidth="1"/>
    <col min="4109" max="4109" width="5.140625" style="24" customWidth="1"/>
    <col min="4110" max="4110" width="9.7109375" style="24" customWidth="1"/>
    <col min="4111" max="4111" width="6.7109375" style="24" bestFit="1" customWidth="1"/>
    <col min="4112" max="4112" width="4.85546875" style="24" customWidth="1"/>
    <col min="4113" max="4113" width="5.28515625" style="24" customWidth="1"/>
    <col min="4114" max="4115" width="4.42578125" style="24" bestFit="1" customWidth="1"/>
    <col min="4116" max="4116" width="13.28515625" style="24" bestFit="1" customWidth="1"/>
    <col min="4117" max="4117" width="3.140625" style="24" customWidth="1"/>
    <col min="4118" max="4118" width="5.42578125" style="24" bestFit="1" customWidth="1"/>
    <col min="4119" max="4119" width="4.42578125" style="24" bestFit="1" customWidth="1"/>
    <col min="4120" max="4120" width="6.42578125" style="24" customWidth="1"/>
    <col min="4121" max="4121" width="5" style="24" bestFit="1" customWidth="1"/>
    <col min="4122" max="4122" width="4.5703125" style="24" bestFit="1" customWidth="1"/>
    <col min="4123" max="4123" width="4.42578125" style="24" bestFit="1" customWidth="1"/>
    <col min="4124" max="4124" width="4" style="24" customWidth="1"/>
    <col min="4125" max="4352" width="11.42578125" style="24"/>
    <col min="4353" max="4353" width="14.85546875" style="24" bestFit="1" customWidth="1"/>
    <col min="4354" max="4354" width="28" style="24" bestFit="1" customWidth="1"/>
    <col min="4355" max="4355" width="4.42578125" style="24" bestFit="1" customWidth="1"/>
    <col min="4356" max="4356" width="8" style="24" bestFit="1" customWidth="1"/>
    <col min="4357" max="4357" width="11.42578125" style="24"/>
    <col min="4358" max="4358" width="22.85546875" style="24" bestFit="1" customWidth="1"/>
    <col min="4359" max="4359" width="7" style="24" customWidth="1"/>
    <col min="4360" max="4360" width="6.28515625" style="24" customWidth="1"/>
    <col min="4361" max="4361" width="5.7109375" style="24" customWidth="1"/>
    <col min="4362" max="4362" width="5.7109375" style="24" bestFit="1" customWidth="1"/>
    <col min="4363" max="4363" width="5.85546875" style="24" bestFit="1" customWidth="1"/>
    <col min="4364" max="4364" width="9.42578125" style="24" customWidth="1"/>
    <col min="4365" max="4365" width="5.140625" style="24" customWidth="1"/>
    <col min="4366" max="4366" width="9.7109375" style="24" customWidth="1"/>
    <col min="4367" max="4367" width="6.7109375" style="24" bestFit="1" customWidth="1"/>
    <col min="4368" max="4368" width="4.85546875" style="24" customWidth="1"/>
    <col min="4369" max="4369" width="5.28515625" style="24" customWidth="1"/>
    <col min="4370" max="4371" width="4.42578125" style="24" bestFit="1" customWidth="1"/>
    <col min="4372" max="4372" width="13.28515625" style="24" bestFit="1" customWidth="1"/>
    <col min="4373" max="4373" width="3.140625" style="24" customWidth="1"/>
    <col min="4374" max="4374" width="5.42578125" style="24" bestFit="1" customWidth="1"/>
    <col min="4375" max="4375" width="4.42578125" style="24" bestFit="1" customWidth="1"/>
    <col min="4376" max="4376" width="6.42578125" style="24" customWidth="1"/>
    <col min="4377" max="4377" width="5" style="24" bestFit="1" customWidth="1"/>
    <col min="4378" max="4378" width="4.5703125" style="24" bestFit="1" customWidth="1"/>
    <col min="4379" max="4379" width="4.42578125" style="24" bestFit="1" customWidth="1"/>
    <col min="4380" max="4380" width="4" style="24" customWidth="1"/>
    <col min="4381" max="4608" width="11.42578125" style="24"/>
    <col min="4609" max="4609" width="14.85546875" style="24" bestFit="1" customWidth="1"/>
    <col min="4610" max="4610" width="28" style="24" bestFit="1" customWidth="1"/>
    <col min="4611" max="4611" width="4.42578125" style="24" bestFit="1" customWidth="1"/>
    <col min="4612" max="4612" width="8" style="24" bestFit="1" customWidth="1"/>
    <col min="4613" max="4613" width="11.42578125" style="24"/>
    <col min="4614" max="4614" width="22.85546875" style="24" bestFit="1" customWidth="1"/>
    <col min="4615" max="4615" width="7" style="24" customWidth="1"/>
    <col min="4616" max="4616" width="6.28515625" style="24" customWidth="1"/>
    <col min="4617" max="4617" width="5.7109375" style="24" customWidth="1"/>
    <col min="4618" max="4618" width="5.7109375" style="24" bestFit="1" customWidth="1"/>
    <col min="4619" max="4619" width="5.85546875" style="24" bestFit="1" customWidth="1"/>
    <col min="4620" max="4620" width="9.42578125" style="24" customWidth="1"/>
    <col min="4621" max="4621" width="5.140625" style="24" customWidth="1"/>
    <col min="4622" max="4622" width="9.7109375" style="24" customWidth="1"/>
    <col min="4623" max="4623" width="6.7109375" style="24" bestFit="1" customWidth="1"/>
    <col min="4624" max="4624" width="4.85546875" style="24" customWidth="1"/>
    <col min="4625" max="4625" width="5.28515625" style="24" customWidth="1"/>
    <col min="4626" max="4627" width="4.42578125" style="24" bestFit="1" customWidth="1"/>
    <col min="4628" max="4628" width="13.28515625" style="24" bestFit="1" customWidth="1"/>
    <col min="4629" max="4629" width="3.140625" style="24" customWidth="1"/>
    <col min="4630" max="4630" width="5.42578125" style="24" bestFit="1" customWidth="1"/>
    <col min="4631" max="4631" width="4.42578125" style="24" bestFit="1" customWidth="1"/>
    <col min="4632" max="4632" width="6.42578125" style="24" customWidth="1"/>
    <col min="4633" max="4633" width="5" style="24" bestFit="1" customWidth="1"/>
    <col min="4634" max="4634" width="4.5703125" style="24" bestFit="1" customWidth="1"/>
    <col min="4635" max="4635" width="4.42578125" style="24" bestFit="1" customWidth="1"/>
    <col min="4636" max="4636" width="4" style="24" customWidth="1"/>
    <col min="4637" max="4864" width="11.42578125" style="24"/>
    <col min="4865" max="4865" width="14.85546875" style="24" bestFit="1" customWidth="1"/>
    <col min="4866" max="4866" width="28" style="24" bestFit="1" customWidth="1"/>
    <col min="4867" max="4867" width="4.42578125" style="24" bestFit="1" customWidth="1"/>
    <col min="4868" max="4868" width="8" style="24" bestFit="1" customWidth="1"/>
    <col min="4869" max="4869" width="11.42578125" style="24"/>
    <col min="4870" max="4870" width="22.85546875" style="24" bestFit="1" customWidth="1"/>
    <col min="4871" max="4871" width="7" style="24" customWidth="1"/>
    <col min="4872" max="4872" width="6.28515625" style="24" customWidth="1"/>
    <col min="4873" max="4873" width="5.7109375" style="24" customWidth="1"/>
    <col min="4874" max="4874" width="5.7109375" style="24" bestFit="1" customWidth="1"/>
    <col min="4875" max="4875" width="5.85546875" style="24" bestFit="1" customWidth="1"/>
    <col min="4876" max="4876" width="9.42578125" style="24" customWidth="1"/>
    <col min="4877" max="4877" width="5.140625" style="24" customWidth="1"/>
    <col min="4878" max="4878" width="9.7109375" style="24" customWidth="1"/>
    <col min="4879" max="4879" width="6.7109375" style="24" bestFit="1" customWidth="1"/>
    <col min="4880" max="4880" width="4.85546875" style="24" customWidth="1"/>
    <col min="4881" max="4881" width="5.28515625" style="24" customWidth="1"/>
    <col min="4882" max="4883" width="4.42578125" style="24" bestFit="1" customWidth="1"/>
    <col min="4884" max="4884" width="13.28515625" style="24" bestFit="1" customWidth="1"/>
    <col min="4885" max="4885" width="3.140625" style="24" customWidth="1"/>
    <col min="4886" max="4886" width="5.42578125" style="24" bestFit="1" customWidth="1"/>
    <col min="4887" max="4887" width="4.42578125" style="24" bestFit="1" customWidth="1"/>
    <col min="4888" max="4888" width="6.42578125" style="24" customWidth="1"/>
    <col min="4889" max="4889" width="5" style="24" bestFit="1" customWidth="1"/>
    <col min="4890" max="4890" width="4.5703125" style="24" bestFit="1" customWidth="1"/>
    <col min="4891" max="4891" width="4.42578125" style="24" bestFit="1" customWidth="1"/>
    <col min="4892" max="4892" width="4" style="24" customWidth="1"/>
    <col min="4893" max="5120" width="11.42578125" style="24"/>
    <col min="5121" max="5121" width="14.85546875" style="24" bestFit="1" customWidth="1"/>
    <col min="5122" max="5122" width="28" style="24" bestFit="1" customWidth="1"/>
    <col min="5123" max="5123" width="4.42578125" style="24" bestFit="1" customWidth="1"/>
    <col min="5124" max="5124" width="8" style="24" bestFit="1" customWidth="1"/>
    <col min="5125" max="5125" width="11.42578125" style="24"/>
    <col min="5126" max="5126" width="22.85546875" style="24" bestFit="1" customWidth="1"/>
    <col min="5127" max="5127" width="7" style="24" customWidth="1"/>
    <col min="5128" max="5128" width="6.28515625" style="24" customWidth="1"/>
    <col min="5129" max="5129" width="5.7109375" style="24" customWidth="1"/>
    <col min="5130" max="5130" width="5.7109375" style="24" bestFit="1" customWidth="1"/>
    <col min="5131" max="5131" width="5.85546875" style="24" bestFit="1" customWidth="1"/>
    <col min="5132" max="5132" width="9.42578125" style="24" customWidth="1"/>
    <col min="5133" max="5133" width="5.140625" style="24" customWidth="1"/>
    <col min="5134" max="5134" width="9.7109375" style="24" customWidth="1"/>
    <col min="5135" max="5135" width="6.7109375" style="24" bestFit="1" customWidth="1"/>
    <col min="5136" max="5136" width="4.85546875" style="24" customWidth="1"/>
    <col min="5137" max="5137" width="5.28515625" style="24" customWidth="1"/>
    <col min="5138" max="5139" width="4.42578125" style="24" bestFit="1" customWidth="1"/>
    <col min="5140" max="5140" width="13.28515625" style="24" bestFit="1" customWidth="1"/>
    <col min="5141" max="5141" width="3.140625" style="24" customWidth="1"/>
    <col min="5142" max="5142" width="5.42578125" style="24" bestFit="1" customWidth="1"/>
    <col min="5143" max="5143" width="4.42578125" style="24" bestFit="1" customWidth="1"/>
    <col min="5144" max="5144" width="6.42578125" style="24" customWidth="1"/>
    <col min="5145" max="5145" width="5" style="24" bestFit="1" customWidth="1"/>
    <col min="5146" max="5146" width="4.5703125" style="24" bestFit="1" customWidth="1"/>
    <col min="5147" max="5147" width="4.42578125" style="24" bestFit="1" customWidth="1"/>
    <col min="5148" max="5148" width="4" style="24" customWidth="1"/>
    <col min="5149" max="5376" width="11.42578125" style="24"/>
    <col min="5377" max="5377" width="14.85546875" style="24" bestFit="1" customWidth="1"/>
    <col min="5378" max="5378" width="28" style="24" bestFit="1" customWidth="1"/>
    <col min="5379" max="5379" width="4.42578125" style="24" bestFit="1" customWidth="1"/>
    <col min="5380" max="5380" width="8" style="24" bestFit="1" customWidth="1"/>
    <col min="5381" max="5381" width="11.42578125" style="24"/>
    <col min="5382" max="5382" width="22.85546875" style="24" bestFit="1" customWidth="1"/>
    <col min="5383" max="5383" width="7" style="24" customWidth="1"/>
    <col min="5384" max="5384" width="6.28515625" style="24" customWidth="1"/>
    <col min="5385" max="5385" width="5.7109375" style="24" customWidth="1"/>
    <col min="5386" max="5386" width="5.7109375" style="24" bestFit="1" customWidth="1"/>
    <col min="5387" max="5387" width="5.85546875" style="24" bestFit="1" customWidth="1"/>
    <col min="5388" max="5388" width="9.42578125" style="24" customWidth="1"/>
    <col min="5389" max="5389" width="5.140625" style="24" customWidth="1"/>
    <col min="5390" max="5390" width="9.7109375" style="24" customWidth="1"/>
    <col min="5391" max="5391" width="6.7109375" style="24" bestFit="1" customWidth="1"/>
    <col min="5392" max="5392" width="4.85546875" style="24" customWidth="1"/>
    <col min="5393" max="5393" width="5.28515625" style="24" customWidth="1"/>
    <col min="5394" max="5395" width="4.42578125" style="24" bestFit="1" customWidth="1"/>
    <col min="5396" max="5396" width="13.28515625" style="24" bestFit="1" customWidth="1"/>
    <col min="5397" max="5397" width="3.140625" style="24" customWidth="1"/>
    <col min="5398" max="5398" width="5.42578125" style="24" bestFit="1" customWidth="1"/>
    <col min="5399" max="5399" width="4.42578125" style="24" bestFit="1" customWidth="1"/>
    <col min="5400" max="5400" width="6.42578125" style="24" customWidth="1"/>
    <col min="5401" max="5401" width="5" style="24" bestFit="1" customWidth="1"/>
    <col min="5402" max="5402" width="4.5703125" style="24" bestFit="1" customWidth="1"/>
    <col min="5403" max="5403" width="4.42578125" style="24" bestFit="1" customWidth="1"/>
    <col min="5404" max="5404" width="4" style="24" customWidth="1"/>
    <col min="5405" max="5632" width="11.42578125" style="24"/>
    <col min="5633" max="5633" width="14.85546875" style="24" bestFit="1" customWidth="1"/>
    <col min="5634" max="5634" width="28" style="24" bestFit="1" customWidth="1"/>
    <col min="5635" max="5635" width="4.42578125" style="24" bestFit="1" customWidth="1"/>
    <col min="5636" max="5636" width="8" style="24" bestFit="1" customWidth="1"/>
    <col min="5637" max="5637" width="11.42578125" style="24"/>
    <col min="5638" max="5638" width="22.85546875" style="24" bestFit="1" customWidth="1"/>
    <col min="5639" max="5639" width="7" style="24" customWidth="1"/>
    <col min="5640" max="5640" width="6.28515625" style="24" customWidth="1"/>
    <col min="5641" max="5641" width="5.7109375" style="24" customWidth="1"/>
    <col min="5642" max="5642" width="5.7109375" style="24" bestFit="1" customWidth="1"/>
    <col min="5643" max="5643" width="5.85546875" style="24" bestFit="1" customWidth="1"/>
    <col min="5644" max="5644" width="9.42578125" style="24" customWidth="1"/>
    <col min="5645" max="5645" width="5.140625" style="24" customWidth="1"/>
    <col min="5646" max="5646" width="9.7109375" style="24" customWidth="1"/>
    <col min="5647" max="5647" width="6.7109375" style="24" bestFit="1" customWidth="1"/>
    <col min="5648" max="5648" width="4.85546875" style="24" customWidth="1"/>
    <col min="5649" max="5649" width="5.28515625" style="24" customWidth="1"/>
    <col min="5650" max="5651" width="4.42578125" style="24" bestFit="1" customWidth="1"/>
    <col min="5652" max="5652" width="13.28515625" style="24" bestFit="1" customWidth="1"/>
    <col min="5653" max="5653" width="3.140625" style="24" customWidth="1"/>
    <col min="5654" max="5654" width="5.42578125" style="24" bestFit="1" customWidth="1"/>
    <col min="5655" max="5655" width="4.42578125" style="24" bestFit="1" customWidth="1"/>
    <col min="5656" max="5656" width="6.42578125" style="24" customWidth="1"/>
    <col min="5657" max="5657" width="5" style="24" bestFit="1" customWidth="1"/>
    <col min="5658" max="5658" width="4.5703125" style="24" bestFit="1" customWidth="1"/>
    <col min="5659" max="5659" width="4.42578125" style="24" bestFit="1" customWidth="1"/>
    <col min="5660" max="5660" width="4" style="24" customWidth="1"/>
    <col min="5661" max="5888" width="11.42578125" style="24"/>
    <col min="5889" max="5889" width="14.85546875" style="24" bestFit="1" customWidth="1"/>
    <col min="5890" max="5890" width="28" style="24" bestFit="1" customWidth="1"/>
    <col min="5891" max="5891" width="4.42578125" style="24" bestFit="1" customWidth="1"/>
    <col min="5892" max="5892" width="8" style="24" bestFit="1" customWidth="1"/>
    <col min="5893" max="5893" width="11.42578125" style="24"/>
    <col min="5894" max="5894" width="22.85546875" style="24" bestFit="1" customWidth="1"/>
    <col min="5895" max="5895" width="7" style="24" customWidth="1"/>
    <col min="5896" max="5896" width="6.28515625" style="24" customWidth="1"/>
    <col min="5897" max="5897" width="5.7109375" style="24" customWidth="1"/>
    <col min="5898" max="5898" width="5.7109375" style="24" bestFit="1" customWidth="1"/>
    <col min="5899" max="5899" width="5.85546875" style="24" bestFit="1" customWidth="1"/>
    <col min="5900" max="5900" width="9.42578125" style="24" customWidth="1"/>
    <col min="5901" max="5901" width="5.140625" style="24" customWidth="1"/>
    <col min="5902" max="5902" width="9.7109375" style="24" customWidth="1"/>
    <col min="5903" max="5903" width="6.7109375" style="24" bestFit="1" customWidth="1"/>
    <col min="5904" max="5904" width="4.85546875" style="24" customWidth="1"/>
    <col min="5905" max="5905" width="5.28515625" style="24" customWidth="1"/>
    <col min="5906" max="5907" width="4.42578125" style="24" bestFit="1" customWidth="1"/>
    <col min="5908" max="5908" width="13.28515625" style="24" bestFit="1" customWidth="1"/>
    <col min="5909" max="5909" width="3.140625" style="24" customWidth="1"/>
    <col min="5910" max="5910" width="5.42578125" style="24" bestFit="1" customWidth="1"/>
    <col min="5911" max="5911" width="4.42578125" style="24" bestFit="1" customWidth="1"/>
    <col min="5912" max="5912" width="6.42578125" style="24" customWidth="1"/>
    <col min="5913" max="5913" width="5" style="24" bestFit="1" customWidth="1"/>
    <col min="5914" max="5914" width="4.5703125" style="24" bestFit="1" customWidth="1"/>
    <col min="5915" max="5915" width="4.42578125" style="24" bestFit="1" customWidth="1"/>
    <col min="5916" max="5916" width="4" style="24" customWidth="1"/>
    <col min="5917" max="6144" width="11.42578125" style="24"/>
    <col min="6145" max="6145" width="14.85546875" style="24" bestFit="1" customWidth="1"/>
    <col min="6146" max="6146" width="28" style="24" bestFit="1" customWidth="1"/>
    <col min="6147" max="6147" width="4.42578125" style="24" bestFit="1" customWidth="1"/>
    <col min="6148" max="6148" width="8" style="24" bestFit="1" customWidth="1"/>
    <col min="6149" max="6149" width="11.42578125" style="24"/>
    <col min="6150" max="6150" width="22.85546875" style="24" bestFit="1" customWidth="1"/>
    <col min="6151" max="6151" width="7" style="24" customWidth="1"/>
    <col min="6152" max="6152" width="6.28515625" style="24" customWidth="1"/>
    <col min="6153" max="6153" width="5.7109375" style="24" customWidth="1"/>
    <col min="6154" max="6154" width="5.7109375" style="24" bestFit="1" customWidth="1"/>
    <col min="6155" max="6155" width="5.85546875" style="24" bestFit="1" customWidth="1"/>
    <col min="6156" max="6156" width="9.42578125" style="24" customWidth="1"/>
    <col min="6157" max="6157" width="5.140625" style="24" customWidth="1"/>
    <col min="6158" max="6158" width="9.7109375" style="24" customWidth="1"/>
    <col min="6159" max="6159" width="6.7109375" style="24" bestFit="1" customWidth="1"/>
    <col min="6160" max="6160" width="4.85546875" style="24" customWidth="1"/>
    <col min="6161" max="6161" width="5.28515625" style="24" customWidth="1"/>
    <col min="6162" max="6163" width="4.42578125" style="24" bestFit="1" customWidth="1"/>
    <col min="6164" max="6164" width="13.28515625" style="24" bestFit="1" customWidth="1"/>
    <col min="6165" max="6165" width="3.140625" style="24" customWidth="1"/>
    <col min="6166" max="6166" width="5.42578125" style="24" bestFit="1" customWidth="1"/>
    <col min="6167" max="6167" width="4.42578125" style="24" bestFit="1" customWidth="1"/>
    <col min="6168" max="6168" width="6.42578125" style="24" customWidth="1"/>
    <col min="6169" max="6169" width="5" style="24" bestFit="1" customWidth="1"/>
    <col min="6170" max="6170" width="4.5703125" style="24" bestFit="1" customWidth="1"/>
    <col min="6171" max="6171" width="4.42578125" style="24" bestFit="1" customWidth="1"/>
    <col min="6172" max="6172" width="4" style="24" customWidth="1"/>
    <col min="6173" max="6400" width="11.42578125" style="24"/>
    <col min="6401" max="6401" width="14.85546875" style="24" bestFit="1" customWidth="1"/>
    <col min="6402" max="6402" width="28" style="24" bestFit="1" customWidth="1"/>
    <col min="6403" max="6403" width="4.42578125" style="24" bestFit="1" customWidth="1"/>
    <col min="6404" max="6404" width="8" style="24" bestFit="1" customWidth="1"/>
    <col min="6405" max="6405" width="11.42578125" style="24"/>
    <col min="6406" max="6406" width="22.85546875" style="24" bestFit="1" customWidth="1"/>
    <col min="6407" max="6407" width="7" style="24" customWidth="1"/>
    <col min="6408" max="6408" width="6.28515625" style="24" customWidth="1"/>
    <col min="6409" max="6409" width="5.7109375" style="24" customWidth="1"/>
    <col min="6410" max="6410" width="5.7109375" style="24" bestFit="1" customWidth="1"/>
    <col min="6411" max="6411" width="5.85546875" style="24" bestFit="1" customWidth="1"/>
    <col min="6412" max="6412" width="9.42578125" style="24" customWidth="1"/>
    <col min="6413" max="6413" width="5.140625" style="24" customWidth="1"/>
    <col min="6414" max="6414" width="9.7109375" style="24" customWidth="1"/>
    <col min="6415" max="6415" width="6.7109375" style="24" bestFit="1" customWidth="1"/>
    <col min="6416" max="6416" width="4.85546875" style="24" customWidth="1"/>
    <col min="6417" max="6417" width="5.28515625" style="24" customWidth="1"/>
    <col min="6418" max="6419" width="4.42578125" style="24" bestFit="1" customWidth="1"/>
    <col min="6420" max="6420" width="13.28515625" style="24" bestFit="1" customWidth="1"/>
    <col min="6421" max="6421" width="3.140625" style="24" customWidth="1"/>
    <col min="6422" max="6422" width="5.42578125" style="24" bestFit="1" customWidth="1"/>
    <col min="6423" max="6423" width="4.42578125" style="24" bestFit="1" customWidth="1"/>
    <col min="6424" max="6424" width="6.42578125" style="24" customWidth="1"/>
    <col min="6425" max="6425" width="5" style="24" bestFit="1" customWidth="1"/>
    <col min="6426" max="6426" width="4.5703125" style="24" bestFit="1" customWidth="1"/>
    <col min="6427" max="6427" width="4.42578125" style="24" bestFit="1" customWidth="1"/>
    <col min="6428" max="6428" width="4" style="24" customWidth="1"/>
    <col min="6429" max="6656" width="11.42578125" style="24"/>
    <col min="6657" max="6657" width="14.85546875" style="24" bestFit="1" customWidth="1"/>
    <col min="6658" max="6658" width="28" style="24" bestFit="1" customWidth="1"/>
    <col min="6659" max="6659" width="4.42578125" style="24" bestFit="1" customWidth="1"/>
    <col min="6660" max="6660" width="8" style="24" bestFit="1" customWidth="1"/>
    <col min="6661" max="6661" width="11.42578125" style="24"/>
    <col min="6662" max="6662" width="22.85546875" style="24" bestFit="1" customWidth="1"/>
    <col min="6663" max="6663" width="7" style="24" customWidth="1"/>
    <col min="6664" max="6664" width="6.28515625" style="24" customWidth="1"/>
    <col min="6665" max="6665" width="5.7109375" style="24" customWidth="1"/>
    <col min="6666" max="6666" width="5.7109375" style="24" bestFit="1" customWidth="1"/>
    <col min="6667" max="6667" width="5.85546875" style="24" bestFit="1" customWidth="1"/>
    <col min="6668" max="6668" width="9.42578125" style="24" customWidth="1"/>
    <col min="6669" max="6669" width="5.140625" style="24" customWidth="1"/>
    <col min="6670" max="6670" width="9.7109375" style="24" customWidth="1"/>
    <col min="6671" max="6671" width="6.7109375" style="24" bestFit="1" customWidth="1"/>
    <col min="6672" max="6672" width="4.85546875" style="24" customWidth="1"/>
    <col min="6673" max="6673" width="5.28515625" style="24" customWidth="1"/>
    <col min="6674" max="6675" width="4.42578125" style="24" bestFit="1" customWidth="1"/>
    <col min="6676" max="6676" width="13.28515625" style="24" bestFit="1" customWidth="1"/>
    <col min="6677" max="6677" width="3.140625" style="24" customWidth="1"/>
    <col min="6678" max="6678" width="5.42578125" style="24" bestFit="1" customWidth="1"/>
    <col min="6679" max="6679" width="4.42578125" style="24" bestFit="1" customWidth="1"/>
    <col min="6680" max="6680" width="6.42578125" style="24" customWidth="1"/>
    <col min="6681" max="6681" width="5" style="24" bestFit="1" customWidth="1"/>
    <col min="6682" max="6682" width="4.5703125" style="24" bestFit="1" customWidth="1"/>
    <col min="6683" max="6683" width="4.42578125" style="24" bestFit="1" customWidth="1"/>
    <col min="6684" max="6684" width="4" style="24" customWidth="1"/>
    <col min="6685" max="6912" width="11.42578125" style="24"/>
    <col min="6913" max="6913" width="14.85546875" style="24" bestFit="1" customWidth="1"/>
    <col min="6914" max="6914" width="28" style="24" bestFit="1" customWidth="1"/>
    <col min="6915" max="6915" width="4.42578125" style="24" bestFit="1" customWidth="1"/>
    <col min="6916" max="6916" width="8" style="24" bestFit="1" customWidth="1"/>
    <col min="6917" max="6917" width="11.42578125" style="24"/>
    <col min="6918" max="6918" width="22.85546875" style="24" bestFit="1" customWidth="1"/>
    <col min="6919" max="6919" width="7" style="24" customWidth="1"/>
    <col min="6920" max="6920" width="6.28515625" style="24" customWidth="1"/>
    <col min="6921" max="6921" width="5.7109375" style="24" customWidth="1"/>
    <col min="6922" max="6922" width="5.7109375" style="24" bestFit="1" customWidth="1"/>
    <col min="6923" max="6923" width="5.85546875" style="24" bestFit="1" customWidth="1"/>
    <col min="6924" max="6924" width="9.42578125" style="24" customWidth="1"/>
    <col min="6925" max="6925" width="5.140625" style="24" customWidth="1"/>
    <col min="6926" max="6926" width="9.7109375" style="24" customWidth="1"/>
    <col min="6927" max="6927" width="6.7109375" style="24" bestFit="1" customWidth="1"/>
    <col min="6928" max="6928" width="4.85546875" style="24" customWidth="1"/>
    <col min="6929" max="6929" width="5.28515625" style="24" customWidth="1"/>
    <col min="6930" max="6931" width="4.42578125" style="24" bestFit="1" customWidth="1"/>
    <col min="6932" max="6932" width="13.28515625" style="24" bestFit="1" customWidth="1"/>
    <col min="6933" max="6933" width="3.140625" style="24" customWidth="1"/>
    <col min="6934" max="6934" width="5.42578125" style="24" bestFit="1" customWidth="1"/>
    <col min="6935" max="6935" width="4.42578125" style="24" bestFit="1" customWidth="1"/>
    <col min="6936" max="6936" width="6.42578125" style="24" customWidth="1"/>
    <col min="6937" max="6937" width="5" style="24" bestFit="1" customWidth="1"/>
    <col min="6938" max="6938" width="4.5703125" style="24" bestFit="1" customWidth="1"/>
    <col min="6939" max="6939" width="4.42578125" style="24" bestFit="1" customWidth="1"/>
    <col min="6940" max="6940" width="4" style="24" customWidth="1"/>
    <col min="6941" max="7168" width="11.42578125" style="24"/>
    <col min="7169" max="7169" width="14.85546875" style="24" bestFit="1" customWidth="1"/>
    <col min="7170" max="7170" width="28" style="24" bestFit="1" customWidth="1"/>
    <col min="7171" max="7171" width="4.42578125" style="24" bestFit="1" customWidth="1"/>
    <col min="7172" max="7172" width="8" style="24" bestFit="1" customWidth="1"/>
    <col min="7173" max="7173" width="11.42578125" style="24"/>
    <col min="7174" max="7174" width="22.85546875" style="24" bestFit="1" customWidth="1"/>
    <col min="7175" max="7175" width="7" style="24" customWidth="1"/>
    <col min="7176" max="7176" width="6.28515625" style="24" customWidth="1"/>
    <col min="7177" max="7177" width="5.7109375" style="24" customWidth="1"/>
    <col min="7178" max="7178" width="5.7109375" style="24" bestFit="1" customWidth="1"/>
    <col min="7179" max="7179" width="5.85546875" style="24" bestFit="1" customWidth="1"/>
    <col min="7180" max="7180" width="9.42578125" style="24" customWidth="1"/>
    <col min="7181" max="7181" width="5.140625" style="24" customWidth="1"/>
    <col min="7182" max="7182" width="9.7109375" style="24" customWidth="1"/>
    <col min="7183" max="7183" width="6.7109375" style="24" bestFit="1" customWidth="1"/>
    <col min="7184" max="7184" width="4.85546875" style="24" customWidth="1"/>
    <col min="7185" max="7185" width="5.28515625" style="24" customWidth="1"/>
    <col min="7186" max="7187" width="4.42578125" style="24" bestFit="1" customWidth="1"/>
    <col min="7188" max="7188" width="13.28515625" style="24" bestFit="1" customWidth="1"/>
    <col min="7189" max="7189" width="3.140625" style="24" customWidth="1"/>
    <col min="7190" max="7190" width="5.42578125" style="24" bestFit="1" customWidth="1"/>
    <col min="7191" max="7191" width="4.42578125" style="24" bestFit="1" customWidth="1"/>
    <col min="7192" max="7192" width="6.42578125" style="24" customWidth="1"/>
    <col min="7193" max="7193" width="5" style="24" bestFit="1" customWidth="1"/>
    <col min="7194" max="7194" width="4.5703125" style="24" bestFit="1" customWidth="1"/>
    <col min="7195" max="7195" width="4.42578125" style="24" bestFit="1" customWidth="1"/>
    <col min="7196" max="7196" width="4" style="24" customWidth="1"/>
    <col min="7197" max="7424" width="11.42578125" style="24"/>
    <col min="7425" max="7425" width="14.85546875" style="24" bestFit="1" customWidth="1"/>
    <col min="7426" max="7426" width="28" style="24" bestFit="1" customWidth="1"/>
    <col min="7427" max="7427" width="4.42578125" style="24" bestFit="1" customWidth="1"/>
    <col min="7428" max="7428" width="8" style="24" bestFit="1" customWidth="1"/>
    <col min="7429" max="7429" width="11.42578125" style="24"/>
    <col min="7430" max="7430" width="22.85546875" style="24" bestFit="1" customWidth="1"/>
    <col min="7431" max="7431" width="7" style="24" customWidth="1"/>
    <col min="7432" max="7432" width="6.28515625" style="24" customWidth="1"/>
    <col min="7433" max="7433" width="5.7109375" style="24" customWidth="1"/>
    <col min="7434" max="7434" width="5.7109375" style="24" bestFit="1" customWidth="1"/>
    <col min="7435" max="7435" width="5.85546875" style="24" bestFit="1" customWidth="1"/>
    <col min="7436" max="7436" width="9.42578125" style="24" customWidth="1"/>
    <col min="7437" max="7437" width="5.140625" style="24" customWidth="1"/>
    <col min="7438" max="7438" width="9.7109375" style="24" customWidth="1"/>
    <col min="7439" max="7439" width="6.7109375" style="24" bestFit="1" customWidth="1"/>
    <col min="7440" max="7440" width="4.85546875" style="24" customWidth="1"/>
    <col min="7441" max="7441" width="5.28515625" style="24" customWidth="1"/>
    <col min="7442" max="7443" width="4.42578125" style="24" bestFit="1" customWidth="1"/>
    <col min="7444" max="7444" width="13.28515625" style="24" bestFit="1" customWidth="1"/>
    <col min="7445" max="7445" width="3.140625" style="24" customWidth="1"/>
    <col min="7446" max="7446" width="5.42578125" style="24" bestFit="1" customWidth="1"/>
    <col min="7447" max="7447" width="4.42578125" style="24" bestFit="1" customWidth="1"/>
    <col min="7448" max="7448" width="6.42578125" style="24" customWidth="1"/>
    <col min="7449" max="7449" width="5" style="24" bestFit="1" customWidth="1"/>
    <col min="7450" max="7450" width="4.5703125" style="24" bestFit="1" customWidth="1"/>
    <col min="7451" max="7451" width="4.42578125" style="24" bestFit="1" customWidth="1"/>
    <col min="7452" max="7452" width="4" style="24" customWidth="1"/>
    <col min="7453" max="7680" width="11.42578125" style="24"/>
    <col min="7681" max="7681" width="14.85546875" style="24" bestFit="1" customWidth="1"/>
    <col min="7682" max="7682" width="28" style="24" bestFit="1" customWidth="1"/>
    <col min="7683" max="7683" width="4.42578125" style="24" bestFit="1" customWidth="1"/>
    <col min="7684" max="7684" width="8" style="24" bestFit="1" customWidth="1"/>
    <col min="7685" max="7685" width="11.42578125" style="24"/>
    <col min="7686" max="7686" width="22.85546875" style="24" bestFit="1" customWidth="1"/>
    <col min="7687" max="7687" width="7" style="24" customWidth="1"/>
    <col min="7688" max="7688" width="6.28515625" style="24" customWidth="1"/>
    <col min="7689" max="7689" width="5.7109375" style="24" customWidth="1"/>
    <col min="7690" max="7690" width="5.7109375" style="24" bestFit="1" customWidth="1"/>
    <col min="7691" max="7691" width="5.85546875" style="24" bestFit="1" customWidth="1"/>
    <col min="7692" max="7692" width="9.42578125" style="24" customWidth="1"/>
    <col min="7693" max="7693" width="5.140625" style="24" customWidth="1"/>
    <col min="7694" max="7694" width="9.7109375" style="24" customWidth="1"/>
    <col min="7695" max="7695" width="6.7109375" style="24" bestFit="1" customWidth="1"/>
    <col min="7696" max="7696" width="4.85546875" style="24" customWidth="1"/>
    <col min="7697" max="7697" width="5.28515625" style="24" customWidth="1"/>
    <col min="7698" max="7699" width="4.42578125" style="24" bestFit="1" customWidth="1"/>
    <col min="7700" max="7700" width="13.28515625" style="24" bestFit="1" customWidth="1"/>
    <col min="7701" max="7701" width="3.140625" style="24" customWidth="1"/>
    <col min="7702" max="7702" width="5.42578125" style="24" bestFit="1" customWidth="1"/>
    <col min="7703" max="7703" width="4.42578125" style="24" bestFit="1" customWidth="1"/>
    <col min="7704" max="7704" width="6.42578125" style="24" customWidth="1"/>
    <col min="7705" max="7705" width="5" style="24" bestFit="1" customWidth="1"/>
    <col min="7706" max="7706" width="4.5703125" style="24" bestFit="1" customWidth="1"/>
    <col min="7707" max="7707" width="4.42578125" style="24" bestFit="1" customWidth="1"/>
    <col min="7708" max="7708" width="4" style="24" customWidth="1"/>
    <col min="7709" max="7936" width="11.42578125" style="24"/>
    <col min="7937" max="7937" width="14.85546875" style="24" bestFit="1" customWidth="1"/>
    <col min="7938" max="7938" width="28" style="24" bestFit="1" customWidth="1"/>
    <col min="7939" max="7939" width="4.42578125" style="24" bestFit="1" customWidth="1"/>
    <col min="7940" max="7940" width="8" style="24" bestFit="1" customWidth="1"/>
    <col min="7941" max="7941" width="11.42578125" style="24"/>
    <col min="7942" max="7942" width="22.85546875" style="24" bestFit="1" customWidth="1"/>
    <col min="7943" max="7943" width="7" style="24" customWidth="1"/>
    <col min="7944" max="7944" width="6.28515625" style="24" customWidth="1"/>
    <col min="7945" max="7945" width="5.7109375" style="24" customWidth="1"/>
    <col min="7946" max="7946" width="5.7109375" style="24" bestFit="1" customWidth="1"/>
    <col min="7947" max="7947" width="5.85546875" style="24" bestFit="1" customWidth="1"/>
    <col min="7948" max="7948" width="9.42578125" style="24" customWidth="1"/>
    <col min="7949" max="7949" width="5.140625" style="24" customWidth="1"/>
    <col min="7950" max="7950" width="9.7109375" style="24" customWidth="1"/>
    <col min="7951" max="7951" width="6.7109375" style="24" bestFit="1" customWidth="1"/>
    <col min="7952" max="7952" width="4.85546875" style="24" customWidth="1"/>
    <col min="7953" max="7953" width="5.28515625" style="24" customWidth="1"/>
    <col min="7954" max="7955" width="4.42578125" style="24" bestFit="1" customWidth="1"/>
    <col min="7956" max="7956" width="13.28515625" style="24" bestFit="1" customWidth="1"/>
    <col min="7957" max="7957" width="3.140625" style="24" customWidth="1"/>
    <col min="7958" max="7958" width="5.42578125" style="24" bestFit="1" customWidth="1"/>
    <col min="7959" max="7959" width="4.42578125" style="24" bestFit="1" customWidth="1"/>
    <col min="7960" max="7960" width="6.42578125" style="24" customWidth="1"/>
    <col min="7961" max="7961" width="5" style="24" bestFit="1" customWidth="1"/>
    <col min="7962" max="7962" width="4.5703125" style="24" bestFit="1" customWidth="1"/>
    <col min="7963" max="7963" width="4.42578125" style="24" bestFit="1" customWidth="1"/>
    <col min="7964" max="7964" width="4" style="24" customWidth="1"/>
    <col min="7965" max="8192" width="11.42578125" style="24"/>
    <col min="8193" max="8193" width="14.85546875" style="24" bestFit="1" customWidth="1"/>
    <col min="8194" max="8194" width="28" style="24" bestFit="1" customWidth="1"/>
    <col min="8195" max="8195" width="4.42578125" style="24" bestFit="1" customWidth="1"/>
    <col min="8196" max="8196" width="8" style="24" bestFit="1" customWidth="1"/>
    <col min="8197" max="8197" width="11.42578125" style="24"/>
    <col min="8198" max="8198" width="22.85546875" style="24" bestFit="1" customWidth="1"/>
    <col min="8199" max="8199" width="7" style="24" customWidth="1"/>
    <col min="8200" max="8200" width="6.28515625" style="24" customWidth="1"/>
    <col min="8201" max="8201" width="5.7109375" style="24" customWidth="1"/>
    <col min="8202" max="8202" width="5.7109375" style="24" bestFit="1" customWidth="1"/>
    <col min="8203" max="8203" width="5.85546875" style="24" bestFit="1" customWidth="1"/>
    <col min="8204" max="8204" width="9.42578125" style="24" customWidth="1"/>
    <col min="8205" max="8205" width="5.140625" style="24" customWidth="1"/>
    <col min="8206" max="8206" width="9.7109375" style="24" customWidth="1"/>
    <col min="8207" max="8207" width="6.7109375" style="24" bestFit="1" customWidth="1"/>
    <col min="8208" max="8208" width="4.85546875" style="24" customWidth="1"/>
    <col min="8209" max="8209" width="5.28515625" style="24" customWidth="1"/>
    <col min="8210" max="8211" width="4.42578125" style="24" bestFit="1" customWidth="1"/>
    <col min="8212" max="8212" width="13.28515625" style="24" bestFit="1" customWidth="1"/>
    <col min="8213" max="8213" width="3.140625" style="24" customWidth="1"/>
    <col min="8214" max="8214" width="5.42578125" style="24" bestFit="1" customWidth="1"/>
    <col min="8215" max="8215" width="4.42578125" style="24" bestFit="1" customWidth="1"/>
    <col min="8216" max="8216" width="6.42578125" style="24" customWidth="1"/>
    <col min="8217" max="8217" width="5" style="24" bestFit="1" customWidth="1"/>
    <col min="8218" max="8218" width="4.5703125" style="24" bestFit="1" customWidth="1"/>
    <col min="8219" max="8219" width="4.42578125" style="24" bestFit="1" customWidth="1"/>
    <col min="8220" max="8220" width="4" style="24" customWidth="1"/>
    <col min="8221" max="8448" width="11.42578125" style="24"/>
    <col min="8449" max="8449" width="14.85546875" style="24" bestFit="1" customWidth="1"/>
    <col min="8450" max="8450" width="28" style="24" bestFit="1" customWidth="1"/>
    <col min="8451" max="8451" width="4.42578125" style="24" bestFit="1" customWidth="1"/>
    <col min="8452" max="8452" width="8" style="24" bestFit="1" customWidth="1"/>
    <col min="8453" max="8453" width="11.42578125" style="24"/>
    <col min="8454" max="8454" width="22.85546875" style="24" bestFit="1" customWidth="1"/>
    <col min="8455" max="8455" width="7" style="24" customWidth="1"/>
    <col min="8456" max="8456" width="6.28515625" style="24" customWidth="1"/>
    <col min="8457" max="8457" width="5.7109375" style="24" customWidth="1"/>
    <col min="8458" max="8458" width="5.7109375" style="24" bestFit="1" customWidth="1"/>
    <col min="8459" max="8459" width="5.85546875" style="24" bestFit="1" customWidth="1"/>
    <col min="8460" max="8460" width="9.42578125" style="24" customWidth="1"/>
    <col min="8461" max="8461" width="5.140625" style="24" customWidth="1"/>
    <col min="8462" max="8462" width="9.7109375" style="24" customWidth="1"/>
    <col min="8463" max="8463" width="6.7109375" style="24" bestFit="1" customWidth="1"/>
    <col min="8464" max="8464" width="4.85546875" style="24" customWidth="1"/>
    <col min="8465" max="8465" width="5.28515625" style="24" customWidth="1"/>
    <col min="8466" max="8467" width="4.42578125" style="24" bestFit="1" customWidth="1"/>
    <col min="8468" max="8468" width="13.28515625" style="24" bestFit="1" customWidth="1"/>
    <col min="8469" max="8469" width="3.140625" style="24" customWidth="1"/>
    <col min="8470" max="8470" width="5.42578125" style="24" bestFit="1" customWidth="1"/>
    <col min="8471" max="8471" width="4.42578125" style="24" bestFit="1" customWidth="1"/>
    <col min="8472" max="8472" width="6.42578125" style="24" customWidth="1"/>
    <col min="8473" max="8473" width="5" style="24" bestFit="1" customWidth="1"/>
    <col min="8474" max="8474" width="4.5703125" style="24" bestFit="1" customWidth="1"/>
    <col min="8475" max="8475" width="4.42578125" style="24" bestFit="1" customWidth="1"/>
    <col min="8476" max="8476" width="4" style="24" customWidth="1"/>
    <col min="8477" max="8704" width="11.42578125" style="24"/>
    <col min="8705" max="8705" width="14.85546875" style="24" bestFit="1" customWidth="1"/>
    <col min="8706" max="8706" width="28" style="24" bestFit="1" customWidth="1"/>
    <col min="8707" max="8707" width="4.42578125" style="24" bestFit="1" customWidth="1"/>
    <col min="8708" max="8708" width="8" style="24" bestFit="1" customWidth="1"/>
    <col min="8709" max="8709" width="11.42578125" style="24"/>
    <col min="8710" max="8710" width="22.85546875" style="24" bestFit="1" customWidth="1"/>
    <col min="8711" max="8711" width="7" style="24" customWidth="1"/>
    <col min="8712" max="8712" width="6.28515625" style="24" customWidth="1"/>
    <col min="8713" max="8713" width="5.7109375" style="24" customWidth="1"/>
    <col min="8714" max="8714" width="5.7109375" style="24" bestFit="1" customWidth="1"/>
    <col min="8715" max="8715" width="5.85546875" style="24" bestFit="1" customWidth="1"/>
    <col min="8716" max="8716" width="9.42578125" style="24" customWidth="1"/>
    <col min="8717" max="8717" width="5.140625" style="24" customWidth="1"/>
    <col min="8718" max="8718" width="9.7109375" style="24" customWidth="1"/>
    <col min="8719" max="8719" width="6.7109375" style="24" bestFit="1" customWidth="1"/>
    <col min="8720" max="8720" width="4.85546875" style="24" customWidth="1"/>
    <col min="8721" max="8721" width="5.28515625" style="24" customWidth="1"/>
    <col min="8722" max="8723" width="4.42578125" style="24" bestFit="1" customWidth="1"/>
    <col min="8724" max="8724" width="13.28515625" style="24" bestFit="1" customWidth="1"/>
    <col min="8725" max="8725" width="3.140625" style="24" customWidth="1"/>
    <col min="8726" max="8726" width="5.42578125" style="24" bestFit="1" customWidth="1"/>
    <col min="8727" max="8727" width="4.42578125" style="24" bestFit="1" customWidth="1"/>
    <col min="8728" max="8728" width="6.42578125" style="24" customWidth="1"/>
    <col min="8729" max="8729" width="5" style="24" bestFit="1" customWidth="1"/>
    <col min="8730" max="8730" width="4.5703125" style="24" bestFit="1" customWidth="1"/>
    <col min="8731" max="8731" width="4.42578125" style="24" bestFit="1" customWidth="1"/>
    <col min="8732" max="8732" width="4" style="24" customWidth="1"/>
    <col min="8733" max="8960" width="11.42578125" style="24"/>
    <col min="8961" max="8961" width="14.85546875" style="24" bestFit="1" customWidth="1"/>
    <col min="8962" max="8962" width="28" style="24" bestFit="1" customWidth="1"/>
    <col min="8963" max="8963" width="4.42578125" style="24" bestFit="1" customWidth="1"/>
    <col min="8964" max="8964" width="8" style="24" bestFit="1" customWidth="1"/>
    <col min="8965" max="8965" width="11.42578125" style="24"/>
    <col min="8966" max="8966" width="22.85546875" style="24" bestFit="1" customWidth="1"/>
    <col min="8967" max="8967" width="7" style="24" customWidth="1"/>
    <col min="8968" max="8968" width="6.28515625" style="24" customWidth="1"/>
    <col min="8969" max="8969" width="5.7109375" style="24" customWidth="1"/>
    <col min="8970" max="8970" width="5.7109375" style="24" bestFit="1" customWidth="1"/>
    <col min="8971" max="8971" width="5.85546875" style="24" bestFit="1" customWidth="1"/>
    <col min="8972" max="8972" width="9.42578125" style="24" customWidth="1"/>
    <col min="8973" max="8973" width="5.140625" style="24" customWidth="1"/>
    <col min="8974" max="8974" width="9.7109375" style="24" customWidth="1"/>
    <col min="8975" max="8975" width="6.7109375" style="24" bestFit="1" customWidth="1"/>
    <col min="8976" max="8976" width="4.85546875" style="24" customWidth="1"/>
    <col min="8977" max="8977" width="5.28515625" style="24" customWidth="1"/>
    <col min="8978" max="8979" width="4.42578125" style="24" bestFit="1" customWidth="1"/>
    <col min="8980" max="8980" width="13.28515625" style="24" bestFit="1" customWidth="1"/>
    <col min="8981" max="8981" width="3.140625" style="24" customWidth="1"/>
    <col min="8982" max="8982" width="5.42578125" style="24" bestFit="1" customWidth="1"/>
    <col min="8983" max="8983" width="4.42578125" style="24" bestFit="1" customWidth="1"/>
    <col min="8984" max="8984" width="6.42578125" style="24" customWidth="1"/>
    <col min="8985" max="8985" width="5" style="24" bestFit="1" customWidth="1"/>
    <col min="8986" max="8986" width="4.5703125" style="24" bestFit="1" customWidth="1"/>
    <col min="8987" max="8987" width="4.42578125" style="24" bestFit="1" customWidth="1"/>
    <col min="8988" max="8988" width="4" style="24" customWidth="1"/>
    <col min="8989" max="9216" width="11.42578125" style="24"/>
    <col min="9217" max="9217" width="14.85546875" style="24" bestFit="1" customWidth="1"/>
    <col min="9218" max="9218" width="28" style="24" bestFit="1" customWidth="1"/>
    <col min="9219" max="9219" width="4.42578125" style="24" bestFit="1" customWidth="1"/>
    <col min="9220" max="9220" width="8" style="24" bestFit="1" customWidth="1"/>
    <col min="9221" max="9221" width="11.42578125" style="24"/>
    <col min="9222" max="9222" width="22.85546875" style="24" bestFit="1" customWidth="1"/>
    <col min="9223" max="9223" width="7" style="24" customWidth="1"/>
    <col min="9224" max="9224" width="6.28515625" style="24" customWidth="1"/>
    <col min="9225" max="9225" width="5.7109375" style="24" customWidth="1"/>
    <col min="9226" max="9226" width="5.7109375" style="24" bestFit="1" customWidth="1"/>
    <col min="9227" max="9227" width="5.85546875" style="24" bestFit="1" customWidth="1"/>
    <col min="9228" max="9228" width="9.42578125" style="24" customWidth="1"/>
    <col min="9229" max="9229" width="5.140625" style="24" customWidth="1"/>
    <col min="9230" max="9230" width="9.7109375" style="24" customWidth="1"/>
    <col min="9231" max="9231" width="6.7109375" style="24" bestFit="1" customWidth="1"/>
    <col min="9232" max="9232" width="4.85546875" style="24" customWidth="1"/>
    <col min="9233" max="9233" width="5.28515625" style="24" customWidth="1"/>
    <col min="9234" max="9235" width="4.42578125" style="24" bestFit="1" customWidth="1"/>
    <col min="9236" max="9236" width="13.28515625" style="24" bestFit="1" customWidth="1"/>
    <col min="9237" max="9237" width="3.140625" style="24" customWidth="1"/>
    <col min="9238" max="9238" width="5.42578125" style="24" bestFit="1" customWidth="1"/>
    <col min="9239" max="9239" width="4.42578125" style="24" bestFit="1" customWidth="1"/>
    <col min="9240" max="9240" width="6.42578125" style="24" customWidth="1"/>
    <col min="9241" max="9241" width="5" style="24" bestFit="1" customWidth="1"/>
    <col min="9242" max="9242" width="4.5703125" style="24" bestFit="1" customWidth="1"/>
    <col min="9243" max="9243" width="4.42578125" style="24" bestFit="1" customWidth="1"/>
    <col min="9244" max="9244" width="4" style="24" customWidth="1"/>
    <col min="9245" max="9472" width="11.42578125" style="24"/>
    <col min="9473" max="9473" width="14.85546875" style="24" bestFit="1" customWidth="1"/>
    <col min="9474" max="9474" width="28" style="24" bestFit="1" customWidth="1"/>
    <col min="9475" max="9475" width="4.42578125" style="24" bestFit="1" customWidth="1"/>
    <col min="9476" max="9476" width="8" style="24" bestFit="1" customWidth="1"/>
    <col min="9477" max="9477" width="11.42578125" style="24"/>
    <col min="9478" max="9478" width="22.85546875" style="24" bestFit="1" customWidth="1"/>
    <col min="9479" max="9479" width="7" style="24" customWidth="1"/>
    <col min="9480" max="9480" width="6.28515625" style="24" customWidth="1"/>
    <col min="9481" max="9481" width="5.7109375" style="24" customWidth="1"/>
    <col min="9482" max="9482" width="5.7109375" style="24" bestFit="1" customWidth="1"/>
    <col min="9483" max="9483" width="5.85546875" style="24" bestFit="1" customWidth="1"/>
    <col min="9484" max="9484" width="9.42578125" style="24" customWidth="1"/>
    <col min="9485" max="9485" width="5.140625" style="24" customWidth="1"/>
    <col min="9486" max="9486" width="9.7109375" style="24" customWidth="1"/>
    <col min="9487" max="9487" width="6.7109375" style="24" bestFit="1" customWidth="1"/>
    <col min="9488" max="9488" width="4.85546875" style="24" customWidth="1"/>
    <col min="9489" max="9489" width="5.28515625" style="24" customWidth="1"/>
    <col min="9490" max="9491" width="4.42578125" style="24" bestFit="1" customWidth="1"/>
    <col min="9492" max="9492" width="13.28515625" style="24" bestFit="1" customWidth="1"/>
    <col min="9493" max="9493" width="3.140625" style="24" customWidth="1"/>
    <col min="9494" max="9494" width="5.42578125" style="24" bestFit="1" customWidth="1"/>
    <col min="9495" max="9495" width="4.42578125" style="24" bestFit="1" customWidth="1"/>
    <col min="9496" max="9496" width="6.42578125" style="24" customWidth="1"/>
    <col min="9497" max="9497" width="5" style="24" bestFit="1" customWidth="1"/>
    <col min="9498" max="9498" width="4.5703125" style="24" bestFit="1" customWidth="1"/>
    <col min="9499" max="9499" width="4.42578125" style="24" bestFit="1" customWidth="1"/>
    <col min="9500" max="9500" width="4" style="24" customWidth="1"/>
    <col min="9501" max="9728" width="11.42578125" style="24"/>
    <col min="9729" max="9729" width="14.85546875" style="24" bestFit="1" customWidth="1"/>
    <col min="9730" max="9730" width="28" style="24" bestFit="1" customWidth="1"/>
    <col min="9731" max="9731" width="4.42578125" style="24" bestFit="1" customWidth="1"/>
    <col min="9732" max="9732" width="8" style="24" bestFit="1" customWidth="1"/>
    <col min="9733" max="9733" width="11.42578125" style="24"/>
    <col min="9734" max="9734" width="22.85546875" style="24" bestFit="1" customWidth="1"/>
    <col min="9735" max="9735" width="7" style="24" customWidth="1"/>
    <col min="9736" max="9736" width="6.28515625" style="24" customWidth="1"/>
    <col min="9737" max="9737" width="5.7109375" style="24" customWidth="1"/>
    <col min="9738" max="9738" width="5.7109375" style="24" bestFit="1" customWidth="1"/>
    <col min="9739" max="9739" width="5.85546875" style="24" bestFit="1" customWidth="1"/>
    <col min="9740" max="9740" width="9.42578125" style="24" customWidth="1"/>
    <col min="9741" max="9741" width="5.140625" style="24" customWidth="1"/>
    <col min="9742" max="9742" width="9.7109375" style="24" customWidth="1"/>
    <col min="9743" max="9743" width="6.7109375" style="24" bestFit="1" customWidth="1"/>
    <col min="9744" max="9744" width="4.85546875" style="24" customWidth="1"/>
    <col min="9745" max="9745" width="5.28515625" style="24" customWidth="1"/>
    <col min="9746" max="9747" width="4.42578125" style="24" bestFit="1" customWidth="1"/>
    <col min="9748" max="9748" width="13.28515625" style="24" bestFit="1" customWidth="1"/>
    <col min="9749" max="9749" width="3.140625" style="24" customWidth="1"/>
    <col min="9750" max="9750" width="5.42578125" style="24" bestFit="1" customWidth="1"/>
    <col min="9751" max="9751" width="4.42578125" style="24" bestFit="1" customWidth="1"/>
    <col min="9752" max="9752" width="6.42578125" style="24" customWidth="1"/>
    <col min="9753" max="9753" width="5" style="24" bestFit="1" customWidth="1"/>
    <col min="9754" max="9754" width="4.5703125" style="24" bestFit="1" customWidth="1"/>
    <col min="9755" max="9755" width="4.42578125" style="24" bestFit="1" customWidth="1"/>
    <col min="9756" max="9756" width="4" style="24" customWidth="1"/>
    <col min="9757" max="9984" width="11.42578125" style="24"/>
    <col min="9985" max="9985" width="14.85546875" style="24" bestFit="1" customWidth="1"/>
    <col min="9986" max="9986" width="28" style="24" bestFit="1" customWidth="1"/>
    <col min="9987" max="9987" width="4.42578125" style="24" bestFit="1" customWidth="1"/>
    <col min="9988" max="9988" width="8" style="24" bestFit="1" customWidth="1"/>
    <col min="9989" max="9989" width="11.42578125" style="24"/>
    <col min="9990" max="9990" width="22.85546875" style="24" bestFit="1" customWidth="1"/>
    <col min="9991" max="9991" width="7" style="24" customWidth="1"/>
    <col min="9992" max="9992" width="6.28515625" style="24" customWidth="1"/>
    <col min="9993" max="9993" width="5.7109375" style="24" customWidth="1"/>
    <col min="9994" max="9994" width="5.7109375" style="24" bestFit="1" customWidth="1"/>
    <col min="9995" max="9995" width="5.85546875" style="24" bestFit="1" customWidth="1"/>
    <col min="9996" max="9996" width="9.42578125" style="24" customWidth="1"/>
    <col min="9997" max="9997" width="5.140625" style="24" customWidth="1"/>
    <col min="9998" max="9998" width="9.7109375" style="24" customWidth="1"/>
    <col min="9999" max="9999" width="6.7109375" style="24" bestFit="1" customWidth="1"/>
    <col min="10000" max="10000" width="4.85546875" style="24" customWidth="1"/>
    <col min="10001" max="10001" width="5.28515625" style="24" customWidth="1"/>
    <col min="10002" max="10003" width="4.42578125" style="24" bestFit="1" customWidth="1"/>
    <col min="10004" max="10004" width="13.28515625" style="24" bestFit="1" customWidth="1"/>
    <col min="10005" max="10005" width="3.140625" style="24" customWidth="1"/>
    <col min="10006" max="10006" width="5.42578125" style="24" bestFit="1" customWidth="1"/>
    <col min="10007" max="10007" width="4.42578125" style="24" bestFit="1" customWidth="1"/>
    <col min="10008" max="10008" width="6.42578125" style="24" customWidth="1"/>
    <col min="10009" max="10009" width="5" style="24" bestFit="1" customWidth="1"/>
    <col min="10010" max="10010" width="4.5703125" style="24" bestFit="1" customWidth="1"/>
    <col min="10011" max="10011" width="4.42578125" style="24" bestFit="1" customWidth="1"/>
    <col min="10012" max="10012" width="4" style="24" customWidth="1"/>
    <col min="10013" max="10240" width="11.42578125" style="24"/>
    <col min="10241" max="10241" width="14.85546875" style="24" bestFit="1" customWidth="1"/>
    <col min="10242" max="10242" width="28" style="24" bestFit="1" customWidth="1"/>
    <col min="10243" max="10243" width="4.42578125" style="24" bestFit="1" customWidth="1"/>
    <col min="10244" max="10244" width="8" style="24" bestFit="1" customWidth="1"/>
    <col min="10245" max="10245" width="11.42578125" style="24"/>
    <col min="10246" max="10246" width="22.85546875" style="24" bestFit="1" customWidth="1"/>
    <col min="10247" max="10247" width="7" style="24" customWidth="1"/>
    <col min="10248" max="10248" width="6.28515625" style="24" customWidth="1"/>
    <col min="10249" max="10249" width="5.7109375" style="24" customWidth="1"/>
    <col min="10250" max="10250" width="5.7109375" style="24" bestFit="1" customWidth="1"/>
    <col min="10251" max="10251" width="5.85546875" style="24" bestFit="1" customWidth="1"/>
    <col min="10252" max="10252" width="9.42578125" style="24" customWidth="1"/>
    <col min="10253" max="10253" width="5.140625" style="24" customWidth="1"/>
    <col min="10254" max="10254" width="9.7109375" style="24" customWidth="1"/>
    <col min="10255" max="10255" width="6.7109375" style="24" bestFit="1" customWidth="1"/>
    <col min="10256" max="10256" width="4.85546875" style="24" customWidth="1"/>
    <col min="10257" max="10257" width="5.28515625" style="24" customWidth="1"/>
    <col min="10258" max="10259" width="4.42578125" style="24" bestFit="1" customWidth="1"/>
    <col min="10260" max="10260" width="13.28515625" style="24" bestFit="1" customWidth="1"/>
    <col min="10261" max="10261" width="3.140625" style="24" customWidth="1"/>
    <col min="10262" max="10262" width="5.42578125" style="24" bestFit="1" customWidth="1"/>
    <col min="10263" max="10263" width="4.42578125" style="24" bestFit="1" customWidth="1"/>
    <col min="10264" max="10264" width="6.42578125" style="24" customWidth="1"/>
    <col min="10265" max="10265" width="5" style="24" bestFit="1" customWidth="1"/>
    <col min="10266" max="10266" width="4.5703125" style="24" bestFit="1" customWidth="1"/>
    <col min="10267" max="10267" width="4.42578125" style="24" bestFit="1" customWidth="1"/>
    <col min="10268" max="10268" width="4" style="24" customWidth="1"/>
    <col min="10269" max="10496" width="11.42578125" style="24"/>
    <col min="10497" max="10497" width="14.85546875" style="24" bestFit="1" customWidth="1"/>
    <col min="10498" max="10498" width="28" style="24" bestFit="1" customWidth="1"/>
    <col min="10499" max="10499" width="4.42578125" style="24" bestFit="1" customWidth="1"/>
    <col min="10500" max="10500" width="8" style="24" bestFit="1" customWidth="1"/>
    <col min="10501" max="10501" width="11.42578125" style="24"/>
    <col min="10502" max="10502" width="22.85546875" style="24" bestFit="1" customWidth="1"/>
    <col min="10503" max="10503" width="7" style="24" customWidth="1"/>
    <col min="10504" max="10504" width="6.28515625" style="24" customWidth="1"/>
    <col min="10505" max="10505" width="5.7109375" style="24" customWidth="1"/>
    <col min="10506" max="10506" width="5.7109375" style="24" bestFit="1" customWidth="1"/>
    <col min="10507" max="10507" width="5.85546875" style="24" bestFit="1" customWidth="1"/>
    <col min="10508" max="10508" width="9.42578125" style="24" customWidth="1"/>
    <col min="10509" max="10509" width="5.140625" style="24" customWidth="1"/>
    <col min="10510" max="10510" width="9.7109375" style="24" customWidth="1"/>
    <col min="10511" max="10511" width="6.7109375" style="24" bestFit="1" customWidth="1"/>
    <col min="10512" max="10512" width="4.85546875" style="24" customWidth="1"/>
    <col min="10513" max="10513" width="5.28515625" style="24" customWidth="1"/>
    <col min="10514" max="10515" width="4.42578125" style="24" bestFit="1" customWidth="1"/>
    <col min="10516" max="10516" width="13.28515625" style="24" bestFit="1" customWidth="1"/>
    <col min="10517" max="10517" width="3.140625" style="24" customWidth="1"/>
    <col min="10518" max="10518" width="5.42578125" style="24" bestFit="1" customWidth="1"/>
    <col min="10519" max="10519" width="4.42578125" style="24" bestFit="1" customWidth="1"/>
    <col min="10520" max="10520" width="6.42578125" style="24" customWidth="1"/>
    <col min="10521" max="10521" width="5" style="24" bestFit="1" customWidth="1"/>
    <col min="10522" max="10522" width="4.5703125" style="24" bestFit="1" customWidth="1"/>
    <col min="10523" max="10523" width="4.42578125" style="24" bestFit="1" customWidth="1"/>
    <col min="10524" max="10524" width="4" style="24" customWidth="1"/>
    <col min="10525" max="10752" width="11.42578125" style="24"/>
    <col min="10753" max="10753" width="14.85546875" style="24" bestFit="1" customWidth="1"/>
    <col min="10754" max="10754" width="28" style="24" bestFit="1" customWidth="1"/>
    <col min="10755" max="10755" width="4.42578125" style="24" bestFit="1" customWidth="1"/>
    <col min="10756" max="10756" width="8" style="24" bestFit="1" customWidth="1"/>
    <col min="10757" max="10757" width="11.42578125" style="24"/>
    <col min="10758" max="10758" width="22.85546875" style="24" bestFit="1" customWidth="1"/>
    <col min="10759" max="10759" width="7" style="24" customWidth="1"/>
    <col min="10760" max="10760" width="6.28515625" style="24" customWidth="1"/>
    <col min="10761" max="10761" width="5.7109375" style="24" customWidth="1"/>
    <col min="10762" max="10762" width="5.7109375" style="24" bestFit="1" customWidth="1"/>
    <col min="10763" max="10763" width="5.85546875" style="24" bestFit="1" customWidth="1"/>
    <col min="10764" max="10764" width="9.42578125" style="24" customWidth="1"/>
    <col min="10765" max="10765" width="5.140625" style="24" customWidth="1"/>
    <col min="10766" max="10766" width="9.7109375" style="24" customWidth="1"/>
    <col min="10767" max="10767" width="6.7109375" style="24" bestFit="1" customWidth="1"/>
    <col min="10768" max="10768" width="4.85546875" style="24" customWidth="1"/>
    <col min="10769" max="10769" width="5.28515625" style="24" customWidth="1"/>
    <col min="10770" max="10771" width="4.42578125" style="24" bestFit="1" customWidth="1"/>
    <col min="10772" max="10772" width="13.28515625" style="24" bestFit="1" customWidth="1"/>
    <col min="10773" max="10773" width="3.140625" style="24" customWidth="1"/>
    <col min="10774" max="10774" width="5.42578125" style="24" bestFit="1" customWidth="1"/>
    <col min="10775" max="10775" width="4.42578125" style="24" bestFit="1" customWidth="1"/>
    <col min="10776" max="10776" width="6.42578125" style="24" customWidth="1"/>
    <col min="10777" max="10777" width="5" style="24" bestFit="1" customWidth="1"/>
    <col min="10778" max="10778" width="4.5703125" style="24" bestFit="1" customWidth="1"/>
    <col min="10779" max="10779" width="4.42578125" style="24" bestFit="1" customWidth="1"/>
    <col min="10780" max="10780" width="4" style="24" customWidth="1"/>
    <col min="10781" max="11008" width="11.42578125" style="24"/>
    <col min="11009" max="11009" width="14.85546875" style="24" bestFit="1" customWidth="1"/>
    <col min="11010" max="11010" width="28" style="24" bestFit="1" customWidth="1"/>
    <col min="11011" max="11011" width="4.42578125" style="24" bestFit="1" customWidth="1"/>
    <col min="11012" max="11012" width="8" style="24" bestFit="1" customWidth="1"/>
    <col min="11013" max="11013" width="11.42578125" style="24"/>
    <col min="11014" max="11014" width="22.85546875" style="24" bestFit="1" customWidth="1"/>
    <col min="11015" max="11015" width="7" style="24" customWidth="1"/>
    <col min="11016" max="11016" width="6.28515625" style="24" customWidth="1"/>
    <col min="11017" max="11017" width="5.7109375" style="24" customWidth="1"/>
    <col min="11018" max="11018" width="5.7109375" style="24" bestFit="1" customWidth="1"/>
    <col min="11019" max="11019" width="5.85546875" style="24" bestFit="1" customWidth="1"/>
    <col min="11020" max="11020" width="9.42578125" style="24" customWidth="1"/>
    <col min="11021" max="11021" width="5.140625" style="24" customWidth="1"/>
    <col min="11022" max="11022" width="9.7109375" style="24" customWidth="1"/>
    <col min="11023" max="11023" width="6.7109375" style="24" bestFit="1" customWidth="1"/>
    <col min="11024" max="11024" width="4.85546875" style="24" customWidth="1"/>
    <col min="11025" max="11025" width="5.28515625" style="24" customWidth="1"/>
    <col min="11026" max="11027" width="4.42578125" style="24" bestFit="1" customWidth="1"/>
    <col min="11028" max="11028" width="13.28515625" style="24" bestFit="1" customWidth="1"/>
    <col min="11029" max="11029" width="3.140625" style="24" customWidth="1"/>
    <col min="11030" max="11030" width="5.42578125" style="24" bestFit="1" customWidth="1"/>
    <col min="11031" max="11031" width="4.42578125" style="24" bestFit="1" customWidth="1"/>
    <col min="11032" max="11032" width="6.42578125" style="24" customWidth="1"/>
    <col min="11033" max="11033" width="5" style="24" bestFit="1" customWidth="1"/>
    <col min="11034" max="11034" width="4.5703125" style="24" bestFit="1" customWidth="1"/>
    <col min="11035" max="11035" width="4.42578125" style="24" bestFit="1" customWidth="1"/>
    <col min="11036" max="11036" width="4" style="24" customWidth="1"/>
    <col min="11037" max="11264" width="11.42578125" style="24"/>
    <col min="11265" max="11265" width="14.85546875" style="24" bestFit="1" customWidth="1"/>
    <col min="11266" max="11266" width="28" style="24" bestFit="1" customWidth="1"/>
    <col min="11267" max="11267" width="4.42578125" style="24" bestFit="1" customWidth="1"/>
    <col min="11268" max="11268" width="8" style="24" bestFit="1" customWidth="1"/>
    <col min="11269" max="11269" width="11.42578125" style="24"/>
    <col min="11270" max="11270" width="22.85546875" style="24" bestFit="1" customWidth="1"/>
    <col min="11271" max="11271" width="7" style="24" customWidth="1"/>
    <col min="11272" max="11272" width="6.28515625" style="24" customWidth="1"/>
    <col min="11273" max="11273" width="5.7109375" style="24" customWidth="1"/>
    <col min="11274" max="11274" width="5.7109375" style="24" bestFit="1" customWidth="1"/>
    <col min="11275" max="11275" width="5.85546875" style="24" bestFit="1" customWidth="1"/>
    <col min="11276" max="11276" width="9.42578125" style="24" customWidth="1"/>
    <col min="11277" max="11277" width="5.140625" style="24" customWidth="1"/>
    <col min="11278" max="11278" width="9.7109375" style="24" customWidth="1"/>
    <col min="11279" max="11279" width="6.7109375" style="24" bestFit="1" customWidth="1"/>
    <col min="11280" max="11280" width="4.85546875" style="24" customWidth="1"/>
    <col min="11281" max="11281" width="5.28515625" style="24" customWidth="1"/>
    <col min="11282" max="11283" width="4.42578125" style="24" bestFit="1" customWidth="1"/>
    <col min="11284" max="11284" width="13.28515625" style="24" bestFit="1" customWidth="1"/>
    <col min="11285" max="11285" width="3.140625" style="24" customWidth="1"/>
    <col min="11286" max="11286" width="5.42578125" style="24" bestFit="1" customWidth="1"/>
    <col min="11287" max="11287" width="4.42578125" style="24" bestFit="1" customWidth="1"/>
    <col min="11288" max="11288" width="6.42578125" style="24" customWidth="1"/>
    <col min="11289" max="11289" width="5" style="24" bestFit="1" customWidth="1"/>
    <col min="11290" max="11290" width="4.5703125" style="24" bestFit="1" customWidth="1"/>
    <col min="11291" max="11291" width="4.42578125" style="24" bestFit="1" customWidth="1"/>
    <col min="11292" max="11292" width="4" style="24" customWidth="1"/>
    <col min="11293" max="11520" width="11.42578125" style="24"/>
    <col min="11521" max="11521" width="14.85546875" style="24" bestFit="1" customWidth="1"/>
    <col min="11522" max="11522" width="28" style="24" bestFit="1" customWidth="1"/>
    <col min="11523" max="11523" width="4.42578125" style="24" bestFit="1" customWidth="1"/>
    <col min="11524" max="11524" width="8" style="24" bestFit="1" customWidth="1"/>
    <col min="11525" max="11525" width="11.42578125" style="24"/>
    <col min="11526" max="11526" width="22.85546875" style="24" bestFit="1" customWidth="1"/>
    <col min="11527" max="11527" width="7" style="24" customWidth="1"/>
    <col min="11528" max="11528" width="6.28515625" style="24" customWidth="1"/>
    <col min="11529" max="11529" width="5.7109375" style="24" customWidth="1"/>
    <col min="11530" max="11530" width="5.7109375" style="24" bestFit="1" customWidth="1"/>
    <col min="11531" max="11531" width="5.85546875" style="24" bestFit="1" customWidth="1"/>
    <col min="11532" max="11532" width="9.42578125" style="24" customWidth="1"/>
    <col min="11533" max="11533" width="5.140625" style="24" customWidth="1"/>
    <col min="11534" max="11534" width="9.7109375" style="24" customWidth="1"/>
    <col min="11535" max="11535" width="6.7109375" style="24" bestFit="1" customWidth="1"/>
    <col min="11536" max="11536" width="4.85546875" style="24" customWidth="1"/>
    <col min="11537" max="11537" width="5.28515625" style="24" customWidth="1"/>
    <col min="11538" max="11539" width="4.42578125" style="24" bestFit="1" customWidth="1"/>
    <col min="11540" max="11540" width="13.28515625" style="24" bestFit="1" customWidth="1"/>
    <col min="11541" max="11541" width="3.140625" style="24" customWidth="1"/>
    <col min="11542" max="11542" width="5.42578125" style="24" bestFit="1" customWidth="1"/>
    <col min="11543" max="11543" width="4.42578125" style="24" bestFit="1" customWidth="1"/>
    <col min="11544" max="11544" width="6.42578125" style="24" customWidth="1"/>
    <col min="11545" max="11545" width="5" style="24" bestFit="1" customWidth="1"/>
    <col min="11546" max="11546" width="4.5703125" style="24" bestFit="1" customWidth="1"/>
    <col min="11547" max="11547" width="4.42578125" style="24" bestFit="1" customWidth="1"/>
    <col min="11548" max="11548" width="4" style="24" customWidth="1"/>
    <col min="11549" max="11776" width="11.42578125" style="24"/>
    <col min="11777" max="11777" width="14.85546875" style="24" bestFit="1" customWidth="1"/>
    <col min="11778" max="11778" width="28" style="24" bestFit="1" customWidth="1"/>
    <col min="11779" max="11779" width="4.42578125" style="24" bestFit="1" customWidth="1"/>
    <col min="11780" max="11780" width="8" style="24" bestFit="1" customWidth="1"/>
    <col min="11781" max="11781" width="11.42578125" style="24"/>
    <col min="11782" max="11782" width="22.85546875" style="24" bestFit="1" customWidth="1"/>
    <col min="11783" max="11783" width="7" style="24" customWidth="1"/>
    <col min="11784" max="11784" width="6.28515625" style="24" customWidth="1"/>
    <col min="11785" max="11785" width="5.7109375" style="24" customWidth="1"/>
    <col min="11786" max="11786" width="5.7109375" style="24" bestFit="1" customWidth="1"/>
    <col min="11787" max="11787" width="5.85546875" style="24" bestFit="1" customWidth="1"/>
    <col min="11788" max="11788" width="9.42578125" style="24" customWidth="1"/>
    <col min="11789" max="11789" width="5.140625" style="24" customWidth="1"/>
    <col min="11790" max="11790" width="9.7109375" style="24" customWidth="1"/>
    <col min="11791" max="11791" width="6.7109375" style="24" bestFit="1" customWidth="1"/>
    <col min="11792" max="11792" width="4.85546875" style="24" customWidth="1"/>
    <col min="11793" max="11793" width="5.28515625" style="24" customWidth="1"/>
    <col min="11794" max="11795" width="4.42578125" style="24" bestFit="1" customWidth="1"/>
    <col min="11796" max="11796" width="13.28515625" style="24" bestFit="1" customWidth="1"/>
    <col min="11797" max="11797" width="3.140625" style="24" customWidth="1"/>
    <col min="11798" max="11798" width="5.42578125" style="24" bestFit="1" customWidth="1"/>
    <col min="11799" max="11799" width="4.42578125" style="24" bestFit="1" customWidth="1"/>
    <col min="11800" max="11800" width="6.42578125" style="24" customWidth="1"/>
    <col min="11801" max="11801" width="5" style="24" bestFit="1" customWidth="1"/>
    <col min="11802" max="11802" width="4.5703125" style="24" bestFit="1" customWidth="1"/>
    <col min="11803" max="11803" width="4.42578125" style="24" bestFit="1" customWidth="1"/>
    <col min="11804" max="11804" width="4" style="24" customWidth="1"/>
    <col min="11805" max="12032" width="11.42578125" style="24"/>
    <col min="12033" max="12033" width="14.85546875" style="24" bestFit="1" customWidth="1"/>
    <col min="12034" max="12034" width="28" style="24" bestFit="1" customWidth="1"/>
    <col min="12035" max="12035" width="4.42578125" style="24" bestFit="1" customWidth="1"/>
    <col min="12036" max="12036" width="8" style="24" bestFit="1" customWidth="1"/>
    <col min="12037" max="12037" width="11.42578125" style="24"/>
    <col min="12038" max="12038" width="22.85546875" style="24" bestFit="1" customWidth="1"/>
    <col min="12039" max="12039" width="7" style="24" customWidth="1"/>
    <col min="12040" max="12040" width="6.28515625" style="24" customWidth="1"/>
    <col min="12041" max="12041" width="5.7109375" style="24" customWidth="1"/>
    <col min="12042" max="12042" width="5.7109375" style="24" bestFit="1" customWidth="1"/>
    <col min="12043" max="12043" width="5.85546875" style="24" bestFit="1" customWidth="1"/>
    <col min="12044" max="12044" width="9.42578125" style="24" customWidth="1"/>
    <col min="12045" max="12045" width="5.140625" style="24" customWidth="1"/>
    <col min="12046" max="12046" width="9.7109375" style="24" customWidth="1"/>
    <col min="12047" max="12047" width="6.7109375" style="24" bestFit="1" customWidth="1"/>
    <col min="12048" max="12048" width="4.85546875" style="24" customWidth="1"/>
    <col min="12049" max="12049" width="5.28515625" style="24" customWidth="1"/>
    <col min="12050" max="12051" width="4.42578125" style="24" bestFit="1" customWidth="1"/>
    <col min="12052" max="12052" width="13.28515625" style="24" bestFit="1" customWidth="1"/>
    <col min="12053" max="12053" width="3.140625" style="24" customWidth="1"/>
    <col min="12054" max="12054" width="5.42578125" style="24" bestFit="1" customWidth="1"/>
    <col min="12055" max="12055" width="4.42578125" style="24" bestFit="1" customWidth="1"/>
    <col min="12056" max="12056" width="6.42578125" style="24" customWidth="1"/>
    <col min="12057" max="12057" width="5" style="24" bestFit="1" customWidth="1"/>
    <col min="12058" max="12058" width="4.5703125" style="24" bestFit="1" customWidth="1"/>
    <col min="12059" max="12059" width="4.42578125" style="24" bestFit="1" customWidth="1"/>
    <col min="12060" max="12060" width="4" style="24" customWidth="1"/>
    <col min="12061" max="12288" width="11.42578125" style="24"/>
    <col min="12289" max="12289" width="14.85546875" style="24" bestFit="1" customWidth="1"/>
    <col min="12290" max="12290" width="28" style="24" bestFit="1" customWidth="1"/>
    <col min="12291" max="12291" width="4.42578125" style="24" bestFit="1" customWidth="1"/>
    <col min="12292" max="12292" width="8" style="24" bestFit="1" customWidth="1"/>
    <col min="12293" max="12293" width="11.42578125" style="24"/>
    <col min="12294" max="12294" width="22.85546875" style="24" bestFit="1" customWidth="1"/>
    <col min="12295" max="12295" width="7" style="24" customWidth="1"/>
    <col min="12296" max="12296" width="6.28515625" style="24" customWidth="1"/>
    <col min="12297" max="12297" width="5.7109375" style="24" customWidth="1"/>
    <col min="12298" max="12298" width="5.7109375" style="24" bestFit="1" customWidth="1"/>
    <col min="12299" max="12299" width="5.85546875" style="24" bestFit="1" customWidth="1"/>
    <col min="12300" max="12300" width="9.42578125" style="24" customWidth="1"/>
    <col min="12301" max="12301" width="5.140625" style="24" customWidth="1"/>
    <col min="12302" max="12302" width="9.7109375" style="24" customWidth="1"/>
    <col min="12303" max="12303" width="6.7109375" style="24" bestFit="1" customWidth="1"/>
    <col min="12304" max="12304" width="4.85546875" style="24" customWidth="1"/>
    <col min="12305" max="12305" width="5.28515625" style="24" customWidth="1"/>
    <col min="12306" max="12307" width="4.42578125" style="24" bestFit="1" customWidth="1"/>
    <col min="12308" max="12308" width="13.28515625" style="24" bestFit="1" customWidth="1"/>
    <col min="12309" max="12309" width="3.140625" style="24" customWidth="1"/>
    <col min="12310" max="12310" width="5.42578125" style="24" bestFit="1" customWidth="1"/>
    <col min="12311" max="12311" width="4.42578125" style="24" bestFit="1" customWidth="1"/>
    <col min="12312" max="12312" width="6.42578125" style="24" customWidth="1"/>
    <col min="12313" max="12313" width="5" style="24" bestFit="1" customWidth="1"/>
    <col min="12314" max="12314" width="4.5703125" style="24" bestFit="1" customWidth="1"/>
    <col min="12315" max="12315" width="4.42578125" style="24" bestFit="1" customWidth="1"/>
    <col min="12316" max="12316" width="4" style="24" customWidth="1"/>
    <col min="12317" max="12544" width="11.42578125" style="24"/>
    <col min="12545" max="12545" width="14.85546875" style="24" bestFit="1" customWidth="1"/>
    <col min="12546" max="12546" width="28" style="24" bestFit="1" customWidth="1"/>
    <col min="12547" max="12547" width="4.42578125" style="24" bestFit="1" customWidth="1"/>
    <col min="12548" max="12548" width="8" style="24" bestFit="1" customWidth="1"/>
    <col min="12549" max="12549" width="11.42578125" style="24"/>
    <col min="12550" max="12550" width="22.85546875" style="24" bestFit="1" customWidth="1"/>
    <col min="12551" max="12551" width="7" style="24" customWidth="1"/>
    <col min="12552" max="12552" width="6.28515625" style="24" customWidth="1"/>
    <col min="12553" max="12553" width="5.7109375" style="24" customWidth="1"/>
    <col min="12554" max="12554" width="5.7109375" style="24" bestFit="1" customWidth="1"/>
    <col min="12555" max="12555" width="5.85546875" style="24" bestFit="1" customWidth="1"/>
    <col min="12556" max="12556" width="9.42578125" style="24" customWidth="1"/>
    <col min="12557" max="12557" width="5.140625" style="24" customWidth="1"/>
    <col min="12558" max="12558" width="9.7109375" style="24" customWidth="1"/>
    <col min="12559" max="12559" width="6.7109375" style="24" bestFit="1" customWidth="1"/>
    <col min="12560" max="12560" width="4.85546875" style="24" customWidth="1"/>
    <col min="12561" max="12561" width="5.28515625" style="24" customWidth="1"/>
    <col min="12562" max="12563" width="4.42578125" style="24" bestFit="1" customWidth="1"/>
    <col min="12564" max="12564" width="13.28515625" style="24" bestFit="1" customWidth="1"/>
    <col min="12565" max="12565" width="3.140625" style="24" customWidth="1"/>
    <col min="12566" max="12566" width="5.42578125" style="24" bestFit="1" customWidth="1"/>
    <col min="12567" max="12567" width="4.42578125" style="24" bestFit="1" customWidth="1"/>
    <col min="12568" max="12568" width="6.42578125" style="24" customWidth="1"/>
    <col min="12569" max="12569" width="5" style="24" bestFit="1" customWidth="1"/>
    <col min="12570" max="12570" width="4.5703125" style="24" bestFit="1" customWidth="1"/>
    <col min="12571" max="12571" width="4.42578125" style="24" bestFit="1" customWidth="1"/>
    <col min="12572" max="12572" width="4" style="24" customWidth="1"/>
    <col min="12573" max="12800" width="11.42578125" style="24"/>
    <col min="12801" max="12801" width="14.85546875" style="24" bestFit="1" customWidth="1"/>
    <col min="12802" max="12802" width="28" style="24" bestFit="1" customWidth="1"/>
    <col min="12803" max="12803" width="4.42578125" style="24" bestFit="1" customWidth="1"/>
    <col min="12804" max="12804" width="8" style="24" bestFit="1" customWidth="1"/>
    <col min="12805" max="12805" width="11.42578125" style="24"/>
    <col min="12806" max="12806" width="22.85546875" style="24" bestFit="1" customWidth="1"/>
    <col min="12807" max="12807" width="7" style="24" customWidth="1"/>
    <col min="12808" max="12808" width="6.28515625" style="24" customWidth="1"/>
    <col min="12809" max="12809" width="5.7109375" style="24" customWidth="1"/>
    <col min="12810" max="12810" width="5.7109375" style="24" bestFit="1" customWidth="1"/>
    <col min="12811" max="12811" width="5.85546875" style="24" bestFit="1" customWidth="1"/>
    <col min="12812" max="12812" width="9.42578125" style="24" customWidth="1"/>
    <col min="12813" max="12813" width="5.140625" style="24" customWidth="1"/>
    <col min="12814" max="12814" width="9.7109375" style="24" customWidth="1"/>
    <col min="12815" max="12815" width="6.7109375" style="24" bestFit="1" customWidth="1"/>
    <col min="12816" max="12816" width="4.85546875" style="24" customWidth="1"/>
    <col min="12817" max="12817" width="5.28515625" style="24" customWidth="1"/>
    <col min="12818" max="12819" width="4.42578125" style="24" bestFit="1" customWidth="1"/>
    <col min="12820" max="12820" width="13.28515625" style="24" bestFit="1" customWidth="1"/>
    <col min="12821" max="12821" width="3.140625" style="24" customWidth="1"/>
    <col min="12822" max="12822" width="5.42578125" style="24" bestFit="1" customWidth="1"/>
    <col min="12823" max="12823" width="4.42578125" style="24" bestFit="1" customWidth="1"/>
    <col min="12824" max="12824" width="6.42578125" style="24" customWidth="1"/>
    <col min="12825" max="12825" width="5" style="24" bestFit="1" customWidth="1"/>
    <col min="12826" max="12826" width="4.5703125" style="24" bestFit="1" customWidth="1"/>
    <col min="12827" max="12827" width="4.42578125" style="24" bestFit="1" customWidth="1"/>
    <col min="12828" max="12828" width="4" style="24" customWidth="1"/>
    <col min="12829" max="13056" width="11.42578125" style="24"/>
    <col min="13057" max="13057" width="14.85546875" style="24" bestFit="1" customWidth="1"/>
    <col min="13058" max="13058" width="28" style="24" bestFit="1" customWidth="1"/>
    <col min="13059" max="13059" width="4.42578125" style="24" bestFit="1" customWidth="1"/>
    <col min="13060" max="13060" width="8" style="24" bestFit="1" customWidth="1"/>
    <col min="13061" max="13061" width="11.42578125" style="24"/>
    <col min="13062" max="13062" width="22.85546875" style="24" bestFit="1" customWidth="1"/>
    <col min="13063" max="13063" width="7" style="24" customWidth="1"/>
    <col min="13064" max="13064" width="6.28515625" style="24" customWidth="1"/>
    <col min="13065" max="13065" width="5.7109375" style="24" customWidth="1"/>
    <col min="13066" max="13066" width="5.7109375" style="24" bestFit="1" customWidth="1"/>
    <col min="13067" max="13067" width="5.85546875" style="24" bestFit="1" customWidth="1"/>
    <col min="13068" max="13068" width="9.42578125" style="24" customWidth="1"/>
    <col min="13069" max="13069" width="5.140625" style="24" customWidth="1"/>
    <col min="13070" max="13070" width="9.7109375" style="24" customWidth="1"/>
    <col min="13071" max="13071" width="6.7109375" style="24" bestFit="1" customWidth="1"/>
    <col min="13072" max="13072" width="4.85546875" style="24" customWidth="1"/>
    <col min="13073" max="13073" width="5.28515625" style="24" customWidth="1"/>
    <col min="13074" max="13075" width="4.42578125" style="24" bestFit="1" customWidth="1"/>
    <col min="13076" max="13076" width="13.28515625" style="24" bestFit="1" customWidth="1"/>
    <col min="13077" max="13077" width="3.140625" style="24" customWidth="1"/>
    <col min="13078" max="13078" width="5.42578125" style="24" bestFit="1" customWidth="1"/>
    <col min="13079" max="13079" width="4.42578125" style="24" bestFit="1" customWidth="1"/>
    <col min="13080" max="13080" width="6.42578125" style="24" customWidth="1"/>
    <col min="13081" max="13081" width="5" style="24" bestFit="1" customWidth="1"/>
    <col min="13082" max="13082" width="4.5703125" style="24" bestFit="1" customWidth="1"/>
    <col min="13083" max="13083" width="4.42578125" style="24" bestFit="1" customWidth="1"/>
    <col min="13084" max="13084" width="4" style="24" customWidth="1"/>
    <col min="13085" max="13312" width="11.42578125" style="24"/>
    <col min="13313" max="13313" width="14.85546875" style="24" bestFit="1" customWidth="1"/>
    <col min="13314" max="13314" width="28" style="24" bestFit="1" customWidth="1"/>
    <col min="13315" max="13315" width="4.42578125" style="24" bestFit="1" customWidth="1"/>
    <col min="13316" max="13316" width="8" style="24" bestFit="1" customWidth="1"/>
    <col min="13317" max="13317" width="11.42578125" style="24"/>
    <col min="13318" max="13318" width="22.85546875" style="24" bestFit="1" customWidth="1"/>
    <col min="13319" max="13319" width="7" style="24" customWidth="1"/>
    <col min="13320" max="13320" width="6.28515625" style="24" customWidth="1"/>
    <col min="13321" max="13321" width="5.7109375" style="24" customWidth="1"/>
    <col min="13322" max="13322" width="5.7109375" style="24" bestFit="1" customWidth="1"/>
    <col min="13323" max="13323" width="5.85546875" style="24" bestFit="1" customWidth="1"/>
    <col min="13324" max="13324" width="9.42578125" style="24" customWidth="1"/>
    <col min="13325" max="13325" width="5.140625" style="24" customWidth="1"/>
    <col min="13326" max="13326" width="9.7109375" style="24" customWidth="1"/>
    <col min="13327" max="13327" width="6.7109375" style="24" bestFit="1" customWidth="1"/>
    <col min="13328" max="13328" width="4.85546875" style="24" customWidth="1"/>
    <col min="13329" max="13329" width="5.28515625" style="24" customWidth="1"/>
    <col min="13330" max="13331" width="4.42578125" style="24" bestFit="1" customWidth="1"/>
    <col min="13332" max="13332" width="13.28515625" style="24" bestFit="1" customWidth="1"/>
    <col min="13333" max="13333" width="3.140625" style="24" customWidth="1"/>
    <col min="13334" max="13334" width="5.42578125" style="24" bestFit="1" customWidth="1"/>
    <col min="13335" max="13335" width="4.42578125" style="24" bestFit="1" customWidth="1"/>
    <col min="13336" max="13336" width="6.42578125" style="24" customWidth="1"/>
    <col min="13337" max="13337" width="5" style="24" bestFit="1" customWidth="1"/>
    <col min="13338" max="13338" width="4.5703125" style="24" bestFit="1" customWidth="1"/>
    <col min="13339" max="13339" width="4.42578125" style="24" bestFit="1" customWidth="1"/>
    <col min="13340" max="13340" width="4" style="24" customWidth="1"/>
    <col min="13341" max="13568" width="11.42578125" style="24"/>
    <col min="13569" max="13569" width="14.85546875" style="24" bestFit="1" customWidth="1"/>
    <col min="13570" max="13570" width="28" style="24" bestFit="1" customWidth="1"/>
    <col min="13571" max="13571" width="4.42578125" style="24" bestFit="1" customWidth="1"/>
    <col min="13572" max="13572" width="8" style="24" bestFit="1" customWidth="1"/>
    <col min="13573" max="13573" width="11.42578125" style="24"/>
    <col min="13574" max="13574" width="22.85546875" style="24" bestFit="1" customWidth="1"/>
    <col min="13575" max="13575" width="7" style="24" customWidth="1"/>
    <col min="13576" max="13576" width="6.28515625" style="24" customWidth="1"/>
    <col min="13577" max="13577" width="5.7109375" style="24" customWidth="1"/>
    <col min="13578" max="13578" width="5.7109375" style="24" bestFit="1" customWidth="1"/>
    <col min="13579" max="13579" width="5.85546875" style="24" bestFit="1" customWidth="1"/>
    <col min="13580" max="13580" width="9.42578125" style="24" customWidth="1"/>
    <col min="13581" max="13581" width="5.140625" style="24" customWidth="1"/>
    <col min="13582" max="13582" width="9.7109375" style="24" customWidth="1"/>
    <col min="13583" max="13583" width="6.7109375" style="24" bestFit="1" customWidth="1"/>
    <col min="13584" max="13584" width="4.85546875" style="24" customWidth="1"/>
    <col min="13585" max="13585" width="5.28515625" style="24" customWidth="1"/>
    <col min="13586" max="13587" width="4.42578125" style="24" bestFit="1" customWidth="1"/>
    <col min="13588" max="13588" width="13.28515625" style="24" bestFit="1" customWidth="1"/>
    <col min="13589" max="13589" width="3.140625" style="24" customWidth="1"/>
    <col min="13590" max="13590" width="5.42578125" style="24" bestFit="1" customWidth="1"/>
    <col min="13591" max="13591" width="4.42578125" style="24" bestFit="1" customWidth="1"/>
    <col min="13592" max="13592" width="6.42578125" style="24" customWidth="1"/>
    <col min="13593" max="13593" width="5" style="24" bestFit="1" customWidth="1"/>
    <col min="13594" max="13594" width="4.5703125" style="24" bestFit="1" customWidth="1"/>
    <col min="13595" max="13595" width="4.42578125" style="24" bestFit="1" customWidth="1"/>
    <col min="13596" max="13596" width="4" style="24" customWidth="1"/>
    <col min="13597" max="13824" width="11.42578125" style="24"/>
    <col min="13825" max="13825" width="14.85546875" style="24" bestFit="1" customWidth="1"/>
    <col min="13826" max="13826" width="28" style="24" bestFit="1" customWidth="1"/>
    <col min="13827" max="13827" width="4.42578125" style="24" bestFit="1" customWidth="1"/>
    <col min="13828" max="13828" width="8" style="24" bestFit="1" customWidth="1"/>
    <col min="13829" max="13829" width="11.42578125" style="24"/>
    <col min="13830" max="13830" width="22.85546875" style="24" bestFit="1" customWidth="1"/>
    <col min="13831" max="13831" width="7" style="24" customWidth="1"/>
    <col min="13832" max="13832" width="6.28515625" style="24" customWidth="1"/>
    <col min="13833" max="13833" width="5.7109375" style="24" customWidth="1"/>
    <col min="13834" max="13834" width="5.7109375" style="24" bestFit="1" customWidth="1"/>
    <col min="13835" max="13835" width="5.85546875" style="24" bestFit="1" customWidth="1"/>
    <col min="13836" max="13836" width="9.42578125" style="24" customWidth="1"/>
    <col min="13837" max="13837" width="5.140625" style="24" customWidth="1"/>
    <col min="13838" max="13838" width="9.7109375" style="24" customWidth="1"/>
    <col min="13839" max="13839" width="6.7109375" style="24" bestFit="1" customWidth="1"/>
    <col min="13840" max="13840" width="4.85546875" style="24" customWidth="1"/>
    <col min="13841" max="13841" width="5.28515625" style="24" customWidth="1"/>
    <col min="13842" max="13843" width="4.42578125" style="24" bestFit="1" customWidth="1"/>
    <col min="13844" max="13844" width="13.28515625" style="24" bestFit="1" customWidth="1"/>
    <col min="13845" max="13845" width="3.140625" style="24" customWidth="1"/>
    <col min="13846" max="13846" width="5.42578125" style="24" bestFit="1" customWidth="1"/>
    <col min="13847" max="13847" width="4.42578125" style="24" bestFit="1" customWidth="1"/>
    <col min="13848" max="13848" width="6.42578125" style="24" customWidth="1"/>
    <col min="13849" max="13849" width="5" style="24" bestFit="1" customWidth="1"/>
    <col min="13850" max="13850" width="4.5703125" style="24" bestFit="1" customWidth="1"/>
    <col min="13851" max="13851" width="4.42578125" style="24" bestFit="1" customWidth="1"/>
    <col min="13852" max="13852" width="4" style="24" customWidth="1"/>
    <col min="13853" max="14080" width="11.42578125" style="24"/>
    <col min="14081" max="14081" width="14.85546875" style="24" bestFit="1" customWidth="1"/>
    <col min="14082" max="14082" width="28" style="24" bestFit="1" customWidth="1"/>
    <col min="14083" max="14083" width="4.42578125" style="24" bestFit="1" customWidth="1"/>
    <col min="14084" max="14084" width="8" style="24" bestFit="1" customWidth="1"/>
    <col min="14085" max="14085" width="11.42578125" style="24"/>
    <col min="14086" max="14086" width="22.85546875" style="24" bestFit="1" customWidth="1"/>
    <col min="14087" max="14087" width="7" style="24" customWidth="1"/>
    <col min="14088" max="14088" width="6.28515625" style="24" customWidth="1"/>
    <col min="14089" max="14089" width="5.7109375" style="24" customWidth="1"/>
    <col min="14090" max="14090" width="5.7109375" style="24" bestFit="1" customWidth="1"/>
    <col min="14091" max="14091" width="5.85546875" style="24" bestFit="1" customWidth="1"/>
    <col min="14092" max="14092" width="9.42578125" style="24" customWidth="1"/>
    <col min="14093" max="14093" width="5.140625" style="24" customWidth="1"/>
    <col min="14094" max="14094" width="9.7109375" style="24" customWidth="1"/>
    <col min="14095" max="14095" width="6.7109375" style="24" bestFit="1" customWidth="1"/>
    <col min="14096" max="14096" width="4.85546875" style="24" customWidth="1"/>
    <col min="14097" max="14097" width="5.28515625" style="24" customWidth="1"/>
    <col min="14098" max="14099" width="4.42578125" style="24" bestFit="1" customWidth="1"/>
    <col min="14100" max="14100" width="13.28515625" style="24" bestFit="1" customWidth="1"/>
    <col min="14101" max="14101" width="3.140625" style="24" customWidth="1"/>
    <col min="14102" max="14102" width="5.42578125" style="24" bestFit="1" customWidth="1"/>
    <col min="14103" max="14103" width="4.42578125" style="24" bestFit="1" customWidth="1"/>
    <col min="14104" max="14104" width="6.42578125" style="24" customWidth="1"/>
    <col min="14105" max="14105" width="5" style="24" bestFit="1" customWidth="1"/>
    <col min="14106" max="14106" width="4.5703125" style="24" bestFit="1" customWidth="1"/>
    <col min="14107" max="14107" width="4.42578125" style="24" bestFit="1" customWidth="1"/>
    <col min="14108" max="14108" width="4" style="24" customWidth="1"/>
    <col min="14109" max="14336" width="11.42578125" style="24"/>
    <col min="14337" max="14337" width="14.85546875" style="24" bestFit="1" customWidth="1"/>
    <col min="14338" max="14338" width="28" style="24" bestFit="1" customWidth="1"/>
    <col min="14339" max="14339" width="4.42578125" style="24" bestFit="1" customWidth="1"/>
    <col min="14340" max="14340" width="8" style="24" bestFit="1" customWidth="1"/>
    <col min="14341" max="14341" width="11.42578125" style="24"/>
    <col min="14342" max="14342" width="22.85546875" style="24" bestFit="1" customWidth="1"/>
    <col min="14343" max="14343" width="7" style="24" customWidth="1"/>
    <col min="14344" max="14344" width="6.28515625" style="24" customWidth="1"/>
    <col min="14345" max="14345" width="5.7109375" style="24" customWidth="1"/>
    <col min="14346" max="14346" width="5.7109375" style="24" bestFit="1" customWidth="1"/>
    <col min="14347" max="14347" width="5.85546875" style="24" bestFit="1" customWidth="1"/>
    <col min="14348" max="14348" width="9.42578125" style="24" customWidth="1"/>
    <col min="14349" max="14349" width="5.140625" style="24" customWidth="1"/>
    <col min="14350" max="14350" width="9.7109375" style="24" customWidth="1"/>
    <col min="14351" max="14351" width="6.7109375" style="24" bestFit="1" customWidth="1"/>
    <col min="14352" max="14352" width="4.85546875" style="24" customWidth="1"/>
    <col min="14353" max="14353" width="5.28515625" style="24" customWidth="1"/>
    <col min="14354" max="14355" width="4.42578125" style="24" bestFit="1" customWidth="1"/>
    <col min="14356" max="14356" width="13.28515625" style="24" bestFit="1" customWidth="1"/>
    <col min="14357" max="14357" width="3.140625" style="24" customWidth="1"/>
    <col min="14358" max="14358" width="5.42578125" style="24" bestFit="1" customWidth="1"/>
    <col min="14359" max="14359" width="4.42578125" style="24" bestFit="1" customWidth="1"/>
    <col min="14360" max="14360" width="6.42578125" style="24" customWidth="1"/>
    <col min="14361" max="14361" width="5" style="24" bestFit="1" customWidth="1"/>
    <col min="14362" max="14362" width="4.5703125" style="24" bestFit="1" customWidth="1"/>
    <col min="14363" max="14363" width="4.42578125" style="24" bestFit="1" customWidth="1"/>
    <col min="14364" max="14364" width="4" style="24" customWidth="1"/>
    <col min="14365" max="14592" width="11.42578125" style="24"/>
    <col min="14593" max="14593" width="14.85546875" style="24" bestFit="1" customWidth="1"/>
    <col min="14594" max="14594" width="28" style="24" bestFit="1" customWidth="1"/>
    <col min="14595" max="14595" width="4.42578125" style="24" bestFit="1" customWidth="1"/>
    <col min="14596" max="14596" width="8" style="24" bestFit="1" customWidth="1"/>
    <col min="14597" max="14597" width="11.42578125" style="24"/>
    <col min="14598" max="14598" width="22.85546875" style="24" bestFit="1" customWidth="1"/>
    <col min="14599" max="14599" width="7" style="24" customWidth="1"/>
    <col min="14600" max="14600" width="6.28515625" style="24" customWidth="1"/>
    <col min="14601" max="14601" width="5.7109375" style="24" customWidth="1"/>
    <col min="14602" max="14602" width="5.7109375" style="24" bestFit="1" customWidth="1"/>
    <col min="14603" max="14603" width="5.85546875" style="24" bestFit="1" customWidth="1"/>
    <col min="14604" max="14604" width="9.42578125" style="24" customWidth="1"/>
    <col min="14605" max="14605" width="5.140625" style="24" customWidth="1"/>
    <col min="14606" max="14606" width="9.7109375" style="24" customWidth="1"/>
    <col min="14607" max="14607" width="6.7109375" style="24" bestFit="1" customWidth="1"/>
    <col min="14608" max="14608" width="4.85546875" style="24" customWidth="1"/>
    <col min="14609" max="14609" width="5.28515625" style="24" customWidth="1"/>
    <col min="14610" max="14611" width="4.42578125" style="24" bestFit="1" customWidth="1"/>
    <col min="14612" max="14612" width="13.28515625" style="24" bestFit="1" customWidth="1"/>
    <col min="14613" max="14613" width="3.140625" style="24" customWidth="1"/>
    <col min="14614" max="14614" width="5.42578125" style="24" bestFit="1" customWidth="1"/>
    <col min="14615" max="14615" width="4.42578125" style="24" bestFit="1" customWidth="1"/>
    <col min="14616" max="14616" width="6.42578125" style="24" customWidth="1"/>
    <col min="14617" max="14617" width="5" style="24" bestFit="1" customWidth="1"/>
    <col min="14618" max="14618" width="4.5703125" style="24" bestFit="1" customWidth="1"/>
    <col min="14619" max="14619" width="4.42578125" style="24" bestFit="1" customWidth="1"/>
    <col min="14620" max="14620" width="4" style="24" customWidth="1"/>
    <col min="14621" max="14848" width="11.42578125" style="24"/>
    <col min="14849" max="14849" width="14.85546875" style="24" bestFit="1" customWidth="1"/>
    <col min="14850" max="14850" width="28" style="24" bestFit="1" customWidth="1"/>
    <col min="14851" max="14851" width="4.42578125" style="24" bestFit="1" customWidth="1"/>
    <col min="14852" max="14852" width="8" style="24" bestFit="1" customWidth="1"/>
    <col min="14853" max="14853" width="11.42578125" style="24"/>
    <col min="14854" max="14854" width="22.85546875" style="24" bestFit="1" customWidth="1"/>
    <col min="14855" max="14855" width="7" style="24" customWidth="1"/>
    <col min="14856" max="14856" width="6.28515625" style="24" customWidth="1"/>
    <col min="14857" max="14857" width="5.7109375" style="24" customWidth="1"/>
    <col min="14858" max="14858" width="5.7109375" style="24" bestFit="1" customWidth="1"/>
    <col min="14859" max="14859" width="5.85546875" style="24" bestFit="1" customWidth="1"/>
    <col min="14860" max="14860" width="9.42578125" style="24" customWidth="1"/>
    <col min="14861" max="14861" width="5.140625" style="24" customWidth="1"/>
    <col min="14862" max="14862" width="9.7109375" style="24" customWidth="1"/>
    <col min="14863" max="14863" width="6.7109375" style="24" bestFit="1" customWidth="1"/>
    <col min="14864" max="14864" width="4.85546875" style="24" customWidth="1"/>
    <col min="14865" max="14865" width="5.28515625" style="24" customWidth="1"/>
    <col min="14866" max="14867" width="4.42578125" style="24" bestFit="1" customWidth="1"/>
    <col min="14868" max="14868" width="13.28515625" style="24" bestFit="1" customWidth="1"/>
    <col min="14869" max="14869" width="3.140625" style="24" customWidth="1"/>
    <col min="14870" max="14870" width="5.42578125" style="24" bestFit="1" customWidth="1"/>
    <col min="14871" max="14871" width="4.42578125" style="24" bestFit="1" customWidth="1"/>
    <col min="14872" max="14872" width="6.42578125" style="24" customWidth="1"/>
    <col min="14873" max="14873" width="5" style="24" bestFit="1" customWidth="1"/>
    <col min="14874" max="14874" width="4.5703125" style="24" bestFit="1" customWidth="1"/>
    <col min="14875" max="14875" width="4.42578125" style="24" bestFit="1" customWidth="1"/>
    <col min="14876" max="14876" width="4" style="24" customWidth="1"/>
    <col min="14877" max="15104" width="11.42578125" style="24"/>
    <col min="15105" max="15105" width="14.85546875" style="24" bestFit="1" customWidth="1"/>
    <col min="15106" max="15106" width="28" style="24" bestFit="1" customWidth="1"/>
    <col min="15107" max="15107" width="4.42578125" style="24" bestFit="1" customWidth="1"/>
    <col min="15108" max="15108" width="8" style="24" bestFit="1" customWidth="1"/>
    <col min="15109" max="15109" width="11.42578125" style="24"/>
    <col min="15110" max="15110" width="22.85546875" style="24" bestFit="1" customWidth="1"/>
    <col min="15111" max="15111" width="7" style="24" customWidth="1"/>
    <col min="15112" max="15112" width="6.28515625" style="24" customWidth="1"/>
    <col min="15113" max="15113" width="5.7109375" style="24" customWidth="1"/>
    <col min="15114" max="15114" width="5.7109375" style="24" bestFit="1" customWidth="1"/>
    <col min="15115" max="15115" width="5.85546875" style="24" bestFit="1" customWidth="1"/>
    <col min="15116" max="15116" width="9.42578125" style="24" customWidth="1"/>
    <col min="15117" max="15117" width="5.140625" style="24" customWidth="1"/>
    <col min="15118" max="15118" width="9.7109375" style="24" customWidth="1"/>
    <col min="15119" max="15119" width="6.7109375" style="24" bestFit="1" customWidth="1"/>
    <col min="15120" max="15120" width="4.85546875" style="24" customWidth="1"/>
    <col min="15121" max="15121" width="5.28515625" style="24" customWidth="1"/>
    <col min="15122" max="15123" width="4.42578125" style="24" bestFit="1" customWidth="1"/>
    <col min="15124" max="15124" width="13.28515625" style="24" bestFit="1" customWidth="1"/>
    <col min="15125" max="15125" width="3.140625" style="24" customWidth="1"/>
    <col min="15126" max="15126" width="5.42578125" style="24" bestFit="1" customWidth="1"/>
    <col min="15127" max="15127" width="4.42578125" style="24" bestFit="1" customWidth="1"/>
    <col min="15128" max="15128" width="6.42578125" style="24" customWidth="1"/>
    <col min="15129" max="15129" width="5" style="24" bestFit="1" customWidth="1"/>
    <col min="15130" max="15130" width="4.5703125" style="24" bestFit="1" customWidth="1"/>
    <col min="15131" max="15131" width="4.42578125" style="24" bestFit="1" customWidth="1"/>
    <col min="15132" max="15132" width="4" style="24" customWidth="1"/>
    <col min="15133" max="15360" width="11.42578125" style="24"/>
    <col min="15361" max="15361" width="14.85546875" style="24" bestFit="1" customWidth="1"/>
    <col min="15362" max="15362" width="28" style="24" bestFit="1" customWidth="1"/>
    <col min="15363" max="15363" width="4.42578125" style="24" bestFit="1" customWidth="1"/>
    <col min="15364" max="15364" width="8" style="24" bestFit="1" customWidth="1"/>
    <col min="15365" max="15365" width="11.42578125" style="24"/>
    <col min="15366" max="15366" width="22.85546875" style="24" bestFit="1" customWidth="1"/>
    <col min="15367" max="15367" width="7" style="24" customWidth="1"/>
    <col min="15368" max="15368" width="6.28515625" style="24" customWidth="1"/>
    <col min="15369" max="15369" width="5.7109375" style="24" customWidth="1"/>
    <col min="15370" max="15370" width="5.7109375" style="24" bestFit="1" customWidth="1"/>
    <col min="15371" max="15371" width="5.85546875" style="24" bestFit="1" customWidth="1"/>
    <col min="15372" max="15372" width="9.42578125" style="24" customWidth="1"/>
    <col min="15373" max="15373" width="5.140625" style="24" customWidth="1"/>
    <col min="15374" max="15374" width="9.7109375" style="24" customWidth="1"/>
    <col min="15375" max="15375" width="6.7109375" style="24" bestFit="1" customWidth="1"/>
    <col min="15376" max="15376" width="4.85546875" style="24" customWidth="1"/>
    <col min="15377" max="15377" width="5.28515625" style="24" customWidth="1"/>
    <col min="15378" max="15379" width="4.42578125" style="24" bestFit="1" customWidth="1"/>
    <col min="15380" max="15380" width="13.28515625" style="24" bestFit="1" customWidth="1"/>
    <col min="15381" max="15381" width="3.140625" style="24" customWidth="1"/>
    <col min="15382" max="15382" width="5.42578125" style="24" bestFit="1" customWidth="1"/>
    <col min="15383" max="15383" width="4.42578125" style="24" bestFit="1" customWidth="1"/>
    <col min="15384" max="15384" width="6.42578125" style="24" customWidth="1"/>
    <col min="15385" max="15385" width="5" style="24" bestFit="1" customWidth="1"/>
    <col min="15386" max="15386" width="4.5703125" style="24" bestFit="1" customWidth="1"/>
    <col min="15387" max="15387" width="4.42578125" style="24" bestFit="1" customWidth="1"/>
    <col min="15388" max="15388" width="4" style="24" customWidth="1"/>
    <col min="15389" max="15616" width="11.42578125" style="24"/>
    <col min="15617" max="15617" width="14.85546875" style="24" bestFit="1" customWidth="1"/>
    <col min="15618" max="15618" width="28" style="24" bestFit="1" customWidth="1"/>
    <col min="15619" max="15619" width="4.42578125" style="24" bestFit="1" customWidth="1"/>
    <col min="15620" max="15620" width="8" style="24" bestFit="1" customWidth="1"/>
    <col min="15621" max="15621" width="11.42578125" style="24"/>
    <col min="15622" max="15622" width="22.85546875" style="24" bestFit="1" customWidth="1"/>
    <col min="15623" max="15623" width="7" style="24" customWidth="1"/>
    <col min="15624" max="15624" width="6.28515625" style="24" customWidth="1"/>
    <col min="15625" max="15625" width="5.7109375" style="24" customWidth="1"/>
    <col min="15626" max="15626" width="5.7109375" style="24" bestFit="1" customWidth="1"/>
    <col min="15627" max="15627" width="5.85546875" style="24" bestFit="1" customWidth="1"/>
    <col min="15628" max="15628" width="9.42578125" style="24" customWidth="1"/>
    <col min="15629" max="15629" width="5.140625" style="24" customWidth="1"/>
    <col min="15630" max="15630" width="9.7109375" style="24" customWidth="1"/>
    <col min="15631" max="15631" width="6.7109375" style="24" bestFit="1" customWidth="1"/>
    <col min="15632" max="15632" width="4.85546875" style="24" customWidth="1"/>
    <col min="15633" max="15633" width="5.28515625" style="24" customWidth="1"/>
    <col min="15634" max="15635" width="4.42578125" style="24" bestFit="1" customWidth="1"/>
    <col min="15636" max="15636" width="13.28515625" style="24" bestFit="1" customWidth="1"/>
    <col min="15637" max="15637" width="3.140625" style="24" customWidth="1"/>
    <col min="15638" max="15638" width="5.42578125" style="24" bestFit="1" customWidth="1"/>
    <col min="15639" max="15639" width="4.42578125" style="24" bestFit="1" customWidth="1"/>
    <col min="15640" max="15640" width="6.42578125" style="24" customWidth="1"/>
    <col min="15641" max="15641" width="5" style="24" bestFit="1" customWidth="1"/>
    <col min="15642" max="15642" width="4.5703125" style="24" bestFit="1" customWidth="1"/>
    <col min="15643" max="15643" width="4.42578125" style="24" bestFit="1" customWidth="1"/>
    <col min="15644" max="15644" width="4" style="24" customWidth="1"/>
    <col min="15645" max="15872" width="11.42578125" style="24"/>
    <col min="15873" max="15873" width="14.85546875" style="24" bestFit="1" customWidth="1"/>
    <col min="15874" max="15874" width="28" style="24" bestFit="1" customWidth="1"/>
    <col min="15875" max="15875" width="4.42578125" style="24" bestFit="1" customWidth="1"/>
    <col min="15876" max="15876" width="8" style="24" bestFit="1" customWidth="1"/>
    <col min="15877" max="15877" width="11.42578125" style="24"/>
    <col min="15878" max="15878" width="22.85546875" style="24" bestFit="1" customWidth="1"/>
    <col min="15879" max="15879" width="7" style="24" customWidth="1"/>
    <col min="15880" max="15880" width="6.28515625" style="24" customWidth="1"/>
    <col min="15881" max="15881" width="5.7109375" style="24" customWidth="1"/>
    <col min="15882" max="15882" width="5.7109375" style="24" bestFit="1" customWidth="1"/>
    <col min="15883" max="15883" width="5.85546875" style="24" bestFit="1" customWidth="1"/>
    <col min="15884" max="15884" width="9.42578125" style="24" customWidth="1"/>
    <col min="15885" max="15885" width="5.140625" style="24" customWidth="1"/>
    <col min="15886" max="15886" width="9.7109375" style="24" customWidth="1"/>
    <col min="15887" max="15887" width="6.7109375" style="24" bestFit="1" customWidth="1"/>
    <col min="15888" max="15888" width="4.85546875" style="24" customWidth="1"/>
    <col min="15889" max="15889" width="5.28515625" style="24" customWidth="1"/>
    <col min="15890" max="15891" width="4.42578125" style="24" bestFit="1" customWidth="1"/>
    <col min="15892" max="15892" width="13.28515625" style="24" bestFit="1" customWidth="1"/>
    <col min="15893" max="15893" width="3.140625" style="24" customWidth="1"/>
    <col min="15894" max="15894" width="5.42578125" style="24" bestFit="1" customWidth="1"/>
    <col min="15895" max="15895" width="4.42578125" style="24" bestFit="1" customWidth="1"/>
    <col min="15896" max="15896" width="6.42578125" style="24" customWidth="1"/>
    <col min="15897" max="15897" width="5" style="24" bestFit="1" customWidth="1"/>
    <col min="15898" max="15898" width="4.5703125" style="24" bestFit="1" customWidth="1"/>
    <col min="15899" max="15899" width="4.42578125" style="24" bestFit="1" customWidth="1"/>
    <col min="15900" max="15900" width="4" style="24" customWidth="1"/>
    <col min="15901" max="16128" width="11.42578125" style="24"/>
    <col min="16129" max="16129" width="14.85546875" style="24" bestFit="1" customWidth="1"/>
    <col min="16130" max="16130" width="28" style="24" bestFit="1" customWidth="1"/>
    <col min="16131" max="16131" width="4.42578125" style="24" bestFit="1" customWidth="1"/>
    <col min="16132" max="16132" width="8" style="24" bestFit="1" customWidth="1"/>
    <col min="16133" max="16133" width="11.42578125" style="24"/>
    <col min="16134" max="16134" width="22.85546875" style="24" bestFit="1" customWidth="1"/>
    <col min="16135" max="16135" width="7" style="24" customWidth="1"/>
    <col min="16136" max="16136" width="6.28515625" style="24" customWidth="1"/>
    <col min="16137" max="16137" width="5.7109375" style="24" customWidth="1"/>
    <col min="16138" max="16138" width="5.7109375" style="24" bestFit="1" customWidth="1"/>
    <col min="16139" max="16139" width="5.85546875" style="24" bestFit="1" customWidth="1"/>
    <col min="16140" max="16140" width="9.42578125" style="24" customWidth="1"/>
    <col min="16141" max="16141" width="5.140625" style="24" customWidth="1"/>
    <col min="16142" max="16142" width="9.7109375" style="24" customWidth="1"/>
    <col min="16143" max="16143" width="6.7109375" style="24" bestFit="1" customWidth="1"/>
    <col min="16144" max="16144" width="4.85546875" style="24" customWidth="1"/>
    <col min="16145" max="16145" width="5.28515625" style="24" customWidth="1"/>
    <col min="16146" max="16147" width="4.42578125" style="24" bestFit="1" customWidth="1"/>
    <col min="16148" max="16148" width="13.28515625" style="24" bestFit="1" customWidth="1"/>
    <col min="16149" max="16149" width="3.140625" style="24" customWidth="1"/>
    <col min="16150" max="16150" width="5.42578125" style="24" bestFit="1" customWidth="1"/>
    <col min="16151" max="16151" width="4.42578125" style="24" bestFit="1" customWidth="1"/>
    <col min="16152" max="16152" width="6.42578125" style="24" customWidth="1"/>
    <col min="16153" max="16153" width="5" style="24" bestFit="1" customWidth="1"/>
    <col min="16154" max="16154" width="4.5703125" style="24" bestFit="1" customWidth="1"/>
    <col min="16155" max="16155" width="4.42578125" style="24" bestFit="1" customWidth="1"/>
    <col min="16156" max="16156" width="4" style="24" customWidth="1"/>
    <col min="16157" max="16384" width="11.42578125" style="24"/>
  </cols>
  <sheetData>
    <row r="1" spans="1:42">
      <c r="E1" s="1"/>
      <c r="F1" s="1"/>
      <c r="G1" s="748" t="s">
        <v>0</v>
      </c>
      <c r="H1" s="749"/>
      <c r="I1" s="749"/>
      <c r="J1" s="749"/>
      <c r="K1" s="749"/>
      <c r="L1" s="750"/>
      <c r="M1" s="342"/>
      <c r="N1" s="749" t="s">
        <v>1</v>
      </c>
      <c r="O1" s="749"/>
      <c r="P1" s="749"/>
      <c r="Q1" s="749"/>
      <c r="R1" s="749"/>
      <c r="S1" s="749"/>
      <c r="T1" s="749"/>
      <c r="U1" s="1"/>
      <c r="V1" s="749" t="s">
        <v>2</v>
      </c>
      <c r="W1" s="749"/>
      <c r="X1" s="749"/>
      <c r="Y1" s="749"/>
      <c r="Z1" s="749"/>
      <c r="AA1" s="749"/>
      <c r="AB1" s="28"/>
    </row>
    <row r="2" spans="1:42" ht="15" customHeight="1">
      <c r="E2" s="1"/>
      <c r="F2" s="1"/>
      <c r="G2" s="751" t="s">
        <v>43</v>
      </c>
      <c r="H2" s="752"/>
      <c r="I2" s="753" t="s">
        <v>3</v>
      </c>
      <c r="J2" s="752"/>
      <c r="K2" s="752"/>
      <c r="L2" s="752"/>
      <c r="M2" s="143"/>
      <c r="N2" s="754" t="s">
        <v>4</v>
      </c>
      <c r="O2" s="756" t="s">
        <v>5</v>
      </c>
      <c r="P2" s="757"/>
      <c r="Q2" s="757"/>
      <c r="R2" s="757"/>
      <c r="S2" s="757"/>
      <c r="T2" s="758"/>
      <c r="U2" s="1"/>
      <c r="V2" s="760" t="s">
        <v>508</v>
      </c>
      <c r="W2" s="757"/>
      <c r="X2" s="757"/>
      <c r="Y2" s="757"/>
      <c r="Z2" s="757"/>
      <c r="AA2" s="758"/>
      <c r="AB2" s="29"/>
      <c r="AJ2" s="331"/>
      <c r="AK2" s="324"/>
      <c r="AL2" s="331"/>
      <c r="AM2" s="323" t="s">
        <v>507</v>
      </c>
      <c r="AN2" s="324"/>
      <c r="AO2" s="325"/>
    </row>
    <row r="3" spans="1:42" s="25" customFormat="1" ht="38.25">
      <c r="E3" s="4"/>
      <c r="F3" s="4"/>
      <c r="G3" s="30"/>
      <c r="H3" s="30"/>
      <c r="I3" s="761" t="s">
        <v>6</v>
      </c>
      <c r="J3" s="752"/>
      <c r="K3" s="761" t="s">
        <v>52</v>
      </c>
      <c r="L3" s="752"/>
      <c r="M3" s="144" t="s">
        <v>467</v>
      </c>
      <c r="N3" s="755"/>
      <c r="O3" s="759"/>
      <c r="P3" s="757"/>
      <c r="Q3" s="757"/>
      <c r="R3" s="757"/>
      <c r="S3" s="757"/>
      <c r="T3" s="758"/>
      <c r="U3" s="4"/>
      <c r="V3" s="759"/>
      <c r="W3" s="750"/>
      <c r="X3" s="750"/>
      <c r="Y3" s="750"/>
      <c r="Z3" s="750"/>
      <c r="AA3" s="758"/>
      <c r="AB3" s="31"/>
      <c r="AD3" s="332"/>
      <c r="AE3" s="332" t="s">
        <v>492</v>
      </c>
      <c r="AF3" s="332"/>
      <c r="AG3" s="332" t="s">
        <v>509</v>
      </c>
      <c r="AH3" s="332"/>
      <c r="AI3" s="332" t="s">
        <v>452</v>
      </c>
      <c r="AJ3" s="326"/>
      <c r="AK3" s="327"/>
      <c r="AL3" s="327"/>
      <c r="AM3" s="327"/>
      <c r="AN3" s="327"/>
      <c r="AO3" s="325"/>
    </row>
    <row r="4" spans="1:42" ht="15">
      <c r="A4" s="765" t="s">
        <v>44</v>
      </c>
      <c r="B4" s="766"/>
      <c r="C4" s="766"/>
      <c r="E4" s="22" t="s">
        <v>7</v>
      </c>
      <c r="F4" s="22" t="s">
        <v>8</v>
      </c>
      <c r="G4" s="32"/>
      <c r="H4" s="33" t="s">
        <v>9</v>
      </c>
      <c r="I4" s="21"/>
      <c r="J4" s="51" t="s">
        <v>9</v>
      </c>
      <c r="K4" s="21"/>
      <c r="L4" s="51" t="s">
        <v>9</v>
      </c>
      <c r="M4" s="33"/>
      <c r="N4" s="755"/>
      <c r="O4" s="14" t="s">
        <v>10</v>
      </c>
      <c r="P4" s="14" t="s">
        <v>11</v>
      </c>
      <c r="Q4" s="14" t="s">
        <v>12</v>
      </c>
      <c r="R4" s="13" t="s">
        <v>13</v>
      </c>
      <c r="S4" s="12" t="s">
        <v>14</v>
      </c>
      <c r="T4" s="12" t="s">
        <v>15</v>
      </c>
      <c r="U4" s="10"/>
      <c r="V4" s="20" t="s">
        <v>9</v>
      </c>
      <c r="W4" s="14" t="s">
        <v>16</v>
      </c>
      <c r="X4" s="14" t="s">
        <v>17</v>
      </c>
      <c r="Y4" s="13" t="s">
        <v>18</v>
      </c>
      <c r="Z4" s="12" t="s">
        <v>19</v>
      </c>
      <c r="AA4" s="12" t="s">
        <v>20</v>
      </c>
      <c r="AB4" s="24" t="s">
        <v>510</v>
      </c>
      <c r="AD4" s="14" t="s">
        <v>16</v>
      </c>
      <c r="AE4" s="14" t="s">
        <v>17</v>
      </c>
      <c r="AF4" s="13" t="s">
        <v>18</v>
      </c>
      <c r="AG4" s="12" t="s">
        <v>19</v>
      </c>
      <c r="AH4" s="12" t="s">
        <v>20</v>
      </c>
      <c r="AI4" s="347" t="s">
        <v>452</v>
      </c>
      <c r="AJ4" s="328" t="s">
        <v>9</v>
      </c>
      <c r="AK4" s="328" t="s">
        <v>16</v>
      </c>
      <c r="AL4" s="328" t="s">
        <v>17</v>
      </c>
      <c r="AM4" s="329" t="s">
        <v>18</v>
      </c>
      <c r="AN4" s="330" t="s">
        <v>19</v>
      </c>
      <c r="AO4" s="330" t="s">
        <v>20</v>
      </c>
    </row>
    <row r="5" spans="1:42" ht="15">
      <c r="A5" s="24" t="s">
        <v>9</v>
      </c>
      <c r="C5" s="26">
        <f>SUM(C7:C25)</f>
        <v>258.9868223190926</v>
      </c>
      <c r="E5" s="2"/>
      <c r="F5" s="19"/>
      <c r="G5" s="34">
        <f>SUM(G7:G44)-R23-S23</f>
        <v>258.24671295504982</v>
      </c>
      <c r="H5" s="19"/>
      <c r="I5" s="18"/>
      <c r="J5" s="17"/>
      <c r="L5" s="8"/>
      <c r="N5" s="16"/>
      <c r="O5" s="15"/>
      <c r="P5" s="14"/>
      <c r="Q5" s="14"/>
      <c r="R5" s="13"/>
      <c r="S5" s="12"/>
      <c r="T5" s="11">
        <f>T7+T23+T26+T39</f>
        <v>149.94585428970498</v>
      </c>
      <c r="U5" s="10"/>
      <c r="V5" s="9">
        <f>SUM(V7,V21,V26:V32,V34)</f>
        <v>140.31778087483727</v>
      </c>
      <c r="W5" s="9">
        <f>SUM(W7:W44)</f>
        <v>4.1233730508640001</v>
      </c>
      <c r="X5" s="9">
        <f t="shared" ref="X5:Z5" si="0">SUM(X7:X44)</f>
        <v>33.163807354926554</v>
      </c>
      <c r="Y5" s="9">
        <f t="shared" si="0"/>
        <v>38.947394016235251</v>
      </c>
      <c r="Z5" s="9">
        <f t="shared" si="0"/>
        <v>21.989620175791529</v>
      </c>
      <c r="AA5" s="9">
        <f>SUM(AA7:AA44)</f>
        <v>42.093586277019952</v>
      </c>
      <c r="AB5" s="27"/>
      <c r="AJ5" s="9">
        <f>SUM(AJ13,AJ23,AJ26:AJ32,AJ40)</f>
        <v>149.73969693537356</v>
      </c>
      <c r="AK5" s="9">
        <f>SUM(AK7:AK44)</f>
        <v>4.1251268806541326</v>
      </c>
      <c r="AL5" s="9">
        <f t="shared" ref="AL5:AO5" si="1">SUM(AL7:AL44)</f>
        <v>33.334164851252162</v>
      </c>
      <c r="AM5" s="9">
        <f t="shared" si="1"/>
        <v>41.043423968211577</v>
      </c>
      <c r="AN5" s="9">
        <f t="shared" si="1"/>
        <v>22.801118210509813</v>
      </c>
      <c r="AO5" s="9">
        <f t="shared" si="1"/>
        <v>48.435863024745842</v>
      </c>
      <c r="AP5" s="27"/>
    </row>
    <row r="6" spans="1:42">
      <c r="E6" s="1"/>
      <c r="F6" s="1"/>
      <c r="G6" s="360">
        <f>G5-'bilan complet'!K89-I40-I41</f>
        <v>-0.12205509436919348</v>
      </c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2">
        <f>T5-'bilan complet'!K83+(SUM(AD7:AH19)-T7)</f>
        <v>3.5527136788005009E-14</v>
      </c>
      <c r="U6" s="263"/>
      <c r="V6" s="264">
        <f>V5-'scenario demande'!D368</f>
        <v>0</v>
      </c>
      <c r="W6" s="1"/>
      <c r="X6" s="1"/>
      <c r="Y6" s="1"/>
      <c r="Z6" s="1"/>
      <c r="AA6" s="1"/>
      <c r="AB6" s="35"/>
      <c r="AJ6" s="480">
        <f>AJ5-'bilan complet'!K83</f>
        <v>-9.8159737340012043E-2</v>
      </c>
      <c r="AK6" s="1"/>
      <c r="AL6" s="1"/>
      <c r="AM6" s="1"/>
      <c r="AN6" s="1"/>
      <c r="AO6" s="1"/>
    </row>
    <row r="7" spans="1:42">
      <c r="A7" s="24" t="s">
        <v>45</v>
      </c>
      <c r="B7" s="24" t="s">
        <v>46</v>
      </c>
      <c r="C7" s="27">
        <f>G29+G35+G13</f>
        <v>13.758438042702942</v>
      </c>
      <c r="E7" s="767" t="s">
        <v>14</v>
      </c>
      <c r="F7" s="1" t="s">
        <v>21</v>
      </c>
      <c r="G7" s="2">
        <f>électricité!D27*0.086</f>
        <v>1.7153069531249998</v>
      </c>
      <c r="H7" s="768">
        <f>SUM(G7:G20)</f>
        <v>127.31997008163201</v>
      </c>
      <c r="I7" s="3"/>
      <c r="J7" s="769">
        <f>SUM(I7:I19)</f>
        <v>81.818138180608827</v>
      </c>
      <c r="K7" s="2">
        <f>G7-I7</f>
        <v>1.7153069531249998</v>
      </c>
      <c r="L7" s="769">
        <f>SUM(K6:K19)</f>
        <v>49.382858253577055</v>
      </c>
      <c r="N7" s="768">
        <f>L7-M13</f>
        <v>44.32261106216442</v>
      </c>
      <c r="O7" s="46"/>
      <c r="P7" s="46"/>
      <c r="Q7" s="46"/>
      <c r="R7" s="45"/>
      <c r="S7" s="341"/>
      <c r="T7" s="783">
        <f>N7-O12-P12-Q12</f>
        <v>37.612811335601918</v>
      </c>
      <c r="U7" s="23"/>
      <c r="V7" s="772">
        <f>SUM(W7:AA19)</f>
        <v>36.378376407032263</v>
      </c>
      <c r="W7" s="256"/>
      <c r="X7" s="259"/>
      <c r="Y7" s="256"/>
      <c r="Z7" s="259"/>
      <c r="AA7" s="256"/>
      <c r="AB7" s="36"/>
      <c r="AC7" s="267"/>
      <c r="AD7" s="762">
        <f>'bilan complet'!$I$81</f>
        <v>0.5649076274757836</v>
      </c>
      <c r="AE7" s="762">
        <f>'bilan complet'!$I$78</f>
        <v>9.9667228872478102</v>
      </c>
      <c r="AF7" s="762">
        <f>'bilan complet'!$I$79</f>
        <v>13.719855213668408</v>
      </c>
      <c r="AG7" s="762">
        <f>'bilan complet'!$I$80</f>
        <v>11.904210463241817</v>
      </c>
      <c r="AH7" s="772">
        <f>'bilan complet'!I82</f>
        <v>1.3491175269767199</v>
      </c>
      <c r="AJ7" s="307"/>
      <c r="AK7" s="308"/>
      <c r="AL7" s="259"/>
      <c r="AM7" s="256"/>
      <c r="AN7" s="259"/>
      <c r="AO7" s="256"/>
    </row>
    <row r="8" spans="1:42">
      <c r="B8" s="24" t="s">
        <v>21</v>
      </c>
      <c r="C8" s="27">
        <f>G7</f>
        <v>1.7153069531249998</v>
      </c>
      <c r="D8" s="27"/>
      <c r="E8" s="767"/>
      <c r="F8" s="1" t="s">
        <v>22</v>
      </c>
      <c r="G8" s="2">
        <f>électricité!D25*0.086</f>
        <v>6.0663815468749993</v>
      </c>
      <c r="H8" s="768"/>
      <c r="I8" s="3"/>
      <c r="J8" s="769"/>
      <c r="K8" s="2">
        <f t="shared" ref="K8:K44" si="2">G8-I8</f>
        <v>6.0663815468749993</v>
      </c>
      <c r="L8" s="769"/>
      <c r="N8" s="768"/>
      <c r="O8" s="46"/>
      <c r="P8" s="46"/>
      <c r="Q8" s="46"/>
      <c r="R8" s="45"/>
      <c r="S8" s="341"/>
      <c r="T8" s="783"/>
      <c r="U8" s="23"/>
      <c r="V8" s="773"/>
      <c r="W8" s="257"/>
      <c r="X8" s="260"/>
      <c r="Y8" s="257"/>
      <c r="Z8" s="260"/>
      <c r="AA8" s="257"/>
      <c r="AB8" s="36"/>
      <c r="AC8" s="38"/>
      <c r="AD8" s="763"/>
      <c r="AE8" s="763"/>
      <c r="AF8" s="763"/>
      <c r="AG8" s="763"/>
      <c r="AH8" s="773"/>
      <c r="AJ8" s="344"/>
      <c r="AK8" s="309"/>
      <c r="AL8" s="260"/>
      <c r="AM8" s="257"/>
      <c r="AN8" s="260"/>
      <c r="AO8" s="257"/>
    </row>
    <row r="9" spans="1:42">
      <c r="B9" s="24" t="s">
        <v>47</v>
      </c>
      <c r="C9" s="27">
        <f>G11+G21+G22+G26+G34</f>
        <v>0</v>
      </c>
      <c r="E9" s="767"/>
      <c r="F9" s="1" t="s">
        <v>23</v>
      </c>
      <c r="G9" s="2">
        <f>électricité!D26*0.086</f>
        <v>0.48681341406249995</v>
      </c>
      <c r="H9" s="768"/>
      <c r="I9" s="3"/>
      <c r="J9" s="769"/>
      <c r="K9" s="2">
        <f t="shared" si="2"/>
        <v>0.48681341406249995</v>
      </c>
      <c r="L9" s="769"/>
      <c r="N9" s="768"/>
      <c r="O9" s="46"/>
      <c r="P9" s="46"/>
      <c r="Q9" s="46"/>
      <c r="R9" s="45"/>
      <c r="S9" s="341"/>
      <c r="T9" s="783"/>
      <c r="U9" s="23"/>
      <c r="V9" s="773"/>
      <c r="W9" s="257"/>
      <c r="X9" s="260"/>
      <c r="Y9" s="257"/>
      <c r="Z9" s="260"/>
      <c r="AA9" s="257"/>
      <c r="AB9" s="36"/>
      <c r="AC9" s="38"/>
      <c r="AD9" s="763"/>
      <c r="AE9" s="763"/>
      <c r="AF9" s="763"/>
      <c r="AG9" s="763"/>
      <c r="AH9" s="773"/>
      <c r="AJ9" s="344"/>
      <c r="AK9" s="309"/>
      <c r="AL9" s="260"/>
      <c r="AM9" s="257"/>
      <c r="AN9" s="260"/>
      <c r="AO9" s="257"/>
    </row>
    <row r="10" spans="1:42">
      <c r="B10" s="24" t="s">
        <v>28</v>
      </c>
      <c r="C10" s="27">
        <f>G14+G30+G37</f>
        <v>0.13543706740427786</v>
      </c>
      <c r="E10" s="767"/>
      <c r="F10" s="1" t="s">
        <v>24</v>
      </c>
      <c r="G10" s="2">
        <f>111.86+'bilan complet'!H61</f>
        <v>108.1553056640625</v>
      </c>
      <c r="H10" s="768"/>
      <c r="I10" s="3">
        <f>K10/0.33-K10</f>
        <v>74.945330015151498</v>
      </c>
      <c r="J10" s="769"/>
      <c r="K10" s="3">
        <f>électricité!D22*0.086</f>
        <v>36.913371499999997</v>
      </c>
      <c r="L10" s="769"/>
      <c r="N10" s="768"/>
      <c r="O10" s="46"/>
      <c r="P10" s="46"/>
      <c r="Q10" s="46"/>
      <c r="R10" s="45"/>
      <c r="S10" s="341"/>
      <c r="T10" s="783"/>
      <c r="U10" s="23"/>
      <c r="V10" s="773"/>
      <c r="W10" s="257"/>
      <c r="X10" s="260"/>
      <c r="Y10" s="257"/>
      <c r="Z10" s="260"/>
      <c r="AA10" s="257"/>
      <c r="AB10" s="36"/>
      <c r="AC10" s="38"/>
      <c r="AD10" s="763"/>
      <c r="AE10" s="763"/>
      <c r="AF10" s="763"/>
      <c r="AG10" s="763"/>
      <c r="AH10" s="773"/>
      <c r="AJ10" s="344"/>
      <c r="AK10" s="309"/>
      <c r="AL10" s="260"/>
      <c r="AM10" s="257"/>
      <c r="AN10" s="260"/>
      <c r="AO10" s="257"/>
    </row>
    <row r="11" spans="1:42">
      <c r="B11" s="24" t="s">
        <v>22</v>
      </c>
      <c r="C11" s="27">
        <f>G8</f>
        <v>6.0663815468749993</v>
      </c>
      <c r="E11" s="767"/>
      <c r="F11" s="1" t="s">
        <v>25</v>
      </c>
      <c r="G11" s="2"/>
      <c r="H11" s="768"/>
      <c r="I11" s="3"/>
      <c r="J11" s="769"/>
      <c r="K11" s="2">
        <f t="shared" si="2"/>
        <v>0</v>
      </c>
      <c r="L11" s="769"/>
      <c r="N11" s="768"/>
      <c r="O11" s="46"/>
      <c r="P11" s="46"/>
      <c r="Q11" s="46"/>
      <c r="R11" s="45"/>
      <c r="S11" s="341"/>
      <c r="T11" s="783"/>
      <c r="U11" s="23"/>
      <c r="V11" s="773"/>
      <c r="W11" s="257"/>
      <c r="X11" s="260"/>
      <c r="Y11" s="257"/>
      <c r="Z11" s="260"/>
      <c r="AA11" s="257"/>
      <c r="AB11" s="36"/>
      <c r="AC11" s="38"/>
      <c r="AD11" s="763"/>
      <c r="AE11" s="763"/>
      <c r="AF11" s="763"/>
      <c r="AG11" s="763"/>
      <c r="AH11" s="773"/>
      <c r="AJ11" s="344"/>
      <c r="AK11" s="309"/>
      <c r="AL11" s="260"/>
      <c r="AM11" s="257"/>
      <c r="AN11" s="260"/>
      <c r="AO11" s="257"/>
    </row>
    <row r="12" spans="1:42">
      <c r="B12" s="24" t="s">
        <v>23</v>
      </c>
      <c r="C12" s="27">
        <f>G9</f>
        <v>0.48681341406249995</v>
      </c>
      <c r="D12" s="27"/>
      <c r="E12" s="767"/>
      <c r="F12" s="1" t="s">
        <v>26</v>
      </c>
      <c r="G12" s="2">
        <f>'bilan complet'!J75</f>
        <v>3.065782928579901</v>
      </c>
      <c r="H12" s="768"/>
      <c r="I12" s="3">
        <f>G12-K12</f>
        <v>2.3083630399080262</v>
      </c>
      <c r="J12" s="769"/>
      <c r="K12" s="2">
        <f>électricité!D21*0.086</f>
        <v>0.75741988867187493</v>
      </c>
      <c r="L12" s="769"/>
      <c r="N12" s="768"/>
      <c r="O12" s="46">
        <f>(électricité!D32)*0.086</f>
        <v>3.0051053906249998</v>
      </c>
      <c r="P12" s="46">
        <f>électricité!D36*0.086</f>
        <v>3.7046943359375004</v>
      </c>
      <c r="Q12" s="46"/>
      <c r="R12" s="45"/>
      <c r="S12" s="341"/>
      <c r="T12" s="783"/>
      <c r="U12" s="7"/>
      <c r="V12" s="773"/>
      <c r="W12" s="257"/>
      <c r="X12" s="260"/>
      <c r="Y12" s="257"/>
      <c r="Z12" s="260"/>
      <c r="AA12" s="257"/>
      <c r="AB12" s="36"/>
      <c r="AC12" s="38" t="s">
        <v>490</v>
      </c>
      <c r="AD12" s="763"/>
      <c r="AE12" s="763"/>
      <c r="AF12" s="763"/>
      <c r="AG12" s="763"/>
      <c r="AH12" s="773"/>
      <c r="AJ12" s="344"/>
      <c r="AK12" s="309"/>
      <c r="AL12" s="260"/>
      <c r="AM12" s="257"/>
      <c r="AN12" s="260"/>
      <c r="AO12" s="257"/>
    </row>
    <row r="13" spans="1:42">
      <c r="B13" s="24" t="s">
        <v>62</v>
      </c>
      <c r="C13" s="27">
        <f>G39</f>
        <v>4.0922353901271604</v>
      </c>
      <c r="E13" s="767"/>
      <c r="F13" s="1" t="s">
        <v>27</v>
      </c>
      <c r="G13" s="2"/>
      <c r="H13" s="768"/>
      <c r="I13" s="3"/>
      <c r="J13" s="769"/>
      <c r="K13" s="2">
        <f t="shared" si="2"/>
        <v>0</v>
      </c>
      <c r="L13" s="769"/>
      <c r="M13" s="37">
        <f>électricité!D34*0.086</f>
        <v>5.0602471914126346</v>
      </c>
      <c r="N13" s="768"/>
      <c r="O13" s="46"/>
      <c r="P13" s="46"/>
      <c r="Q13" s="46"/>
      <c r="R13" s="45"/>
      <c r="S13" s="341"/>
      <c r="T13" s="783"/>
      <c r="U13" s="1"/>
      <c r="V13" s="773"/>
      <c r="W13" s="257">
        <f>'scenario demande'!$D$339</f>
        <v>0.55991041147578358</v>
      </c>
      <c r="X13" s="260">
        <f>'scenario demande'!$D$12</f>
        <v>9.9455691627380958</v>
      </c>
      <c r="Y13" s="257">
        <f>'scenario demande'!$D$113</f>
        <v>12.775833612242735</v>
      </c>
      <c r="Z13" s="260">
        <f>'scenario demande'!$D$188</f>
        <v>11.746029764540062</v>
      </c>
      <c r="AA13" s="257">
        <f>'scenario demande'!$D$278</f>
        <v>1.3510334560355908</v>
      </c>
      <c r="AB13" s="36"/>
      <c r="AC13" s="38"/>
      <c r="AD13" s="763"/>
      <c r="AE13" s="763"/>
      <c r="AF13" s="763"/>
      <c r="AG13" s="763"/>
      <c r="AH13" s="773"/>
      <c r="AI13" s="27">
        <f>SUM(AD7:AH19)</f>
        <v>37.504813718610542</v>
      </c>
      <c r="AJ13" s="344">
        <f>SUM(AK7:AO19)</f>
        <v>37.504813718610542</v>
      </c>
      <c r="AK13" s="310">
        <f>AD7</f>
        <v>0.5649076274757836</v>
      </c>
      <c r="AL13" s="260">
        <f>AE7</f>
        <v>9.9667228872478102</v>
      </c>
      <c r="AM13" s="260">
        <f>AF7</f>
        <v>13.719855213668408</v>
      </c>
      <c r="AN13" s="260">
        <f>AG7</f>
        <v>11.904210463241817</v>
      </c>
      <c r="AO13" s="260">
        <f>AH7</f>
        <v>1.3491175269767199</v>
      </c>
    </row>
    <row r="14" spans="1:42">
      <c r="B14" s="24" t="s">
        <v>48</v>
      </c>
      <c r="C14" s="27">
        <f>G38</f>
        <v>1.44</v>
      </c>
      <c r="E14" s="767"/>
      <c r="F14" s="1" t="s">
        <v>28</v>
      </c>
      <c r="G14" s="2"/>
      <c r="H14" s="768"/>
      <c r="I14" s="3"/>
      <c r="J14" s="769"/>
      <c r="K14" s="2">
        <f t="shared" si="2"/>
        <v>0</v>
      </c>
      <c r="L14" s="769"/>
      <c r="N14" s="768"/>
      <c r="O14" s="46"/>
      <c r="P14" s="46"/>
      <c r="Q14" s="46"/>
      <c r="R14" s="45"/>
      <c r="S14" s="341"/>
      <c r="T14" s="783"/>
      <c r="U14" s="1"/>
      <c r="V14" s="773"/>
      <c r="W14" s="257"/>
      <c r="X14" s="260"/>
      <c r="Y14" s="257"/>
      <c r="Z14" s="260"/>
      <c r="AA14" s="257"/>
      <c r="AB14" s="36"/>
      <c r="AC14" s="38"/>
      <c r="AD14" s="763"/>
      <c r="AE14" s="763"/>
      <c r="AF14" s="763"/>
      <c r="AG14" s="763"/>
      <c r="AH14" s="773"/>
      <c r="AJ14" s="344"/>
      <c r="AK14" s="309"/>
      <c r="AL14" s="260"/>
      <c r="AM14" s="257"/>
      <c r="AN14" s="260"/>
      <c r="AO14" s="257"/>
    </row>
    <row r="15" spans="1:42">
      <c r="B15" s="24" t="s">
        <v>35</v>
      </c>
      <c r="C15" s="27">
        <f>G36+G31</f>
        <v>0.43230070232480705</v>
      </c>
      <c r="E15" s="767"/>
      <c r="F15" s="1" t="s">
        <v>29</v>
      </c>
      <c r="G15" s="2">
        <f>électricité!D30*0.086</f>
        <v>3.0887760294717733E-9</v>
      </c>
      <c r="H15" s="768"/>
      <c r="I15" s="3"/>
      <c r="J15" s="769"/>
      <c r="K15" s="2">
        <f t="shared" si="2"/>
        <v>3.0887760294717733E-9</v>
      </c>
      <c r="L15" s="769"/>
      <c r="N15" s="768"/>
      <c r="O15" s="46"/>
      <c r="P15" s="46"/>
      <c r="Q15" s="46"/>
      <c r="R15" s="45"/>
      <c r="S15" s="341"/>
      <c r="T15" s="783"/>
      <c r="U15" s="1"/>
      <c r="V15" s="773"/>
      <c r="W15" s="257"/>
      <c r="X15" s="260"/>
      <c r="Y15" s="257"/>
      <c r="Z15" s="260"/>
      <c r="AA15" s="257"/>
      <c r="AB15" s="36"/>
      <c r="AC15" s="38"/>
      <c r="AD15" s="763"/>
      <c r="AE15" s="763"/>
      <c r="AF15" s="763"/>
      <c r="AG15" s="763"/>
      <c r="AH15" s="773"/>
      <c r="AJ15" s="344"/>
      <c r="AK15" s="309"/>
      <c r="AL15" s="260"/>
      <c r="AM15" s="257"/>
      <c r="AN15" s="260"/>
      <c r="AO15" s="257"/>
    </row>
    <row r="16" spans="1:42">
      <c r="B16" s="24" t="s">
        <v>39</v>
      </c>
      <c r="C16" s="27">
        <f>G12+G16+G27+G28</f>
        <v>3.9412484596291373</v>
      </c>
      <c r="E16" s="767"/>
      <c r="F16" s="1" t="s">
        <v>30</v>
      </c>
      <c r="G16" s="2">
        <v>0</v>
      </c>
      <c r="H16" s="768"/>
      <c r="I16" s="3"/>
      <c r="J16" s="769"/>
      <c r="K16" s="2">
        <f>électricité!D20*0.086</f>
        <v>0.17763050146484374</v>
      </c>
      <c r="L16" s="769"/>
      <c r="N16" s="768"/>
      <c r="O16" s="46"/>
      <c r="P16" s="46"/>
      <c r="Q16" s="46"/>
      <c r="R16" s="45"/>
      <c r="S16" s="341"/>
      <c r="T16" s="783"/>
      <c r="U16" s="1"/>
      <c r="V16" s="773"/>
      <c r="W16" s="257"/>
      <c r="X16" s="260"/>
      <c r="Y16" s="257"/>
      <c r="Z16" s="260"/>
      <c r="AA16" s="257"/>
      <c r="AB16" s="36"/>
      <c r="AC16" s="38"/>
      <c r="AD16" s="763"/>
      <c r="AE16" s="763"/>
      <c r="AF16" s="763"/>
      <c r="AG16" s="763"/>
      <c r="AH16" s="773"/>
      <c r="AJ16" s="344"/>
      <c r="AK16" s="309"/>
      <c r="AL16" s="260"/>
      <c r="AM16" s="257"/>
      <c r="AN16" s="260"/>
      <c r="AO16" s="257"/>
    </row>
    <row r="17" spans="1:41">
      <c r="C17" s="27"/>
      <c r="E17" s="767"/>
      <c r="F17" s="1" t="s">
        <v>466</v>
      </c>
      <c r="G17" s="2">
        <f>électricité!D6</f>
        <v>0.54655938720703123</v>
      </c>
      <c r="H17" s="768"/>
      <c r="I17" s="3">
        <f>G17-K17</f>
        <v>0.33206526708984374</v>
      </c>
      <c r="J17" s="769"/>
      <c r="K17" s="5">
        <f>électricité!D17*0.086</f>
        <v>0.21449412011718749</v>
      </c>
      <c r="L17" s="769"/>
      <c r="N17" s="768"/>
      <c r="O17" s="46"/>
      <c r="P17" s="46"/>
      <c r="Q17" s="46"/>
      <c r="R17" s="45"/>
      <c r="S17" s="341"/>
      <c r="T17" s="783"/>
      <c r="U17" s="1"/>
      <c r="V17" s="773"/>
      <c r="W17" s="257"/>
      <c r="X17" s="260"/>
      <c r="Y17" s="257"/>
      <c r="Z17" s="260"/>
      <c r="AA17" s="257"/>
      <c r="AB17" s="36"/>
      <c r="AC17" s="38"/>
      <c r="AD17" s="763"/>
      <c r="AE17" s="763"/>
      <c r="AF17" s="763"/>
      <c r="AG17" s="763"/>
      <c r="AH17" s="773"/>
      <c r="AJ17" s="344"/>
      <c r="AK17" s="309"/>
      <c r="AL17" s="260"/>
      <c r="AM17" s="257"/>
      <c r="AN17" s="260"/>
      <c r="AO17" s="257"/>
    </row>
    <row r="18" spans="1:41">
      <c r="C18" s="27"/>
      <c r="E18" s="767"/>
      <c r="F18" s="1" t="s">
        <v>181</v>
      </c>
      <c r="G18" s="2">
        <f>électricité!D4</f>
        <v>5.2225161132812499</v>
      </c>
      <c r="H18" s="768"/>
      <c r="I18" s="3">
        <f>G18-K18</f>
        <v>3.4405531132812497</v>
      </c>
      <c r="J18" s="769"/>
      <c r="K18" s="2">
        <f>électricité!D10*0.086</f>
        <v>1.781963</v>
      </c>
      <c r="L18" s="769"/>
      <c r="N18" s="768"/>
      <c r="O18" s="46"/>
      <c r="P18" s="46"/>
      <c r="Q18" s="46"/>
      <c r="R18" s="45"/>
      <c r="S18" s="341"/>
      <c r="T18" s="783"/>
      <c r="U18" s="1"/>
      <c r="V18" s="773"/>
      <c r="W18" s="257"/>
      <c r="X18" s="260"/>
      <c r="Y18" s="257"/>
      <c r="Z18" s="260"/>
      <c r="AA18" s="257"/>
      <c r="AB18" s="36"/>
      <c r="AC18" s="38"/>
      <c r="AD18" s="763"/>
      <c r="AE18" s="763"/>
      <c r="AF18" s="763"/>
      <c r="AG18" s="763"/>
      <c r="AH18" s="773"/>
      <c r="AJ18" s="344"/>
      <c r="AK18" s="309"/>
      <c r="AL18" s="260"/>
      <c r="AM18" s="257"/>
      <c r="AN18" s="260"/>
      <c r="AO18" s="257"/>
    </row>
    <row r="19" spans="1:41">
      <c r="B19" s="24" t="s">
        <v>49</v>
      </c>
      <c r="C19" s="27">
        <f>G15</f>
        <v>3.0887760294717733E-9</v>
      </c>
      <c r="D19" s="27"/>
      <c r="E19" s="767"/>
      <c r="F19" s="1" t="s">
        <v>31</v>
      </c>
      <c r="G19" s="2">
        <f>'bilan complet'!F75-I32-I29</f>
        <v>2.0613040713500701</v>
      </c>
      <c r="H19" s="768"/>
      <c r="I19" s="3">
        <f>G19-K19</f>
        <v>0.79182674517819507</v>
      </c>
      <c r="J19" s="769"/>
      <c r="K19" s="2">
        <f>électricité!D12*0.086</f>
        <v>1.269477326171875</v>
      </c>
      <c r="L19" s="769"/>
      <c r="N19" s="768"/>
      <c r="O19" s="46"/>
      <c r="P19" s="46"/>
      <c r="Q19" s="46"/>
      <c r="R19" s="45"/>
      <c r="S19" s="341"/>
      <c r="T19" s="783"/>
      <c r="U19" s="1"/>
      <c r="V19" s="774"/>
      <c r="W19" s="258"/>
      <c r="X19" s="261"/>
      <c r="Y19" s="258"/>
      <c r="Z19" s="261"/>
      <c r="AA19" s="258"/>
      <c r="AB19" s="36"/>
      <c r="AC19" s="269"/>
      <c r="AD19" s="764"/>
      <c r="AE19" s="764"/>
      <c r="AF19" s="764"/>
      <c r="AG19" s="764"/>
      <c r="AH19" s="774"/>
      <c r="AJ19" s="345"/>
      <c r="AK19" s="311"/>
      <c r="AL19" s="261"/>
      <c r="AM19" s="258"/>
      <c r="AN19" s="261"/>
      <c r="AO19" s="258"/>
    </row>
    <row r="20" spans="1:41">
      <c r="E20" s="1"/>
      <c r="F20" s="1"/>
      <c r="G20" s="1"/>
      <c r="H20" s="1"/>
      <c r="I20" s="2"/>
      <c r="J20" s="2"/>
      <c r="K20" s="2"/>
      <c r="L20" s="1"/>
      <c r="M20" s="1">
        <f>(M13+O12)/(L7-O12-M13)</f>
        <v>0.19520424698805719</v>
      </c>
      <c r="N20" s="1"/>
      <c r="O20" s="1"/>
      <c r="P20" s="1"/>
      <c r="Q20" s="1"/>
      <c r="R20" s="1"/>
      <c r="S20" s="1"/>
      <c r="T20" s="363">
        <f>T7-électricité!D38*0.086</f>
        <v>0</v>
      </c>
      <c r="U20" s="265"/>
      <c r="V20" s="2"/>
      <c r="W20" s="1"/>
      <c r="X20" s="2"/>
      <c r="Y20" s="1"/>
      <c r="Z20" s="2"/>
      <c r="AA20" s="1"/>
      <c r="AJ20" s="2"/>
      <c r="AK20" s="1"/>
      <c r="AL20" s="2"/>
      <c r="AM20" s="1"/>
      <c r="AN20" s="2"/>
      <c r="AO20" s="1"/>
    </row>
    <row r="21" spans="1:41">
      <c r="A21" s="24" t="s">
        <v>50</v>
      </c>
      <c r="B21" s="24" t="s">
        <v>24</v>
      </c>
      <c r="C21" s="27">
        <f>G10</f>
        <v>108.1553056640625</v>
      </c>
      <c r="E21" s="775" t="s">
        <v>12</v>
      </c>
      <c r="F21" s="1" t="s">
        <v>25</v>
      </c>
      <c r="G21" s="2"/>
      <c r="H21" s="776">
        <f>SUM(G21:G24)</f>
        <v>33.066723012707421</v>
      </c>
      <c r="J21" s="776"/>
      <c r="K21" s="2">
        <f t="shared" si="2"/>
        <v>0</v>
      </c>
      <c r="L21" s="777">
        <f>SUM(K21:K24)</f>
        <v>33.066723012707421</v>
      </c>
      <c r="M21" s="2"/>
      <c r="N21" s="777">
        <f>L21</f>
        <v>33.066723012707421</v>
      </c>
      <c r="O21" s="779"/>
      <c r="P21" s="779"/>
      <c r="Q21" s="779"/>
      <c r="R21" s="322"/>
      <c r="S21" s="322"/>
      <c r="T21" s="322"/>
      <c r="U21" s="1"/>
      <c r="V21" s="780">
        <f>SUM(W23:AA23)</f>
        <v>28.656600639276746</v>
      </c>
      <c r="W21" s="230"/>
      <c r="X21" s="230"/>
      <c r="Y21" s="230"/>
      <c r="Z21" s="230"/>
      <c r="AA21" s="231"/>
      <c r="AC21" s="267"/>
      <c r="AD21" s="277"/>
      <c r="AE21" s="277"/>
      <c r="AF21" s="277"/>
      <c r="AG21" s="277"/>
      <c r="AH21" s="270"/>
      <c r="AJ21" s="304"/>
      <c r="AK21" s="231"/>
      <c r="AL21" s="230"/>
      <c r="AM21" s="230"/>
      <c r="AN21" s="230"/>
      <c r="AO21" s="231"/>
    </row>
    <row r="22" spans="1:41">
      <c r="B22" s="24" t="s">
        <v>34</v>
      </c>
      <c r="C22" s="27">
        <f>G24+G32</f>
        <v>35.862382632829416</v>
      </c>
      <c r="E22" s="775"/>
      <c r="F22" s="1" t="s">
        <v>32</v>
      </c>
      <c r="G22" s="2"/>
      <c r="H22" s="758"/>
      <c r="J22" s="758"/>
      <c r="K22" s="2">
        <f t="shared" si="2"/>
        <v>0</v>
      </c>
      <c r="L22" s="778"/>
      <c r="M22" s="2"/>
      <c r="N22" s="777"/>
      <c r="O22" s="779"/>
      <c r="P22" s="779"/>
      <c r="Q22" s="779"/>
      <c r="R22" s="334"/>
      <c r="S22" s="340"/>
      <c r="T22" s="340"/>
      <c r="U22" s="1"/>
      <c r="V22" s="781"/>
      <c r="W22" s="334"/>
      <c r="X22" s="334"/>
      <c r="Y22" s="334"/>
      <c r="Z22" s="334"/>
      <c r="AA22" s="340"/>
      <c r="AC22" s="268"/>
      <c r="AD22" s="278"/>
      <c r="AE22" s="278"/>
      <c r="AF22" s="278"/>
      <c r="AG22" s="278"/>
      <c r="AH22" s="271"/>
      <c r="AJ22" s="305"/>
      <c r="AK22" s="340"/>
      <c r="AL22" s="334"/>
      <c r="AM22" s="334"/>
      <c r="AN22" s="334"/>
      <c r="AO22" s="340"/>
    </row>
    <row r="23" spans="1:41">
      <c r="B23" s="24" t="s">
        <v>51</v>
      </c>
      <c r="C23" s="27">
        <f>G40+G41</f>
        <v>72.107300037372056</v>
      </c>
      <c r="E23" s="775"/>
      <c r="F23" s="1" t="s">
        <v>33</v>
      </c>
      <c r="G23" s="2"/>
      <c r="H23" s="758"/>
      <c r="I23" s="27"/>
      <c r="J23" s="758"/>
      <c r="K23" s="2">
        <f t="shared" si="2"/>
        <v>0</v>
      </c>
      <c r="L23" s="778"/>
      <c r="M23" s="2"/>
      <c r="N23" s="777"/>
      <c r="O23" s="779"/>
      <c r="P23" s="779"/>
      <c r="Q23" s="779"/>
      <c r="R23" s="334">
        <f>G32</f>
        <v>2.7956596201219979</v>
      </c>
      <c r="S23" s="340">
        <f>G19</f>
        <v>2.0613040713500701</v>
      </c>
      <c r="T23" s="340">
        <f>N21-R23-S23</f>
        <v>28.209759321235353</v>
      </c>
      <c r="U23" s="1"/>
      <c r="V23" s="781"/>
      <c r="W23" s="235">
        <f>'scenario demande'!D337</f>
        <v>0.40039767592926623</v>
      </c>
      <c r="X23" s="244">
        <f>'scenario demande'!D10</f>
        <v>9.809545978704854</v>
      </c>
      <c r="Y23" s="244">
        <f>'scenario demande'!D110</f>
        <v>12.27115918684208</v>
      </c>
      <c r="Z23" s="244">
        <f>'scenario demande'!D186</f>
        <v>6.1201899042886652</v>
      </c>
      <c r="AA23" s="232">
        <f>'scenario demande'!D277+'scenario demande'!D279</f>
        <v>5.5307893511881465E-2</v>
      </c>
      <c r="AC23" s="38"/>
      <c r="AD23" s="278"/>
      <c r="AE23" s="278"/>
      <c r="AF23" s="278"/>
      <c r="AG23" s="278"/>
      <c r="AH23" s="271"/>
      <c r="AJ23" s="305">
        <f>SUM(AK23:AO23)</f>
        <v>28.209759321235353</v>
      </c>
      <c r="AK23" s="312">
        <f>$T$23*W23/$V$21</f>
        <v>0.39415428971939859</v>
      </c>
      <c r="AL23" s="312">
        <f t="shared" ref="AL23:AO23" si="3">$T$23*X23/$V$21</f>
        <v>9.656586089648636</v>
      </c>
      <c r="AM23" s="312">
        <f t="shared" si="3"/>
        <v>12.079815453718727</v>
      </c>
      <c r="AN23" s="312">
        <f t="shared" si="3"/>
        <v>6.0247580085826637</v>
      </c>
      <c r="AO23" s="312">
        <f t="shared" si="3"/>
        <v>5.4445479565927622E-2</v>
      </c>
    </row>
    <row r="24" spans="1:41">
      <c r="B24" s="24" t="s">
        <v>40</v>
      </c>
      <c r="C24" s="27">
        <f>G44+G18</f>
        <v>10.793672405489019</v>
      </c>
      <c r="E24" s="775"/>
      <c r="F24" s="1" t="s">
        <v>34</v>
      </c>
      <c r="G24" s="2">
        <f>'bilan complet'!F89-'bilan complet'!F86</f>
        <v>33.066723012707421</v>
      </c>
      <c r="H24" s="758"/>
      <c r="J24" s="758"/>
      <c r="K24" s="2">
        <f t="shared" si="2"/>
        <v>33.066723012707421</v>
      </c>
      <c r="L24" s="778"/>
      <c r="M24" s="6"/>
      <c r="N24" s="777"/>
      <c r="O24" s="779"/>
      <c r="P24" s="779"/>
      <c r="Q24" s="779"/>
      <c r="R24" s="334"/>
      <c r="S24" s="340"/>
      <c r="T24" s="340"/>
      <c r="U24" s="1"/>
      <c r="V24" s="782"/>
      <c r="W24" s="233"/>
      <c r="X24" s="233"/>
      <c r="Y24" s="233"/>
      <c r="Z24" s="233"/>
      <c r="AA24" s="234"/>
      <c r="AC24" s="38"/>
      <c r="AD24" s="278"/>
      <c r="AE24" s="278"/>
      <c r="AF24" s="278"/>
      <c r="AG24" s="278"/>
      <c r="AH24" s="271"/>
      <c r="AJ24" s="306"/>
      <c r="AK24" s="234"/>
      <c r="AL24" s="233"/>
      <c r="AM24" s="233"/>
      <c r="AN24" s="233"/>
      <c r="AO24" s="234"/>
    </row>
    <row r="25" spans="1:41">
      <c r="B25" s="24" t="s">
        <v>39</v>
      </c>
      <c r="C25" s="27">
        <f>G42</f>
        <v>0</v>
      </c>
      <c r="E25" s="1"/>
      <c r="F25" s="1"/>
      <c r="G25" s="1"/>
      <c r="H25" s="1"/>
      <c r="I25" s="1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W25" s="217"/>
      <c r="X25" s="248"/>
      <c r="Y25" s="248"/>
      <c r="Z25" s="248"/>
      <c r="AA25" s="217"/>
      <c r="AC25" s="273" t="s">
        <v>465</v>
      </c>
      <c r="AD25" s="279">
        <f>'bilan complet'!$F$81+'bilan complet'!$J$81</f>
        <v>0.39719094505954389</v>
      </c>
      <c r="AE25" s="279">
        <f>'bilan complet'!$F$78+'bilan complet'!$J$78</f>
        <v>13.324515677670263</v>
      </c>
      <c r="AF25" s="279">
        <f>'bilan complet'!$F$79+'bilan complet'!$J$79</f>
        <v>24.168862739341535</v>
      </c>
      <c r="AG25" s="279">
        <f>'bilan complet'!$F$80+'bilan complet'!$J$80</f>
        <v>6.5834575487586591</v>
      </c>
      <c r="AH25" s="274">
        <f>'bilan complet'!$F$82+'bilan complet'!$J$82</f>
        <v>2.5742388291480824</v>
      </c>
      <c r="AI25" s="27">
        <f>SUM(AD25:AH25)</f>
        <v>47.048265739978078</v>
      </c>
      <c r="AK25" s="217"/>
      <c r="AL25" s="248"/>
      <c r="AM25" s="248"/>
      <c r="AN25" s="248"/>
      <c r="AO25" s="217"/>
    </row>
    <row r="26" spans="1:41">
      <c r="E26" s="788" t="s">
        <v>13</v>
      </c>
      <c r="F26" s="1" t="s">
        <v>25</v>
      </c>
      <c r="G26" s="142">
        <v>0</v>
      </c>
      <c r="H26" s="770">
        <f>SUM(G26:G32)</f>
        <v>4.681287837693862</v>
      </c>
      <c r="I26" s="142">
        <f>G26-K26</f>
        <v>0</v>
      </c>
      <c r="J26" s="789"/>
      <c r="K26" s="27">
        <f>$L$26*J49</f>
        <v>0</v>
      </c>
      <c r="L26" s="789">
        <f>V29</f>
        <v>4.0824932928333304</v>
      </c>
      <c r="M26" s="1"/>
      <c r="N26" s="770">
        <f>L26</f>
        <v>4.0824932928333304</v>
      </c>
      <c r="O26" s="771"/>
      <c r="P26" s="771"/>
      <c r="Q26" s="771"/>
      <c r="R26" s="790"/>
      <c r="S26" s="791"/>
      <c r="T26" s="791">
        <f>N26-O26-Q26</f>
        <v>4.0824932928333304</v>
      </c>
      <c r="U26" s="1"/>
      <c r="V26" s="236"/>
      <c r="W26" s="236"/>
      <c r="X26" s="236"/>
      <c r="Y26" s="236"/>
      <c r="Z26" s="249"/>
      <c r="AA26" s="236"/>
      <c r="AC26" s="275" t="s">
        <v>491</v>
      </c>
      <c r="AD26" s="280"/>
      <c r="AE26" s="280"/>
      <c r="AF26" s="280"/>
      <c r="AG26" s="280"/>
      <c r="AH26" s="276"/>
      <c r="AI26" s="27"/>
      <c r="AJ26" s="236"/>
      <c r="AK26" s="236"/>
      <c r="AL26" s="236"/>
      <c r="AM26" s="236"/>
      <c r="AN26" s="249"/>
      <c r="AO26" s="236"/>
    </row>
    <row r="27" spans="1:41">
      <c r="E27" s="788"/>
      <c r="F27" s="1" t="s">
        <v>26</v>
      </c>
      <c r="G27" s="142">
        <f>$K$27/'Réseaux de chaleur'!$D$63</f>
        <v>0.87546553104923652</v>
      </c>
      <c r="H27" s="770"/>
      <c r="I27" s="142">
        <f t="shared" ref="I27:I31" si="4">G27-K27</f>
        <v>0</v>
      </c>
      <c r="J27" s="789"/>
      <c r="K27" s="27">
        <f t="shared" ref="K27:K31" si="5">$L$26*J50</f>
        <v>0.87546553104923652</v>
      </c>
      <c r="L27" s="789"/>
      <c r="M27" s="1"/>
      <c r="N27" s="770"/>
      <c r="O27" s="771"/>
      <c r="P27" s="771"/>
      <c r="Q27" s="771"/>
      <c r="R27" s="790"/>
      <c r="S27" s="791"/>
      <c r="T27" s="791"/>
      <c r="U27" s="1"/>
      <c r="V27" s="238"/>
      <c r="W27" s="338"/>
      <c r="X27" s="338"/>
      <c r="Y27" s="338"/>
      <c r="Z27" s="339"/>
      <c r="AA27" s="338"/>
      <c r="AC27" s="38"/>
      <c r="AD27" s="278"/>
      <c r="AE27" s="278"/>
      <c r="AF27" s="278"/>
      <c r="AG27" s="278"/>
      <c r="AH27" s="271"/>
      <c r="AJ27" s="238"/>
      <c r="AK27" s="338"/>
      <c r="AL27" s="338"/>
      <c r="AM27" s="338"/>
      <c r="AN27" s="339"/>
      <c r="AO27" s="338"/>
    </row>
    <row r="28" spans="1:41">
      <c r="E28" s="788"/>
      <c r="F28" s="1" t="s">
        <v>30</v>
      </c>
      <c r="G28" s="142">
        <v>0</v>
      </c>
      <c r="H28" s="770"/>
      <c r="I28" s="142">
        <f t="shared" si="4"/>
        <v>0</v>
      </c>
      <c r="J28" s="789"/>
      <c r="K28" s="27">
        <f>$L$26*J51</f>
        <v>0</v>
      </c>
      <c r="L28" s="789"/>
      <c r="M28" s="1"/>
      <c r="N28" s="770"/>
      <c r="O28" s="771"/>
      <c r="P28" s="771" t="e">
        <v>#REF!</v>
      </c>
      <c r="Q28" s="771"/>
      <c r="R28" s="790" t="e">
        <v>#REF!</v>
      </c>
      <c r="S28" s="791" t="e">
        <v>#REF!</v>
      </c>
      <c r="T28" s="791"/>
      <c r="U28" s="1"/>
      <c r="V28" s="238"/>
      <c r="W28" s="338"/>
      <c r="X28" s="338"/>
      <c r="Y28" s="338"/>
      <c r="Z28" s="339"/>
      <c r="AA28" s="338"/>
      <c r="AC28" s="38"/>
      <c r="AD28" s="278"/>
      <c r="AE28" s="278"/>
      <c r="AF28" s="278"/>
      <c r="AG28" s="278"/>
      <c r="AH28" s="271"/>
      <c r="AJ28" s="238"/>
      <c r="AK28" s="338"/>
      <c r="AL28" s="338"/>
      <c r="AM28" s="338"/>
      <c r="AN28" s="339"/>
      <c r="AO28" s="338"/>
    </row>
    <row r="29" spans="1:41">
      <c r="E29" s="788"/>
      <c r="F29" s="1" t="s">
        <v>27</v>
      </c>
      <c r="G29" s="142">
        <f>$K$29/'Réseaux de chaleur'!$D$62</f>
        <v>0.50952847343793273</v>
      </c>
      <c r="H29" s="770"/>
      <c r="I29" s="142">
        <f>G29-K29</f>
        <v>9.3586862468191701E-2</v>
      </c>
      <c r="J29" s="789"/>
      <c r="K29" s="27">
        <f t="shared" si="5"/>
        <v>0.41594161096974103</v>
      </c>
      <c r="L29" s="789"/>
      <c r="M29" s="1"/>
      <c r="N29" s="770"/>
      <c r="O29" s="771"/>
      <c r="P29" s="771" t="e">
        <v>#REF!</v>
      </c>
      <c r="Q29" s="771"/>
      <c r="R29" s="790" t="e">
        <v>#REF!</v>
      </c>
      <c r="S29" s="791" t="e">
        <v>#REF!</v>
      </c>
      <c r="T29" s="791"/>
      <c r="U29" s="1"/>
      <c r="V29" s="242">
        <f>SUM(W29:AA29)</f>
        <v>4.0824932928333304</v>
      </c>
      <c r="W29" s="243">
        <f>'scenario demande'!D340</f>
        <v>0</v>
      </c>
      <c r="X29" s="243">
        <f>'scenario demande'!D13</f>
        <v>1.7857463505903328</v>
      </c>
      <c r="Y29" s="243">
        <f>'scenario demande'!D114</f>
        <v>1.4784472789554459</v>
      </c>
      <c r="Z29" s="241">
        <f>'scenario demande'!D189</f>
        <v>0.81829966328755155</v>
      </c>
      <c r="AA29" s="338"/>
      <c r="AC29" s="38"/>
      <c r="AD29" s="278"/>
      <c r="AE29" s="278"/>
      <c r="AF29" s="278"/>
      <c r="AG29" s="278"/>
      <c r="AH29" s="271"/>
      <c r="AJ29" s="242">
        <f>SUM(AK29:AO29)</f>
        <v>4.0824932928333304</v>
      </c>
      <c r="AK29" s="243">
        <f>W29</f>
        <v>0</v>
      </c>
      <c r="AL29" s="243">
        <f>X29</f>
        <v>1.7857463505903328</v>
      </c>
      <c r="AM29" s="243">
        <f>Y29</f>
        <v>1.4784472789554459</v>
      </c>
      <c r="AN29" s="243">
        <f>Z29</f>
        <v>0.81829966328755155</v>
      </c>
      <c r="AO29" s="243"/>
    </row>
    <row r="30" spans="1:41">
      <c r="E30" s="788"/>
      <c r="F30" s="1" t="s">
        <v>28</v>
      </c>
      <c r="G30" s="142">
        <f>$K$30/'Réseaux de chaleur'!$D$64</f>
        <v>0.13543706740427786</v>
      </c>
      <c r="H30" s="770"/>
      <c r="I30" s="142">
        <f t="shared" si="4"/>
        <v>0</v>
      </c>
      <c r="J30" s="789"/>
      <c r="K30" s="27">
        <f t="shared" si="5"/>
        <v>0.13543706740427786</v>
      </c>
      <c r="L30" s="789"/>
      <c r="M30" s="1"/>
      <c r="N30" s="770"/>
      <c r="O30" s="771"/>
      <c r="P30" s="771"/>
      <c r="Q30" s="771"/>
      <c r="R30" s="790"/>
      <c r="S30" s="791"/>
      <c r="T30" s="791"/>
      <c r="U30" s="1"/>
      <c r="V30" s="238"/>
      <c r="W30" s="338"/>
      <c r="X30" s="338"/>
      <c r="Y30" s="338"/>
      <c r="Z30" s="339"/>
      <c r="AA30" s="338"/>
      <c r="AC30" s="38"/>
      <c r="AD30" s="278"/>
      <c r="AE30" s="278"/>
      <c r="AF30" s="278"/>
      <c r="AG30" s="278"/>
      <c r="AH30" s="271"/>
      <c r="AJ30" s="238"/>
      <c r="AK30" s="338"/>
      <c r="AL30" s="338"/>
      <c r="AM30" s="338"/>
      <c r="AN30" s="339"/>
      <c r="AO30" s="338"/>
    </row>
    <row r="31" spans="1:41">
      <c r="E31" s="788"/>
      <c r="F31" s="1" t="s">
        <v>35</v>
      </c>
      <c r="G31" s="142">
        <f>$K$31/'Réseaux de chaleur'!$D$65</f>
        <v>0.36519714568041783</v>
      </c>
      <c r="H31" s="770"/>
      <c r="I31" s="142">
        <f t="shared" si="4"/>
        <v>0</v>
      </c>
      <c r="J31" s="789"/>
      <c r="K31" s="27">
        <f t="shared" si="5"/>
        <v>0.36519714568041783</v>
      </c>
      <c r="L31" s="789"/>
      <c r="M31" s="1"/>
      <c r="N31" s="770"/>
      <c r="O31" s="771"/>
      <c r="P31" s="771"/>
      <c r="Q31" s="771"/>
      <c r="R31" s="790"/>
      <c r="S31" s="791"/>
      <c r="T31" s="791"/>
      <c r="U31" s="1"/>
      <c r="V31" s="238"/>
      <c r="W31" s="338"/>
      <c r="X31" s="338"/>
      <c r="Y31" s="338"/>
      <c r="Z31" s="339"/>
      <c r="AA31" s="338"/>
      <c r="AC31" s="38"/>
      <c r="AD31" s="278"/>
      <c r="AE31" s="278"/>
      <c r="AF31" s="278"/>
      <c r="AG31" s="278"/>
      <c r="AH31" s="271"/>
      <c r="AJ31" s="238"/>
      <c r="AK31" s="338"/>
      <c r="AL31" s="338"/>
      <c r="AM31" s="338"/>
      <c r="AN31" s="339"/>
      <c r="AO31" s="338"/>
    </row>
    <row r="32" spans="1:41">
      <c r="E32" s="788"/>
      <c r="F32" s="1" t="s">
        <v>31</v>
      </c>
      <c r="G32" s="142">
        <f>$K$32/'Réseaux de chaleur'!$D$61</f>
        <v>2.7956596201219979</v>
      </c>
      <c r="H32" s="770"/>
      <c r="I32" s="142">
        <f>G32-K32</f>
        <v>0.50520768239233993</v>
      </c>
      <c r="J32" s="789"/>
      <c r="K32" s="27">
        <f>$L$26*J55</f>
        <v>2.2904519377296579</v>
      </c>
      <c r="L32" s="789"/>
      <c r="M32" s="1"/>
      <c r="N32" s="770"/>
      <c r="O32" s="771"/>
      <c r="P32" s="771"/>
      <c r="Q32" s="771"/>
      <c r="R32" s="790"/>
      <c r="S32" s="791"/>
      <c r="T32" s="791"/>
      <c r="U32" s="1"/>
      <c r="V32" s="239"/>
      <c r="W32" s="237"/>
      <c r="X32" s="237"/>
      <c r="Y32" s="237"/>
      <c r="Z32" s="240"/>
      <c r="AA32" s="237"/>
      <c r="AC32" s="38"/>
      <c r="AD32" s="278"/>
      <c r="AE32" s="278"/>
      <c r="AF32" s="278"/>
      <c r="AG32" s="278"/>
      <c r="AH32" s="271"/>
      <c r="AJ32" s="239"/>
      <c r="AK32" s="237"/>
      <c r="AL32" s="237"/>
      <c r="AM32" s="237"/>
      <c r="AN32" s="240"/>
      <c r="AO32" s="237"/>
    </row>
    <row r="33" spans="5:41">
      <c r="E33" s="4"/>
      <c r="F33" s="1"/>
      <c r="H33" s="363">
        <f>SUM(G49:G55)-'Réseaux de chaleur'!D78</f>
        <v>0</v>
      </c>
      <c r="I33" s="1"/>
      <c r="J33" s="1"/>
      <c r="K33" s="2"/>
      <c r="L33" s="364">
        <f>SUM(H49:H55)-'Réseaux de chaleur'!D54</f>
        <v>0</v>
      </c>
      <c r="M33" s="1"/>
      <c r="N33" s="1"/>
      <c r="O33" s="1"/>
      <c r="P33" s="1"/>
      <c r="Q33" s="1"/>
      <c r="R33" s="1"/>
      <c r="S33" s="1"/>
      <c r="T33" s="361">
        <f>T23+T26+G35+G36+G38-('bilan complet'!F83+'bilan complet'!G83+'bilan complet'!J83)</f>
        <v>0</v>
      </c>
      <c r="U33" s="1"/>
      <c r="X33" s="27"/>
      <c r="Y33" s="27"/>
      <c r="Z33" s="27"/>
      <c r="AC33" s="38"/>
      <c r="AD33" s="278"/>
      <c r="AE33" s="278"/>
      <c r="AF33" s="278"/>
      <c r="AG33" s="278"/>
      <c r="AH33" s="271"/>
      <c r="AL33" s="27"/>
      <c r="AM33" s="27"/>
      <c r="AN33" s="27"/>
    </row>
    <row r="34" spans="5:41">
      <c r="E34" s="784" t="s">
        <v>36</v>
      </c>
      <c r="F34" s="1" t="s">
        <v>25</v>
      </c>
      <c r="H34" s="784">
        <f>SUM(G34:G44)</f>
        <v>98.035695714488696</v>
      </c>
      <c r="I34" s="343"/>
      <c r="J34" s="786"/>
      <c r="K34" s="2">
        <f t="shared" si="2"/>
        <v>0</v>
      </c>
      <c r="L34" s="784">
        <f>SUM(K34:K44)</f>
        <v>92.69441423023892</v>
      </c>
      <c r="M34" s="337"/>
      <c r="N34" s="337"/>
      <c r="O34" s="337"/>
      <c r="P34" s="337"/>
      <c r="Q34" s="337"/>
      <c r="R34" s="337"/>
      <c r="S34" s="337"/>
      <c r="T34" s="252"/>
      <c r="V34" s="784">
        <f>SUM(W34:AA44)</f>
        <v>71.200310535694925</v>
      </c>
      <c r="W34" s="134"/>
      <c r="X34" s="133"/>
      <c r="Y34" s="134"/>
      <c r="Z34" s="135"/>
      <c r="AA34" s="132"/>
      <c r="AC34" s="38"/>
      <c r="AD34" s="278"/>
      <c r="AE34" s="278"/>
      <c r="AF34" s="278"/>
      <c r="AG34" s="278"/>
      <c r="AH34" s="271"/>
      <c r="AJ34" s="132"/>
      <c r="AK34" s="134"/>
      <c r="AL34" s="133"/>
      <c r="AM34" s="134"/>
      <c r="AN34" s="135"/>
      <c r="AO34" s="132"/>
    </row>
    <row r="35" spans="5:41">
      <c r="E35" s="784"/>
      <c r="F35" s="1" t="s">
        <v>27</v>
      </c>
      <c r="G35" s="27">
        <f>'bilan complet'!J89-G12-G27-G29-G30-G31-G36-G38</f>
        <v>13.24890956926501</v>
      </c>
      <c r="H35" s="784"/>
      <c r="I35" s="343">
        <v>0</v>
      </c>
      <c r="J35" s="786"/>
      <c r="K35" s="2">
        <f>G35-I35</f>
        <v>13.24890956926501</v>
      </c>
      <c r="L35" s="784"/>
      <c r="M35" s="337"/>
      <c r="N35" s="337"/>
      <c r="O35" s="337"/>
      <c r="P35" s="337"/>
      <c r="Q35" s="337"/>
      <c r="R35" s="337"/>
      <c r="S35" s="337"/>
      <c r="T35" s="253"/>
      <c r="V35" s="784"/>
      <c r="W35" s="351">
        <f>'scenario demande'!D341</f>
        <v>7.7677149130277651E-2</v>
      </c>
      <c r="X35" s="352">
        <f>'scenario demande'!D14</f>
        <v>2.395121960868253</v>
      </c>
      <c r="Y35" s="351">
        <f>'scenario demande'!D115-'scenario demande'!D166</f>
        <v>7.4845971937618687</v>
      </c>
      <c r="Z35" s="353">
        <f>'scenario demande'!D190-'scenario demande'!D236</f>
        <v>0.82623039027895173</v>
      </c>
      <c r="AA35" s="146"/>
      <c r="AB35" s="24">
        <f>SUM(W35:AA35)</f>
        <v>10.78362669403935</v>
      </c>
      <c r="AC35" s="38"/>
      <c r="AD35" s="278"/>
      <c r="AE35" s="278"/>
      <c r="AF35" s="278"/>
      <c r="AG35" s="278"/>
      <c r="AH35" s="271"/>
      <c r="AJ35" s="335"/>
      <c r="AK35" s="136">
        <f>W35</f>
        <v>7.7677149130277651E-2</v>
      </c>
      <c r="AL35" s="136">
        <f t="shared" ref="AL35:AN35" si="6">X35</f>
        <v>2.395121960868253</v>
      </c>
      <c r="AM35" s="148">
        <f>Y35+K35-SUM(W35:AA35)-AO35</f>
        <v>7.4407147759141434</v>
      </c>
      <c r="AN35" s="136">
        <f t="shared" si="6"/>
        <v>0.82623039027895173</v>
      </c>
      <c r="AO35" s="136">
        <f>'bilan complet'!J82</f>
        <v>2.5091652930733832</v>
      </c>
    </row>
    <row r="36" spans="5:41">
      <c r="E36" s="784"/>
      <c r="F36" s="1" t="s">
        <v>35</v>
      </c>
      <c r="G36" s="27">
        <f>'scenario demande'!D166</f>
        <v>6.7103556644389217E-2</v>
      </c>
      <c r="H36" s="784"/>
      <c r="I36" s="343"/>
      <c r="J36" s="786"/>
      <c r="K36" s="2">
        <f t="shared" si="2"/>
        <v>6.7103556644389217E-2</v>
      </c>
      <c r="L36" s="784"/>
      <c r="M36" s="337"/>
      <c r="N36" s="337"/>
      <c r="O36" s="337"/>
      <c r="P36" s="337"/>
      <c r="Q36" s="337"/>
      <c r="R36" s="337"/>
      <c r="S36" s="337"/>
      <c r="T36" s="253"/>
      <c r="V36" s="784"/>
      <c r="W36" s="354"/>
      <c r="X36" s="352"/>
      <c r="Y36" s="351">
        <f>'scenario demande'!D166</f>
        <v>6.7103556644389217E-2</v>
      </c>
      <c r="Z36" s="353">
        <f>'scenario demande'!D236</f>
        <v>2.022776207844515E-2</v>
      </c>
      <c r="AA36" s="346"/>
      <c r="AB36" s="24">
        <f>SUM(W36:AA36)</f>
        <v>8.7331318722834367E-2</v>
      </c>
      <c r="AC36" s="269"/>
      <c r="AD36" s="281"/>
      <c r="AE36" s="281"/>
      <c r="AF36" s="281"/>
      <c r="AG36" s="281"/>
      <c r="AH36" s="272"/>
      <c r="AJ36" s="335"/>
      <c r="AK36" s="134"/>
      <c r="AL36" s="133"/>
      <c r="AM36" s="148">
        <f>K36</f>
        <v>6.7103556644389217E-2</v>
      </c>
      <c r="AN36" s="137">
        <f>'scenario demande'!V237</f>
        <v>0</v>
      </c>
      <c r="AO36" s="132"/>
    </row>
    <row r="37" spans="5:41">
      <c r="E37" s="784"/>
      <c r="F37" s="1" t="s">
        <v>41</v>
      </c>
      <c r="G37" s="27"/>
      <c r="H37" s="784"/>
      <c r="I37" s="343"/>
      <c r="J37" s="786"/>
      <c r="K37" s="2">
        <f t="shared" si="2"/>
        <v>0</v>
      </c>
      <c r="L37" s="784"/>
      <c r="M37" s="337"/>
      <c r="N37" s="337"/>
      <c r="O37" s="337"/>
      <c r="P37" s="337"/>
      <c r="Q37" s="337"/>
      <c r="R37" s="337"/>
      <c r="S37" s="337"/>
      <c r="T37" s="253"/>
      <c r="V37" s="784"/>
      <c r="W37" s="134"/>
      <c r="X37" s="133"/>
      <c r="Y37" s="136"/>
      <c r="Z37" s="137"/>
      <c r="AA37" s="132"/>
      <c r="AJ37" s="335"/>
      <c r="AK37" s="355"/>
      <c r="AL37" s="133"/>
      <c r="AM37" s="147">
        <f>K38</f>
        <v>1.44</v>
      </c>
      <c r="AN37" s="136"/>
      <c r="AO37" s="132"/>
    </row>
    <row r="38" spans="5:41">
      <c r="E38" s="784"/>
      <c r="F38" s="1" t="s">
        <v>42</v>
      </c>
      <c r="G38" s="27">
        <f>'indicateurs ams2'!D91</f>
        <v>1.44</v>
      </c>
      <c r="H38" s="784"/>
      <c r="I38" s="343"/>
      <c r="J38" s="786"/>
      <c r="K38" s="2">
        <f t="shared" si="2"/>
        <v>1.44</v>
      </c>
      <c r="L38" s="784"/>
      <c r="M38" s="337"/>
      <c r="N38" s="337"/>
      <c r="O38" s="337"/>
      <c r="P38" s="337"/>
      <c r="Q38" s="337"/>
      <c r="R38" s="337"/>
      <c r="S38" s="337"/>
      <c r="T38" s="253"/>
      <c r="V38" s="784"/>
      <c r="W38" s="134"/>
      <c r="X38" s="133"/>
      <c r="Y38" s="136"/>
      <c r="Z38" s="137"/>
      <c r="AA38" s="132"/>
      <c r="AJ38" s="335"/>
      <c r="AK38" s="355"/>
      <c r="AL38" s="133"/>
      <c r="AM38" s="355"/>
      <c r="AN38" s="133"/>
      <c r="AO38" s="355"/>
    </row>
    <row r="39" spans="5:41">
      <c r="E39" s="784"/>
      <c r="F39" s="1" t="s">
        <v>63</v>
      </c>
      <c r="G39" s="27">
        <f>K39</f>
        <v>4.0922353901271604</v>
      </c>
      <c r="H39" s="784"/>
      <c r="I39" s="40"/>
      <c r="J39" s="786"/>
      <c r="K39" s="2">
        <f>'bilan complet'!E83*'indicateurs ams2'!D67</f>
        <v>4.0922353901271604</v>
      </c>
      <c r="L39" s="784"/>
      <c r="M39" s="337"/>
      <c r="N39" s="337"/>
      <c r="O39" s="337"/>
      <c r="P39" s="337"/>
      <c r="Q39" s="337"/>
      <c r="R39" s="337"/>
      <c r="S39" s="337"/>
      <c r="T39" s="255">
        <f>L34-K41-K43</f>
        <v>80.040790340034363</v>
      </c>
      <c r="V39" s="784"/>
      <c r="W39" s="136"/>
      <c r="X39" s="133"/>
      <c r="Y39" s="136"/>
      <c r="Z39" s="137"/>
      <c r="AA39" s="138"/>
      <c r="AC39" s="282" t="s">
        <v>511</v>
      </c>
      <c r="AD39" s="286">
        <f>'bilan complet'!$E$81</f>
        <v>3.0883878143286725</v>
      </c>
      <c r="AE39" s="286">
        <f>'bilan complet'!E78</f>
        <v>4.0569910080294074</v>
      </c>
      <c r="AF39" s="286">
        <f>'bilan complet'!$E$79</f>
        <v>4.8174876893104663</v>
      </c>
      <c r="AG39" s="286">
        <f>'bilan complet'!$E$80</f>
        <v>3.2276196851188286</v>
      </c>
      <c r="AH39" s="283">
        <f>'bilan complet'!$E$82</f>
        <v>44.523134725129815</v>
      </c>
      <c r="AJ39" s="132"/>
      <c r="AK39" s="133">
        <f>AD39</f>
        <v>3.0883878143286725</v>
      </c>
      <c r="AL39" s="133">
        <f>AE39</f>
        <v>4.0569910080294074</v>
      </c>
      <c r="AM39" s="133">
        <f>AF39</f>
        <v>4.8174876893104663</v>
      </c>
      <c r="AN39" s="133">
        <f>AG39</f>
        <v>3.2276196851188286</v>
      </c>
      <c r="AO39" s="136">
        <f>AH39</f>
        <v>44.523134725129815</v>
      </c>
    </row>
    <row r="40" spans="5:41">
      <c r="E40" s="784"/>
      <c r="F40" s="1" t="s">
        <v>37</v>
      </c>
      <c r="G40" s="27">
        <f>K40+I40</f>
        <v>60.071096374333237</v>
      </c>
      <c r="H40" s="784"/>
      <c r="I40" s="40">
        <f>0.08*K40</f>
        <v>4.4497108425432028</v>
      </c>
      <c r="J40" s="786"/>
      <c r="K40" s="2">
        <f>'bilan complet'!E83-K39</f>
        <v>55.621385531790033</v>
      </c>
      <c r="L40" s="784"/>
      <c r="M40" s="337"/>
      <c r="N40" s="337"/>
      <c r="O40" s="337"/>
      <c r="P40" s="337"/>
      <c r="Q40" s="337"/>
      <c r="R40" s="337"/>
      <c r="S40" s="337"/>
      <c r="T40" s="253"/>
      <c r="V40" s="784"/>
      <c r="W40" s="348">
        <f>'scenario demande'!D336</f>
        <v>3.0853878143286724</v>
      </c>
      <c r="X40" s="133">
        <f>'scenario demande'!D9</f>
        <v>4.0349521584216408</v>
      </c>
      <c r="Y40" s="136">
        <f>'scenario demande'!D109+'scenario demande'!D112</f>
        <v>4.8623130867676387</v>
      </c>
      <c r="Z40" s="137">
        <f>'scenario demande'!D185</f>
        <v>2.364766343498359</v>
      </c>
      <c r="AA40" s="138">
        <f>'scenario demande'!D273+'scenario demande'!D274+'scenario demande'!D275+'scenario demande'!D276</f>
        <v>40.687244927472477</v>
      </c>
      <c r="AB40" s="27">
        <f>SUM(W40:AA40)</f>
        <v>55.034664330488788</v>
      </c>
      <c r="AC40" s="284" t="s">
        <v>181</v>
      </c>
      <c r="AD40" s="362">
        <f>'bilan complet'!$B$81</f>
        <v>0</v>
      </c>
      <c r="AE40" s="288">
        <f>'bilan complet'!$B$78</f>
        <v>5.4729965548677209</v>
      </c>
      <c r="AF40" s="362">
        <f>'bilan complet'!$B$79</f>
        <v>1.6974580919559543E-2</v>
      </c>
      <c r="AG40" s="362">
        <f>'bilan complet'!$B$80</f>
        <v>8.118515642048825E-2</v>
      </c>
      <c r="AH40" s="362">
        <f>'bilan complet'!$B$82</f>
        <v>0</v>
      </c>
      <c r="AI40" s="27">
        <f>SUM(AD39:AH40)</f>
        <v>65.284777214124972</v>
      </c>
      <c r="AJ40" s="335">
        <f>SUM(AK34:AO44)</f>
        <v>79.942630602694308</v>
      </c>
      <c r="AK40" s="355"/>
      <c r="AL40" s="355"/>
      <c r="AM40" s="355"/>
      <c r="AN40" s="355"/>
      <c r="AO40" s="355"/>
    </row>
    <row r="41" spans="5:41">
      <c r="E41" s="784"/>
      <c r="F41" s="1" t="s">
        <v>38</v>
      </c>
      <c r="G41" s="27">
        <f>K41+I41</f>
        <v>12.036203663038826</v>
      </c>
      <c r="H41" s="784"/>
      <c r="I41" s="40">
        <f>0.08*K41</f>
        <v>0.89157064170657974</v>
      </c>
      <c r="J41" s="786"/>
      <c r="K41" s="2">
        <f>'bilan complet'!E86</f>
        <v>11.144633021332247</v>
      </c>
      <c r="L41" s="784"/>
      <c r="M41" s="337"/>
      <c r="N41" s="337"/>
      <c r="O41" s="337"/>
      <c r="P41" s="337"/>
      <c r="Q41" s="337"/>
      <c r="R41" s="337"/>
      <c r="S41" s="337"/>
      <c r="T41" s="253"/>
      <c r="V41" s="784"/>
      <c r="W41" s="136"/>
      <c r="X41" s="133"/>
      <c r="Y41" s="136"/>
      <c r="Z41" s="137"/>
      <c r="AA41" s="138"/>
      <c r="AJ41" s="335"/>
      <c r="AK41" s="133"/>
      <c r="AL41" s="133"/>
      <c r="AM41" s="133"/>
      <c r="AN41" s="133"/>
      <c r="AO41" s="133"/>
    </row>
    <row r="42" spans="5:41">
      <c r="E42" s="784"/>
      <c r="F42" s="1" t="s">
        <v>39</v>
      </c>
      <c r="G42" s="27"/>
      <c r="H42" s="784"/>
      <c r="I42" s="40"/>
      <c r="J42" s="786"/>
      <c r="K42" s="2">
        <f t="shared" si="2"/>
        <v>0</v>
      </c>
      <c r="L42" s="784"/>
      <c r="M42" s="337"/>
      <c r="N42" s="337"/>
      <c r="O42" s="337"/>
      <c r="P42" s="337"/>
      <c r="Q42" s="337"/>
      <c r="R42" s="337"/>
      <c r="S42" s="337"/>
      <c r="T42" s="253"/>
      <c r="V42" s="784"/>
      <c r="W42" s="136"/>
      <c r="X42" s="133"/>
      <c r="Y42" s="136"/>
      <c r="Z42" s="137"/>
      <c r="AA42" s="138"/>
      <c r="AJ42" s="335"/>
      <c r="AK42" s="133"/>
      <c r="AL42" s="133"/>
      <c r="AM42" s="133"/>
      <c r="AN42" s="133"/>
      <c r="AO42" s="133"/>
    </row>
    <row r="43" spans="5:41">
      <c r="E43" s="784"/>
      <c r="F43" s="1" t="s">
        <v>465</v>
      </c>
      <c r="G43" s="27">
        <f>'bilan complet'!F86</f>
        <v>1.5089908688723002</v>
      </c>
      <c r="H43" s="784"/>
      <c r="I43" s="40"/>
      <c r="J43" s="786"/>
      <c r="K43" s="2">
        <f t="shared" si="2"/>
        <v>1.5089908688723002</v>
      </c>
      <c r="L43" s="784"/>
      <c r="M43" s="337"/>
      <c r="N43" s="337"/>
      <c r="O43" s="337"/>
      <c r="P43" s="337"/>
      <c r="Q43" s="337"/>
      <c r="R43" s="337"/>
      <c r="S43" s="337"/>
      <c r="T43" s="253"/>
      <c r="V43" s="784"/>
      <c r="W43" s="136"/>
      <c r="X43" s="133"/>
      <c r="Y43" s="136"/>
      <c r="Z43" s="137"/>
      <c r="AA43" s="138"/>
      <c r="AJ43" s="335"/>
      <c r="AK43" s="136"/>
      <c r="AL43" s="133"/>
      <c r="AM43" s="136"/>
      <c r="AN43" s="138"/>
      <c r="AO43" s="133"/>
    </row>
    <row r="44" spans="5:41">
      <c r="E44" s="785"/>
      <c r="F44" s="1" t="s">
        <v>40</v>
      </c>
      <c r="G44" s="27">
        <f>'bilan complet'!B83</f>
        <v>5.5711562922077693</v>
      </c>
      <c r="H44" s="785"/>
      <c r="I44" s="343"/>
      <c r="J44" s="787"/>
      <c r="K44" s="2">
        <f t="shared" si="2"/>
        <v>5.5711562922077693</v>
      </c>
      <c r="L44" s="785"/>
      <c r="M44" s="337"/>
      <c r="N44" s="337"/>
      <c r="O44" s="337"/>
      <c r="P44" s="337"/>
      <c r="Q44" s="337"/>
      <c r="R44" s="337"/>
      <c r="S44" s="337"/>
      <c r="T44" s="254"/>
      <c r="V44" s="785"/>
      <c r="W44" s="250">
        <f>'scenario demande'!D338</f>
        <v>0</v>
      </c>
      <c r="X44" s="349">
        <f>'scenario demande'!D11</f>
        <v>5.1928717436033791</v>
      </c>
      <c r="Y44" s="141">
        <f>'scenario demande'!D111</f>
        <v>7.940101021092565E-3</v>
      </c>
      <c r="Z44" s="350">
        <f>'scenario demande'!D187</f>
        <v>9.3876347819495054E-2</v>
      </c>
      <c r="AA44" s="139"/>
      <c r="AB44" s="24">
        <f>SUM(W44:AA44)</f>
        <v>5.2946881924439664</v>
      </c>
      <c r="AI44" s="479">
        <f>AI13+AI25+AI40-'bilan complet'!K83</f>
        <v>0</v>
      </c>
      <c r="AJ44" s="336"/>
      <c r="AK44" s="250"/>
      <c r="AL44" s="140">
        <f>AE40</f>
        <v>5.4729965548677209</v>
      </c>
      <c r="AM44" s="141"/>
      <c r="AN44" s="357"/>
      <c r="AO44" s="358"/>
    </row>
    <row r="45" spans="5:41">
      <c r="E45" s="1"/>
      <c r="F45" s="1"/>
      <c r="G45" s="149"/>
      <c r="H45" s="1"/>
      <c r="I45" s="1"/>
      <c r="J45" s="1"/>
      <c r="K45" s="2"/>
      <c r="L45" s="1"/>
      <c r="M45" s="1"/>
      <c r="N45" s="1"/>
      <c r="O45" s="1"/>
      <c r="P45" s="1"/>
      <c r="Q45" s="1"/>
      <c r="R45" s="1"/>
      <c r="S45" s="1"/>
      <c r="T45" s="289">
        <f>T39-K35-K36-K38-SUM(AD39:AH40)</f>
        <v>0</v>
      </c>
      <c r="U45" s="1"/>
      <c r="W45" s="27"/>
      <c r="X45" s="27"/>
      <c r="Y45" s="27"/>
      <c r="Z45" s="27"/>
      <c r="AA45" s="27"/>
    </row>
    <row r="46" spans="5:41">
      <c r="F46" s="1"/>
      <c r="G46" s="219"/>
      <c r="H46" s="215"/>
      <c r="I46" s="215"/>
      <c r="J46" s="215"/>
      <c r="K46" s="215"/>
      <c r="L46" s="215"/>
      <c r="M46" s="216"/>
      <c r="N46" s="216"/>
      <c r="O46" s="216"/>
      <c r="P46" s="217"/>
      <c r="Q46" s="215"/>
      <c r="R46" s="215"/>
      <c r="S46" s="215"/>
      <c r="T46" s="1"/>
      <c r="U46" s="1"/>
      <c r="V46" s="6"/>
      <c r="W46" s="2"/>
      <c r="X46" s="2"/>
      <c r="Y46" s="2"/>
      <c r="Z46" s="2"/>
      <c r="AA46" s="2"/>
    </row>
    <row r="47" spans="5:41">
      <c r="G47" s="218"/>
      <c r="H47" s="215"/>
      <c r="I47" s="215"/>
      <c r="J47" s="215"/>
      <c r="K47" s="215"/>
      <c r="L47" s="215"/>
      <c r="M47" s="219"/>
      <c r="N47" s="219"/>
      <c r="O47" s="219"/>
      <c r="P47" s="218"/>
      <c r="Q47" s="215"/>
      <c r="R47" s="219"/>
      <c r="S47" s="219"/>
      <c r="T47" s="1"/>
      <c r="U47" s="1"/>
    </row>
    <row r="48" spans="5:41">
      <c r="F48" s="223" t="s">
        <v>488</v>
      </c>
      <c r="G48" s="224" t="s">
        <v>173</v>
      </c>
      <c r="H48" s="225" t="s">
        <v>487</v>
      </c>
      <c r="I48" s="224" t="s">
        <v>173</v>
      </c>
      <c r="J48" s="225" t="s">
        <v>487</v>
      </c>
      <c r="K48" s="215"/>
      <c r="L48" s="215"/>
      <c r="M48" s="142"/>
      <c r="N48" s="220"/>
      <c r="O48" s="220"/>
      <c r="P48" s="217"/>
      <c r="Q48" s="215"/>
      <c r="R48" s="220"/>
      <c r="S48" s="220"/>
      <c r="T48" s="1"/>
      <c r="U48" s="1"/>
      <c r="V48" s="2"/>
      <c r="W48" s="2"/>
      <c r="X48" s="2"/>
      <c r="Y48" s="2"/>
      <c r="Z48" s="2"/>
      <c r="AA48" s="2"/>
    </row>
    <row r="49" spans="6:27">
      <c r="F49" s="223" t="s">
        <v>25</v>
      </c>
      <c r="G49" s="226">
        <v>0</v>
      </c>
      <c r="H49" s="227">
        <v>0</v>
      </c>
      <c r="I49" s="229">
        <f>G49/$G$56</f>
        <v>0</v>
      </c>
      <c r="J49" s="229">
        <f>H49/$H$56</f>
        <v>0</v>
      </c>
      <c r="K49" s="215"/>
      <c r="L49" s="215"/>
      <c r="M49" s="142"/>
      <c r="N49" s="220"/>
      <c r="O49" s="220"/>
      <c r="P49" s="217"/>
      <c r="Q49" s="215"/>
      <c r="R49" s="220"/>
      <c r="S49" s="220"/>
      <c r="T49" s="1"/>
      <c r="U49" s="1"/>
      <c r="V49" s="251"/>
      <c r="W49" s="1"/>
      <c r="X49" s="1"/>
      <c r="Y49" s="1"/>
      <c r="Z49" s="1"/>
      <c r="AA49" s="1"/>
    </row>
    <row r="50" spans="6:27">
      <c r="F50" s="223" t="s">
        <v>26</v>
      </c>
      <c r="G50" s="226">
        <f>'Réseaux de chaleur'!$D$75</f>
        <v>0.49605472888061158</v>
      </c>
      <c r="H50" s="227">
        <f>'Réseaux de chaleur'!$D$51</f>
        <v>0.49605472888061158</v>
      </c>
      <c r="I50" s="229">
        <f t="shared" ref="I50:I55" si="7">G50/$G$56</f>
        <v>0.18929210323413248</v>
      </c>
      <c r="J50" s="229">
        <f t="shared" ref="J50:J55" si="8">H50/$H$56</f>
        <v>0.21444383817753837</v>
      </c>
      <c r="K50" s="215"/>
      <c r="L50" s="215"/>
      <c r="M50" s="142"/>
      <c r="N50" s="220"/>
      <c r="O50" s="220"/>
      <c r="P50" s="217"/>
      <c r="Q50" s="215"/>
      <c r="R50" s="220"/>
      <c r="S50" s="220"/>
      <c r="T50" s="1"/>
      <c r="U50" s="1"/>
      <c r="V50" s="2"/>
      <c r="W50" s="1"/>
      <c r="X50" s="1"/>
      <c r="Y50" s="1"/>
      <c r="Z50" s="1"/>
      <c r="AA50" s="1"/>
    </row>
    <row r="51" spans="6:27">
      <c r="F51" s="223" t="s">
        <v>30</v>
      </c>
      <c r="G51" s="226">
        <v>0</v>
      </c>
      <c r="H51" s="227"/>
      <c r="I51" s="229">
        <f t="shared" si="7"/>
        <v>0</v>
      </c>
      <c r="J51" s="229">
        <f t="shared" si="8"/>
        <v>0</v>
      </c>
      <c r="K51" s="215"/>
      <c r="L51" s="215"/>
      <c r="M51" s="142"/>
      <c r="N51" s="220"/>
      <c r="O51" s="220"/>
      <c r="P51" s="217"/>
      <c r="Q51" s="217"/>
      <c r="R51" s="220"/>
      <c r="S51" s="220"/>
      <c r="T51" s="1"/>
      <c r="U51" s="1"/>
      <c r="V51" s="1"/>
      <c r="W51" s="1"/>
      <c r="X51" s="1"/>
      <c r="Y51" s="1"/>
      <c r="Z51" s="1"/>
      <c r="AA51" s="1"/>
    </row>
    <row r="52" spans="6:27">
      <c r="F52" s="223" t="s">
        <v>27</v>
      </c>
      <c r="G52" s="226">
        <f>'Réseaux de chaleur'!$D$74</f>
        <v>0.28870812131836021</v>
      </c>
      <c r="H52" s="227">
        <f>'Réseaux de chaleur'!$D$50</f>
        <v>0.23568009903539611</v>
      </c>
      <c r="I52" s="229">
        <f t="shared" si="7"/>
        <v>0.11016963315408786</v>
      </c>
      <c r="J52" s="229">
        <f t="shared" si="8"/>
        <v>0.10188421171442254</v>
      </c>
      <c r="K52" s="215"/>
      <c r="L52" s="215"/>
      <c r="M52" s="142"/>
      <c r="N52" s="220"/>
      <c r="O52" s="220"/>
      <c r="P52" s="217"/>
      <c r="Q52" s="215"/>
      <c r="R52" s="220"/>
      <c r="S52" s="220"/>
      <c r="T52" s="1"/>
      <c r="U52" s="1"/>
      <c r="V52" s="1"/>
      <c r="W52" s="1"/>
      <c r="X52" s="1"/>
      <c r="Y52" s="1"/>
      <c r="Z52" s="1"/>
      <c r="AA52" s="1"/>
    </row>
    <row r="53" spans="6:27">
      <c r="F53" s="223" t="s">
        <v>28</v>
      </c>
      <c r="G53" s="226">
        <f>'Réseaux de chaleur'!$D$76</f>
        <v>7.6741111293204878E-2</v>
      </c>
      <c r="H53" s="227">
        <f>'Réseaux de chaleur'!$D$52</f>
        <v>7.6741111293204878E-2</v>
      </c>
      <c r="I53" s="229">
        <f t="shared" si="7"/>
        <v>2.9284039674403677E-2</v>
      </c>
      <c r="J53" s="229">
        <f t="shared" si="8"/>
        <v>3.3175086323358506E-2</v>
      </c>
      <c r="K53" s="215"/>
      <c r="L53" s="215"/>
      <c r="M53" s="142"/>
      <c r="N53" s="220"/>
      <c r="O53" s="220"/>
      <c r="P53" s="218"/>
      <c r="Q53" s="215"/>
      <c r="R53" s="219"/>
      <c r="S53" s="219"/>
      <c r="T53" s="1"/>
      <c r="U53" s="1"/>
      <c r="V53" s="1"/>
      <c r="W53" s="1"/>
      <c r="X53" s="1"/>
      <c r="Y53" s="1"/>
      <c r="Z53" s="1"/>
      <c r="AA53" s="1"/>
    </row>
    <row r="54" spans="6:27">
      <c r="F54" s="223" t="s">
        <v>35</v>
      </c>
      <c r="G54" s="226">
        <f>'Réseaux de chaleur'!$D$77</f>
        <v>0.20692735997424952</v>
      </c>
      <c r="H54" s="227">
        <f>'Réseaux de chaleur'!$D$53</f>
        <v>0.20692735997424952</v>
      </c>
      <c r="I54" s="229">
        <f t="shared" si="7"/>
        <v>7.8962487213057778E-2</v>
      </c>
      <c r="J54" s="229">
        <f t="shared" si="8"/>
        <v>8.9454438620023752E-2</v>
      </c>
      <c r="K54" s="215"/>
      <c r="L54" s="215"/>
      <c r="M54" s="142"/>
      <c r="N54" s="220"/>
      <c r="O54" s="220"/>
      <c r="P54" s="217"/>
      <c r="Q54" s="215"/>
      <c r="R54" s="220"/>
      <c r="S54" s="220"/>
      <c r="T54" s="1"/>
      <c r="U54" s="1"/>
      <c r="V54" s="1"/>
      <c r="W54" s="1"/>
      <c r="X54" s="1"/>
      <c r="Y54" s="1"/>
      <c r="Z54" s="1"/>
      <c r="AA54" s="1"/>
    </row>
    <row r="55" spans="6:27">
      <c r="F55" s="223" t="s">
        <v>31</v>
      </c>
      <c r="G55" s="226">
        <f>'Réseaux de chaleur'!$D$73+'Réseaux de chaleur'!$D$72+'Réseaux de chaleur'!$D$71</f>
        <v>1.5521467185326809</v>
      </c>
      <c r="H55" s="227">
        <f>'Réseaux de chaleur'!$D$49+'Réseaux de chaleur'!$D$48+'Réseaux de chaleur'!$D$47</f>
        <v>1.2978118208981286</v>
      </c>
      <c r="I55" s="229">
        <f t="shared" si="7"/>
        <v>0.59229173672431812</v>
      </c>
      <c r="J55" s="229">
        <f t="shared" si="8"/>
        <v>0.56104242516465697</v>
      </c>
      <c r="K55" s="215"/>
      <c r="L55" s="215"/>
      <c r="M55" s="220"/>
      <c r="N55" s="220"/>
      <c r="O55" s="220"/>
      <c r="P55" s="217"/>
      <c r="Q55" s="215"/>
      <c r="R55" s="220"/>
      <c r="S55" s="220"/>
      <c r="T55" s="1"/>
      <c r="U55" s="1"/>
      <c r="V55" s="1"/>
      <c r="W55" s="1"/>
      <c r="X55" s="1"/>
      <c r="Y55" s="1"/>
      <c r="Z55" s="1"/>
      <c r="AA55" s="1"/>
    </row>
    <row r="56" spans="6:27">
      <c r="F56" s="223" t="s">
        <v>489</v>
      </c>
      <c r="G56" s="228">
        <f>SUM(G49:G55)</f>
        <v>2.6205780399991072</v>
      </c>
      <c r="H56" s="228">
        <f>SUM(H49:H55)</f>
        <v>2.3132151200815905</v>
      </c>
      <c r="I56" s="228">
        <f>SUM(I49:I55)</f>
        <v>0.99999999999999989</v>
      </c>
      <c r="J56" s="228">
        <f>SUM(J49:J55)</f>
        <v>1</v>
      </c>
      <c r="K56" s="215"/>
      <c r="L56" s="215"/>
      <c r="M56" s="220"/>
      <c r="N56" s="220"/>
      <c r="O56" s="220"/>
      <c r="P56" s="217"/>
      <c r="Q56" s="217"/>
      <c r="R56" s="217"/>
      <c r="S56" s="217"/>
      <c r="T56" s="1"/>
      <c r="U56" s="1"/>
      <c r="V56" s="1"/>
      <c r="W56" s="1"/>
      <c r="X56" s="1"/>
      <c r="Y56" s="1"/>
      <c r="Z56" s="1"/>
      <c r="AA56" s="1"/>
    </row>
    <row r="57" spans="6:27">
      <c r="F57" s="1"/>
      <c r="G57" s="215"/>
      <c r="H57" s="215"/>
      <c r="I57" s="215"/>
      <c r="J57" s="215"/>
      <c r="K57" s="215"/>
      <c r="L57" s="215"/>
      <c r="M57" s="220"/>
      <c r="N57" s="220"/>
      <c r="O57" s="220"/>
      <c r="P57" s="217"/>
      <c r="Q57" s="221"/>
      <c r="R57" s="222"/>
      <c r="S57" s="222"/>
      <c r="T57" s="1"/>
      <c r="U57" s="1"/>
      <c r="V57" s="1"/>
      <c r="W57" s="1"/>
      <c r="X57" s="1"/>
      <c r="Y57" s="1"/>
      <c r="Z57" s="1"/>
      <c r="AA57" s="1"/>
    </row>
    <row r="58" spans="6:27">
      <c r="F58" s="1"/>
      <c r="G58" s="215"/>
      <c r="H58" s="215"/>
      <c r="I58" s="215"/>
      <c r="J58" s="215"/>
      <c r="K58" s="215"/>
      <c r="L58" s="215"/>
      <c r="M58" s="220"/>
      <c r="N58" s="220"/>
      <c r="O58" s="220"/>
      <c r="P58" s="217"/>
      <c r="Q58" s="221"/>
      <c r="R58" s="222"/>
      <c r="S58" s="222"/>
      <c r="T58" s="1"/>
      <c r="U58" s="1"/>
      <c r="V58" s="1"/>
      <c r="W58" s="1"/>
      <c r="X58" s="1"/>
      <c r="Y58" s="1"/>
      <c r="Z58" s="1"/>
      <c r="AA58" s="1"/>
    </row>
    <row r="62" spans="6:27">
      <c r="G62" s="245"/>
    </row>
    <row r="63" spans="6:27">
      <c r="G63" s="246"/>
    </row>
    <row r="64" spans="6:27">
      <c r="G64" s="245"/>
    </row>
    <row r="65" spans="7:7">
      <c r="G65" s="245"/>
    </row>
    <row r="66" spans="7:7">
      <c r="G66" s="247"/>
    </row>
  </sheetData>
  <mergeCells count="48">
    <mergeCell ref="V34:V44"/>
    <mergeCell ref="P26:P32"/>
    <mergeCell ref="Q26:Q32"/>
    <mergeCell ref="R26:R32"/>
    <mergeCell ref="S26:S32"/>
    <mergeCell ref="T26:T32"/>
    <mergeCell ref="E34:E44"/>
    <mergeCell ref="H34:H44"/>
    <mergeCell ref="J34:J44"/>
    <mergeCell ref="L34:L44"/>
    <mergeCell ref="E26:E32"/>
    <mergeCell ref="H26:H32"/>
    <mergeCell ref="J26:J32"/>
    <mergeCell ref="L26:L32"/>
    <mergeCell ref="N26:N32"/>
    <mergeCell ref="O26:O32"/>
    <mergeCell ref="AH7:AH19"/>
    <mergeCell ref="E21:E24"/>
    <mergeCell ref="H21:H24"/>
    <mergeCell ref="J21:J24"/>
    <mergeCell ref="L21:L24"/>
    <mergeCell ref="N21:N24"/>
    <mergeCell ref="O21:O24"/>
    <mergeCell ref="P21:P24"/>
    <mergeCell ref="Q21:Q24"/>
    <mergeCell ref="V21:V24"/>
    <mergeCell ref="T7:T19"/>
    <mergeCell ref="V7:V19"/>
    <mergeCell ref="AD7:AD19"/>
    <mergeCell ref="AE7:AE19"/>
    <mergeCell ref="AF7:AF19"/>
    <mergeCell ref="AG7:AG19"/>
    <mergeCell ref="A4:C4"/>
    <mergeCell ref="E7:E19"/>
    <mergeCell ref="H7:H19"/>
    <mergeCell ref="J7:J19"/>
    <mergeCell ref="L7:L19"/>
    <mergeCell ref="N7:N19"/>
    <mergeCell ref="G1:L1"/>
    <mergeCell ref="N1:T1"/>
    <mergeCell ref="V1:AA1"/>
    <mergeCell ref="G2:H2"/>
    <mergeCell ref="I2:L2"/>
    <mergeCell ref="N2:N4"/>
    <mergeCell ref="O2:T3"/>
    <mergeCell ref="V2:AA3"/>
    <mergeCell ref="I3:J3"/>
    <mergeCell ref="K3:L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6"/>
  <sheetViews>
    <sheetView topLeftCell="AB13" workbookViewId="0">
      <selection activeCell="AI46" sqref="AI46"/>
    </sheetView>
  </sheetViews>
  <sheetFormatPr baseColWidth="10" defaultRowHeight="12.75"/>
  <cols>
    <col min="1" max="1" width="14.85546875" style="24" bestFit="1" customWidth="1"/>
    <col min="2" max="2" width="28" style="24" bestFit="1" customWidth="1"/>
    <col min="3" max="3" width="4.42578125" style="24" bestFit="1" customWidth="1"/>
    <col min="4" max="4" width="8" style="24" bestFit="1" customWidth="1"/>
    <col min="5" max="5" width="11.42578125" style="24"/>
    <col min="6" max="6" width="22.85546875" style="24" bestFit="1" customWidth="1"/>
    <col min="7" max="7" width="7" style="24" customWidth="1"/>
    <col min="8" max="8" width="6.28515625" style="24" customWidth="1"/>
    <col min="9" max="9" width="5.7109375" style="24" customWidth="1"/>
    <col min="10" max="10" width="5.7109375" style="24" bestFit="1" customWidth="1"/>
    <col min="11" max="11" width="5.85546875" style="24" bestFit="1" customWidth="1"/>
    <col min="12" max="12" width="9.42578125" style="24" customWidth="1"/>
    <col min="13" max="13" width="9.28515625" style="24" customWidth="1"/>
    <col min="14" max="14" width="9.7109375" style="24" customWidth="1"/>
    <col min="15" max="15" width="6.7109375" style="24" bestFit="1" customWidth="1"/>
    <col min="16" max="16" width="4.85546875" style="24" customWidth="1"/>
    <col min="17" max="17" width="5.28515625" style="24" customWidth="1"/>
    <col min="18" max="19" width="4.42578125" style="24" bestFit="1" customWidth="1"/>
    <col min="20" max="20" width="19.28515625" style="24" customWidth="1"/>
    <col min="21" max="21" width="6" style="24" customWidth="1"/>
    <col min="22" max="22" width="5.85546875" style="24" bestFit="1" customWidth="1"/>
    <col min="23" max="23" width="4.42578125" style="24" bestFit="1" customWidth="1"/>
    <col min="24" max="24" width="6.42578125" style="24" customWidth="1"/>
    <col min="25" max="26" width="5.42578125" style="24" bestFit="1" customWidth="1"/>
    <col min="27" max="27" width="4.42578125" style="24" bestFit="1" customWidth="1"/>
    <col min="28" max="28" width="7.28515625" style="24" customWidth="1"/>
    <col min="29" max="29" width="12.7109375" style="24" customWidth="1"/>
    <col min="30" max="256" width="11.42578125" style="24"/>
    <col min="257" max="257" width="14.85546875" style="24" bestFit="1" customWidth="1"/>
    <col min="258" max="258" width="28" style="24" bestFit="1" customWidth="1"/>
    <col min="259" max="259" width="4.42578125" style="24" bestFit="1" customWidth="1"/>
    <col min="260" max="260" width="8" style="24" bestFit="1" customWidth="1"/>
    <col min="261" max="261" width="11.42578125" style="24"/>
    <col min="262" max="262" width="22.85546875" style="24" bestFit="1" customWidth="1"/>
    <col min="263" max="263" width="7" style="24" customWidth="1"/>
    <col min="264" max="264" width="6.28515625" style="24" customWidth="1"/>
    <col min="265" max="265" width="5.7109375" style="24" customWidth="1"/>
    <col min="266" max="266" width="5.7109375" style="24" bestFit="1" customWidth="1"/>
    <col min="267" max="267" width="5.85546875" style="24" bestFit="1" customWidth="1"/>
    <col min="268" max="268" width="9.42578125" style="24" customWidth="1"/>
    <col min="269" max="269" width="5.140625" style="24" customWidth="1"/>
    <col min="270" max="270" width="9.7109375" style="24" customWidth="1"/>
    <col min="271" max="271" width="6.7109375" style="24" bestFit="1" customWidth="1"/>
    <col min="272" max="272" width="4.85546875" style="24" customWidth="1"/>
    <col min="273" max="273" width="5.28515625" style="24" customWidth="1"/>
    <col min="274" max="275" width="4.42578125" style="24" bestFit="1" customWidth="1"/>
    <col min="276" max="276" width="13.28515625" style="24" bestFit="1" customWidth="1"/>
    <col min="277" max="277" width="3.140625" style="24" customWidth="1"/>
    <col min="278" max="278" width="5.42578125" style="24" bestFit="1" customWidth="1"/>
    <col min="279" max="279" width="4.42578125" style="24" bestFit="1" customWidth="1"/>
    <col min="280" max="280" width="6.42578125" style="24" customWidth="1"/>
    <col min="281" max="281" width="5" style="24" bestFit="1" customWidth="1"/>
    <col min="282" max="282" width="4.5703125" style="24" bestFit="1" customWidth="1"/>
    <col min="283" max="283" width="4.42578125" style="24" bestFit="1" customWidth="1"/>
    <col min="284" max="284" width="4" style="24" customWidth="1"/>
    <col min="285" max="512" width="11.42578125" style="24"/>
    <col min="513" max="513" width="14.85546875" style="24" bestFit="1" customWidth="1"/>
    <col min="514" max="514" width="28" style="24" bestFit="1" customWidth="1"/>
    <col min="515" max="515" width="4.42578125" style="24" bestFit="1" customWidth="1"/>
    <col min="516" max="516" width="8" style="24" bestFit="1" customWidth="1"/>
    <col min="517" max="517" width="11.42578125" style="24"/>
    <col min="518" max="518" width="22.85546875" style="24" bestFit="1" customWidth="1"/>
    <col min="519" max="519" width="7" style="24" customWidth="1"/>
    <col min="520" max="520" width="6.28515625" style="24" customWidth="1"/>
    <col min="521" max="521" width="5.7109375" style="24" customWidth="1"/>
    <col min="522" max="522" width="5.7109375" style="24" bestFit="1" customWidth="1"/>
    <col min="523" max="523" width="5.85546875" style="24" bestFit="1" customWidth="1"/>
    <col min="524" max="524" width="9.42578125" style="24" customWidth="1"/>
    <col min="525" max="525" width="5.140625" style="24" customWidth="1"/>
    <col min="526" max="526" width="9.7109375" style="24" customWidth="1"/>
    <col min="527" max="527" width="6.7109375" style="24" bestFit="1" customWidth="1"/>
    <col min="528" max="528" width="4.85546875" style="24" customWidth="1"/>
    <col min="529" max="529" width="5.28515625" style="24" customWidth="1"/>
    <col min="530" max="531" width="4.42578125" style="24" bestFit="1" customWidth="1"/>
    <col min="532" max="532" width="13.28515625" style="24" bestFit="1" customWidth="1"/>
    <col min="533" max="533" width="3.140625" style="24" customWidth="1"/>
    <col min="534" max="534" width="5.42578125" style="24" bestFit="1" customWidth="1"/>
    <col min="535" max="535" width="4.42578125" style="24" bestFit="1" customWidth="1"/>
    <col min="536" max="536" width="6.42578125" style="24" customWidth="1"/>
    <col min="537" max="537" width="5" style="24" bestFit="1" customWidth="1"/>
    <col min="538" max="538" width="4.5703125" style="24" bestFit="1" customWidth="1"/>
    <col min="539" max="539" width="4.42578125" style="24" bestFit="1" customWidth="1"/>
    <col min="540" max="540" width="4" style="24" customWidth="1"/>
    <col min="541" max="768" width="11.42578125" style="24"/>
    <col min="769" max="769" width="14.85546875" style="24" bestFit="1" customWidth="1"/>
    <col min="770" max="770" width="28" style="24" bestFit="1" customWidth="1"/>
    <col min="771" max="771" width="4.42578125" style="24" bestFit="1" customWidth="1"/>
    <col min="772" max="772" width="8" style="24" bestFit="1" customWidth="1"/>
    <col min="773" max="773" width="11.42578125" style="24"/>
    <col min="774" max="774" width="22.85546875" style="24" bestFit="1" customWidth="1"/>
    <col min="775" max="775" width="7" style="24" customWidth="1"/>
    <col min="776" max="776" width="6.28515625" style="24" customWidth="1"/>
    <col min="777" max="777" width="5.7109375" style="24" customWidth="1"/>
    <col min="778" max="778" width="5.7109375" style="24" bestFit="1" customWidth="1"/>
    <col min="779" max="779" width="5.85546875" style="24" bestFit="1" customWidth="1"/>
    <col min="780" max="780" width="9.42578125" style="24" customWidth="1"/>
    <col min="781" max="781" width="5.140625" style="24" customWidth="1"/>
    <col min="782" max="782" width="9.7109375" style="24" customWidth="1"/>
    <col min="783" max="783" width="6.7109375" style="24" bestFit="1" customWidth="1"/>
    <col min="784" max="784" width="4.85546875" style="24" customWidth="1"/>
    <col min="785" max="785" width="5.28515625" style="24" customWidth="1"/>
    <col min="786" max="787" width="4.42578125" style="24" bestFit="1" customWidth="1"/>
    <col min="788" max="788" width="13.28515625" style="24" bestFit="1" customWidth="1"/>
    <col min="789" max="789" width="3.140625" style="24" customWidth="1"/>
    <col min="790" max="790" width="5.42578125" style="24" bestFit="1" customWidth="1"/>
    <col min="791" max="791" width="4.42578125" style="24" bestFit="1" customWidth="1"/>
    <col min="792" max="792" width="6.42578125" style="24" customWidth="1"/>
    <col min="793" max="793" width="5" style="24" bestFit="1" customWidth="1"/>
    <col min="794" max="794" width="4.5703125" style="24" bestFit="1" customWidth="1"/>
    <col min="795" max="795" width="4.42578125" style="24" bestFit="1" customWidth="1"/>
    <col min="796" max="796" width="4" style="24" customWidth="1"/>
    <col min="797" max="1024" width="11.42578125" style="24"/>
    <col min="1025" max="1025" width="14.85546875" style="24" bestFit="1" customWidth="1"/>
    <col min="1026" max="1026" width="28" style="24" bestFit="1" customWidth="1"/>
    <col min="1027" max="1027" width="4.42578125" style="24" bestFit="1" customWidth="1"/>
    <col min="1028" max="1028" width="8" style="24" bestFit="1" customWidth="1"/>
    <col min="1029" max="1029" width="11.42578125" style="24"/>
    <col min="1030" max="1030" width="22.85546875" style="24" bestFit="1" customWidth="1"/>
    <col min="1031" max="1031" width="7" style="24" customWidth="1"/>
    <col min="1032" max="1032" width="6.28515625" style="24" customWidth="1"/>
    <col min="1033" max="1033" width="5.7109375" style="24" customWidth="1"/>
    <col min="1034" max="1034" width="5.7109375" style="24" bestFit="1" customWidth="1"/>
    <col min="1035" max="1035" width="5.85546875" style="24" bestFit="1" customWidth="1"/>
    <col min="1036" max="1036" width="9.42578125" style="24" customWidth="1"/>
    <col min="1037" max="1037" width="5.140625" style="24" customWidth="1"/>
    <col min="1038" max="1038" width="9.7109375" style="24" customWidth="1"/>
    <col min="1039" max="1039" width="6.7109375" style="24" bestFit="1" customWidth="1"/>
    <col min="1040" max="1040" width="4.85546875" style="24" customWidth="1"/>
    <col min="1041" max="1041" width="5.28515625" style="24" customWidth="1"/>
    <col min="1042" max="1043" width="4.42578125" style="24" bestFit="1" customWidth="1"/>
    <col min="1044" max="1044" width="13.28515625" style="24" bestFit="1" customWidth="1"/>
    <col min="1045" max="1045" width="3.140625" style="24" customWidth="1"/>
    <col min="1046" max="1046" width="5.42578125" style="24" bestFit="1" customWidth="1"/>
    <col min="1047" max="1047" width="4.42578125" style="24" bestFit="1" customWidth="1"/>
    <col min="1048" max="1048" width="6.42578125" style="24" customWidth="1"/>
    <col min="1049" max="1049" width="5" style="24" bestFit="1" customWidth="1"/>
    <col min="1050" max="1050" width="4.5703125" style="24" bestFit="1" customWidth="1"/>
    <col min="1051" max="1051" width="4.42578125" style="24" bestFit="1" customWidth="1"/>
    <col min="1052" max="1052" width="4" style="24" customWidth="1"/>
    <col min="1053" max="1280" width="11.42578125" style="24"/>
    <col min="1281" max="1281" width="14.85546875" style="24" bestFit="1" customWidth="1"/>
    <col min="1282" max="1282" width="28" style="24" bestFit="1" customWidth="1"/>
    <col min="1283" max="1283" width="4.42578125" style="24" bestFit="1" customWidth="1"/>
    <col min="1284" max="1284" width="8" style="24" bestFit="1" customWidth="1"/>
    <col min="1285" max="1285" width="11.42578125" style="24"/>
    <col min="1286" max="1286" width="22.85546875" style="24" bestFit="1" customWidth="1"/>
    <col min="1287" max="1287" width="7" style="24" customWidth="1"/>
    <col min="1288" max="1288" width="6.28515625" style="24" customWidth="1"/>
    <col min="1289" max="1289" width="5.7109375" style="24" customWidth="1"/>
    <col min="1290" max="1290" width="5.7109375" style="24" bestFit="1" customWidth="1"/>
    <col min="1291" max="1291" width="5.85546875" style="24" bestFit="1" customWidth="1"/>
    <col min="1292" max="1292" width="9.42578125" style="24" customWidth="1"/>
    <col min="1293" max="1293" width="5.140625" style="24" customWidth="1"/>
    <col min="1294" max="1294" width="9.7109375" style="24" customWidth="1"/>
    <col min="1295" max="1295" width="6.7109375" style="24" bestFit="1" customWidth="1"/>
    <col min="1296" max="1296" width="4.85546875" style="24" customWidth="1"/>
    <col min="1297" max="1297" width="5.28515625" style="24" customWidth="1"/>
    <col min="1298" max="1299" width="4.42578125" style="24" bestFit="1" customWidth="1"/>
    <col min="1300" max="1300" width="13.28515625" style="24" bestFit="1" customWidth="1"/>
    <col min="1301" max="1301" width="3.140625" style="24" customWidth="1"/>
    <col min="1302" max="1302" width="5.42578125" style="24" bestFit="1" customWidth="1"/>
    <col min="1303" max="1303" width="4.42578125" style="24" bestFit="1" customWidth="1"/>
    <col min="1304" max="1304" width="6.42578125" style="24" customWidth="1"/>
    <col min="1305" max="1305" width="5" style="24" bestFit="1" customWidth="1"/>
    <col min="1306" max="1306" width="4.5703125" style="24" bestFit="1" customWidth="1"/>
    <col min="1307" max="1307" width="4.42578125" style="24" bestFit="1" customWidth="1"/>
    <col min="1308" max="1308" width="4" style="24" customWidth="1"/>
    <col min="1309" max="1536" width="11.42578125" style="24"/>
    <col min="1537" max="1537" width="14.85546875" style="24" bestFit="1" customWidth="1"/>
    <col min="1538" max="1538" width="28" style="24" bestFit="1" customWidth="1"/>
    <col min="1539" max="1539" width="4.42578125" style="24" bestFit="1" customWidth="1"/>
    <col min="1540" max="1540" width="8" style="24" bestFit="1" customWidth="1"/>
    <col min="1541" max="1541" width="11.42578125" style="24"/>
    <col min="1542" max="1542" width="22.85546875" style="24" bestFit="1" customWidth="1"/>
    <col min="1543" max="1543" width="7" style="24" customWidth="1"/>
    <col min="1544" max="1544" width="6.28515625" style="24" customWidth="1"/>
    <col min="1545" max="1545" width="5.7109375" style="24" customWidth="1"/>
    <col min="1546" max="1546" width="5.7109375" style="24" bestFit="1" customWidth="1"/>
    <col min="1547" max="1547" width="5.85546875" style="24" bestFit="1" customWidth="1"/>
    <col min="1548" max="1548" width="9.42578125" style="24" customWidth="1"/>
    <col min="1549" max="1549" width="5.140625" style="24" customWidth="1"/>
    <col min="1550" max="1550" width="9.7109375" style="24" customWidth="1"/>
    <col min="1551" max="1551" width="6.7109375" style="24" bestFit="1" customWidth="1"/>
    <col min="1552" max="1552" width="4.85546875" style="24" customWidth="1"/>
    <col min="1553" max="1553" width="5.28515625" style="24" customWidth="1"/>
    <col min="1554" max="1555" width="4.42578125" style="24" bestFit="1" customWidth="1"/>
    <col min="1556" max="1556" width="13.28515625" style="24" bestFit="1" customWidth="1"/>
    <col min="1557" max="1557" width="3.140625" style="24" customWidth="1"/>
    <col min="1558" max="1558" width="5.42578125" style="24" bestFit="1" customWidth="1"/>
    <col min="1559" max="1559" width="4.42578125" style="24" bestFit="1" customWidth="1"/>
    <col min="1560" max="1560" width="6.42578125" style="24" customWidth="1"/>
    <col min="1561" max="1561" width="5" style="24" bestFit="1" customWidth="1"/>
    <col min="1562" max="1562" width="4.5703125" style="24" bestFit="1" customWidth="1"/>
    <col min="1563" max="1563" width="4.42578125" style="24" bestFit="1" customWidth="1"/>
    <col min="1564" max="1564" width="4" style="24" customWidth="1"/>
    <col min="1565" max="1792" width="11.42578125" style="24"/>
    <col min="1793" max="1793" width="14.85546875" style="24" bestFit="1" customWidth="1"/>
    <col min="1794" max="1794" width="28" style="24" bestFit="1" customWidth="1"/>
    <col min="1795" max="1795" width="4.42578125" style="24" bestFit="1" customWidth="1"/>
    <col min="1796" max="1796" width="8" style="24" bestFit="1" customWidth="1"/>
    <col min="1797" max="1797" width="11.42578125" style="24"/>
    <col min="1798" max="1798" width="22.85546875" style="24" bestFit="1" customWidth="1"/>
    <col min="1799" max="1799" width="7" style="24" customWidth="1"/>
    <col min="1800" max="1800" width="6.28515625" style="24" customWidth="1"/>
    <col min="1801" max="1801" width="5.7109375" style="24" customWidth="1"/>
    <col min="1802" max="1802" width="5.7109375" style="24" bestFit="1" customWidth="1"/>
    <col min="1803" max="1803" width="5.85546875" style="24" bestFit="1" customWidth="1"/>
    <col min="1804" max="1804" width="9.42578125" style="24" customWidth="1"/>
    <col min="1805" max="1805" width="5.140625" style="24" customWidth="1"/>
    <col min="1806" max="1806" width="9.7109375" style="24" customWidth="1"/>
    <col min="1807" max="1807" width="6.7109375" style="24" bestFit="1" customWidth="1"/>
    <col min="1808" max="1808" width="4.85546875" style="24" customWidth="1"/>
    <col min="1809" max="1809" width="5.28515625" style="24" customWidth="1"/>
    <col min="1810" max="1811" width="4.42578125" style="24" bestFit="1" customWidth="1"/>
    <col min="1812" max="1812" width="13.28515625" style="24" bestFit="1" customWidth="1"/>
    <col min="1813" max="1813" width="3.140625" style="24" customWidth="1"/>
    <col min="1814" max="1814" width="5.42578125" style="24" bestFit="1" customWidth="1"/>
    <col min="1815" max="1815" width="4.42578125" style="24" bestFit="1" customWidth="1"/>
    <col min="1816" max="1816" width="6.42578125" style="24" customWidth="1"/>
    <col min="1817" max="1817" width="5" style="24" bestFit="1" customWidth="1"/>
    <col min="1818" max="1818" width="4.5703125" style="24" bestFit="1" customWidth="1"/>
    <col min="1819" max="1819" width="4.42578125" style="24" bestFit="1" customWidth="1"/>
    <col min="1820" max="1820" width="4" style="24" customWidth="1"/>
    <col min="1821" max="2048" width="11.42578125" style="24"/>
    <col min="2049" max="2049" width="14.85546875" style="24" bestFit="1" customWidth="1"/>
    <col min="2050" max="2050" width="28" style="24" bestFit="1" customWidth="1"/>
    <col min="2051" max="2051" width="4.42578125" style="24" bestFit="1" customWidth="1"/>
    <col min="2052" max="2052" width="8" style="24" bestFit="1" customWidth="1"/>
    <col min="2053" max="2053" width="11.42578125" style="24"/>
    <col min="2054" max="2054" width="22.85546875" style="24" bestFit="1" customWidth="1"/>
    <col min="2055" max="2055" width="7" style="24" customWidth="1"/>
    <col min="2056" max="2056" width="6.28515625" style="24" customWidth="1"/>
    <col min="2057" max="2057" width="5.7109375" style="24" customWidth="1"/>
    <col min="2058" max="2058" width="5.7109375" style="24" bestFit="1" customWidth="1"/>
    <col min="2059" max="2059" width="5.85546875" style="24" bestFit="1" customWidth="1"/>
    <col min="2060" max="2060" width="9.42578125" style="24" customWidth="1"/>
    <col min="2061" max="2061" width="5.140625" style="24" customWidth="1"/>
    <col min="2062" max="2062" width="9.7109375" style="24" customWidth="1"/>
    <col min="2063" max="2063" width="6.7109375" style="24" bestFit="1" customWidth="1"/>
    <col min="2064" max="2064" width="4.85546875" style="24" customWidth="1"/>
    <col min="2065" max="2065" width="5.28515625" style="24" customWidth="1"/>
    <col min="2066" max="2067" width="4.42578125" style="24" bestFit="1" customWidth="1"/>
    <col min="2068" max="2068" width="13.28515625" style="24" bestFit="1" customWidth="1"/>
    <col min="2069" max="2069" width="3.140625" style="24" customWidth="1"/>
    <col min="2070" max="2070" width="5.42578125" style="24" bestFit="1" customWidth="1"/>
    <col min="2071" max="2071" width="4.42578125" style="24" bestFit="1" customWidth="1"/>
    <col min="2072" max="2072" width="6.42578125" style="24" customWidth="1"/>
    <col min="2073" max="2073" width="5" style="24" bestFit="1" customWidth="1"/>
    <col min="2074" max="2074" width="4.5703125" style="24" bestFit="1" customWidth="1"/>
    <col min="2075" max="2075" width="4.42578125" style="24" bestFit="1" customWidth="1"/>
    <col min="2076" max="2076" width="4" style="24" customWidth="1"/>
    <col min="2077" max="2304" width="11.42578125" style="24"/>
    <col min="2305" max="2305" width="14.85546875" style="24" bestFit="1" customWidth="1"/>
    <col min="2306" max="2306" width="28" style="24" bestFit="1" customWidth="1"/>
    <col min="2307" max="2307" width="4.42578125" style="24" bestFit="1" customWidth="1"/>
    <col min="2308" max="2308" width="8" style="24" bestFit="1" customWidth="1"/>
    <col min="2309" max="2309" width="11.42578125" style="24"/>
    <col min="2310" max="2310" width="22.85546875" style="24" bestFit="1" customWidth="1"/>
    <col min="2311" max="2311" width="7" style="24" customWidth="1"/>
    <col min="2312" max="2312" width="6.28515625" style="24" customWidth="1"/>
    <col min="2313" max="2313" width="5.7109375" style="24" customWidth="1"/>
    <col min="2314" max="2314" width="5.7109375" style="24" bestFit="1" customWidth="1"/>
    <col min="2315" max="2315" width="5.85546875" style="24" bestFit="1" customWidth="1"/>
    <col min="2316" max="2316" width="9.42578125" style="24" customWidth="1"/>
    <col min="2317" max="2317" width="5.140625" style="24" customWidth="1"/>
    <col min="2318" max="2318" width="9.7109375" style="24" customWidth="1"/>
    <col min="2319" max="2319" width="6.7109375" style="24" bestFit="1" customWidth="1"/>
    <col min="2320" max="2320" width="4.85546875" style="24" customWidth="1"/>
    <col min="2321" max="2321" width="5.28515625" style="24" customWidth="1"/>
    <col min="2322" max="2323" width="4.42578125" style="24" bestFit="1" customWidth="1"/>
    <col min="2324" max="2324" width="13.28515625" style="24" bestFit="1" customWidth="1"/>
    <col min="2325" max="2325" width="3.140625" style="24" customWidth="1"/>
    <col min="2326" max="2326" width="5.42578125" style="24" bestFit="1" customWidth="1"/>
    <col min="2327" max="2327" width="4.42578125" style="24" bestFit="1" customWidth="1"/>
    <col min="2328" max="2328" width="6.42578125" style="24" customWidth="1"/>
    <col min="2329" max="2329" width="5" style="24" bestFit="1" customWidth="1"/>
    <col min="2330" max="2330" width="4.5703125" style="24" bestFit="1" customWidth="1"/>
    <col min="2331" max="2331" width="4.42578125" style="24" bestFit="1" customWidth="1"/>
    <col min="2332" max="2332" width="4" style="24" customWidth="1"/>
    <col min="2333" max="2560" width="11.42578125" style="24"/>
    <col min="2561" max="2561" width="14.85546875" style="24" bestFit="1" customWidth="1"/>
    <col min="2562" max="2562" width="28" style="24" bestFit="1" customWidth="1"/>
    <col min="2563" max="2563" width="4.42578125" style="24" bestFit="1" customWidth="1"/>
    <col min="2564" max="2564" width="8" style="24" bestFit="1" customWidth="1"/>
    <col min="2565" max="2565" width="11.42578125" style="24"/>
    <col min="2566" max="2566" width="22.85546875" style="24" bestFit="1" customWidth="1"/>
    <col min="2567" max="2567" width="7" style="24" customWidth="1"/>
    <col min="2568" max="2568" width="6.28515625" style="24" customWidth="1"/>
    <col min="2569" max="2569" width="5.7109375" style="24" customWidth="1"/>
    <col min="2570" max="2570" width="5.7109375" style="24" bestFit="1" customWidth="1"/>
    <col min="2571" max="2571" width="5.85546875" style="24" bestFit="1" customWidth="1"/>
    <col min="2572" max="2572" width="9.42578125" style="24" customWidth="1"/>
    <col min="2573" max="2573" width="5.140625" style="24" customWidth="1"/>
    <col min="2574" max="2574" width="9.7109375" style="24" customWidth="1"/>
    <col min="2575" max="2575" width="6.7109375" style="24" bestFit="1" customWidth="1"/>
    <col min="2576" max="2576" width="4.85546875" style="24" customWidth="1"/>
    <col min="2577" max="2577" width="5.28515625" style="24" customWidth="1"/>
    <col min="2578" max="2579" width="4.42578125" style="24" bestFit="1" customWidth="1"/>
    <col min="2580" max="2580" width="13.28515625" style="24" bestFit="1" customWidth="1"/>
    <col min="2581" max="2581" width="3.140625" style="24" customWidth="1"/>
    <col min="2582" max="2582" width="5.42578125" style="24" bestFit="1" customWidth="1"/>
    <col min="2583" max="2583" width="4.42578125" style="24" bestFit="1" customWidth="1"/>
    <col min="2584" max="2584" width="6.42578125" style="24" customWidth="1"/>
    <col min="2585" max="2585" width="5" style="24" bestFit="1" customWidth="1"/>
    <col min="2586" max="2586" width="4.5703125" style="24" bestFit="1" customWidth="1"/>
    <col min="2587" max="2587" width="4.42578125" style="24" bestFit="1" customWidth="1"/>
    <col min="2588" max="2588" width="4" style="24" customWidth="1"/>
    <col min="2589" max="2816" width="11.42578125" style="24"/>
    <col min="2817" max="2817" width="14.85546875" style="24" bestFit="1" customWidth="1"/>
    <col min="2818" max="2818" width="28" style="24" bestFit="1" customWidth="1"/>
    <col min="2819" max="2819" width="4.42578125" style="24" bestFit="1" customWidth="1"/>
    <col min="2820" max="2820" width="8" style="24" bestFit="1" customWidth="1"/>
    <col min="2821" max="2821" width="11.42578125" style="24"/>
    <col min="2822" max="2822" width="22.85546875" style="24" bestFit="1" customWidth="1"/>
    <col min="2823" max="2823" width="7" style="24" customWidth="1"/>
    <col min="2824" max="2824" width="6.28515625" style="24" customWidth="1"/>
    <col min="2825" max="2825" width="5.7109375" style="24" customWidth="1"/>
    <col min="2826" max="2826" width="5.7109375" style="24" bestFit="1" customWidth="1"/>
    <col min="2827" max="2827" width="5.85546875" style="24" bestFit="1" customWidth="1"/>
    <col min="2828" max="2828" width="9.42578125" style="24" customWidth="1"/>
    <col min="2829" max="2829" width="5.140625" style="24" customWidth="1"/>
    <col min="2830" max="2830" width="9.7109375" style="24" customWidth="1"/>
    <col min="2831" max="2831" width="6.7109375" style="24" bestFit="1" customWidth="1"/>
    <col min="2832" max="2832" width="4.85546875" style="24" customWidth="1"/>
    <col min="2833" max="2833" width="5.28515625" style="24" customWidth="1"/>
    <col min="2834" max="2835" width="4.42578125" style="24" bestFit="1" customWidth="1"/>
    <col min="2836" max="2836" width="13.28515625" style="24" bestFit="1" customWidth="1"/>
    <col min="2837" max="2837" width="3.140625" style="24" customWidth="1"/>
    <col min="2838" max="2838" width="5.42578125" style="24" bestFit="1" customWidth="1"/>
    <col min="2839" max="2839" width="4.42578125" style="24" bestFit="1" customWidth="1"/>
    <col min="2840" max="2840" width="6.42578125" style="24" customWidth="1"/>
    <col min="2841" max="2841" width="5" style="24" bestFit="1" customWidth="1"/>
    <col min="2842" max="2842" width="4.5703125" style="24" bestFit="1" customWidth="1"/>
    <col min="2843" max="2843" width="4.42578125" style="24" bestFit="1" customWidth="1"/>
    <col min="2844" max="2844" width="4" style="24" customWidth="1"/>
    <col min="2845" max="3072" width="11.42578125" style="24"/>
    <col min="3073" max="3073" width="14.85546875" style="24" bestFit="1" customWidth="1"/>
    <col min="3074" max="3074" width="28" style="24" bestFit="1" customWidth="1"/>
    <col min="3075" max="3075" width="4.42578125" style="24" bestFit="1" customWidth="1"/>
    <col min="3076" max="3076" width="8" style="24" bestFit="1" customWidth="1"/>
    <col min="3077" max="3077" width="11.42578125" style="24"/>
    <col min="3078" max="3078" width="22.85546875" style="24" bestFit="1" customWidth="1"/>
    <col min="3079" max="3079" width="7" style="24" customWidth="1"/>
    <col min="3080" max="3080" width="6.28515625" style="24" customWidth="1"/>
    <col min="3081" max="3081" width="5.7109375" style="24" customWidth="1"/>
    <col min="3082" max="3082" width="5.7109375" style="24" bestFit="1" customWidth="1"/>
    <col min="3083" max="3083" width="5.85546875" style="24" bestFit="1" customWidth="1"/>
    <col min="3084" max="3084" width="9.42578125" style="24" customWidth="1"/>
    <col min="3085" max="3085" width="5.140625" style="24" customWidth="1"/>
    <col min="3086" max="3086" width="9.7109375" style="24" customWidth="1"/>
    <col min="3087" max="3087" width="6.7109375" style="24" bestFit="1" customWidth="1"/>
    <col min="3088" max="3088" width="4.85546875" style="24" customWidth="1"/>
    <col min="3089" max="3089" width="5.28515625" style="24" customWidth="1"/>
    <col min="3090" max="3091" width="4.42578125" style="24" bestFit="1" customWidth="1"/>
    <col min="3092" max="3092" width="13.28515625" style="24" bestFit="1" customWidth="1"/>
    <col min="3093" max="3093" width="3.140625" style="24" customWidth="1"/>
    <col min="3094" max="3094" width="5.42578125" style="24" bestFit="1" customWidth="1"/>
    <col min="3095" max="3095" width="4.42578125" style="24" bestFit="1" customWidth="1"/>
    <col min="3096" max="3096" width="6.42578125" style="24" customWidth="1"/>
    <col min="3097" max="3097" width="5" style="24" bestFit="1" customWidth="1"/>
    <col min="3098" max="3098" width="4.5703125" style="24" bestFit="1" customWidth="1"/>
    <col min="3099" max="3099" width="4.42578125" style="24" bestFit="1" customWidth="1"/>
    <col min="3100" max="3100" width="4" style="24" customWidth="1"/>
    <col min="3101" max="3328" width="11.42578125" style="24"/>
    <col min="3329" max="3329" width="14.85546875" style="24" bestFit="1" customWidth="1"/>
    <col min="3330" max="3330" width="28" style="24" bestFit="1" customWidth="1"/>
    <col min="3331" max="3331" width="4.42578125" style="24" bestFit="1" customWidth="1"/>
    <col min="3332" max="3332" width="8" style="24" bestFit="1" customWidth="1"/>
    <col min="3333" max="3333" width="11.42578125" style="24"/>
    <col min="3334" max="3334" width="22.85546875" style="24" bestFit="1" customWidth="1"/>
    <col min="3335" max="3335" width="7" style="24" customWidth="1"/>
    <col min="3336" max="3336" width="6.28515625" style="24" customWidth="1"/>
    <col min="3337" max="3337" width="5.7109375" style="24" customWidth="1"/>
    <col min="3338" max="3338" width="5.7109375" style="24" bestFit="1" customWidth="1"/>
    <col min="3339" max="3339" width="5.85546875" style="24" bestFit="1" customWidth="1"/>
    <col min="3340" max="3340" width="9.42578125" style="24" customWidth="1"/>
    <col min="3341" max="3341" width="5.140625" style="24" customWidth="1"/>
    <col min="3342" max="3342" width="9.7109375" style="24" customWidth="1"/>
    <col min="3343" max="3343" width="6.7109375" style="24" bestFit="1" customWidth="1"/>
    <col min="3344" max="3344" width="4.85546875" style="24" customWidth="1"/>
    <col min="3345" max="3345" width="5.28515625" style="24" customWidth="1"/>
    <col min="3346" max="3347" width="4.42578125" style="24" bestFit="1" customWidth="1"/>
    <col min="3348" max="3348" width="13.28515625" style="24" bestFit="1" customWidth="1"/>
    <col min="3349" max="3349" width="3.140625" style="24" customWidth="1"/>
    <col min="3350" max="3350" width="5.42578125" style="24" bestFit="1" customWidth="1"/>
    <col min="3351" max="3351" width="4.42578125" style="24" bestFit="1" customWidth="1"/>
    <col min="3352" max="3352" width="6.42578125" style="24" customWidth="1"/>
    <col min="3353" max="3353" width="5" style="24" bestFit="1" customWidth="1"/>
    <col min="3354" max="3354" width="4.5703125" style="24" bestFit="1" customWidth="1"/>
    <col min="3355" max="3355" width="4.42578125" style="24" bestFit="1" customWidth="1"/>
    <col min="3356" max="3356" width="4" style="24" customWidth="1"/>
    <col min="3357" max="3584" width="11.42578125" style="24"/>
    <col min="3585" max="3585" width="14.85546875" style="24" bestFit="1" customWidth="1"/>
    <col min="3586" max="3586" width="28" style="24" bestFit="1" customWidth="1"/>
    <col min="3587" max="3587" width="4.42578125" style="24" bestFit="1" customWidth="1"/>
    <col min="3588" max="3588" width="8" style="24" bestFit="1" customWidth="1"/>
    <col min="3589" max="3589" width="11.42578125" style="24"/>
    <col min="3590" max="3590" width="22.85546875" style="24" bestFit="1" customWidth="1"/>
    <col min="3591" max="3591" width="7" style="24" customWidth="1"/>
    <col min="3592" max="3592" width="6.28515625" style="24" customWidth="1"/>
    <col min="3593" max="3593" width="5.7109375" style="24" customWidth="1"/>
    <col min="3594" max="3594" width="5.7109375" style="24" bestFit="1" customWidth="1"/>
    <col min="3595" max="3595" width="5.85546875" style="24" bestFit="1" customWidth="1"/>
    <col min="3596" max="3596" width="9.42578125" style="24" customWidth="1"/>
    <col min="3597" max="3597" width="5.140625" style="24" customWidth="1"/>
    <col min="3598" max="3598" width="9.7109375" style="24" customWidth="1"/>
    <col min="3599" max="3599" width="6.7109375" style="24" bestFit="1" customWidth="1"/>
    <col min="3600" max="3600" width="4.85546875" style="24" customWidth="1"/>
    <col min="3601" max="3601" width="5.28515625" style="24" customWidth="1"/>
    <col min="3602" max="3603" width="4.42578125" style="24" bestFit="1" customWidth="1"/>
    <col min="3604" max="3604" width="13.28515625" style="24" bestFit="1" customWidth="1"/>
    <col min="3605" max="3605" width="3.140625" style="24" customWidth="1"/>
    <col min="3606" max="3606" width="5.42578125" style="24" bestFit="1" customWidth="1"/>
    <col min="3607" max="3607" width="4.42578125" style="24" bestFit="1" customWidth="1"/>
    <col min="3608" max="3608" width="6.42578125" style="24" customWidth="1"/>
    <col min="3609" max="3609" width="5" style="24" bestFit="1" customWidth="1"/>
    <col min="3610" max="3610" width="4.5703125" style="24" bestFit="1" customWidth="1"/>
    <col min="3611" max="3611" width="4.42578125" style="24" bestFit="1" customWidth="1"/>
    <col min="3612" max="3612" width="4" style="24" customWidth="1"/>
    <col min="3613" max="3840" width="11.42578125" style="24"/>
    <col min="3841" max="3841" width="14.85546875" style="24" bestFit="1" customWidth="1"/>
    <col min="3842" max="3842" width="28" style="24" bestFit="1" customWidth="1"/>
    <col min="3843" max="3843" width="4.42578125" style="24" bestFit="1" customWidth="1"/>
    <col min="3844" max="3844" width="8" style="24" bestFit="1" customWidth="1"/>
    <col min="3845" max="3845" width="11.42578125" style="24"/>
    <col min="3846" max="3846" width="22.85546875" style="24" bestFit="1" customWidth="1"/>
    <col min="3847" max="3847" width="7" style="24" customWidth="1"/>
    <col min="3848" max="3848" width="6.28515625" style="24" customWidth="1"/>
    <col min="3849" max="3849" width="5.7109375" style="24" customWidth="1"/>
    <col min="3850" max="3850" width="5.7109375" style="24" bestFit="1" customWidth="1"/>
    <col min="3851" max="3851" width="5.85546875" style="24" bestFit="1" customWidth="1"/>
    <col min="3852" max="3852" width="9.42578125" style="24" customWidth="1"/>
    <col min="3853" max="3853" width="5.140625" style="24" customWidth="1"/>
    <col min="3854" max="3854" width="9.7109375" style="24" customWidth="1"/>
    <col min="3855" max="3855" width="6.7109375" style="24" bestFit="1" customWidth="1"/>
    <col min="3856" max="3856" width="4.85546875" style="24" customWidth="1"/>
    <col min="3857" max="3857" width="5.28515625" style="24" customWidth="1"/>
    <col min="3858" max="3859" width="4.42578125" style="24" bestFit="1" customWidth="1"/>
    <col min="3860" max="3860" width="13.28515625" style="24" bestFit="1" customWidth="1"/>
    <col min="3861" max="3861" width="3.140625" style="24" customWidth="1"/>
    <col min="3862" max="3862" width="5.42578125" style="24" bestFit="1" customWidth="1"/>
    <col min="3863" max="3863" width="4.42578125" style="24" bestFit="1" customWidth="1"/>
    <col min="3864" max="3864" width="6.42578125" style="24" customWidth="1"/>
    <col min="3865" max="3865" width="5" style="24" bestFit="1" customWidth="1"/>
    <col min="3866" max="3866" width="4.5703125" style="24" bestFit="1" customWidth="1"/>
    <col min="3867" max="3867" width="4.42578125" style="24" bestFit="1" customWidth="1"/>
    <col min="3868" max="3868" width="4" style="24" customWidth="1"/>
    <col min="3869" max="4096" width="11.42578125" style="24"/>
    <col min="4097" max="4097" width="14.85546875" style="24" bestFit="1" customWidth="1"/>
    <col min="4098" max="4098" width="28" style="24" bestFit="1" customWidth="1"/>
    <col min="4099" max="4099" width="4.42578125" style="24" bestFit="1" customWidth="1"/>
    <col min="4100" max="4100" width="8" style="24" bestFit="1" customWidth="1"/>
    <col min="4101" max="4101" width="11.42578125" style="24"/>
    <col min="4102" max="4102" width="22.85546875" style="24" bestFit="1" customWidth="1"/>
    <col min="4103" max="4103" width="7" style="24" customWidth="1"/>
    <col min="4104" max="4104" width="6.28515625" style="24" customWidth="1"/>
    <col min="4105" max="4105" width="5.7109375" style="24" customWidth="1"/>
    <col min="4106" max="4106" width="5.7109375" style="24" bestFit="1" customWidth="1"/>
    <col min="4107" max="4107" width="5.85546875" style="24" bestFit="1" customWidth="1"/>
    <col min="4108" max="4108" width="9.42578125" style="24" customWidth="1"/>
    <col min="4109" max="4109" width="5.140625" style="24" customWidth="1"/>
    <col min="4110" max="4110" width="9.7109375" style="24" customWidth="1"/>
    <col min="4111" max="4111" width="6.7109375" style="24" bestFit="1" customWidth="1"/>
    <col min="4112" max="4112" width="4.85546875" style="24" customWidth="1"/>
    <col min="4113" max="4113" width="5.28515625" style="24" customWidth="1"/>
    <col min="4114" max="4115" width="4.42578125" style="24" bestFit="1" customWidth="1"/>
    <col min="4116" max="4116" width="13.28515625" style="24" bestFit="1" customWidth="1"/>
    <col min="4117" max="4117" width="3.140625" style="24" customWidth="1"/>
    <col min="4118" max="4118" width="5.42578125" style="24" bestFit="1" customWidth="1"/>
    <col min="4119" max="4119" width="4.42578125" style="24" bestFit="1" customWidth="1"/>
    <col min="4120" max="4120" width="6.42578125" style="24" customWidth="1"/>
    <col min="4121" max="4121" width="5" style="24" bestFit="1" customWidth="1"/>
    <col min="4122" max="4122" width="4.5703125" style="24" bestFit="1" customWidth="1"/>
    <col min="4123" max="4123" width="4.42578125" style="24" bestFit="1" customWidth="1"/>
    <col min="4124" max="4124" width="4" style="24" customWidth="1"/>
    <col min="4125" max="4352" width="11.42578125" style="24"/>
    <col min="4353" max="4353" width="14.85546875" style="24" bestFit="1" customWidth="1"/>
    <col min="4354" max="4354" width="28" style="24" bestFit="1" customWidth="1"/>
    <col min="4355" max="4355" width="4.42578125" style="24" bestFit="1" customWidth="1"/>
    <col min="4356" max="4356" width="8" style="24" bestFit="1" customWidth="1"/>
    <col min="4357" max="4357" width="11.42578125" style="24"/>
    <col min="4358" max="4358" width="22.85546875" style="24" bestFit="1" customWidth="1"/>
    <col min="4359" max="4359" width="7" style="24" customWidth="1"/>
    <col min="4360" max="4360" width="6.28515625" style="24" customWidth="1"/>
    <col min="4361" max="4361" width="5.7109375" style="24" customWidth="1"/>
    <col min="4362" max="4362" width="5.7109375" style="24" bestFit="1" customWidth="1"/>
    <col min="4363" max="4363" width="5.85546875" style="24" bestFit="1" customWidth="1"/>
    <col min="4364" max="4364" width="9.42578125" style="24" customWidth="1"/>
    <col min="4365" max="4365" width="5.140625" style="24" customWidth="1"/>
    <col min="4366" max="4366" width="9.7109375" style="24" customWidth="1"/>
    <col min="4367" max="4367" width="6.7109375" style="24" bestFit="1" customWidth="1"/>
    <col min="4368" max="4368" width="4.85546875" style="24" customWidth="1"/>
    <col min="4369" max="4369" width="5.28515625" style="24" customWidth="1"/>
    <col min="4370" max="4371" width="4.42578125" style="24" bestFit="1" customWidth="1"/>
    <col min="4372" max="4372" width="13.28515625" style="24" bestFit="1" customWidth="1"/>
    <col min="4373" max="4373" width="3.140625" style="24" customWidth="1"/>
    <col min="4374" max="4374" width="5.42578125" style="24" bestFit="1" customWidth="1"/>
    <col min="4375" max="4375" width="4.42578125" style="24" bestFit="1" customWidth="1"/>
    <col min="4376" max="4376" width="6.42578125" style="24" customWidth="1"/>
    <col min="4377" max="4377" width="5" style="24" bestFit="1" customWidth="1"/>
    <col min="4378" max="4378" width="4.5703125" style="24" bestFit="1" customWidth="1"/>
    <col min="4379" max="4379" width="4.42578125" style="24" bestFit="1" customWidth="1"/>
    <col min="4380" max="4380" width="4" style="24" customWidth="1"/>
    <col min="4381" max="4608" width="11.42578125" style="24"/>
    <col min="4609" max="4609" width="14.85546875" style="24" bestFit="1" customWidth="1"/>
    <col min="4610" max="4610" width="28" style="24" bestFit="1" customWidth="1"/>
    <col min="4611" max="4611" width="4.42578125" style="24" bestFit="1" customWidth="1"/>
    <col min="4612" max="4612" width="8" style="24" bestFit="1" customWidth="1"/>
    <col min="4613" max="4613" width="11.42578125" style="24"/>
    <col min="4614" max="4614" width="22.85546875" style="24" bestFit="1" customWidth="1"/>
    <col min="4615" max="4615" width="7" style="24" customWidth="1"/>
    <col min="4616" max="4616" width="6.28515625" style="24" customWidth="1"/>
    <col min="4617" max="4617" width="5.7109375" style="24" customWidth="1"/>
    <col min="4618" max="4618" width="5.7109375" style="24" bestFit="1" customWidth="1"/>
    <col min="4619" max="4619" width="5.85546875" style="24" bestFit="1" customWidth="1"/>
    <col min="4620" max="4620" width="9.42578125" style="24" customWidth="1"/>
    <col min="4621" max="4621" width="5.140625" style="24" customWidth="1"/>
    <col min="4622" max="4622" width="9.7109375" style="24" customWidth="1"/>
    <col min="4623" max="4623" width="6.7109375" style="24" bestFit="1" customWidth="1"/>
    <col min="4624" max="4624" width="4.85546875" style="24" customWidth="1"/>
    <col min="4625" max="4625" width="5.28515625" style="24" customWidth="1"/>
    <col min="4626" max="4627" width="4.42578125" style="24" bestFit="1" customWidth="1"/>
    <col min="4628" max="4628" width="13.28515625" style="24" bestFit="1" customWidth="1"/>
    <col min="4629" max="4629" width="3.140625" style="24" customWidth="1"/>
    <col min="4630" max="4630" width="5.42578125" style="24" bestFit="1" customWidth="1"/>
    <col min="4631" max="4631" width="4.42578125" style="24" bestFit="1" customWidth="1"/>
    <col min="4632" max="4632" width="6.42578125" style="24" customWidth="1"/>
    <col min="4633" max="4633" width="5" style="24" bestFit="1" customWidth="1"/>
    <col min="4634" max="4634" width="4.5703125" style="24" bestFit="1" customWidth="1"/>
    <col min="4635" max="4635" width="4.42578125" style="24" bestFit="1" customWidth="1"/>
    <col min="4636" max="4636" width="4" style="24" customWidth="1"/>
    <col min="4637" max="4864" width="11.42578125" style="24"/>
    <col min="4865" max="4865" width="14.85546875" style="24" bestFit="1" customWidth="1"/>
    <col min="4866" max="4866" width="28" style="24" bestFit="1" customWidth="1"/>
    <col min="4867" max="4867" width="4.42578125" style="24" bestFit="1" customWidth="1"/>
    <col min="4868" max="4868" width="8" style="24" bestFit="1" customWidth="1"/>
    <col min="4869" max="4869" width="11.42578125" style="24"/>
    <col min="4870" max="4870" width="22.85546875" style="24" bestFit="1" customWidth="1"/>
    <col min="4871" max="4871" width="7" style="24" customWidth="1"/>
    <col min="4872" max="4872" width="6.28515625" style="24" customWidth="1"/>
    <col min="4873" max="4873" width="5.7109375" style="24" customWidth="1"/>
    <col min="4874" max="4874" width="5.7109375" style="24" bestFit="1" customWidth="1"/>
    <col min="4875" max="4875" width="5.85546875" style="24" bestFit="1" customWidth="1"/>
    <col min="4876" max="4876" width="9.42578125" style="24" customWidth="1"/>
    <col min="4877" max="4877" width="5.140625" style="24" customWidth="1"/>
    <col min="4878" max="4878" width="9.7109375" style="24" customWidth="1"/>
    <col min="4879" max="4879" width="6.7109375" style="24" bestFit="1" customWidth="1"/>
    <col min="4880" max="4880" width="4.85546875" style="24" customWidth="1"/>
    <col min="4881" max="4881" width="5.28515625" style="24" customWidth="1"/>
    <col min="4882" max="4883" width="4.42578125" style="24" bestFit="1" customWidth="1"/>
    <col min="4884" max="4884" width="13.28515625" style="24" bestFit="1" customWidth="1"/>
    <col min="4885" max="4885" width="3.140625" style="24" customWidth="1"/>
    <col min="4886" max="4886" width="5.42578125" style="24" bestFit="1" customWidth="1"/>
    <col min="4887" max="4887" width="4.42578125" style="24" bestFit="1" customWidth="1"/>
    <col min="4888" max="4888" width="6.42578125" style="24" customWidth="1"/>
    <col min="4889" max="4889" width="5" style="24" bestFit="1" customWidth="1"/>
    <col min="4890" max="4890" width="4.5703125" style="24" bestFit="1" customWidth="1"/>
    <col min="4891" max="4891" width="4.42578125" style="24" bestFit="1" customWidth="1"/>
    <col min="4892" max="4892" width="4" style="24" customWidth="1"/>
    <col min="4893" max="5120" width="11.42578125" style="24"/>
    <col min="5121" max="5121" width="14.85546875" style="24" bestFit="1" customWidth="1"/>
    <col min="5122" max="5122" width="28" style="24" bestFit="1" customWidth="1"/>
    <col min="5123" max="5123" width="4.42578125" style="24" bestFit="1" customWidth="1"/>
    <col min="5124" max="5124" width="8" style="24" bestFit="1" customWidth="1"/>
    <col min="5125" max="5125" width="11.42578125" style="24"/>
    <col min="5126" max="5126" width="22.85546875" style="24" bestFit="1" customWidth="1"/>
    <col min="5127" max="5127" width="7" style="24" customWidth="1"/>
    <col min="5128" max="5128" width="6.28515625" style="24" customWidth="1"/>
    <col min="5129" max="5129" width="5.7109375" style="24" customWidth="1"/>
    <col min="5130" max="5130" width="5.7109375" style="24" bestFit="1" customWidth="1"/>
    <col min="5131" max="5131" width="5.85546875" style="24" bestFit="1" customWidth="1"/>
    <col min="5132" max="5132" width="9.42578125" style="24" customWidth="1"/>
    <col min="5133" max="5133" width="5.140625" style="24" customWidth="1"/>
    <col min="5134" max="5134" width="9.7109375" style="24" customWidth="1"/>
    <col min="5135" max="5135" width="6.7109375" style="24" bestFit="1" customWidth="1"/>
    <col min="5136" max="5136" width="4.85546875" style="24" customWidth="1"/>
    <col min="5137" max="5137" width="5.28515625" style="24" customWidth="1"/>
    <col min="5138" max="5139" width="4.42578125" style="24" bestFit="1" customWidth="1"/>
    <col min="5140" max="5140" width="13.28515625" style="24" bestFit="1" customWidth="1"/>
    <col min="5141" max="5141" width="3.140625" style="24" customWidth="1"/>
    <col min="5142" max="5142" width="5.42578125" style="24" bestFit="1" customWidth="1"/>
    <col min="5143" max="5143" width="4.42578125" style="24" bestFit="1" customWidth="1"/>
    <col min="5144" max="5144" width="6.42578125" style="24" customWidth="1"/>
    <col min="5145" max="5145" width="5" style="24" bestFit="1" customWidth="1"/>
    <col min="5146" max="5146" width="4.5703125" style="24" bestFit="1" customWidth="1"/>
    <col min="5147" max="5147" width="4.42578125" style="24" bestFit="1" customWidth="1"/>
    <col min="5148" max="5148" width="4" style="24" customWidth="1"/>
    <col min="5149" max="5376" width="11.42578125" style="24"/>
    <col min="5377" max="5377" width="14.85546875" style="24" bestFit="1" customWidth="1"/>
    <col min="5378" max="5378" width="28" style="24" bestFit="1" customWidth="1"/>
    <col min="5379" max="5379" width="4.42578125" style="24" bestFit="1" customWidth="1"/>
    <col min="5380" max="5380" width="8" style="24" bestFit="1" customWidth="1"/>
    <col min="5381" max="5381" width="11.42578125" style="24"/>
    <col min="5382" max="5382" width="22.85546875" style="24" bestFit="1" customWidth="1"/>
    <col min="5383" max="5383" width="7" style="24" customWidth="1"/>
    <col min="5384" max="5384" width="6.28515625" style="24" customWidth="1"/>
    <col min="5385" max="5385" width="5.7109375" style="24" customWidth="1"/>
    <col min="5386" max="5386" width="5.7109375" style="24" bestFit="1" customWidth="1"/>
    <col min="5387" max="5387" width="5.85546875" style="24" bestFit="1" customWidth="1"/>
    <col min="5388" max="5388" width="9.42578125" style="24" customWidth="1"/>
    <col min="5389" max="5389" width="5.140625" style="24" customWidth="1"/>
    <col min="5390" max="5390" width="9.7109375" style="24" customWidth="1"/>
    <col min="5391" max="5391" width="6.7109375" style="24" bestFit="1" customWidth="1"/>
    <col min="5392" max="5392" width="4.85546875" style="24" customWidth="1"/>
    <col min="5393" max="5393" width="5.28515625" style="24" customWidth="1"/>
    <col min="5394" max="5395" width="4.42578125" style="24" bestFit="1" customWidth="1"/>
    <col min="5396" max="5396" width="13.28515625" style="24" bestFit="1" customWidth="1"/>
    <col min="5397" max="5397" width="3.140625" style="24" customWidth="1"/>
    <col min="5398" max="5398" width="5.42578125" style="24" bestFit="1" customWidth="1"/>
    <col min="5399" max="5399" width="4.42578125" style="24" bestFit="1" customWidth="1"/>
    <col min="5400" max="5400" width="6.42578125" style="24" customWidth="1"/>
    <col min="5401" max="5401" width="5" style="24" bestFit="1" customWidth="1"/>
    <col min="5402" max="5402" width="4.5703125" style="24" bestFit="1" customWidth="1"/>
    <col min="5403" max="5403" width="4.42578125" style="24" bestFit="1" customWidth="1"/>
    <col min="5404" max="5404" width="4" style="24" customWidth="1"/>
    <col min="5405" max="5632" width="11.42578125" style="24"/>
    <col min="5633" max="5633" width="14.85546875" style="24" bestFit="1" customWidth="1"/>
    <col min="5634" max="5634" width="28" style="24" bestFit="1" customWidth="1"/>
    <col min="5635" max="5635" width="4.42578125" style="24" bestFit="1" customWidth="1"/>
    <col min="5636" max="5636" width="8" style="24" bestFit="1" customWidth="1"/>
    <col min="5637" max="5637" width="11.42578125" style="24"/>
    <col min="5638" max="5638" width="22.85546875" style="24" bestFit="1" customWidth="1"/>
    <col min="5639" max="5639" width="7" style="24" customWidth="1"/>
    <col min="5640" max="5640" width="6.28515625" style="24" customWidth="1"/>
    <col min="5641" max="5641" width="5.7109375" style="24" customWidth="1"/>
    <col min="5642" max="5642" width="5.7109375" style="24" bestFit="1" customWidth="1"/>
    <col min="5643" max="5643" width="5.85546875" style="24" bestFit="1" customWidth="1"/>
    <col min="5644" max="5644" width="9.42578125" style="24" customWidth="1"/>
    <col min="5645" max="5645" width="5.140625" style="24" customWidth="1"/>
    <col min="5646" max="5646" width="9.7109375" style="24" customWidth="1"/>
    <col min="5647" max="5647" width="6.7109375" style="24" bestFit="1" customWidth="1"/>
    <col min="5648" max="5648" width="4.85546875" style="24" customWidth="1"/>
    <col min="5649" max="5649" width="5.28515625" style="24" customWidth="1"/>
    <col min="5650" max="5651" width="4.42578125" style="24" bestFit="1" customWidth="1"/>
    <col min="5652" max="5652" width="13.28515625" style="24" bestFit="1" customWidth="1"/>
    <col min="5653" max="5653" width="3.140625" style="24" customWidth="1"/>
    <col min="5654" max="5654" width="5.42578125" style="24" bestFit="1" customWidth="1"/>
    <col min="5655" max="5655" width="4.42578125" style="24" bestFit="1" customWidth="1"/>
    <col min="5656" max="5656" width="6.42578125" style="24" customWidth="1"/>
    <col min="5657" max="5657" width="5" style="24" bestFit="1" customWidth="1"/>
    <col min="5658" max="5658" width="4.5703125" style="24" bestFit="1" customWidth="1"/>
    <col min="5659" max="5659" width="4.42578125" style="24" bestFit="1" customWidth="1"/>
    <col min="5660" max="5660" width="4" style="24" customWidth="1"/>
    <col min="5661" max="5888" width="11.42578125" style="24"/>
    <col min="5889" max="5889" width="14.85546875" style="24" bestFit="1" customWidth="1"/>
    <col min="5890" max="5890" width="28" style="24" bestFit="1" customWidth="1"/>
    <col min="5891" max="5891" width="4.42578125" style="24" bestFit="1" customWidth="1"/>
    <col min="5892" max="5892" width="8" style="24" bestFit="1" customWidth="1"/>
    <col min="5893" max="5893" width="11.42578125" style="24"/>
    <col min="5894" max="5894" width="22.85546875" style="24" bestFit="1" customWidth="1"/>
    <col min="5895" max="5895" width="7" style="24" customWidth="1"/>
    <col min="5896" max="5896" width="6.28515625" style="24" customWidth="1"/>
    <col min="5897" max="5897" width="5.7109375" style="24" customWidth="1"/>
    <col min="5898" max="5898" width="5.7109375" style="24" bestFit="1" customWidth="1"/>
    <col min="5899" max="5899" width="5.85546875" style="24" bestFit="1" customWidth="1"/>
    <col min="5900" max="5900" width="9.42578125" style="24" customWidth="1"/>
    <col min="5901" max="5901" width="5.140625" style="24" customWidth="1"/>
    <col min="5902" max="5902" width="9.7109375" style="24" customWidth="1"/>
    <col min="5903" max="5903" width="6.7109375" style="24" bestFit="1" customWidth="1"/>
    <col min="5904" max="5904" width="4.85546875" style="24" customWidth="1"/>
    <col min="5905" max="5905" width="5.28515625" style="24" customWidth="1"/>
    <col min="5906" max="5907" width="4.42578125" style="24" bestFit="1" customWidth="1"/>
    <col min="5908" max="5908" width="13.28515625" style="24" bestFit="1" customWidth="1"/>
    <col min="5909" max="5909" width="3.140625" style="24" customWidth="1"/>
    <col min="5910" max="5910" width="5.42578125" style="24" bestFit="1" customWidth="1"/>
    <col min="5911" max="5911" width="4.42578125" style="24" bestFit="1" customWidth="1"/>
    <col min="5912" max="5912" width="6.42578125" style="24" customWidth="1"/>
    <col min="5913" max="5913" width="5" style="24" bestFit="1" customWidth="1"/>
    <col min="5914" max="5914" width="4.5703125" style="24" bestFit="1" customWidth="1"/>
    <col min="5915" max="5915" width="4.42578125" style="24" bestFit="1" customWidth="1"/>
    <col min="5916" max="5916" width="4" style="24" customWidth="1"/>
    <col min="5917" max="6144" width="11.42578125" style="24"/>
    <col min="6145" max="6145" width="14.85546875" style="24" bestFit="1" customWidth="1"/>
    <col min="6146" max="6146" width="28" style="24" bestFit="1" customWidth="1"/>
    <col min="6147" max="6147" width="4.42578125" style="24" bestFit="1" customWidth="1"/>
    <col min="6148" max="6148" width="8" style="24" bestFit="1" customWidth="1"/>
    <col min="6149" max="6149" width="11.42578125" style="24"/>
    <col min="6150" max="6150" width="22.85546875" style="24" bestFit="1" customWidth="1"/>
    <col min="6151" max="6151" width="7" style="24" customWidth="1"/>
    <col min="6152" max="6152" width="6.28515625" style="24" customWidth="1"/>
    <col min="6153" max="6153" width="5.7109375" style="24" customWidth="1"/>
    <col min="6154" max="6154" width="5.7109375" style="24" bestFit="1" customWidth="1"/>
    <col min="6155" max="6155" width="5.85546875" style="24" bestFit="1" customWidth="1"/>
    <col min="6156" max="6156" width="9.42578125" style="24" customWidth="1"/>
    <col min="6157" max="6157" width="5.140625" style="24" customWidth="1"/>
    <col min="6158" max="6158" width="9.7109375" style="24" customWidth="1"/>
    <col min="6159" max="6159" width="6.7109375" style="24" bestFit="1" customWidth="1"/>
    <col min="6160" max="6160" width="4.85546875" style="24" customWidth="1"/>
    <col min="6161" max="6161" width="5.28515625" style="24" customWidth="1"/>
    <col min="6162" max="6163" width="4.42578125" style="24" bestFit="1" customWidth="1"/>
    <col min="6164" max="6164" width="13.28515625" style="24" bestFit="1" customWidth="1"/>
    <col min="6165" max="6165" width="3.140625" style="24" customWidth="1"/>
    <col min="6166" max="6166" width="5.42578125" style="24" bestFit="1" customWidth="1"/>
    <col min="6167" max="6167" width="4.42578125" style="24" bestFit="1" customWidth="1"/>
    <col min="6168" max="6168" width="6.42578125" style="24" customWidth="1"/>
    <col min="6169" max="6169" width="5" style="24" bestFit="1" customWidth="1"/>
    <col min="6170" max="6170" width="4.5703125" style="24" bestFit="1" customWidth="1"/>
    <col min="6171" max="6171" width="4.42578125" style="24" bestFit="1" customWidth="1"/>
    <col min="6172" max="6172" width="4" style="24" customWidth="1"/>
    <col min="6173" max="6400" width="11.42578125" style="24"/>
    <col min="6401" max="6401" width="14.85546875" style="24" bestFit="1" customWidth="1"/>
    <col min="6402" max="6402" width="28" style="24" bestFit="1" customWidth="1"/>
    <col min="6403" max="6403" width="4.42578125" style="24" bestFit="1" customWidth="1"/>
    <col min="6404" max="6404" width="8" style="24" bestFit="1" customWidth="1"/>
    <col min="6405" max="6405" width="11.42578125" style="24"/>
    <col min="6406" max="6406" width="22.85546875" style="24" bestFit="1" customWidth="1"/>
    <col min="6407" max="6407" width="7" style="24" customWidth="1"/>
    <col min="6408" max="6408" width="6.28515625" style="24" customWidth="1"/>
    <col min="6409" max="6409" width="5.7109375" style="24" customWidth="1"/>
    <col min="6410" max="6410" width="5.7109375" style="24" bestFit="1" customWidth="1"/>
    <col min="6411" max="6411" width="5.85546875" style="24" bestFit="1" customWidth="1"/>
    <col min="6412" max="6412" width="9.42578125" style="24" customWidth="1"/>
    <col min="6413" max="6413" width="5.140625" style="24" customWidth="1"/>
    <col min="6414" max="6414" width="9.7109375" style="24" customWidth="1"/>
    <col min="6415" max="6415" width="6.7109375" style="24" bestFit="1" customWidth="1"/>
    <col min="6416" max="6416" width="4.85546875" style="24" customWidth="1"/>
    <col min="6417" max="6417" width="5.28515625" style="24" customWidth="1"/>
    <col min="6418" max="6419" width="4.42578125" style="24" bestFit="1" customWidth="1"/>
    <col min="6420" max="6420" width="13.28515625" style="24" bestFit="1" customWidth="1"/>
    <col min="6421" max="6421" width="3.140625" style="24" customWidth="1"/>
    <col min="6422" max="6422" width="5.42578125" style="24" bestFit="1" customWidth="1"/>
    <col min="6423" max="6423" width="4.42578125" style="24" bestFit="1" customWidth="1"/>
    <col min="6424" max="6424" width="6.42578125" style="24" customWidth="1"/>
    <col min="6425" max="6425" width="5" style="24" bestFit="1" customWidth="1"/>
    <col min="6426" max="6426" width="4.5703125" style="24" bestFit="1" customWidth="1"/>
    <col min="6427" max="6427" width="4.42578125" style="24" bestFit="1" customWidth="1"/>
    <col min="6428" max="6428" width="4" style="24" customWidth="1"/>
    <col min="6429" max="6656" width="11.42578125" style="24"/>
    <col min="6657" max="6657" width="14.85546875" style="24" bestFit="1" customWidth="1"/>
    <col min="6658" max="6658" width="28" style="24" bestFit="1" customWidth="1"/>
    <col min="6659" max="6659" width="4.42578125" style="24" bestFit="1" customWidth="1"/>
    <col min="6660" max="6660" width="8" style="24" bestFit="1" customWidth="1"/>
    <col min="6661" max="6661" width="11.42578125" style="24"/>
    <col min="6662" max="6662" width="22.85546875" style="24" bestFit="1" customWidth="1"/>
    <col min="6663" max="6663" width="7" style="24" customWidth="1"/>
    <col min="6664" max="6664" width="6.28515625" style="24" customWidth="1"/>
    <col min="6665" max="6665" width="5.7109375" style="24" customWidth="1"/>
    <col min="6666" max="6666" width="5.7109375" style="24" bestFit="1" customWidth="1"/>
    <col min="6667" max="6667" width="5.85546875" style="24" bestFit="1" customWidth="1"/>
    <col min="6668" max="6668" width="9.42578125" style="24" customWidth="1"/>
    <col min="6669" max="6669" width="5.140625" style="24" customWidth="1"/>
    <col min="6670" max="6670" width="9.7109375" style="24" customWidth="1"/>
    <col min="6671" max="6671" width="6.7109375" style="24" bestFit="1" customWidth="1"/>
    <col min="6672" max="6672" width="4.85546875" style="24" customWidth="1"/>
    <col min="6673" max="6673" width="5.28515625" style="24" customWidth="1"/>
    <col min="6674" max="6675" width="4.42578125" style="24" bestFit="1" customWidth="1"/>
    <col min="6676" max="6676" width="13.28515625" style="24" bestFit="1" customWidth="1"/>
    <col min="6677" max="6677" width="3.140625" style="24" customWidth="1"/>
    <col min="6678" max="6678" width="5.42578125" style="24" bestFit="1" customWidth="1"/>
    <col min="6679" max="6679" width="4.42578125" style="24" bestFit="1" customWidth="1"/>
    <col min="6680" max="6680" width="6.42578125" style="24" customWidth="1"/>
    <col min="6681" max="6681" width="5" style="24" bestFit="1" customWidth="1"/>
    <col min="6682" max="6682" width="4.5703125" style="24" bestFit="1" customWidth="1"/>
    <col min="6683" max="6683" width="4.42578125" style="24" bestFit="1" customWidth="1"/>
    <col min="6684" max="6684" width="4" style="24" customWidth="1"/>
    <col min="6685" max="6912" width="11.42578125" style="24"/>
    <col min="6913" max="6913" width="14.85546875" style="24" bestFit="1" customWidth="1"/>
    <col min="6914" max="6914" width="28" style="24" bestFit="1" customWidth="1"/>
    <col min="6915" max="6915" width="4.42578125" style="24" bestFit="1" customWidth="1"/>
    <col min="6916" max="6916" width="8" style="24" bestFit="1" customWidth="1"/>
    <col min="6917" max="6917" width="11.42578125" style="24"/>
    <col min="6918" max="6918" width="22.85546875" style="24" bestFit="1" customWidth="1"/>
    <col min="6919" max="6919" width="7" style="24" customWidth="1"/>
    <col min="6920" max="6920" width="6.28515625" style="24" customWidth="1"/>
    <col min="6921" max="6921" width="5.7109375" style="24" customWidth="1"/>
    <col min="6922" max="6922" width="5.7109375" style="24" bestFit="1" customWidth="1"/>
    <col min="6923" max="6923" width="5.85546875" style="24" bestFit="1" customWidth="1"/>
    <col min="6924" max="6924" width="9.42578125" style="24" customWidth="1"/>
    <col min="6925" max="6925" width="5.140625" style="24" customWidth="1"/>
    <col min="6926" max="6926" width="9.7109375" style="24" customWidth="1"/>
    <col min="6927" max="6927" width="6.7109375" style="24" bestFit="1" customWidth="1"/>
    <col min="6928" max="6928" width="4.85546875" style="24" customWidth="1"/>
    <col min="6929" max="6929" width="5.28515625" style="24" customWidth="1"/>
    <col min="6930" max="6931" width="4.42578125" style="24" bestFit="1" customWidth="1"/>
    <col min="6932" max="6932" width="13.28515625" style="24" bestFit="1" customWidth="1"/>
    <col min="6933" max="6933" width="3.140625" style="24" customWidth="1"/>
    <col min="6934" max="6934" width="5.42578125" style="24" bestFit="1" customWidth="1"/>
    <col min="6935" max="6935" width="4.42578125" style="24" bestFit="1" customWidth="1"/>
    <col min="6936" max="6936" width="6.42578125" style="24" customWidth="1"/>
    <col min="6937" max="6937" width="5" style="24" bestFit="1" customWidth="1"/>
    <col min="6938" max="6938" width="4.5703125" style="24" bestFit="1" customWidth="1"/>
    <col min="6939" max="6939" width="4.42578125" style="24" bestFit="1" customWidth="1"/>
    <col min="6940" max="6940" width="4" style="24" customWidth="1"/>
    <col min="6941" max="7168" width="11.42578125" style="24"/>
    <col min="7169" max="7169" width="14.85546875" style="24" bestFit="1" customWidth="1"/>
    <col min="7170" max="7170" width="28" style="24" bestFit="1" customWidth="1"/>
    <col min="7171" max="7171" width="4.42578125" style="24" bestFit="1" customWidth="1"/>
    <col min="7172" max="7172" width="8" style="24" bestFit="1" customWidth="1"/>
    <col min="7173" max="7173" width="11.42578125" style="24"/>
    <col min="7174" max="7174" width="22.85546875" style="24" bestFit="1" customWidth="1"/>
    <col min="7175" max="7175" width="7" style="24" customWidth="1"/>
    <col min="7176" max="7176" width="6.28515625" style="24" customWidth="1"/>
    <col min="7177" max="7177" width="5.7109375" style="24" customWidth="1"/>
    <col min="7178" max="7178" width="5.7109375" style="24" bestFit="1" customWidth="1"/>
    <col min="7179" max="7179" width="5.85546875" style="24" bestFit="1" customWidth="1"/>
    <col min="7180" max="7180" width="9.42578125" style="24" customWidth="1"/>
    <col min="7181" max="7181" width="5.140625" style="24" customWidth="1"/>
    <col min="7182" max="7182" width="9.7109375" style="24" customWidth="1"/>
    <col min="7183" max="7183" width="6.7109375" style="24" bestFit="1" customWidth="1"/>
    <col min="7184" max="7184" width="4.85546875" style="24" customWidth="1"/>
    <col min="7185" max="7185" width="5.28515625" style="24" customWidth="1"/>
    <col min="7186" max="7187" width="4.42578125" style="24" bestFit="1" customWidth="1"/>
    <col min="7188" max="7188" width="13.28515625" style="24" bestFit="1" customWidth="1"/>
    <col min="7189" max="7189" width="3.140625" style="24" customWidth="1"/>
    <col min="7190" max="7190" width="5.42578125" style="24" bestFit="1" customWidth="1"/>
    <col min="7191" max="7191" width="4.42578125" style="24" bestFit="1" customWidth="1"/>
    <col min="7192" max="7192" width="6.42578125" style="24" customWidth="1"/>
    <col min="7193" max="7193" width="5" style="24" bestFit="1" customWidth="1"/>
    <col min="7194" max="7194" width="4.5703125" style="24" bestFit="1" customWidth="1"/>
    <col min="7195" max="7195" width="4.42578125" style="24" bestFit="1" customWidth="1"/>
    <col min="7196" max="7196" width="4" style="24" customWidth="1"/>
    <col min="7197" max="7424" width="11.42578125" style="24"/>
    <col min="7425" max="7425" width="14.85546875" style="24" bestFit="1" customWidth="1"/>
    <col min="7426" max="7426" width="28" style="24" bestFit="1" customWidth="1"/>
    <col min="7427" max="7427" width="4.42578125" style="24" bestFit="1" customWidth="1"/>
    <col min="7428" max="7428" width="8" style="24" bestFit="1" customWidth="1"/>
    <col min="7429" max="7429" width="11.42578125" style="24"/>
    <col min="7430" max="7430" width="22.85546875" style="24" bestFit="1" customWidth="1"/>
    <col min="7431" max="7431" width="7" style="24" customWidth="1"/>
    <col min="7432" max="7432" width="6.28515625" style="24" customWidth="1"/>
    <col min="7433" max="7433" width="5.7109375" style="24" customWidth="1"/>
    <col min="7434" max="7434" width="5.7109375" style="24" bestFit="1" customWidth="1"/>
    <col min="7435" max="7435" width="5.85546875" style="24" bestFit="1" customWidth="1"/>
    <col min="7436" max="7436" width="9.42578125" style="24" customWidth="1"/>
    <col min="7437" max="7437" width="5.140625" style="24" customWidth="1"/>
    <col min="7438" max="7438" width="9.7109375" style="24" customWidth="1"/>
    <col min="7439" max="7439" width="6.7109375" style="24" bestFit="1" customWidth="1"/>
    <col min="7440" max="7440" width="4.85546875" style="24" customWidth="1"/>
    <col min="7441" max="7441" width="5.28515625" style="24" customWidth="1"/>
    <col min="7442" max="7443" width="4.42578125" style="24" bestFit="1" customWidth="1"/>
    <col min="7444" max="7444" width="13.28515625" style="24" bestFit="1" customWidth="1"/>
    <col min="7445" max="7445" width="3.140625" style="24" customWidth="1"/>
    <col min="7446" max="7446" width="5.42578125" style="24" bestFit="1" customWidth="1"/>
    <col min="7447" max="7447" width="4.42578125" style="24" bestFit="1" customWidth="1"/>
    <col min="7448" max="7448" width="6.42578125" style="24" customWidth="1"/>
    <col min="7449" max="7449" width="5" style="24" bestFit="1" customWidth="1"/>
    <col min="7450" max="7450" width="4.5703125" style="24" bestFit="1" customWidth="1"/>
    <col min="7451" max="7451" width="4.42578125" style="24" bestFit="1" customWidth="1"/>
    <col min="7452" max="7452" width="4" style="24" customWidth="1"/>
    <col min="7453" max="7680" width="11.42578125" style="24"/>
    <col min="7681" max="7681" width="14.85546875" style="24" bestFit="1" customWidth="1"/>
    <col min="7682" max="7682" width="28" style="24" bestFit="1" customWidth="1"/>
    <col min="7683" max="7683" width="4.42578125" style="24" bestFit="1" customWidth="1"/>
    <col min="7684" max="7684" width="8" style="24" bestFit="1" customWidth="1"/>
    <col min="7685" max="7685" width="11.42578125" style="24"/>
    <col min="7686" max="7686" width="22.85546875" style="24" bestFit="1" customWidth="1"/>
    <col min="7687" max="7687" width="7" style="24" customWidth="1"/>
    <col min="7688" max="7688" width="6.28515625" style="24" customWidth="1"/>
    <col min="7689" max="7689" width="5.7109375" style="24" customWidth="1"/>
    <col min="7690" max="7690" width="5.7109375" style="24" bestFit="1" customWidth="1"/>
    <col min="7691" max="7691" width="5.85546875" style="24" bestFit="1" customWidth="1"/>
    <col min="7692" max="7692" width="9.42578125" style="24" customWidth="1"/>
    <col min="7693" max="7693" width="5.140625" style="24" customWidth="1"/>
    <col min="7694" max="7694" width="9.7109375" style="24" customWidth="1"/>
    <col min="7695" max="7695" width="6.7109375" style="24" bestFit="1" customWidth="1"/>
    <col min="7696" max="7696" width="4.85546875" style="24" customWidth="1"/>
    <col min="7697" max="7697" width="5.28515625" style="24" customWidth="1"/>
    <col min="7698" max="7699" width="4.42578125" style="24" bestFit="1" customWidth="1"/>
    <col min="7700" max="7700" width="13.28515625" style="24" bestFit="1" customWidth="1"/>
    <col min="7701" max="7701" width="3.140625" style="24" customWidth="1"/>
    <col min="7702" max="7702" width="5.42578125" style="24" bestFit="1" customWidth="1"/>
    <col min="7703" max="7703" width="4.42578125" style="24" bestFit="1" customWidth="1"/>
    <col min="7704" max="7704" width="6.42578125" style="24" customWidth="1"/>
    <col min="7705" max="7705" width="5" style="24" bestFit="1" customWidth="1"/>
    <col min="7706" max="7706" width="4.5703125" style="24" bestFit="1" customWidth="1"/>
    <col min="7707" max="7707" width="4.42578125" style="24" bestFit="1" customWidth="1"/>
    <col min="7708" max="7708" width="4" style="24" customWidth="1"/>
    <col min="7709" max="7936" width="11.42578125" style="24"/>
    <col min="7937" max="7937" width="14.85546875" style="24" bestFit="1" customWidth="1"/>
    <col min="7938" max="7938" width="28" style="24" bestFit="1" customWidth="1"/>
    <col min="7939" max="7939" width="4.42578125" style="24" bestFit="1" customWidth="1"/>
    <col min="7940" max="7940" width="8" style="24" bestFit="1" customWidth="1"/>
    <col min="7941" max="7941" width="11.42578125" style="24"/>
    <col min="7942" max="7942" width="22.85546875" style="24" bestFit="1" customWidth="1"/>
    <col min="7943" max="7943" width="7" style="24" customWidth="1"/>
    <col min="7944" max="7944" width="6.28515625" style="24" customWidth="1"/>
    <col min="7945" max="7945" width="5.7109375" style="24" customWidth="1"/>
    <col min="7946" max="7946" width="5.7109375" style="24" bestFit="1" customWidth="1"/>
    <col min="7947" max="7947" width="5.85546875" style="24" bestFit="1" customWidth="1"/>
    <col min="7948" max="7948" width="9.42578125" style="24" customWidth="1"/>
    <col min="7949" max="7949" width="5.140625" style="24" customWidth="1"/>
    <col min="7950" max="7950" width="9.7109375" style="24" customWidth="1"/>
    <col min="7951" max="7951" width="6.7109375" style="24" bestFit="1" customWidth="1"/>
    <col min="7952" max="7952" width="4.85546875" style="24" customWidth="1"/>
    <col min="7953" max="7953" width="5.28515625" style="24" customWidth="1"/>
    <col min="7954" max="7955" width="4.42578125" style="24" bestFit="1" customWidth="1"/>
    <col min="7956" max="7956" width="13.28515625" style="24" bestFit="1" customWidth="1"/>
    <col min="7957" max="7957" width="3.140625" style="24" customWidth="1"/>
    <col min="7958" max="7958" width="5.42578125" style="24" bestFit="1" customWidth="1"/>
    <col min="7959" max="7959" width="4.42578125" style="24" bestFit="1" customWidth="1"/>
    <col min="7960" max="7960" width="6.42578125" style="24" customWidth="1"/>
    <col min="7961" max="7961" width="5" style="24" bestFit="1" customWidth="1"/>
    <col min="7962" max="7962" width="4.5703125" style="24" bestFit="1" customWidth="1"/>
    <col min="7963" max="7963" width="4.42578125" style="24" bestFit="1" customWidth="1"/>
    <col min="7964" max="7964" width="4" style="24" customWidth="1"/>
    <col min="7965" max="8192" width="11.42578125" style="24"/>
    <col min="8193" max="8193" width="14.85546875" style="24" bestFit="1" customWidth="1"/>
    <col min="8194" max="8194" width="28" style="24" bestFit="1" customWidth="1"/>
    <col min="8195" max="8195" width="4.42578125" style="24" bestFit="1" customWidth="1"/>
    <col min="8196" max="8196" width="8" style="24" bestFit="1" customWidth="1"/>
    <col min="8197" max="8197" width="11.42578125" style="24"/>
    <col min="8198" max="8198" width="22.85546875" style="24" bestFit="1" customWidth="1"/>
    <col min="8199" max="8199" width="7" style="24" customWidth="1"/>
    <col min="8200" max="8200" width="6.28515625" style="24" customWidth="1"/>
    <col min="8201" max="8201" width="5.7109375" style="24" customWidth="1"/>
    <col min="8202" max="8202" width="5.7109375" style="24" bestFit="1" customWidth="1"/>
    <col min="8203" max="8203" width="5.85546875" style="24" bestFit="1" customWidth="1"/>
    <col min="8204" max="8204" width="9.42578125" style="24" customWidth="1"/>
    <col min="8205" max="8205" width="5.140625" style="24" customWidth="1"/>
    <col min="8206" max="8206" width="9.7109375" style="24" customWidth="1"/>
    <col min="8207" max="8207" width="6.7109375" style="24" bestFit="1" customWidth="1"/>
    <col min="8208" max="8208" width="4.85546875" style="24" customWidth="1"/>
    <col min="8209" max="8209" width="5.28515625" style="24" customWidth="1"/>
    <col min="8210" max="8211" width="4.42578125" style="24" bestFit="1" customWidth="1"/>
    <col min="8212" max="8212" width="13.28515625" style="24" bestFit="1" customWidth="1"/>
    <col min="8213" max="8213" width="3.140625" style="24" customWidth="1"/>
    <col min="8214" max="8214" width="5.42578125" style="24" bestFit="1" customWidth="1"/>
    <col min="8215" max="8215" width="4.42578125" style="24" bestFit="1" customWidth="1"/>
    <col min="8216" max="8216" width="6.42578125" style="24" customWidth="1"/>
    <col min="8217" max="8217" width="5" style="24" bestFit="1" customWidth="1"/>
    <col min="8218" max="8218" width="4.5703125" style="24" bestFit="1" customWidth="1"/>
    <col min="8219" max="8219" width="4.42578125" style="24" bestFit="1" customWidth="1"/>
    <col min="8220" max="8220" width="4" style="24" customWidth="1"/>
    <col min="8221" max="8448" width="11.42578125" style="24"/>
    <col min="8449" max="8449" width="14.85546875" style="24" bestFit="1" customWidth="1"/>
    <col min="8450" max="8450" width="28" style="24" bestFit="1" customWidth="1"/>
    <col min="8451" max="8451" width="4.42578125" style="24" bestFit="1" customWidth="1"/>
    <col min="8452" max="8452" width="8" style="24" bestFit="1" customWidth="1"/>
    <col min="8453" max="8453" width="11.42578125" style="24"/>
    <col min="8454" max="8454" width="22.85546875" style="24" bestFit="1" customWidth="1"/>
    <col min="8455" max="8455" width="7" style="24" customWidth="1"/>
    <col min="8456" max="8456" width="6.28515625" style="24" customWidth="1"/>
    <col min="8457" max="8457" width="5.7109375" style="24" customWidth="1"/>
    <col min="8458" max="8458" width="5.7109375" style="24" bestFit="1" customWidth="1"/>
    <col min="8459" max="8459" width="5.85546875" style="24" bestFit="1" customWidth="1"/>
    <col min="8460" max="8460" width="9.42578125" style="24" customWidth="1"/>
    <col min="8461" max="8461" width="5.140625" style="24" customWidth="1"/>
    <col min="8462" max="8462" width="9.7109375" style="24" customWidth="1"/>
    <col min="8463" max="8463" width="6.7109375" style="24" bestFit="1" customWidth="1"/>
    <col min="8464" max="8464" width="4.85546875" style="24" customWidth="1"/>
    <col min="8465" max="8465" width="5.28515625" style="24" customWidth="1"/>
    <col min="8466" max="8467" width="4.42578125" style="24" bestFit="1" customWidth="1"/>
    <col min="8468" max="8468" width="13.28515625" style="24" bestFit="1" customWidth="1"/>
    <col min="8469" max="8469" width="3.140625" style="24" customWidth="1"/>
    <col min="8470" max="8470" width="5.42578125" style="24" bestFit="1" customWidth="1"/>
    <col min="8471" max="8471" width="4.42578125" style="24" bestFit="1" customWidth="1"/>
    <col min="8472" max="8472" width="6.42578125" style="24" customWidth="1"/>
    <col min="8473" max="8473" width="5" style="24" bestFit="1" customWidth="1"/>
    <col min="8474" max="8474" width="4.5703125" style="24" bestFit="1" customWidth="1"/>
    <col min="8475" max="8475" width="4.42578125" style="24" bestFit="1" customWidth="1"/>
    <col min="8476" max="8476" width="4" style="24" customWidth="1"/>
    <col min="8477" max="8704" width="11.42578125" style="24"/>
    <col min="8705" max="8705" width="14.85546875" style="24" bestFit="1" customWidth="1"/>
    <col min="8706" max="8706" width="28" style="24" bestFit="1" customWidth="1"/>
    <col min="8707" max="8707" width="4.42578125" style="24" bestFit="1" customWidth="1"/>
    <col min="8708" max="8708" width="8" style="24" bestFit="1" customWidth="1"/>
    <col min="8709" max="8709" width="11.42578125" style="24"/>
    <col min="8710" max="8710" width="22.85546875" style="24" bestFit="1" customWidth="1"/>
    <col min="8711" max="8711" width="7" style="24" customWidth="1"/>
    <col min="8712" max="8712" width="6.28515625" style="24" customWidth="1"/>
    <col min="8713" max="8713" width="5.7109375" style="24" customWidth="1"/>
    <col min="8714" max="8714" width="5.7109375" style="24" bestFit="1" customWidth="1"/>
    <col min="8715" max="8715" width="5.85546875" style="24" bestFit="1" customWidth="1"/>
    <col min="8716" max="8716" width="9.42578125" style="24" customWidth="1"/>
    <col min="8717" max="8717" width="5.140625" style="24" customWidth="1"/>
    <col min="8718" max="8718" width="9.7109375" style="24" customWidth="1"/>
    <col min="8719" max="8719" width="6.7109375" style="24" bestFit="1" customWidth="1"/>
    <col min="8720" max="8720" width="4.85546875" style="24" customWidth="1"/>
    <col min="8721" max="8721" width="5.28515625" style="24" customWidth="1"/>
    <col min="8722" max="8723" width="4.42578125" style="24" bestFit="1" customWidth="1"/>
    <col min="8724" max="8724" width="13.28515625" style="24" bestFit="1" customWidth="1"/>
    <col min="8725" max="8725" width="3.140625" style="24" customWidth="1"/>
    <col min="8726" max="8726" width="5.42578125" style="24" bestFit="1" customWidth="1"/>
    <col min="8727" max="8727" width="4.42578125" style="24" bestFit="1" customWidth="1"/>
    <col min="8728" max="8728" width="6.42578125" style="24" customWidth="1"/>
    <col min="8729" max="8729" width="5" style="24" bestFit="1" customWidth="1"/>
    <col min="8730" max="8730" width="4.5703125" style="24" bestFit="1" customWidth="1"/>
    <col min="8731" max="8731" width="4.42578125" style="24" bestFit="1" customWidth="1"/>
    <col min="8732" max="8732" width="4" style="24" customWidth="1"/>
    <col min="8733" max="8960" width="11.42578125" style="24"/>
    <col min="8961" max="8961" width="14.85546875" style="24" bestFit="1" customWidth="1"/>
    <col min="8962" max="8962" width="28" style="24" bestFit="1" customWidth="1"/>
    <col min="8963" max="8963" width="4.42578125" style="24" bestFit="1" customWidth="1"/>
    <col min="8964" max="8964" width="8" style="24" bestFit="1" customWidth="1"/>
    <col min="8965" max="8965" width="11.42578125" style="24"/>
    <col min="8966" max="8966" width="22.85546875" style="24" bestFit="1" customWidth="1"/>
    <col min="8967" max="8967" width="7" style="24" customWidth="1"/>
    <col min="8968" max="8968" width="6.28515625" style="24" customWidth="1"/>
    <col min="8969" max="8969" width="5.7109375" style="24" customWidth="1"/>
    <col min="8970" max="8970" width="5.7109375" style="24" bestFit="1" customWidth="1"/>
    <col min="8971" max="8971" width="5.85546875" style="24" bestFit="1" customWidth="1"/>
    <col min="8972" max="8972" width="9.42578125" style="24" customWidth="1"/>
    <col min="8973" max="8973" width="5.140625" style="24" customWidth="1"/>
    <col min="8974" max="8974" width="9.7109375" style="24" customWidth="1"/>
    <col min="8975" max="8975" width="6.7109375" style="24" bestFit="1" customWidth="1"/>
    <col min="8976" max="8976" width="4.85546875" style="24" customWidth="1"/>
    <col min="8977" max="8977" width="5.28515625" style="24" customWidth="1"/>
    <col min="8978" max="8979" width="4.42578125" style="24" bestFit="1" customWidth="1"/>
    <col min="8980" max="8980" width="13.28515625" style="24" bestFit="1" customWidth="1"/>
    <col min="8981" max="8981" width="3.140625" style="24" customWidth="1"/>
    <col min="8982" max="8982" width="5.42578125" style="24" bestFit="1" customWidth="1"/>
    <col min="8983" max="8983" width="4.42578125" style="24" bestFit="1" customWidth="1"/>
    <col min="8984" max="8984" width="6.42578125" style="24" customWidth="1"/>
    <col min="8985" max="8985" width="5" style="24" bestFit="1" customWidth="1"/>
    <col min="8986" max="8986" width="4.5703125" style="24" bestFit="1" customWidth="1"/>
    <col min="8987" max="8987" width="4.42578125" style="24" bestFit="1" customWidth="1"/>
    <col min="8988" max="8988" width="4" style="24" customWidth="1"/>
    <col min="8989" max="9216" width="11.42578125" style="24"/>
    <col min="9217" max="9217" width="14.85546875" style="24" bestFit="1" customWidth="1"/>
    <col min="9218" max="9218" width="28" style="24" bestFit="1" customWidth="1"/>
    <col min="9219" max="9219" width="4.42578125" style="24" bestFit="1" customWidth="1"/>
    <col min="9220" max="9220" width="8" style="24" bestFit="1" customWidth="1"/>
    <col min="9221" max="9221" width="11.42578125" style="24"/>
    <col min="9222" max="9222" width="22.85546875" style="24" bestFit="1" customWidth="1"/>
    <col min="9223" max="9223" width="7" style="24" customWidth="1"/>
    <col min="9224" max="9224" width="6.28515625" style="24" customWidth="1"/>
    <col min="9225" max="9225" width="5.7109375" style="24" customWidth="1"/>
    <col min="9226" max="9226" width="5.7109375" style="24" bestFit="1" customWidth="1"/>
    <col min="9227" max="9227" width="5.85546875" style="24" bestFit="1" customWidth="1"/>
    <col min="9228" max="9228" width="9.42578125" style="24" customWidth="1"/>
    <col min="9229" max="9229" width="5.140625" style="24" customWidth="1"/>
    <col min="9230" max="9230" width="9.7109375" style="24" customWidth="1"/>
    <col min="9231" max="9231" width="6.7109375" style="24" bestFit="1" customWidth="1"/>
    <col min="9232" max="9232" width="4.85546875" style="24" customWidth="1"/>
    <col min="9233" max="9233" width="5.28515625" style="24" customWidth="1"/>
    <col min="9234" max="9235" width="4.42578125" style="24" bestFit="1" customWidth="1"/>
    <col min="9236" max="9236" width="13.28515625" style="24" bestFit="1" customWidth="1"/>
    <col min="9237" max="9237" width="3.140625" style="24" customWidth="1"/>
    <col min="9238" max="9238" width="5.42578125" style="24" bestFit="1" customWidth="1"/>
    <col min="9239" max="9239" width="4.42578125" style="24" bestFit="1" customWidth="1"/>
    <col min="9240" max="9240" width="6.42578125" style="24" customWidth="1"/>
    <col min="9241" max="9241" width="5" style="24" bestFit="1" customWidth="1"/>
    <col min="9242" max="9242" width="4.5703125" style="24" bestFit="1" customWidth="1"/>
    <col min="9243" max="9243" width="4.42578125" style="24" bestFit="1" customWidth="1"/>
    <col min="9244" max="9244" width="4" style="24" customWidth="1"/>
    <col min="9245" max="9472" width="11.42578125" style="24"/>
    <col min="9473" max="9473" width="14.85546875" style="24" bestFit="1" customWidth="1"/>
    <col min="9474" max="9474" width="28" style="24" bestFit="1" customWidth="1"/>
    <col min="9475" max="9475" width="4.42578125" style="24" bestFit="1" customWidth="1"/>
    <col min="9476" max="9476" width="8" style="24" bestFit="1" customWidth="1"/>
    <col min="9477" max="9477" width="11.42578125" style="24"/>
    <col min="9478" max="9478" width="22.85546875" style="24" bestFit="1" customWidth="1"/>
    <col min="9479" max="9479" width="7" style="24" customWidth="1"/>
    <col min="9480" max="9480" width="6.28515625" style="24" customWidth="1"/>
    <col min="9481" max="9481" width="5.7109375" style="24" customWidth="1"/>
    <col min="9482" max="9482" width="5.7109375" style="24" bestFit="1" customWidth="1"/>
    <col min="9483" max="9483" width="5.85546875" style="24" bestFit="1" customWidth="1"/>
    <col min="9484" max="9484" width="9.42578125" style="24" customWidth="1"/>
    <col min="9485" max="9485" width="5.140625" style="24" customWidth="1"/>
    <col min="9486" max="9486" width="9.7109375" style="24" customWidth="1"/>
    <col min="9487" max="9487" width="6.7109375" style="24" bestFit="1" customWidth="1"/>
    <col min="9488" max="9488" width="4.85546875" style="24" customWidth="1"/>
    <col min="9489" max="9489" width="5.28515625" style="24" customWidth="1"/>
    <col min="9490" max="9491" width="4.42578125" style="24" bestFit="1" customWidth="1"/>
    <col min="9492" max="9492" width="13.28515625" style="24" bestFit="1" customWidth="1"/>
    <col min="9493" max="9493" width="3.140625" style="24" customWidth="1"/>
    <col min="9494" max="9494" width="5.42578125" style="24" bestFit="1" customWidth="1"/>
    <col min="9495" max="9495" width="4.42578125" style="24" bestFit="1" customWidth="1"/>
    <col min="9496" max="9496" width="6.42578125" style="24" customWidth="1"/>
    <col min="9497" max="9497" width="5" style="24" bestFit="1" customWidth="1"/>
    <col min="9498" max="9498" width="4.5703125" style="24" bestFit="1" customWidth="1"/>
    <col min="9499" max="9499" width="4.42578125" style="24" bestFit="1" customWidth="1"/>
    <col min="9500" max="9500" width="4" style="24" customWidth="1"/>
    <col min="9501" max="9728" width="11.42578125" style="24"/>
    <col min="9729" max="9729" width="14.85546875" style="24" bestFit="1" customWidth="1"/>
    <col min="9730" max="9730" width="28" style="24" bestFit="1" customWidth="1"/>
    <col min="9731" max="9731" width="4.42578125" style="24" bestFit="1" customWidth="1"/>
    <col min="9732" max="9732" width="8" style="24" bestFit="1" customWidth="1"/>
    <col min="9733" max="9733" width="11.42578125" style="24"/>
    <col min="9734" max="9734" width="22.85546875" style="24" bestFit="1" customWidth="1"/>
    <col min="9735" max="9735" width="7" style="24" customWidth="1"/>
    <col min="9736" max="9736" width="6.28515625" style="24" customWidth="1"/>
    <col min="9737" max="9737" width="5.7109375" style="24" customWidth="1"/>
    <col min="9738" max="9738" width="5.7109375" style="24" bestFit="1" customWidth="1"/>
    <col min="9739" max="9739" width="5.85546875" style="24" bestFit="1" customWidth="1"/>
    <col min="9740" max="9740" width="9.42578125" style="24" customWidth="1"/>
    <col min="9741" max="9741" width="5.140625" style="24" customWidth="1"/>
    <col min="9742" max="9742" width="9.7109375" style="24" customWidth="1"/>
    <col min="9743" max="9743" width="6.7109375" style="24" bestFit="1" customWidth="1"/>
    <col min="9744" max="9744" width="4.85546875" style="24" customWidth="1"/>
    <col min="9745" max="9745" width="5.28515625" style="24" customWidth="1"/>
    <col min="9746" max="9747" width="4.42578125" style="24" bestFit="1" customWidth="1"/>
    <col min="9748" max="9748" width="13.28515625" style="24" bestFit="1" customWidth="1"/>
    <col min="9749" max="9749" width="3.140625" style="24" customWidth="1"/>
    <col min="9750" max="9750" width="5.42578125" style="24" bestFit="1" customWidth="1"/>
    <col min="9751" max="9751" width="4.42578125" style="24" bestFit="1" customWidth="1"/>
    <col min="9752" max="9752" width="6.42578125" style="24" customWidth="1"/>
    <col min="9753" max="9753" width="5" style="24" bestFit="1" customWidth="1"/>
    <col min="9754" max="9754" width="4.5703125" style="24" bestFit="1" customWidth="1"/>
    <col min="9755" max="9755" width="4.42578125" style="24" bestFit="1" customWidth="1"/>
    <col min="9756" max="9756" width="4" style="24" customWidth="1"/>
    <col min="9757" max="9984" width="11.42578125" style="24"/>
    <col min="9985" max="9985" width="14.85546875" style="24" bestFit="1" customWidth="1"/>
    <col min="9986" max="9986" width="28" style="24" bestFit="1" customWidth="1"/>
    <col min="9987" max="9987" width="4.42578125" style="24" bestFit="1" customWidth="1"/>
    <col min="9988" max="9988" width="8" style="24" bestFit="1" customWidth="1"/>
    <col min="9989" max="9989" width="11.42578125" style="24"/>
    <col min="9990" max="9990" width="22.85546875" style="24" bestFit="1" customWidth="1"/>
    <col min="9991" max="9991" width="7" style="24" customWidth="1"/>
    <col min="9992" max="9992" width="6.28515625" style="24" customWidth="1"/>
    <col min="9993" max="9993" width="5.7109375" style="24" customWidth="1"/>
    <col min="9994" max="9994" width="5.7109375" style="24" bestFit="1" customWidth="1"/>
    <col min="9995" max="9995" width="5.85546875" style="24" bestFit="1" customWidth="1"/>
    <col min="9996" max="9996" width="9.42578125" style="24" customWidth="1"/>
    <col min="9997" max="9997" width="5.140625" style="24" customWidth="1"/>
    <col min="9998" max="9998" width="9.7109375" style="24" customWidth="1"/>
    <col min="9999" max="9999" width="6.7109375" style="24" bestFit="1" customWidth="1"/>
    <col min="10000" max="10000" width="4.85546875" style="24" customWidth="1"/>
    <col min="10001" max="10001" width="5.28515625" style="24" customWidth="1"/>
    <col min="10002" max="10003" width="4.42578125" style="24" bestFit="1" customWidth="1"/>
    <col min="10004" max="10004" width="13.28515625" style="24" bestFit="1" customWidth="1"/>
    <col min="10005" max="10005" width="3.140625" style="24" customWidth="1"/>
    <col min="10006" max="10006" width="5.42578125" style="24" bestFit="1" customWidth="1"/>
    <col min="10007" max="10007" width="4.42578125" style="24" bestFit="1" customWidth="1"/>
    <col min="10008" max="10008" width="6.42578125" style="24" customWidth="1"/>
    <col min="10009" max="10009" width="5" style="24" bestFit="1" customWidth="1"/>
    <col min="10010" max="10010" width="4.5703125" style="24" bestFit="1" customWidth="1"/>
    <col min="10011" max="10011" width="4.42578125" style="24" bestFit="1" customWidth="1"/>
    <col min="10012" max="10012" width="4" style="24" customWidth="1"/>
    <col min="10013" max="10240" width="11.42578125" style="24"/>
    <col min="10241" max="10241" width="14.85546875" style="24" bestFit="1" customWidth="1"/>
    <col min="10242" max="10242" width="28" style="24" bestFit="1" customWidth="1"/>
    <col min="10243" max="10243" width="4.42578125" style="24" bestFit="1" customWidth="1"/>
    <col min="10244" max="10244" width="8" style="24" bestFit="1" customWidth="1"/>
    <col min="10245" max="10245" width="11.42578125" style="24"/>
    <col min="10246" max="10246" width="22.85546875" style="24" bestFit="1" customWidth="1"/>
    <col min="10247" max="10247" width="7" style="24" customWidth="1"/>
    <col min="10248" max="10248" width="6.28515625" style="24" customWidth="1"/>
    <col min="10249" max="10249" width="5.7109375" style="24" customWidth="1"/>
    <col min="10250" max="10250" width="5.7109375" style="24" bestFit="1" customWidth="1"/>
    <col min="10251" max="10251" width="5.85546875" style="24" bestFit="1" customWidth="1"/>
    <col min="10252" max="10252" width="9.42578125" style="24" customWidth="1"/>
    <col min="10253" max="10253" width="5.140625" style="24" customWidth="1"/>
    <col min="10254" max="10254" width="9.7109375" style="24" customWidth="1"/>
    <col min="10255" max="10255" width="6.7109375" style="24" bestFit="1" customWidth="1"/>
    <col min="10256" max="10256" width="4.85546875" style="24" customWidth="1"/>
    <col min="10257" max="10257" width="5.28515625" style="24" customWidth="1"/>
    <col min="10258" max="10259" width="4.42578125" style="24" bestFit="1" customWidth="1"/>
    <col min="10260" max="10260" width="13.28515625" style="24" bestFit="1" customWidth="1"/>
    <col min="10261" max="10261" width="3.140625" style="24" customWidth="1"/>
    <col min="10262" max="10262" width="5.42578125" style="24" bestFit="1" customWidth="1"/>
    <col min="10263" max="10263" width="4.42578125" style="24" bestFit="1" customWidth="1"/>
    <col min="10264" max="10264" width="6.42578125" style="24" customWidth="1"/>
    <col min="10265" max="10265" width="5" style="24" bestFit="1" customWidth="1"/>
    <col min="10266" max="10266" width="4.5703125" style="24" bestFit="1" customWidth="1"/>
    <col min="10267" max="10267" width="4.42578125" style="24" bestFit="1" customWidth="1"/>
    <col min="10268" max="10268" width="4" style="24" customWidth="1"/>
    <col min="10269" max="10496" width="11.42578125" style="24"/>
    <col min="10497" max="10497" width="14.85546875" style="24" bestFit="1" customWidth="1"/>
    <col min="10498" max="10498" width="28" style="24" bestFit="1" customWidth="1"/>
    <col min="10499" max="10499" width="4.42578125" style="24" bestFit="1" customWidth="1"/>
    <col min="10500" max="10500" width="8" style="24" bestFit="1" customWidth="1"/>
    <col min="10501" max="10501" width="11.42578125" style="24"/>
    <col min="10502" max="10502" width="22.85546875" style="24" bestFit="1" customWidth="1"/>
    <col min="10503" max="10503" width="7" style="24" customWidth="1"/>
    <col min="10504" max="10504" width="6.28515625" style="24" customWidth="1"/>
    <col min="10505" max="10505" width="5.7109375" style="24" customWidth="1"/>
    <col min="10506" max="10506" width="5.7109375" style="24" bestFit="1" customWidth="1"/>
    <col min="10507" max="10507" width="5.85546875" style="24" bestFit="1" customWidth="1"/>
    <col min="10508" max="10508" width="9.42578125" style="24" customWidth="1"/>
    <col min="10509" max="10509" width="5.140625" style="24" customWidth="1"/>
    <col min="10510" max="10510" width="9.7109375" style="24" customWidth="1"/>
    <col min="10511" max="10511" width="6.7109375" style="24" bestFit="1" customWidth="1"/>
    <col min="10512" max="10512" width="4.85546875" style="24" customWidth="1"/>
    <col min="10513" max="10513" width="5.28515625" style="24" customWidth="1"/>
    <col min="10514" max="10515" width="4.42578125" style="24" bestFit="1" customWidth="1"/>
    <col min="10516" max="10516" width="13.28515625" style="24" bestFit="1" customWidth="1"/>
    <col min="10517" max="10517" width="3.140625" style="24" customWidth="1"/>
    <col min="10518" max="10518" width="5.42578125" style="24" bestFit="1" customWidth="1"/>
    <col min="10519" max="10519" width="4.42578125" style="24" bestFit="1" customWidth="1"/>
    <col min="10520" max="10520" width="6.42578125" style="24" customWidth="1"/>
    <col min="10521" max="10521" width="5" style="24" bestFit="1" customWidth="1"/>
    <col min="10522" max="10522" width="4.5703125" style="24" bestFit="1" customWidth="1"/>
    <col min="10523" max="10523" width="4.42578125" style="24" bestFit="1" customWidth="1"/>
    <col min="10524" max="10524" width="4" style="24" customWidth="1"/>
    <col min="10525" max="10752" width="11.42578125" style="24"/>
    <col min="10753" max="10753" width="14.85546875" style="24" bestFit="1" customWidth="1"/>
    <col min="10754" max="10754" width="28" style="24" bestFit="1" customWidth="1"/>
    <col min="10755" max="10755" width="4.42578125" style="24" bestFit="1" customWidth="1"/>
    <col min="10756" max="10756" width="8" style="24" bestFit="1" customWidth="1"/>
    <col min="10757" max="10757" width="11.42578125" style="24"/>
    <col min="10758" max="10758" width="22.85546875" style="24" bestFit="1" customWidth="1"/>
    <col min="10759" max="10759" width="7" style="24" customWidth="1"/>
    <col min="10760" max="10760" width="6.28515625" style="24" customWidth="1"/>
    <col min="10761" max="10761" width="5.7109375" style="24" customWidth="1"/>
    <col min="10762" max="10762" width="5.7109375" style="24" bestFit="1" customWidth="1"/>
    <col min="10763" max="10763" width="5.85546875" style="24" bestFit="1" customWidth="1"/>
    <col min="10764" max="10764" width="9.42578125" style="24" customWidth="1"/>
    <col min="10765" max="10765" width="5.140625" style="24" customWidth="1"/>
    <col min="10766" max="10766" width="9.7109375" style="24" customWidth="1"/>
    <col min="10767" max="10767" width="6.7109375" style="24" bestFit="1" customWidth="1"/>
    <col min="10768" max="10768" width="4.85546875" style="24" customWidth="1"/>
    <col min="10769" max="10769" width="5.28515625" style="24" customWidth="1"/>
    <col min="10770" max="10771" width="4.42578125" style="24" bestFit="1" customWidth="1"/>
    <col min="10772" max="10772" width="13.28515625" style="24" bestFit="1" customWidth="1"/>
    <col min="10773" max="10773" width="3.140625" style="24" customWidth="1"/>
    <col min="10774" max="10774" width="5.42578125" style="24" bestFit="1" customWidth="1"/>
    <col min="10775" max="10775" width="4.42578125" style="24" bestFit="1" customWidth="1"/>
    <col min="10776" max="10776" width="6.42578125" style="24" customWidth="1"/>
    <col min="10777" max="10777" width="5" style="24" bestFit="1" customWidth="1"/>
    <col min="10778" max="10778" width="4.5703125" style="24" bestFit="1" customWidth="1"/>
    <col min="10779" max="10779" width="4.42578125" style="24" bestFit="1" customWidth="1"/>
    <col min="10780" max="10780" width="4" style="24" customWidth="1"/>
    <col min="10781" max="11008" width="11.42578125" style="24"/>
    <col min="11009" max="11009" width="14.85546875" style="24" bestFit="1" customWidth="1"/>
    <col min="11010" max="11010" width="28" style="24" bestFit="1" customWidth="1"/>
    <col min="11011" max="11011" width="4.42578125" style="24" bestFit="1" customWidth="1"/>
    <col min="11012" max="11012" width="8" style="24" bestFit="1" customWidth="1"/>
    <col min="11013" max="11013" width="11.42578125" style="24"/>
    <col min="11014" max="11014" width="22.85546875" style="24" bestFit="1" customWidth="1"/>
    <col min="11015" max="11015" width="7" style="24" customWidth="1"/>
    <col min="11016" max="11016" width="6.28515625" style="24" customWidth="1"/>
    <col min="11017" max="11017" width="5.7109375" style="24" customWidth="1"/>
    <col min="11018" max="11018" width="5.7109375" style="24" bestFit="1" customWidth="1"/>
    <col min="11019" max="11019" width="5.85546875" style="24" bestFit="1" customWidth="1"/>
    <col min="11020" max="11020" width="9.42578125" style="24" customWidth="1"/>
    <col min="11021" max="11021" width="5.140625" style="24" customWidth="1"/>
    <col min="11022" max="11022" width="9.7109375" style="24" customWidth="1"/>
    <col min="11023" max="11023" width="6.7109375" style="24" bestFit="1" customWidth="1"/>
    <col min="11024" max="11024" width="4.85546875" style="24" customWidth="1"/>
    <col min="11025" max="11025" width="5.28515625" style="24" customWidth="1"/>
    <col min="11026" max="11027" width="4.42578125" style="24" bestFit="1" customWidth="1"/>
    <col min="11028" max="11028" width="13.28515625" style="24" bestFit="1" customWidth="1"/>
    <col min="11029" max="11029" width="3.140625" style="24" customWidth="1"/>
    <col min="11030" max="11030" width="5.42578125" style="24" bestFit="1" customWidth="1"/>
    <col min="11031" max="11031" width="4.42578125" style="24" bestFit="1" customWidth="1"/>
    <col min="11032" max="11032" width="6.42578125" style="24" customWidth="1"/>
    <col min="11033" max="11033" width="5" style="24" bestFit="1" customWidth="1"/>
    <col min="11034" max="11034" width="4.5703125" style="24" bestFit="1" customWidth="1"/>
    <col min="11035" max="11035" width="4.42578125" style="24" bestFit="1" customWidth="1"/>
    <col min="11036" max="11036" width="4" style="24" customWidth="1"/>
    <col min="11037" max="11264" width="11.42578125" style="24"/>
    <col min="11265" max="11265" width="14.85546875" style="24" bestFit="1" customWidth="1"/>
    <col min="11266" max="11266" width="28" style="24" bestFit="1" customWidth="1"/>
    <col min="11267" max="11267" width="4.42578125" style="24" bestFit="1" customWidth="1"/>
    <col min="11268" max="11268" width="8" style="24" bestFit="1" customWidth="1"/>
    <col min="11269" max="11269" width="11.42578125" style="24"/>
    <col min="11270" max="11270" width="22.85546875" style="24" bestFit="1" customWidth="1"/>
    <col min="11271" max="11271" width="7" style="24" customWidth="1"/>
    <col min="11272" max="11272" width="6.28515625" style="24" customWidth="1"/>
    <col min="11273" max="11273" width="5.7109375" style="24" customWidth="1"/>
    <col min="11274" max="11274" width="5.7109375" style="24" bestFit="1" customWidth="1"/>
    <col min="11275" max="11275" width="5.85546875" style="24" bestFit="1" customWidth="1"/>
    <col min="11276" max="11276" width="9.42578125" style="24" customWidth="1"/>
    <col min="11277" max="11277" width="5.140625" style="24" customWidth="1"/>
    <col min="11278" max="11278" width="9.7109375" style="24" customWidth="1"/>
    <col min="11279" max="11279" width="6.7109375" style="24" bestFit="1" customWidth="1"/>
    <col min="11280" max="11280" width="4.85546875" style="24" customWidth="1"/>
    <col min="11281" max="11281" width="5.28515625" style="24" customWidth="1"/>
    <col min="11282" max="11283" width="4.42578125" style="24" bestFit="1" customWidth="1"/>
    <col min="11284" max="11284" width="13.28515625" style="24" bestFit="1" customWidth="1"/>
    <col min="11285" max="11285" width="3.140625" style="24" customWidth="1"/>
    <col min="11286" max="11286" width="5.42578125" style="24" bestFit="1" customWidth="1"/>
    <col min="11287" max="11287" width="4.42578125" style="24" bestFit="1" customWidth="1"/>
    <col min="11288" max="11288" width="6.42578125" style="24" customWidth="1"/>
    <col min="11289" max="11289" width="5" style="24" bestFit="1" customWidth="1"/>
    <col min="11290" max="11290" width="4.5703125" style="24" bestFit="1" customWidth="1"/>
    <col min="11291" max="11291" width="4.42578125" style="24" bestFit="1" customWidth="1"/>
    <col min="11292" max="11292" width="4" style="24" customWidth="1"/>
    <col min="11293" max="11520" width="11.42578125" style="24"/>
    <col min="11521" max="11521" width="14.85546875" style="24" bestFit="1" customWidth="1"/>
    <col min="11522" max="11522" width="28" style="24" bestFit="1" customWidth="1"/>
    <col min="11523" max="11523" width="4.42578125" style="24" bestFit="1" customWidth="1"/>
    <col min="11524" max="11524" width="8" style="24" bestFit="1" customWidth="1"/>
    <col min="11525" max="11525" width="11.42578125" style="24"/>
    <col min="11526" max="11526" width="22.85546875" style="24" bestFit="1" customWidth="1"/>
    <col min="11527" max="11527" width="7" style="24" customWidth="1"/>
    <col min="11528" max="11528" width="6.28515625" style="24" customWidth="1"/>
    <col min="11529" max="11529" width="5.7109375" style="24" customWidth="1"/>
    <col min="11530" max="11530" width="5.7109375" style="24" bestFit="1" customWidth="1"/>
    <col min="11531" max="11531" width="5.85546875" style="24" bestFit="1" customWidth="1"/>
    <col min="11532" max="11532" width="9.42578125" style="24" customWidth="1"/>
    <col min="11533" max="11533" width="5.140625" style="24" customWidth="1"/>
    <col min="11534" max="11534" width="9.7109375" style="24" customWidth="1"/>
    <col min="11535" max="11535" width="6.7109375" style="24" bestFit="1" customWidth="1"/>
    <col min="11536" max="11536" width="4.85546875" style="24" customWidth="1"/>
    <col min="11537" max="11537" width="5.28515625" style="24" customWidth="1"/>
    <col min="11538" max="11539" width="4.42578125" style="24" bestFit="1" customWidth="1"/>
    <col min="11540" max="11540" width="13.28515625" style="24" bestFit="1" customWidth="1"/>
    <col min="11541" max="11541" width="3.140625" style="24" customWidth="1"/>
    <col min="11542" max="11542" width="5.42578125" style="24" bestFit="1" customWidth="1"/>
    <col min="11543" max="11543" width="4.42578125" style="24" bestFit="1" customWidth="1"/>
    <col min="11544" max="11544" width="6.42578125" style="24" customWidth="1"/>
    <col min="11545" max="11545" width="5" style="24" bestFit="1" customWidth="1"/>
    <col min="11546" max="11546" width="4.5703125" style="24" bestFit="1" customWidth="1"/>
    <col min="11547" max="11547" width="4.42578125" style="24" bestFit="1" customWidth="1"/>
    <col min="11548" max="11548" width="4" style="24" customWidth="1"/>
    <col min="11549" max="11776" width="11.42578125" style="24"/>
    <col min="11777" max="11777" width="14.85546875" style="24" bestFit="1" customWidth="1"/>
    <col min="11778" max="11778" width="28" style="24" bestFit="1" customWidth="1"/>
    <col min="11779" max="11779" width="4.42578125" style="24" bestFit="1" customWidth="1"/>
    <col min="11780" max="11780" width="8" style="24" bestFit="1" customWidth="1"/>
    <col min="11781" max="11781" width="11.42578125" style="24"/>
    <col min="11782" max="11782" width="22.85546875" style="24" bestFit="1" customWidth="1"/>
    <col min="11783" max="11783" width="7" style="24" customWidth="1"/>
    <col min="11784" max="11784" width="6.28515625" style="24" customWidth="1"/>
    <col min="11785" max="11785" width="5.7109375" style="24" customWidth="1"/>
    <col min="11786" max="11786" width="5.7109375" style="24" bestFit="1" customWidth="1"/>
    <col min="11787" max="11787" width="5.85546875" style="24" bestFit="1" customWidth="1"/>
    <col min="11788" max="11788" width="9.42578125" style="24" customWidth="1"/>
    <col min="11789" max="11789" width="5.140625" style="24" customWidth="1"/>
    <col min="11790" max="11790" width="9.7109375" style="24" customWidth="1"/>
    <col min="11791" max="11791" width="6.7109375" style="24" bestFit="1" customWidth="1"/>
    <col min="11792" max="11792" width="4.85546875" style="24" customWidth="1"/>
    <col min="11793" max="11793" width="5.28515625" style="24" customWidth="1"/>
    <col min="11794" max="11795" width="4.42578125" style="24" bestFit="1" customWidth="1"/>
    <col min="11796" max="11796" width="13.28515625" style="24" bestFit="1" customWidth="1"/>
    <col min="11797" max="11797" width="3.140625" style="24" customWidth="1"/>
    <col min="11798" max="11798" width="5.42578125" style="24" bestFit="1" customWidth="1"/>
    <col min="11799" max="11799" width="4.42578125" style="24" bestFit="1" customWidth="1"/>
    <col min="11800" max="11800" width="6.42578125" style="24" customWidth="1"/>
    <col min="11801" max="11801" width="5" style="24" bestFit="1" customWidth="1"/>
    <col min="11802" max="11802" width="4.5703125" style="24" bestFit="1" customWidth="1"/>
    <col min="11803" max="11803" width="4.42578125" style="24" bestFit="1" customWidth="1"/>
    <col min="11804" max="11804" width="4" style="24" customWidth="1"/>
    <col min="11805" max="12032" width="11.42578125" style="24"/>
    <col min="12033" max="12033" width="14.85546875" style="24" bestFit="1" customWidth="1"/>
    <col min="12034" max="12034" width="28" style="24" bestFit="1" customWidth="1"/>
    <col min="12035" max="12035" width="4.42578125" style="24" bestFit="1" customWidth="1"/>
    <col min="12036" max="12036" width="8" style="24" bestFit="1" customWidth="1"/>
    <col min="12037" max="12037" width="11.42578125" style="24"/>
    <col min="12038" max="12038" width="22.85546875" style="24" bestFit="1" customWidth="1"/>
    <col min="12039" max="12039" width="7" style="24" customWidth="1"/>
    <col min="12040" max="12040" width="6.28515625" style="24" customWidth="1"/>
    <col min="12041" max="12041" width="5.7109375" style="24" customWidth="1"/>
    <col min="12042" max="12042" width="5.7109375" style="24" bestFit="1" customWidth="1"/>
    <col min="12043" max="12043" width="5.85546875" style="24" bestFit="1" customWidth="1"/>
    <col min="12044" max="12044" width="9.42578125" style="24" customWidth="1"/>
    <col min="12045" max="12045" width="5.140625" style="24" customWidth="1"/>
    <col min="12046" max="12046" width="9.7109375" style="24" customWidth="1"/>
    <col min="12047" max="12047" width="6.7109375" style="24" bestFit="1" customWidth="1"/>
    <col min="12048" max="12048" width="4.85546875" style="24" customWidth="1"/>
    <col min="12049" max="12049" width="5.28515625" style="24" customWidth="1"/>
    <col min="12050" max="12051" width="4.42578125" style="24" bestFit="1" customWidth="1"/>
    <col min="12052" max="12052" width="13.28515625" style="24" bestFit="1" customWidth="1"/>
    <col min="12053" max="12053" width="3.140625" style="24" customWidth="1"/>
    <col min="12054" max="12054" width="5.42578125" style="24" bestFit="1" customWidth="1"/>
    <col min="12055" max="12055" width="4.42578125" style="24" bestFit="1" customWidth="1"/>
    <col min="12056" max="12056" width="6.42578125" style="24" customWidth="1"/>
    <col min="12057" max="12057" width="5" style="24" bestFit="1" customWidth="1"/>
    <col min="12058" max="12058" width="4.5703125" style="24" bestFit="1" customWidth="1"/>
    <col min="12059" max="12059" width="4.42578125" style="24" bestFit="1" customWidth="1"/>
    <col min="12060" max="12060" width="4" style="24" customWidth="1"/>
    <col min="12061" max="12288" width="11.42578125" style="24"/>
    <col min="12289" max="12289" width="14.85546875" style="24" bestFit="1" customWidth="1"/>
    <col min="12290" max="12290" width="28" style="24" bestFit="1" customWidth="1"/>
    <col min="12291" max="12291" width="4.42578125" style="24" bestFit="1" customWidth="1"/>
    <col min="12292" max="12292" width="8" style="24" bestFit="1" customWidth="1"/>
    <col min="12293" max="12293" width="11.42578125" style="24"/>
    <col min="12294" max="12294" width="22.85546875" style="24" bestFit="1" customWidth="1"/>
    <col min="12295" max="12295" width="7" style="24" customWidth="1"/>
    <col min="12296" max="12296" width="6.28515625" style="24" customWidth="1"/>
    <col min="12297" max="12297" width="5.7109375" style="24" customWidth="1"/>
    <col min="12298" max="12298" width="5.7109375" style="24" bestFit="1" customWidth="1"/>
    <col min="12299" max="12299" width="5.85546875" style="24" bestFit="1" customWidth="1"/>
    <col min="12300" max="12300" width="9.42578125" style="24" customWidth="1"/>
    <col min="12301" max="12301" width="5.140625" style="24" customWidth="1"/>
    <col min="12302" max="12302" width="9.7109375" style="24" customWidth="1"/>
    <col min="12303" max="12303" width="6.7109375" style="24" bestFit="1" customWidth="1"/>
    <col min="12304" max="12304" width="4.85546875" style="24" customWidth="1"/>
    <col min="12305" max="12305" width="5.28515625" style="24" customWidth="1"/>
    <col min="12306" max="12307" width="4.42578125" style="24" bestFit="1" customWidth="1"/>
    <col min="12308" max="12308" width="13.28515625" style="24" bestFit="1" customWidth="1"/>
    <col min="12309" max="12309" width="3.140625" style="24" customWidth="1"/>
    <col min="12310" max="12310" width="5.42578125" style="24" bestFit="1" customWidth="1"/>
    <col min="12311" max="12311" width="4.42578125" style="24" bestFit="1" customWidth="1"/>
    <col min="12312" max="12312" width="6.42578125" style="24" customWidth="1"/>
    <col min="12313" max="12313" width="5" style="24" bestFit="1" customWidth="1"/>
    <col min="12314" max="12314" width="4.5703125" style="24" bestFit="1" customWidth="1"/>
    <col min="12315" max="12315" width="4.42578125" style="24" bestFit="1" customWidth="1"/>
    <col min="12316" max="12316" width="4" style="24" customWidth="1"/>
    <col min="12317" max="12544" width="11.42578125" style="24"/>
    <col min="12545" max="12545" width="14.85546875" style="24" bestFit="1" customWidth="1"/>
    <col min="12546" max="12546" width="28" style="24" bestFit="1" customWidth="1"/>
    <col min="12547" max="12547" width="4.42578125" style="24" bestFit="1" customWidth="1"/>
    <col min="12548" max="12548" width="8" style="24" bestFit="1" customWidth="1"/>
    <col min="12549" max="12549" width="11.42578125" style="24"/>
    <col min="12550" max="12550" width="22.85546875" style="24" bestFit="1" customWidth="1"/>
    <col min="12551" max="12551" width="7" style="24" customWidth="1"/>
    <col min="12552" max="12552" width="6.28515625" style="24" customWidth="1"/>
    <col min="12553" max="12553" width="5.7109375" style="24" customWidth="1"/>
    <col min="12554" max="12554" width="5.7109375" style="24" bestFit="1" customWidth="1"/>
    <col min="12555" max="12555" width="5.85546875" style="24" bestFit="1" customWidth="1"/>
    <col min="12556" max="12556" width="9.42578125" style="24" customWidth="1"/>
    <col min="12557" max="12557" width="5.140625" style="24" customWidth="1"/>
    <col min="12558" max="12558" width="9.7109375" style="24" customWidth="1"/>
    <col min="12559" max="12559" width="6.7109375" style="24" bestFit="1" customWidth="1"/>
    <col min="12560" max="12560" width="4.85546875" style="24" customWidth="1"/>
    <col min="12561" max="12561" width="5.28515625" style="24" customWidth="1"/>
    <col min="12562" max="12563" width="4.42578125" style="24" bestFit="1" customWidth="1"/>
    <col min="12564" max="12564" width="13.28515625" style="24" bestFit="1" customWidth="1"/>
    <col min="12565" max="12565" width="3.140625" style="24" customWidth="1"/>
    <col min="12566" max="12566" width="5.42578125" style="24" bestFit="1" customWidth="1"/>
    <col min="12567" max="12567" width="4.42578125" style="24" bestFit="1" customWidth="1"/>
    <col min="12568" max="12568" width="6.42578125" style="24" customWidth="1"/>
    <col min="12569" max="12569" width="5" style="24" bestFit="1" customWidth="1"/>
    <col min="12570" max="12570" width="4.5703125" style="24" bestFit="1" customWidth="1"/>
    <col min="12571" max="12571" width="4.42578125" style="24" bestFit="1" customWidth="1"/>
    <col min="12572" max="12572" width="4" style="24" customWidth="1"/>
    <col min="12573" max="12800" width="11.42578125" style="24"/>
    <col min="12801" max="12801" width="14.85546875" style="24" bestFit="1" customWidth="1"/>
    <col min="12802" max="12802" width="28" style="24" bestFit="1" customWidth="1"/>
    <col min="12803" max="12803" width="4.42578125" style="24" bestFit="1" customWidth="1"/>
    <col min="12804" max="12804" width="8" style="24" bestFit="1" customWidth="1"/>
    <col min="12805" max="12805" width="11.42578125" style="24"/>
    <col min="12806" max="12806" width="22.85546875" style="24" bestFit="1" customWidth="1"/>
    <col min="12807" max="12807" width="7" style="24" customWidth="1"/>
    <col min="12808" max="12808" width="6.28515625" style="24" customWidth="1"/>
    <col min="12809" max="12809" width="5.7109375" style="24" customWidth="1"/>
    <col min="12810" max="12810" width="5.7109375" style="24" bestFit="1" customWidth="1"/>
    <col min="12811" max="12811" width="5.85546875" style="24" bestFit="1" customWidth="1"/>
    <col min="12812" max="12812" width="9.42578125" style="24" customWidth="1"/>
    <col min="12813" max="12813" width="5.140625" style="24" customWidth="1"/>
    <col min="12814" max="12814" width="9.7109375" style="24" customWidth="1"/>
    <col min="12815" max="12815" width="6.7109375" style="24" bestFit="1" customWidth="1"/>
    <col min="12816" max="12816" width="4.85546875" style="24" customWidth="1"/>
    <col min="12817" max="12817" width="5.28515625" style="24" customWidth="1"/>
    <col min="12818" max="12819" width="4.42578125" style="24" bestFit="1" customWidth="1"/>
    <col min="12820" max="12820" width="13.28515625" style="24" bestFit="1" customWidth="1"/>
    <col min="12821" max="12821" width="3.140625" style="24" customWidth="1"/>
    <col min="12822" max="12822" width="5.42578125" style="24" bestFit="1" customWidth="1"/>
    <col min="12823" max="12823" width="4.42578125" style="24" bestFit="1" customWidth="1"/>
    <col min="12824" max="12824" width="6.42578125" style="24" customWidth="1"/>
    <col min="12825" max="12825" width="5" style="24" bestFit="1" customWidth="1"/>
    <col min="12826" max="12826" width="4.5703125" style="24" bestFit="1" customWidth="1"/>
    <col min="12827" max="12827" width="4.42578125" style="24" bestFit="1" customWidth="1"/>
    <col min="12828" max="12828" width="4" style="24" customWidth="1"/>
    <col min="12829" max="13056" width="11.42578125" style="24"/>
    <col min="13057" max="13057" width="14.85546875" style="24" bestFit="1" customWidth="1"/>
    <col min="13058" max="13058" width="28" style="24" bestFit="1" customWidth="1"/>
    <col min="13059" max="13059" width="4.42578125" style="24" bestFit="1" customWidth="1"/>
    <col min="13060" max="13060" width="8" style="24" bestFit="1" customWidth="1"/>
    <col min="13061" max="13061" width="11.42578125" style="24"/>
    <col min="13062" max="13062" width="22.85546875" style="24" bestFit="1" customWidth="1"/>
    <col min="13063" max="13063" width="7" style="24" customWidth="1"/>
    <col min="13064" max="13064" width="6.28515625" style="24" customWidth="1"/>
    <col min="13065" max="13065" width="5.7109375" style="24" customWidth="1"/>
    <col min="13066" max="13066" width="5.7109375" style="24" bestFit="1" customWidth="1"/>
    <col min="13067" max="13067" width="5.85546875" style="24" bestFit="1" customWidth="1"/>
    <col min="13068" max="13068" width="9.42578125" style="24" customWidth="1"/>
    <col min="13069" max="13069" width="5.140625" style="24" customWidth="1"/>
    <col min="13070" max="13070" width="9.7109375" style="24" customWidth="1"/>
    <col min="13071" max="13071" width="6.7109375" style="24" bestFit="1" customWidth="1"/>
    <col min="13072" max="13072" width="4.85546875" style="24" customWidth="1"/>
    <col min="13073" max="13073" width="5.28515625" style="24" customWidth="1"/>
    <col min="13074" max="13075" width="4.42578125" style="24" bestFit="1" customWidth="1"/>
    <col min="13076" max="13076" width="13.28515625" style="24" bestFit="1" customWidth="1"/>
    <col min="13077" max="13077" width="3.140625" style="24" customWidth="1"/>
    <col min="13078" max="13078" width="5.42578125" style="24" bestFit="1" customWidth="1"/>
    <col min="13079" max="13079" width="4.42578125" style="24" bestFit="1" customWidth="1"/>
    <col min="13080" max="13080" width="6.42578125" style="24" customWidth="1"/>
    <col min="13081" max="13081" width="5" style="24" bestFit="1" customWidth="1"/>
    <col min="13082" max="13082" width="4.5703125" style="24" bestFit="1" customWidth="1"/>
    <col min="13083" max="13083" width="4.42578125" style="24" bestFit="1" customWidth="1"/>
    <col min="13084" max="13084" width="4" style="24" customWidth="1"/>
    <col min="13085" max="13312" width="11.42578125" style="24"/>
    <col min="13313" max="13313" width="14.85546875" style="24" bestFit="1" customWidth="1"/>
    <col min="13314" max="13314" width="28" style="24" bestFit="1" customWidth="1"/>
    <col min="13315" max="13315" width="4.42578125" style="24" bestFit="1" customWidth="1"/>
    <col min="13316" max="13316" width="8" style="24" bestFit="1" customWidth="1"/>
    <col min="13317" max="13317" width="11.42578125" style="24"/>
    <col min="13318" max="13318" width="22.85546875" style="24" bestFit="1" customWidth="1"/>
    <col min="13319" max="13319" width="7" style="24" customWidth="1"/>
    <col min="13320" max="13320" width="6.28515625" style="24" customWidth="1"/>
    <col min="13321" max="13321" width="5.7109375" style="24" customWidth="1"/>
    <col min="13322" max="13322" width="5.7109375" style="24" bestFit="1" customWidth="1"/>
    <col min="13323" max="13323" width="5.85546875" style="24" bestFit="1" customWidth="1"/>
    <col min="13324" max="13324" width="9.42578125" style="24" customWidth="1"/>
    <col min="13325" max="13325" width="5.140625" style="24" customWidth="1"/>
    <col min="13326" max="13326" width="9.7109375" style="24" customWidth="1"/>
    <col min="13327" max="13327" width="6.7109375" style="24" bestFit="1" customWidth="1"/>
    <col min="13328" max="13328" width="4.85546875" style="24" customWidth="1"/>
    <col min="13329" max="13329" width="5.28515625" style="24" customWidth="1"/>
    <col min="13330" max="13331" width="4.42578125" style="24" bestFit="1" customWidth="1"/>
    <col min="13332" max="13332" width="13.28515625" style="24" bestFit="1" customWidth="1"/>
    <col min="13333" max="13333" width="3.140625" style="24" customWidth="1"/>
    <col min="13334" max="13334" width="5.42578125" style="24" bestFit="1" customWidth="1"/>
    <col min="13335" max="13335" width="4.42578125" style="24" bestFit="1" customWidth="1"/>
    <col min="13336" max="13336" width="6.42578125" style="24" customWidth="1"/>
    <col min="13337" max="13337" width="5" style="24" bestFit="1" customWidth="1"/>
    <col min="13338" max="13338" width="4.5703125" style="24" bestFit="1" customWidth="1"/>
    <col min="13339" max="13339" width="4.42578125" style="24" bestFit="1" customWidth="1"/>
    <col min="13340" max="13340" width="4" style="24" customWidth="1"/>
    <col min="13341" max="13568" width="11.42578125" style="24"/>
    <col min="13569" max="13569" width="14.85546875" style="24" bestFit="1" customWidth="1"/>
    <col min="13570" max="13570" width="28" style="24" bestFit="1" customWidth="1"/>
    <col min="13571" max="13571" width="4.42578125" style="24" bestFit="1" customWidth="1"/>
    <col min="13572" max="13572" width="8" style="24" bestFit="1" customWidth="1"/>
    <col min="13573" max="13573" width="11.42578125" style="24"/>
    <col min="13574" max="13574" width="22.85546875" style="24" bestFit="1" customWidth="1"/>
    <col min="13575" max="13575" width="7" style="24" customWidth="1"/>
    <col min="13576" max="13576" width="6.28515625" style="24" customWidth="1"/>
    <col min="13577" max="13577" width="5.7109375" style="24" customWidth="1"/>
    <col min="13578" max="13578" width="5.7109375" style="24" bestFit="1" customWidth="1"/>
    <col min="13579" max="13579" width="5.85546875" style="24" bestFit="1" customWidth="1"/>
    <col min="13580" max="13580" width="9.42578125" style="24" customWidth="1"/>
    <col min="13581" max="13581" width="5.140625" style="24" customWidth="1"/>
    <col min="13582" max="13582" width="9.7109375" style="24" customWidth="1"/>
    <col min="13583" max="13583" width="6.7109375" style="24" bestFit="1" customWidth="1"/>
    <col min="13584" max="13584" width="4.85546875" style="24" customWidth="1"/>
    <col min="13585" max="13585" width="5.28515625" style="24" customWidth="1"/>
    <col min="13586" max="13587" width="4.42578125" style="24" bestFit="1" customWidth="1"/>
    <col min="13588" max="13588" width="13.28515625" style="24" bestFit="1" customWidth="1"/>
    <col min="13589" max="13589" width="3.140625" style="24" customWidth="1"/>
    <col min="13590" max="13590" width="5.42578125" style="24" bestFit="1" customWidth="1"/>
    <col min="13591" max="13591" width="4.42578125" style="24" bestFit="1" customWidth="1"/>
    <col min="13592" max="13592" width="6.42578125" style="24" customWidth="1"/>
    <col min="13593" max="13593" width="5" style="24" bestFit="1" customWidth="1"/>
    <col min="13594" max="13594" width="4.5703125" style="24" bestFit="1" customWidth="1"/>
    <col min="13595" max="13595" width="4.42578125" style="24" bestFit="1" customWidth="1"/>
    <col min="13596" max="13596" width="4" style="24" customWidth="1"/>
    <col min="13597" max="13824" width="11.42578125" style="24"/>
    <col min="13825" max="13825" width="14.85546875" style="24" bestFit="1" customWidth="1"/>
    <col min="13826" max="13826" width="28" style="24" bestFit="1" customWidth="1"/>
    <col min="13827" max="13827" width="4.42578125" style="24" bestFit="1" customWidth="1"/>
    <col min="13828" max="13828" width="8" style="24" bestFit="1" customWidth="1"/>
    <col min="13829" max="13829" width="11.42578125" style="24"/>
    <col min="13830" max="13830" width="22.85546875" style="24" bestFit="1" customWidth="1"/>
    <col min="13831" max="13831" width="7" style="24" customWidth="1"/>
    <col min="13832" max="13832" width="6.28515625" style="24" customWidth="1"/>
    <col min="13833" max="13833" width="5.7109375" style="24" customWidth="1"/>
    <col min="13834" max="13834" width="5.7109375" style="24" bestFit="1" customWidth="1"/>
    <col min="13835" max="13835" width="5.85546875" style="24" bestFit="1" customWidth="1"/>
    <col min="13836" max="13836" width="9.42578125" style="24" customWidth="1"/>
    <col min="13837" max="13837" width="5.140625" style="24" customWidth="1"/>
    <col min="13838" max="13838" width="9.7109375" style="24" customWidth="1"/>
    <col min="13839" max="13839" width="6.7109375" style="24" bestFit="1" customWidth="1"/>
    <col min="13840" max="13840" width="4.85546875" style="24" customWidth="1"/>
    <col min="13841" max="13841" width="5.28515625" style="24" customWidth="1"/>
    <col min="13842" max="13843" width="4.42578125" style="24" bestFit="1" customWidth="1"/>
    <col min="13844" max="13844" width="13.28515625" style="24" bestFit="1" customWidth="1"/>
    <col min="13845" max="13845" width="3.140625" style="24" customWidth="1"/>
    <col min="13846" max="13846" width="5.42578125" style="24" bestFit="1" customWidth="1"/>
    <col min="13847" max="13847" width="4.42578125" style="24" bestFit="1" customWidth="1"/>
    <col min="13848" max="13848" width="6.42578125" style="24" customWidth="1"/>
    <col min="13849" max="13849" width="5" style="24" bestFit="1" customWidth="1"/>
    <col min="13850" max="13850" width="4.5703125" style="24" bestFit="1" customWidth="1"/>
    <col min="13851" max="13851" width="4.42578125" style="24" bestFit="1" customWidth="1"/>
    <col min="13852" max="13852" width="4" style="24" customWidth="1"/>
    <col min="13853" max="14080" width="11.42578125" style="24"/>
    <col min="14081" max="14081" width="14.85546875" style="24" bestFit="1" customWidth="1"/>
    <col min="14082" max="14082" width="28" style="24" bestFit="1" customWidth="1"/>
    <col min="14083" max="14083" width="4.42578125" style="24" bestFit="1" customWidth="1"/>
    <col min="14084" max="14084" width="8" style="24" bestFit="1" customWidth="1"/>
    <col min="14085" max="14085" width="11.42578125" style="24"/>
    <col min="14086" max="14086" width="22.85546875" style="24" bestFit="1" customWidth="1"/>
    <col min="14087" max="14087" width="7" style="24" customWidth="1"/>
    <col min="14088" max="14088" width="6.28515625" style="24" customWidth="1"/>
    <col min="14089" max="14089" width="5.7109375" style="24" customWidth="1"/>
    <col min="14090" max="14090" width="5.7109375" style="24" bestFit="1" customWidth="1"/>
    <col min="14091" max="14091" width="5.85546875" style="24" bestFit="1" customWidth="1"/>
    <col min="14092" max="14092" width="9.42578125" style="24" customWidth="1"/>
    <col min="14093" max="14093" width="5.140625" style="24" customWidth="1"/>
    <col min="14094" max="14094" width="9.7109375" style="24" customWidth="1"/>
    <col min="14095" max="14095" width="6.7109375" style="24" bestFit="1" customWidth="1"/>
    <col min="14096" max="14096" width="4.85546875" style="24" customWidth="1"/>
    <col min="14097" max="14097" width="5.28515625" style="24" customWidth="1"/>
    <col min="14098" max="14099" width="4.42578125" style="24" bestFit="1" customWidth="1"/>
    <col min="14100" max="14100" width="13.28515625" style="24" bestFit="1" customWidth="1"/>
    <col min="14101" max="14101" width="3.140625" style="24" customWidth="1"/>
    <col min="14102" max="14102" width="5.42578125" style="24" bestFit="1" customWidth="1"/>
    <col min="14103" max="14103" width="4.42578125" style="24" bestFit="1" customWidth="1"/>
    <col min="14104" max="14104" width="6.42578125" style="24" customWidth="1"/>
    <col min="14105" max="14105" width="5" style="24" bestFit="1" customWidth="1"/>
    <col min="14106" max="14106" width="4.5703125" style="24" bestFit="1" customWidth="1"/>
    <col min="14107" max="14107" width="4.42578125" style="24" bestFit="1" customWidth="1"/>
    <col min="14108" max="14108" width="4" style="24" customWidth="1"/>
    <col min="14109" max="14336" width="11.42578125" style="24"/>
    <col min="14337" max="14337" width="14.85546875" style="24" bestFit="1" customWidth="1"/>
    <col min="14338" max="14338" width="28" style="24" bestFit="1" customWidth="1"/>
    <col min="14339" max="14339" width="4.42578125" style="24" bestFit="1" customWidth="1"/>
    <col min="14340" max="14340" width="8" style="24" bestFit="1" customWidth="1"/>
    <col min="14341" max="14341" width="11.42578125" style="24"/>
    <col min="14342" max="14342" width="22.85546875" style="24" bestFit="1" customWidth="1"/>
    <col min="14343" max="14343" width="7" style="24" customWidth="1"/>
    <col min="14344" max="14344" width="6.28515625" style="24" customWidth="1"/>
    <col min="14345" max="14345" width="5.7109375" style="24" customWidth="1"/>
    <col min="14346" max="14346" width="5.7109375" style="24" bestFit="1" customWidth="1"/>
    <col min="14347" max="14347" width="5.85546875" style="24" bestFit="1" customWidth="1"/>
    <col min="14348" max="14348" width="9.42578125" style="24" customWidth="1"/>
    <col min="14349" max="14349" width="5.140625" style="24" customWidth="1"/>
    <col min="14350" max="14350" width="9.7109375" style="24" customWidth="1"/>
    <col min="14351" max="14351" width="6.7109375" style="24" bestFit="1" customWidth="1"/>
    <col min="14352" max="14352" width="4.85546875" style="24" customWidth="1"/>
    <col min="14353" max="14353" width="5.28515625" style="24" customWidth="1"/>
    <col min="14354" max="14355" width="4.42578125" style="24" bestFit="1" customWidth="1"/>
    <col min="14356" max="14356" width="13.28515625" style="24" bestFit="1" customWidth="1"/>
    <col min="14357" max="14357" width="3.140625" style="24" customWidth="1"/>
    <col min="14358" max="14358" width="5.42578125" style="24" bestFit="1" customWidth="1"/>
    <col min="14359" max="14359" width="4.42578125" style="24" bestFit="1" customWidth="1"/>
    <col min="14360" max="14360" width="6.42578125" style="24" customWidth="1"/>
    <col min="14361" max="14361" width="5" style="24" bestFit="1" customWidth="1"/>
    <col min="14362" max="14362" width="4.5703125" style="24" bestFit="1" customWidth="1"/>
    <col min="14363" max="14363" width="4.42578125" style="24" bestFit="1" customWidth="1"/>
    <col min="14364" max="14364" width="4" style="24" customWidth="1"/>
    <col min="14365" max="14592" width="11.42578125" style="24"/>
    <col min="14593" max="14593" width="14.85546875" style="24" bestFit="1" customWidth="1"/>
    <col min="14594" max="14594" width="28" style="24" bestFit="1" customWidth="1"/>
    <col min="14595" max="14595" width="4.42578125" style="24" bestFit="1" customWidth="1"/>
    <col min="14596" max="14596" width="8" style="24" bestFit="1" customWidth="1"/>
    <col min="14597" max="14597" width="11.42578125" style="24"/>
    <col min="14598" max="14598" width="22.85546875" style="24" bestFit="1" customWidth="1"/>
    <col min="14599" max="14599" width="7" style="24" customWidth="1"/>
    <col min="14600" max="14600" width="6.28515625" style="24" customWidth="1"/>
    <col min="14601" max="14601" width="5.7109375" style="24" customWidth="1"/>
    <col min="14602" max="14602" width="5.7109375" style="24" bestFit="1" customWidth="1"/>
    <col min="14603" max="14603" width="5.85546875" style="24" bestFit="1" customWidth="1"/>
    <col min="14604" max="14604" width="9.42578125" style="24" customWidth="1"/>
    <col min="14605" max="14605" width="5.140625" style="24" customWidth="1"/>
    <col min="14606" max="14606" width="9.7109375" style="24" customWidth="1"/>
    <col min="14607" max="14607" width="6.7109375" style="24" bestFit="1" customWidth="1"/>
    <col min="14608" max="14608" width="4.85546875" style="24" customWidth="1"/>
    <col min="14609" max="14609" width="5.28515625" style="24" customWidth="1"/>
    <col min="14610" max="14611" width="4.42578125" style="24" bestFit="1" customWidth="1"/>
    <col min="14612" max="14612" width="13.28515625" style="24" bestFit="1" customWidth="1"/>
    <col min="14613" max="14613" width="3.140625" style="24" customWidth="1"/>
    <col min="14614" max="14614" width="5.42578125" style="24" bestFit="1" customWidth="1"/>
    <col min="14615" max="14615" width="4.42578125" style="24" bestFit="1" customWidth="1"/>
    <col min="14616" max="14616" width="6.42578125" style="24" customWidth="1"/>
    <col min="14617" max="14617" width="5" style="24" bestFit="1" customWidth="1"/>
    <col min="14618" max="14618" width="4.5703125" style="24" bestFit="1" customWidth="1"/>
    <col min="14619" max="14619" width="4.42578125" style="24" bestFit="1" customWidth="1"/>
    <col min="14620" max="14620" width="4" style="24" customWidth="1"/>
    <col min="14621" max="14848" width="11.42578125" style="24"/>
    <col min="14849" max="14849" width="14.85546875" style="24" bestFit="1" customWidth="1"/>
    <col min="14850" max="14850" width="28" style="24" bestFit="1" customWidth="1"/>
    <col min="14851" max="14851" width="4.42578125" style="24" bestFit="1" customWidth="1"/>
    <col min="14852" max="14852" width="8" style="24" bestFit="1" customWidth="1"/>
    <col min="14853" max="14853" width="11.42578125" style="24"/>
    <col min="14854" max="14854" width="22.85546875" style="24" bestFit="1" customWidth="1"/>
    <col min="14855" max="14855" width="7" style="24" customWidth="1"/>
    <col min="14856" max="14856" width="6.28515625" style="24" customWidth="1"/>
    <col min="14857" max="14857" width="5.7109375" style="24" customWidth="1"/>
    <col min="14858" max="14858" width="5.7109375" style="24" bestFit="1" customWidth="1"/>
    <col min="14859" max="14859" width="5.85546875" style="24" bestFit="1" customWidth="1"/>
    <col min="14860" max="14860" width="9.42578125" style="24" customWidth="1"/>
    <col min="14861" max="14861" width="5.140625" style="24" customWidth="1"/>
    <col min="14862" max="14862" width="9.7109375" style="24" customWidth="1"/>
    <col min="14863" max="14863" width="6.7109375" style="24" bestFit="1" customWidth="1"/>
    <col min="14864" max="14864" width="4.85546875" style="24" customWidth="1"/>
    <col min="14865" max="14865" width="5.28515625" style="24" customWidth="1"/>
    <col min="14866" max="14867" width="4.42578125" style="24" bestFit="1" customWidth="1"/>
    <col min="14868" max="14868" width="13.28515625" style="24" bestFit="1" customWidth="1"/>
    <col min="14869" max="14869" width="3.140625" style="24" customWidth="1"/>
    <col min="14870" max="14870" width="5.42578125" style="24" bestFit="1" customWidth="1"/>
    <col min="14871" max="14871" width="4.42578125" style="24" bestFit="1" customWidth="1"/>
    <col min="14872" max="14872" width="6.42578125" style="24" customWidth="1"/>
    <col min="14873" max="14873" width="5" style="24" bestFit="1" customWidth="1"/>
    <col min="14874" max="14874" width="4.5703125" style="24" bestFit="1" customWidth="1"/>
    <col min="14875" max="14875" width="4.42578125" style="24" bestFit="1" customWidth="1"/>
    <col min="14876" max="14876" width="4" style="24" customWidth="1"/>
    <col min="14877" max="15104" width="11.42578125" style="24"/>
    <col min="15105" max="15105" width="14.85546875" style="24" bestFit="1" customWidth="1"/>
    <col min="15106" max="15106" width="28" style="24" bestFit="1" customWidth="1"/>
    <col min="15107" max="15107" width="4.42578125" style="24" bestFit="1" customWidth="1"/>
    <col min="15108" max="15108" width="8" style="24" bestFit="1" customWidth="1"/>
    <col min="15109" max="15109" width="11.42578125" style="24"/>
    <col min="15110" max="15110" width="22.85546875" style="24" bestFit="1" customWidth="1"/>
    <col min="15111" max="15111" width="7" style="24" customWidth="1"/>
    <col min="15112" max="15112" width="6.28515625" style="24" customWidth="1"/>
    <col min="15113" max="15113" width="5.7109375" style="24" customWidth="1"/>
    <col min="15114" max="15114" width="5.7109375" style="24" bestFit="1" customWidth="1"/>
    <col min="15115" max="15115" width="5.85546875" style="24" bestFit="1" customWidth="1"/>
    <col min="15116" max="15116" width="9.42578125" style="24" customWidth="1"/>
    <col min="15117" max="15117" width="5.140625" style="24" customWidth="1"/>
    <col min="15118" max="15118" width="9.7109375" style="24" customWidth="1"/>
    <col min="15119" max="15119" width="6.7109375" style="24" bestFit="1" customWidth="1"/>
    <col min="15120" max="15120" width="4.85546875" style="24" customWidth="1"/>
    <col min="15121" max="15121" width="5.28515625" style="24" customWidth="1"/>
    <col min="15122" max="15123" width="4.42578125" style="24" bestFit="1" customWidth="1"/>
    <col min="15124" max="15124" width="13.28515625" style="24" bestFit="1" customWidth="1"/>
    <col min="15125" max="15125" width="3.140625" style="24" customWidth="1"/>
    <col min="15126" max="15126" width="5.42578125" style="24" bestFit="1" customWidth="1"/>
    <col min="15127" max="15127" width="4.42578125" style="24" bestFit="1" customWidth="1"/>
    <col min="15128" max="15128" width="6.42578125" style="24" customWidth="1"/>
    <col min="15129" max="15129" width="5" style="24" bestFit="1" customWidth="1"/>
    <col min="15130" max="15130" width="4.5703125" style="24" bestFit="1" customWidth="1"/>
    <col min="15131" max="15131" width="4.42578125" style="24" bestFit="1" customWidth="1"/>
    <col min="15132" max="15132" width="4" style="24" customWidth="1"/>
    <col min="15133" max="15360" width="11.42578125" style="24"/>
    <col min="15361" max="15361" width="14.85546875" style="24" bestFit="1" customWidth="1"/>
    <col min="15362" max="15362" width="28" style="24" bestFit="1" customWidth="1"/>
    <col min="15363" max="15363" width="4.42578125" style="24" bestFit="1" customWidth="1"/>
    <col min="15364" max="15364" width="8" style="24" bestFit="1" customWidth="1"/>
    <col min="15365" max="15365" width="11.42578125" style="24"/>
    <col min="15366" max="15366" width="22.85546875" style="24" bestFit="1" customWidth="1"/>
    <col min="15367" max="15367" width="7" style="24" customWidth="1"/>
    <col min="15368" max="15368" width="6.28515625" style="24" customWidth="1"/>
    <col min="15369" max="15369" width="5.7109375" style="24" customWidth="1"/>
    <col min="15370" max="15370" width="5.7109375" style="24" bestFit="1" customWidth="1"/>
    <col min="15371" max="15371" width="5.85546875" style="24" bestFit="1" customWidth="1"/>
    <col min="15372" max="15372" width="9.42578125" style="24" customWidth="1"/>
    <col min="15373" max="15373" width="5.140625" style="24" customWidth="1"/>
    <col min="15374" max="15374" width="9.7109375" style="24" customWidth="1"/>
    <col min="15375" max="15375" width="6.7109375" style="24" bestFit="1" customWidth="1"/>
    <col min="15376" max="15376" width="4.85546875" style="24" customWidth="1"/>
    <col min="15377" max="15377" width="5.28515625" style="24" customWidth="1"/>
    <col min="15378" max="15379" width="4.42578125" style="24" bestFit="1" customWidth="1"/>
    <col min="15380" max="15380" width="13.28515625" style="24" bestFit="1" customWidth="1"/>
    <col min="15381" max="15381" width="3.140625" style="24" customWidth="1"/>
    <col min="15382" max="15382" width="5.42578125" style="24" bestFit="1" customWidth="1"/>
    <col min="15383" max="15383" width="4.42578125" style="24" bestFit="1" customWidth="1"/>
    <col min="15384" max="15384" width="6.42578125" style="24" customWidth="1"/>
    <col min="15385" max="15385" width="5" style="24" bestFit="1" customWidth="1"/>
    <col min="15386" max="15386" width="4.5703125" style="24" bestFit="1" customWidth="1"/>
    <col min="15387" max="15387" width="4.42578125" style="24" bestFit="1" customWidth="1"/>
    <col min="15388" max="15388" width="4" style="24" customWidth="1"/>
    <col min="15389" max="15616" width="11.42578125" style="24"/>
    <col min="15617" max="15617" width="14.85546875" style="24" bestFit="1" customWidth="1"/>
    <col min="15618" max="15618" width="28" style="24" bestFit="1" customWidth="1"/>
    <col min="15619" max="15619" width="4.42578125" style="24" bestFit="1" customWidth="1"/>
    <col min="15620" max="15620" width="8" style="24" bestFit="1" customWidth="1"/>
    <col min="15621" max="15621" width="11.42578125" style="24"/>
    <col min="15622" max="15622" width="22.85546875" style="24" bestFit="1" customWidth="1"/>
    <col min="15623" max="15623" width="7" style="24" customWidth="1"/>
    <col min="15624" max="15624" width="6.28515625" style="24" customWidth="1"/>
    <col min="15625" max="15625" width="5.7109375" style="24" customWidth="1"/>
    <col min="15626" max="15626" width="5.7109375" style="24" bestFit="1" customWidth="1"/>
    <col min="15627" max="15627" width="5.85546875" style="24" bestFit="1" customWidth="1"/>
    <col min="15628" max="15628" width="9.42578125" style="24" customWidth="1"/>
    <col min="15629" max="15629" width="5.140625" style="24" customWidth="1"/>
    <col min="15630" max="15630" width="9.7109375" style="24" customWidth="1"/>
    <col min="15631" max="15631" width="6.7109375" style="24" bestFit="1" customWidth="1"/>
    <col min="15632" max="15632" width="4.85546875" style="24" customWidth="1"/>
    <col min="15633" max="15633" width="5.28515625" style="24" customWidth="1"/>
    <col min="15634" max="15635" width="4.42578125" style="24" bestFit="1" customWidth="1"/>
    <col min="15636" max="15636" width="13.28515625" style="24" bestFit="1" customWidth="1"/>
    <col min="15637" max="15637" width="3.140625" style="24" customWidth="1"/>
    <col min="15638" max="15638" width="5.42578125" style="24" bestFit="1" customWidth="1"/>
    <col min="15639" max="15639" width="4.42578125" style="24" bestFit="1" customWidth="1"/>
    <col min="15640" max="15640" width="6.42578125" style="24" customWidth="1"/>
    <col min="15641" max="15641" width="5" style="24" bestFit="1" customWidth="1"/>
    <col min="15642" max="15642" width="4.5703125" style="24" bestFit="1" customWidth="1"/>
    <col min="15643" max="15643" width="4.42578125" style="24" bestFit="1" customWidth="1"/>
    <col min="15644" max="15644" width="4" style="24" customWidth="1"/>
    <col min="15645" max="15872" width="11.42578125" style="24"/>
    <col min="15873" max="15873" width="14.85546875" style="24" bestFit="1" customWidth="1"/>
    <col min="15874" max="15874" width="28" style="24" bestFit="1" customWidth="1"/>
    <col min="15875" max="15875" width="4.42578125" style="24" bestFit="1" customWidth="1"/>
    <col min="15876" max="15876" width="8" style="24" bestFit="1" customWidth="1"/>
    <col min="15877" max="15877" width="11.42578125" style="24"/>
    <col min="15878" max="15878" width="22.85546875" style="24" bestFit="1" customWidth="1"/>
    <col min="15879" max="15879" width="7" style="24" customWidth="1"/>
    <col min="15880" max="15880" width="6.28515625" style="24" customWidth="1"/>
    <col min="15881" max="15881" width="5.7109375" style="24" customWidth="1"/>
    <col min="15882" max="15882" width="5.7109375" style="24" bestFit="1" customWidth="1"/>
    <col min="15883" max="15883" width="5.85546875" style="24" bestFit="1" customWidth="1"/>
    <col min="15884" max="15884" width="9.42578125" style="24" customWidth="1"/>
    <col min="15885" max="15885" width="5.140625" style="24" customWidth="1"/>
    <col min="15886" max="15886" width="9.7109375" style="24" customWidth="1"/>
    <col min="15887" max="15887" width="6.7109375" style="24" bestFit="1" customWidth="1"/>
    <col min="15888" max="15888" width="4.85546875" style="24" customWidth="1"/>
    <col min="15889" max="15889" width="5.28515625" style="24" customWidth="1"/>
    <col min="15890" max="15891" width="4.42578125" style="24" bestFit="1" customWidth="1"/>
    <col min="15892" max="15892" width="13.28515625" style="24" bestFit="1" customWidth="1"/>
    <col min="15893" max="15893" width="3.140625" style="24" customWidth="1"/>
    <col min="15894" max="15894" width="5.42578125" style="24" bestFit="1" customWidth="1"/>
    <col min="15895" max="15895" width="4.42578125" style="24" bestFit="1" customWidth="1"/>
    <col min="15896" max="15896" width="6.42578125" style="24" customWidth="1"/>
    <col min="15897" max="15897" width="5" style="24" bestFit="1" customWidth="1"/>
    <col min="15898" max="15898" width="4.5703125" style="24" bestFit="1" customWidth="1"/>
    <col min="15899" max="15899" width="4.42578125" style="24" bestFit="1" customWidth="1"/>
    <col min="15900" max="15900" width="4" style="24" customWidth="1"/>
    <col min="15901" max="16128" width="11.42578125" style="24"/>
    <col min="16129" max="16129" width="14.85546875" style="24" bestFit="1" customWidth="1"/>
    <col min="16130" max="16130" width="28" style="24" bestFit="1" customWidth="1"/>
    <col min="16131" max="16131" width="4.42578125" style="24" bestFit="1" customWidth="1"/>
    <col min="16132" max="16132" width="8" style="24" bestFit="1" customWidth="1"/>
    <col min="16133" max="16133" width="11.42578125" style="24"/>
    <col min="16134" max="16134" width="22.85546875" style="24" bestFit="1" customWidth="1"/>
    <col min="16135" max="16135" width="7" style="24" customWidth="1"/>
    <col min="16136" max="16136" width="6.28515625" style="24" customWidth="1"/>
    <col min="16137" max="16137" width="5.7109375" style="24" customWidth="1"/>
    <col min="16138" max="16138" width="5.7109375" style="24" bestFit="1" customWidth="1"/>
    <col min="16139" max="16139" width="5.85546875" style="24" bestFit="1" customWidth="1"/>
    <col min="16140" max="16140" width="9.42578125" style="24" customWidth="1"/>
    <col min="16141" max="16141" width="5.140625" style="24" customWidth="1"/>
    <col min="16142" max="16142" width="9.7109375" style="24" customWidth="1"/>
    <col min="16143" max="16143" width="6.7109375" style="24" bestFit="1" customWidth="1"/>
    <col min="16144" max="16144" width="4.85546875" style="24" customWidth="1"/>
    <col min="16145" max="16145" width="5.28515625" style="24" customWidth="1"/>
    <col min="16146" max="16147" width="4.42578125" style="24" bestFit="1" customWidth="1"/>
    <col min="16148" max="16148" width="13.28515625" style="24" bestFit="1" customWidth="1"/>
    <col min="16149" max="16149" width="3.140625" style="24" customWidth="1"/>
    <col min="16150" max="16150" width="5.42578125" style="24" bestFit="1" customWidth="1"/>
    <col min="16151" max="16151" width="4.42578125" style="24" bestFit="1" customWidth="1"/>
    <col min="16152" max="16152" width="6.42578125" style="24" customWidth="1"/>
    <col min="16153" max="16153" width="5" style="24" bestFit="1" customWidth="1"/>
    <col min="16154" max="16154" width="4.5703125" style="24" bestFit="1" customWidth="1"/>
    <col min="16155" max="16155" width="4.42578125" style="24" bestFit="1" customWidth="1"/>
    <col min="16156" max="16156" width="4" style="24" customWidth="1"/>
    <col min="16157" max="16384" width="11.42578125" style="24"/>
  </cols>
  <sheetData>
    <row r="1" spans="1:42">
      <c r="E1" s="1"/>
      <c r="F1" s="1"/>
      <c r="G1" s="748" t="s">
        <v>0</v>
      </c>
      <c r="H1" s="749"/>
      <c r="I1" s="749"/>
      <c r="J1" s="749"/>
      <c r="K1" s="749"/>
      <c r="L1" s="750"/>
      <c r="M1" s="342"/>
      <c r="N1" s="749" t="s">
        <v>1</v>
      </c>
      <c r="O1" s="749"/>
      <c r="P1" s="749"/>
      <c r="Q1" s="749"/>
      <c r="R1" s="749"/>
      <c r="S1" s="749"/>
      <c r="T1" s="749"/>
      <c r="U1" s="1"/>
      <c r="V1" s="749" t="s">
        <v>2</v>
      </c>
      <c r="W1" s="749"/>
      <c r="X1" s="749"/>
      <c r="Y1" s="749"/>
      <c r="Z1" s="749"/>
      <c r="AA1" s="749"/>
      <c r="AB1" s="28"/>
    </row>
    <row r="2" spans="1:42" ht="15" customHeight="1">
      <c r="E2" s="1"/>
      <c r="F2" s="1"/>
      <c r="G2" s="751" t="s">
        <v>43</v>
      </c>
      <c r="H2" s="752"/>
      <c r="I2" s="753" t="s">
        <v>3</v>
      </c>
      <c r="J2" s="752"/>
      <c r="K2" s="752"/>
      <c r="L2" s="752"/>
      <c r="M2" s="143"/>
      <c r="N2" s="754" t="s">
        <v>4</v>
      </c>
      <c r="O2" s="756" t="s">
        <v>5</v>
      </c>
      <c r="P2" s="757"/>
      <c r="Q2" s="757"/>
      <c r="R2" s="757"/>
      <c r="S2" s="757"/>
      <c r="T2" s="758"/>
      <c r="U2" s="1"/>
      <c r="V2" s="760" t="s">
        <v>508</v>
      </c>
      <c r="W2" s="757"/>
      <c r="X2" s="757"/>
      <c r="Y2" s="757"/>
      <c r="Z2" s="757"/>
      <c r="AA2" s="758"/>
      <c r="AB2" s="29"/>
      <c r="AJ2" s="331"/>
      <c r="AK2" s="324"/>
      <c r="AL2" s="331"/>
      <c r="AM2" s="323" t="s">
        <v>507</v>
      </c>
      <c r="AN2" s="324"/>
      <c r="AO2" s="325"/>
    </row>
    <row r="3" spans="1:42" s="25" customFormat="1" ht="38.25">
      <c r="E3" s="4"/>
      <c r="F3" s="4"/>
      <c r="G3" s="30"/>
      <c r="H3" s="30"/>
      <c r="I3" s="761" t="s">
        <v>6</v>
      </c>
      <c r="J3" s="752"/>
      <c r="K3" s="761" t="s">
        <v>52</v>
      </c>
      <c r="L3" s="752"/>
      <c r="M3" s="144" t="s">
        <v>467</v>
      </c>
      <c r="N3" s="755"/>
      <c r="O3" s="759"/>
      <c r="P3" s="757"/>
      <c r="Q3" s="757"/>
      <c r="R3" s="757"/>
      <c r="S3" s="757"/>
      <c r="T3" s="758"/>
      <c r="U3" s="4"/>
      <c r="V3" s="759"/>
      <c r="W3" s="750"/>
      <c r="X3" s="750"/>
      <c r="Y3" s="750"/>
      <c r="Z3" s="750"/>
      <c r="AA3" s="758"/>
      <c r="AB3" s="31"/>
      <c r="AD3" s="332"/>
      <c r="AE3" s="332" t="s">
        <v>492</v>
      </c>
      <c r="AF3" s="332"/>
      <c r="AG3" s="332" t="s">
        <v>509</v>
      </c>
      <c r="AH3" s="332"/>
      <c r="AI3" s="332" t="s">
        <v>452</v>
      </c>
      <c r="AJ3" s="326"/>
      <c r="AK3" s="327"/>
      <c r="AL3" s="327"/>
      <c r="AM3" s="327"/>
      <c r="AN3" s="327"/>
      <c r="AO3" s="325"/>
    </row>
    <row r="4" spans="1:42" ht="15">
      <c r="A4" s="765" t="s">
        <v>44</v>
      </c>
      <c r="B4" s="766"/>
      <c r="C4" s="766"/>
      <c r="E4" s="22" t="s">
        <v>7</v>
      </c>
      <c r="F4" s="22" t="s">
        <v>8</v>
      </c>
      <c r="G4" s="32"/>
      <c r="H4" s="33" t="s">
        <v>9</v>
      </c>
      <c r="I4" s="21"/>
      <c r="J4" s="51" t="s">
        <v>9</v>
      </c>
      <c r="K4" s="21"/>
      <c r="L4" s="51" t="s">
        <v>9</v>
      </c>
      <c r="M4" s="33"/>
      <c r="N4" s="755"/>
      <c r="O4" s="14" t="s">
        <v>10</v>
      </c>
      <c r="P4" s="14" t="s">
        <v>11</v>
      </c>
      <c r="Q4" s="14" t="s">
        <v>12</v>
      </c>
      <c r="R4" s="13" t="s">
        <v>13</v>
      </c>
      <c r="S4" s="12" t="s">
        <v>14</v>
      </c>
      <c r="T4" s="12" t="s">
        <v>15</v>
      </c>
      <c r="U4" s="10"/>
      <c r="V4" s="20" t="s">
        <v>9</v>
      </c>
      <c r="W4" s="14" t="s">
        <v>16</v>
      </c>
      <c r="X4" s="14" t="s">
        <v>17</v>
      </c>
      <c r="Y4" s="13" t="s">
        <v>18</v>
      </c>
      <c r="Z4" s="12" t="s">
        <v>19</v>
      </c>
      <c r="AA4" s="12" t="s">
        <v>20</v>
      </c>
      <c r="AB4" s="24" t="s">
        <v>510</v>
      </c>
      <c r="AD4" s="14" t="s">
        <v>16</v>
      </c>
      <c r="AE4" s="14" t="s">
        <v>17</v>
      </c>
      <c r="AF4" s="13" t="s">
        <v>18</v>
      </c>
      <c r="AG4" s="12" t="s">
        <v>19</v>
      </c>
      <c r="AH4" s="12" t="s">
        <v>20</v>
      </c>
      <c r="AI4" s="347" t="s">
        <v>452</v>
      </c>
      <c r="AJ4" s="328" t="s">
        <v>9</v>
      </c>
      <c r="AK4" s="328" t="s">
        <v>16</v>
      </c>
      <c r="AL4" s="328" t="s">
        <v>17</v>
      </c>
      <c r="AM4" s="329" t="s">
        <v>18</v>
      </c>
      <c r="AN4" s="330" t="s">
        <v>19</v>
      </c>
      <c r="AO4" s="330" t="s">
        <v>20</v>
      </c>
    </row>
    <row r="5" spans="1:42" ht="15">
      <c r="A5" s="24" t="s">
        <v>9</v>
      </c>
      <c r="C5" s="26">
        <f>SUM(C7:C25)</f>
        <v>244.74285527808519</v>
      </c>
      <c r="E5" s="2"/>
      <c r="F5" s="19"/>
      <c r="G5" s="34">
        <f>SUM(G7:G44)-R23-S23</f>
        <v>244.59714805106501</v>
      </c>
      <c r="H5" s="19"/>
      <c r="I5" s="18"/>
      <c r="J5" s="17"/>
      <c r="L5" s="8"/>
      <c r="N5" s="16"/>
      <c r="O5" s="15"/>
      <c r="P5" s="14"/>
      <c r="Q5" s="14"/>
      <c r="R5" s="13"/>
      <c r="S5" s="12"/>
      <c r="T5" s="11">
        <f>T7+T23+T26+T39</f>
        <v>140.38043474327861</v>
      </c>
      <c r="U5" s="10"/>
      <c r="V5" s="9">
        <f>SUM(V7,V21,V26:V32,V34)</f>
        <v>129.64131237587685</v>
      </c>
      <c r="W5" s="9">
        <f>SUM(W7:W44)</f>
        <v>3.7938594377279995</v>
      </c>
      <c r="X5" s="9">
        <f t="shared" ref="X5:Z5" si="0">SUM(X7:X44)</f>
        <v>32.728349751926693</v>
      </c>
      <c r="Y5" s="9">
        <f t="shared" si="0"/>
        <v>34.830557061797037</v>
      </c>
      <c r="Z5" s="9">
        <f t="shared" si="0"/>
        <v>20.870631823678892</v>
      </c>
      <c r="AA5" s="9">
        <f>SUM(AA7:AA44)</f>
        <v>37.417914300746233</v>
      </c>
      <c r="AB5" s="27"/>
      <c r="AJ5" s="9">
        <f>SUM(AJ13,AJ23,AJ26:AJ32,AJ40)</f>
        <v>140.12544168621764</v>
      </c>
      <c r="AK5" s="9">
        <f>SUM(AK7:AK44)</f>
        <v>3.7942932846117698</v>
      </c>
      <c r="AL5" s="9">
        <f t="shared" ref="AL5:AO5" si="1">SUM(AL7:AL44)</f>
        <v>32.840318507723993</v>
      </c>
      <c r="AM5" s="9">
        <f t="shared" si="1"/>
        <v>37.180814937820415</v>
      </c>
      <c r="AN5" s="9">
        <f t="shared" si="1"/>
        <v>21.621133396071571</v>
      </c>
      <c r="AO5" s="9">
        <f t="shared" si="1"/>
        <v>44.688881559989888</v>
      </c>
      <c r="AP5" s="27"/>
    </row>
    <row r="6" spans="1:42">
      <c r="E6" s="1"/>
      <c r="F6" s="1"/>
      <c r="G6" s="360">
        <f>G5-'bilan complet'!K132-I40-I41</f>
        <v>-8.9904302193014707E-2</v>
      </c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2">
        <f>T5-'bilan complet'!K126+(SUM(AD7:AH19)-T7)</f>
        <v>-1.4210854715202004E-14</v>
      </c>
      <c r="U6" s="263"/>
      <c r="V6" s="264">
        <f>V5-'scenario demande'!E368</f>
        <v>0</v>
      </c>
      <c r="W6" s="1"/>
      <c r="X6" s="1"/>
      <c r="Y6" s="1"/>
      <c r="Z6" s="1"/>
      <c r="AA6" s="1"/>
      <c r="AB6" s="35"/>
      <c r="AJ6" s="480">
        <f>AJ5-'bilan complet'!K126</f>
        <v>-1.0109780910255495E-2</v>
      </c>
      <c r="AK6" s="1"/>
      <c r="AL6" s="1"/>
      <c r="AM6" s="1"/>
      <c r="AN6" s="1"/>
      <c r="AO6" s="1"/>
    </row>
    <row r="7" spans="1:42">
      <c r="A7" s="24" t="s">
        <v>45</v>
      </c>
      <c r="B7" s="24" t="s">
        <v>46</v>
      </c>
      <c r="C7" s="27">
        <f>G29+G35+G13</f>
        <v>16.78946854193179</v>
      </c>
      <c r="E7" s="767" t="s">
        <v>14</v>
      </c>
      <c r="F7" s="1" t="s">
        <v>21</v>
      </c>
      <c r="G7" s="2">
        <f>électricité!E27*0.086</f>
        <v>3.4615866718749997</v>
      </c>
      <c r="H7" s="768">
        <f>SUM(G7:G20)</f>
        <v>123.70310925467869</v>
      </c>
      <c r="I7" s="3"/>
      <c r="J7" s="769">
        <f>SUM(I7:I19)</f>
        <v>77.914367363942731</v>
      </c>
      <c r="K7" s="2">
        <f>G7-I7</f>
        <v>3.4615866718749997</v>
      </c>
      <c r="L7" s="769">
        <f>SUM(K6:K19)</f>
        <v>49.818795431396481</v>
      </c>
      <c r="N7" s="768">
        <f>L7-M13</f>
        <v>44.713877883554375</v>
      </c>
      <c r="O7" s="46"/>
      <c r="P7" s="46"/>
      <c r="Q7" s="46"/>
      <c r="R7" s="45"/>
      <c r="S7" s="341"/>
      <c r="T7" s="783">
        <f>N7-O12-P12-Q12</f>
        <v>37.825260170663746</v>
      </c>
      <c r="U7" s="23"/>
      <c r="V7" s="772">
        <f>SUM(W7:AA19)</f>
        <v>36.453939582934744</v>
      </c>
      <c r="W7" s="256"/>
      <c r="X7" s="259"/>
      <c r="Y7" s="256"/>
      <c r="Z7" s="259"/>
      <c r="AA7" s="256"/>
      <c r="AB7" s="36"/>
      <c r="AC7" s="267"/>
      <c r="AD7" s="762">
        <f>'bilan complet'!$I$124</f>
        <v>0.54511932161818266</v>
      </c>
      <c r="AE7" s="762">
        <f>'bilan complet'!$I$121</f>
        <v>9.9283201472224292</v>
      </c>
      <c r="AF7" s="762">
        <f>'bilan complet'!$I$122</f>
        <v>13.580581676849002</v>
      </c>
      <c r="AG7" s="762">
        <f>'bilan complet'!$I$123</f>
        <v>11.772647050150686</v>
      </c>
      <c r="AH7" s="772">
        <f>'bilan complet'!$I$125</f>
        <v>1.7537086986727168</v>
      </c>
      <c r="AJ7" s="307"/>
      <c r="AK7" s="308"/>
      <c r="AL7" s="259"/>
      <c r="AM7" s="256"/>
      <c r="AN7" s="259"/>
      <c r="AO7" s="256"/>
    </row>
    <row r="8" spans="1:42">
      <c r="B8" s="24" t="s">
        <v>21</v>
      </c>
      <c r="C8" s="27">
        <f>G7</f>
        <v>3.4615866718749997</v>
      </c>
      <c r="D8" s="27"/>
      <c r="E8" s="767"/>
      <c r="F8" s="1" t="s">
        <v>22</v>
      </c>
      <c r="G8" s="2">
        <f>électricité!E25*0.086</f>
        <v>5.7434434843749989</v>
      </c>
      <c r="H8" s="768"/>
      <c r="I8" s="3"/>
      <c r="J8" s="769"/>
      <c r="K8" s="2">
        <f t="shared" ref="K8:K44" si="2">G8-I8</f>
        <v>5.7434434843749989</v>
      </c>
      <c r="L8" s="769"/>
      <c r="N8" s="768"/>
      <c r="O8" s="46"/>
      <c r="P8" s="46"/>
      <c r="Q8" s="46"/>
      <c r="R8" s="45"/>
      <c r="S8" s="341"/>
      <c r="T8" s="783"/>
      <c r="U8" s="23"/>
      <c r="V8" s="773"/>
      <c r="W8" s="257"/>
      <c r="X8" s="260"/>
      <c r="Y8" s="257"/>
      <c r="Z8" s="260"/>
      <c r="AA8" s="257"/>
      <c r="AB8" s="36"/>
      <c r="AC8" s="38"/>
      <c r="AD8" s="763"/>
      <c r="AE8" s="763"/>
      <c r="AF8" s="763"/>
      <c r="AG8" s="763"/>
      <c r="AH8" s="773"/>
      <c r="AJ8" s="344"/>
      <c r="AK8" s="309"/>
      <c r="AL8" s="260"/>
      <c r="AM8" s="257"/>
      <c r="AN8" s="260"/>
      <c r="AO8" s="257"/>
    </row>
    <row r="9" spans="1:42">
      <c r="B9" s="24" t="s">
        <v>47</v>
      </c>
      <c r="C9" s="27">
        <f>G11+G21+G22+G26+G34</f>
        <v>0</v>
      </c>
      <c r="E9" s="767"/>
      <c r="F9" s="1" t="s">
        <v>23</v>
      </c>
      <c r="G9" s="2">
        <f>électricité!E26*0.086</f>
        <v>1.2564826757812499</v>
      </c>
      <c r="H9" s="768"/>
      <c r="I9" s="3"/>
      <c r="J9" s="769"/>
      <c r="K9" s="2">
        <f t="shared" si="2"/>
        <v>1.2564826757812499</v>
      </c>
      <c r="L9" s="769"/>
      <c r="N9" s="768"/>
      <c r="O9" s="46"/>
      <c r="P9" s="46"/>
      <c r="Q9" s="46"/>
      <c r="R9" s="45"/>
      <c r="S9" s="341"/>
      <c r="T9" s="783"/>
      <c r="U9" s="23"/>
      <c r="V9" s="773"/>
      <c r="W9" s="257"/>
      <c r="X9" s="260"/>
      <c r="Y9" s="257"/>
      <c r="Z9" s="260"/>
      <c r="AA9" s="257"/>
      <c r="AB9" s="36"/>
      <c r="AC9" s="38"/>
      <c r="AD9" s="763"/>
      <c r="AE9" s="763"/>
      <c r="AF9" s="763"/>
      <c r="AG9" s="763"/>
      <c r="AH9" s="773"/>
      <c r="AJ9" s="344"/>
      <c r="AK9" s="309"/>
      <c r="AL9" s="260"/>
      <c r="AM9" s="257"/>
      <c r="AN9" s="260"/>
      <c r="AO9" s="257"/>
    </row>
    <row r="10" spans="1:42">
      <c r="B10" s="24" t="s">
        <v>28</v>
      </c>
      <c r="C10" s="27">
        <f>G14+G30+G37</f>
        <v>0.16723219422638544</v>
      </c>
      <c r="E10" s="767"/>
      <c r="F10" s="1" t="s">
        <v>24</v>
      </c>
      <c r="G10" s="2">
        <f>106.67+'bilan complet'!H104</f>
        <v>102.79999975585937</v>
      </c>
      <c r="H10" s="768"/>
      <c r="I10" s="3">
        <f>K10/0.33-K10</f>
        <v>71.468956769176131</v>
      </c>
      <c r="J10" s="769"/>
      <c r="K10" s="3">
        <f>électricité!E22*0.086</f>
        <v>35.201127960937498</v>
      </c>
      <c r="L10" s="769"/>
      <c r="N10" s="768"/>
      <c r="O10" s="46"/>
      <c r="P10" s="46"/>
      <c r="Q10" s="46"/>
      <c r="R10" s="45"/>
      <c r="S10" s="341"/>
      <c r="T10" s="783"/>
      <c r="U10" s="23"/>
      <c r="V10" s="773"/>
      <c r="W10" s="257"/>
      <c r="X10" s="260"/>
      <c r="Y10" s="257"/>
      <c r="Z10" s="260"/>
      <c r="AA10" s="257"/>
      <c r="AB10" s="36"/>
      <c r="AC10" s="38"/>
      <c r="AD10" s="763"/>
      <c r="AE10" s="763"/>
      <c r="AF10" s="763"/>
      <c r="AG10" s="763"/>
      <c r="AH10" s="773"/>
      <c r="AJ10" s="344"/>
      <c r="AK10" s="309"/>
      <c r="AL10" s="260"/>
      <c r="AM10" s="257"/>
      <c r="AN10" s="260"/>
      <c r="AO10" s="257"/>
    </row>
    <row r="11" spans="1:42">
      <c r="B11" s="24" t="s">
        <v>22</v>
      </c>
      <c r="C11" s="27">
        <f>G8</f>
        <v>5.7434434843749989</v>
      </c>
      <c r="E11" s="767"/>
      <c r="F11" s="1" t="s">
        <v>25</v>
      </c>
      <c r="G11" s="2"/>
      <c r="H11" s="768"/>
      <c r="I11" s="3"/>
      <c r="J11" s="769"/>
      <c r="K11" s="2">
        <f t="shared" si="2"/>
        <v>0</v>
      </c>
      <c r="L11" s="769"/>
      <c r="N11" s="768"/>
      <c r="O11" s="46"/>
      <c r="P11" s="46"/>
      <c r="Q11" s="46"/>
      <c r="R11" s="45"/>
      <c r="S11" s="341"/>
      <c r="T11" s="783"/>
      <c r="U11" s="23"/>
      <c r="V11" s="773"/>
      <c r="W11" s="257"/>
      <c r="X11" s="260"/>
      <c r="Y11" s="257"/>
      <c r="Z11" s="260"/>
      <c r="AA11" s="257"/>
      <c r="AB11" s="36"/>
      <c r="AC11" s="38"/>
      <c r="AD11" s="763"/>
      <c r="AE11" s="763"/>
      <c r="AF11" s="763"/>
      <c r="AG11" s="763"/>
      <c r="AH11" s="773"/>
      <c r="AJ11" s="344"/>
      <c r="AK11" s="309"/>
      <c r="AL11" s="260"/>
      <c r="AM11" s="257"/>
      <c r="AN11" s="260"/>
      <c r="AO11" s="257"/>
    </row>
    <row r="12" spans="1:42">
      <c r="B12" s="24" t="s">
        <v>23</v>
      </c>
      <c r="C12" s="27">
        <f>G9</f>
        <v>1.2564826757812499</v>
      </c>
      <c r="D12" s="27"/>
      <c r="E12" s="767"/>
      <c r="F12" s="1" t="s">
        <v>26</v>
      </c>
      <c r="G12" s="2">
        <f>'bilan complet'!J118</f>
        <v>4.0658837430772037</v>
      </c>
      <c r="H12" s="768"/>
      <c r="I12" s="3">
        <f>G12-K12</f>
        <v>2.9169387762803289</v>
      </c>
      <c r="J12" s="769"/>
      <c r="K12" s="2">
        <f>électricité!E21*0.086</f>
        <v>1.1489449667968747</v>
      </c>
      <c r="L12" s="769"/>
      <c r="N12" s="768"/>
      <c r="O12" s="46">
        <f>(électricité!E32)*0.086</f>
        <v>3.0186174687499996</v>
      </c>
      <c r="P12" s="46">
        <f>électricité!E36*0.086</f>
        <v>3.8700002441406252</v>
      </c>
      <c r="Q12" s="46"/>
      <c r="R12" s="45"/>
      <c r="S12" s="341"/>
      <c r="T12" s="783"/>
      <c r="U12" s="7"/>
      <c r="V12" s="773"/>
      <c r="W12" s="257"/>
      <c r="X12" s="260"/>
      <c r="Y12" s="257"/>
      <c r="Z12" s="260"/>
      <c r="AA12" s="257"/>
      <c r="AB12" s="36"/>
      <c r="AC12" s="38" t="s">
        <v>490</v>
      </c>
      <c r="AD12" s="763"/>
      <c r="AE12" s="763"/>
      <c r="AF12" s="763"/>
      <c r="AG12" s="763"/>
      <c r="AH12" s="773"/>
      <c r="AJ12" s="344"/>
      <c r="AK12" s="309"/>
      <c r="AL12" s="260"/>
      <c r="AM12" s="257"/>
      <c r="AN12" s="260"/>
      <c r="AO12" s="257"/>
    </row>
    <row r="13" spans="1:42">
      <c r="B13" s="24" t="s">
        <v>62</v>
      </c>
      <c r="C13" s="27">
        <f>G39</f>
        <v>5.595797582970687</v>
      </c>
      <c r="E13" s="767"/>
      <c r="F13" s="1" t="s">
        <v>27</v>
      </c>
      <c r="G13" s="2"/>
      <c r="H13" s="768"/>
      <c r="I13" s="3"/>
      <c r="J13" s="769"/>
      <c r="K13" s="2">
        <f t="shared" si="2"/>
        <v>0</v>
      </c>
      <c r="L13" s="769"/>
      <c r="M13" s="37">
        <f>électricité!E34*0.086</f>
        <v>5.1049175478421027</v>
      </c>
      <c r="N13" s="768"/>
      <c r="O13" s="46"/>
      <c r="P13" s="46"/>
      <c r="Q13" s="46"/>
      <c r="R13" s="45"/>
      <c r="S13" s="341"/>
      <c r="T13" s="783"/>
      <c r="U13" s="1"/>
      <c r="V13" s="773"/>
      <c r="W13" s="257">
        <f>'scenario demande'!$E$339</f>
        <v>0.54012210561818264</v>
      </c>
      <c r="X13" s="260">
        <f>'scenario demande'!$E$12</f>
        <v>9.9071664227127147</v>
      </c>
      <c r="Y13" s="257">
        <f>'scenario demande'!$E$113</f>
        <v>12.636560075423329</v>
      </c>
      <c r="Z13" s="260">
        <f>'scenario demande'!$E$188</f>
        <v>11.614466351448931</v>
      </c>
      <c r="AA13" s="257">
        <f>'scenario demande'!$E$278</f>
        <v>1.7556246277315877</v>
      </c>
      <c r="AB13" s="36"/>
      <c r="AC13" s="38"/>
      <c r="AD13" s="763"/>
      <c r="AE13" s="763"/>
      <c r="AF13" s="763"/>
      <c r="AG13" s="763"/>
      <c r="AH13" s="773"/>
      <c r="AI13" s="27">
        <f>SUM(AD7:AH19)</f>
        <v>37.580376894513016</v>
      </c>
      <c r="AJ13" s="344">
        <f>SUM(AK7:AO19)</f>
        <v>37.580376894513016</v>
      </c>
      <c r="AK13" s="310">
        <f>AD7</f>
        <v>0.54511932161818266</v>
      </c>
      <c r="AL13" s="260">
        <f>AE7</f>
        <v>9.9283201472224292</v>
      </c>
      <c r="AM13" s="260">
        <f>AF7</f>
        <v>13.580581676849002</v>
      </c>
      <c r="AN13" s="260">
        <f>AG7</f>
        <v>11.772647050150686</v>
      </c>
      <c r="AO13" s="260">
        <f>AH7</f>
        <v>1.7537086986727168</v>
      </c>
    </row>
    <row r="14" spans="1:42">
      <c r="B14" s="24" t="s">
        <v>48</v>
      </c>
      <c r="C14" s="27">
        <f>G38</f>
        <v>1.8</v>
      </c>
      <c r="E14" s="767"/>
      <c r="F14" s="1" t="s">
        <v>28</v>
      </c>
      <c r="G14" s="2"/>
      <c r="H14" s="768"/>
      <c r="I14" s="3"/>
      <c r="J14" s="769"/>
      <c r="K14" s="2">
        <f t="shared" si="2"/>
        <v>0</v>
      </c>
      <c r="L14" s="769"/>
      <c r="N14" s="768"/>
      <c r="O14" s="46"/>
      <c r="P14" s="46"/>
      <c r="Q14" s="46"/>
      <c r="R14" s="45"/>
      <c r="S14" s="341"/>
      <c r="T14" s="783"/>
      <c r="U14" s="1"/>
      <c r="V14" s="773"/>
      <c r="W14" s="257"/>
      <c r="X14" s="260"/>
      <c r="Y14" s="257"/>
      <c r="Z14" s="260"/>
      <c r="AA14" s="257"/>
      <c r="AB14" s="36"/>
      <c r="AC14" s="38"/>
      <c r="AD14" s="763"/>
      <c r="AE14" s="763"/>
      <c r="AF14" s="763"/>
      <c r="AG14" s="763"/>
      <c r="AH14" s="773"/>
      <c r="AJ14" s="344"/>
      <c r="AK14" s="309"/>
      <c r="AL14" s="260"/>
      <c r="AM14" s="257"/>
      <c r="AN14" s="260"/>
      <c r="AO14" s="257"/>
    </row>
    <row r="15" spans="1:42">
      <c r="B15" s="24" t="s">
        <v>35</v>
      </c>
      <c r="C15" s="27">
        <f>G36+G31</f>
        <v>0.46242270974172184</v>
      </c>
      <c r="E15" s="767"/>
      <c r="F15" s="1" t="s">
        <v>29</v>
      </c>
      <c r="G15" s="2">
        <f>électricité!E30*0.086</f>
        <v>0.16218861987304686</v>
      </c>
      <c r="H15" s="768"/>
      <c r="I15" s="3"/>
      <c r="J15" s="769"/>
      <c r="K15" s="2">
        <f t="shared" si="2"/>
        <v>0.16218861987304686</v>
      </c>
      <c r="L15" s="769"/>
      <c r="N15" s="768"/>
      <c r="O15" s="46"/>
      <c r="P15" s="46"/>
      <c r="Q15" s="46"/>
      <c r="R15" s="45"/>
      <c r="S15" s="341"/>
      <c r="T15" s="783"/>
      <c r="U15" s="1"/>
      <c r="V15" s="773"/>
      <c r="W15" s="257"/>
      <c r="X15" s="260"/>
      <c r="Y15" s="257"/>
      <c r="Z15" s="260"/>
      <c r="AA15" s="257"/>
      <c r="AB15" s="36"/>
      <c r="AC15" s="38"/>
      <c r="AD15" s="763"/>
      <c r="AE15" s="763"/>
      <c r="AF15" s="763"/>
      <c r="AG15" s="763"/>
      <c r="AH15" s="773"/>
      <c r="AJ15" s="344"/>
      <c r="AK15" s="309"/>
      <c r="AL15" s="260"/>
      <c r="AM15" s="257"/>
      <c r="AN15" s="260"/>
      <c r="AO15" s="257"/>
    </row>
    <row r="16" spans="1:42">
      <c r="B16" s="24" t="s">
        <v>39</v>
      </c>
      <c r="C16" s="27">
        <f>G12+G16+G27+G28</f>
        <v>4.9244311239144309</v>
      </c>
      <c r="E16" s="767"/>
      <c r="F16" s="1" t="s">
        <v>30</v>
      </c>
      <c r="G16" s="2">
        <v>0</v>
      </c>
      <c r="H16" s="768"/>
      <c r="I16" s="3"/>
      <c r="J16" s="769"/>
      <c r="K16" s="2">
        <f>électricité!E20*0.086</f>
        <v>0.15996856640624998</v>
      </c>
      <c r="L16" s="769"/>
      <c r="N16" s="768"/>
      <c r="O16" s="46"/>
      <c r="P16" s="46"/>
      <c r="Q16" s="46"/>
      <c r="R16" s="45"/>
      <c r="S16" s="341"/>
      <c r="T16" s="783"/>
      <c r="U16" s="1"/>
      <c r="V16" s="773"/>
      <c r="W16" s="257"/>
      <c r="X16" s="260"/>
      <c r="Y16" s="257"/>
      <c r="Z16" s="260"/>
      <c r="AA16" s="257"/>
      <c r="AB16" s="36"/>
      <c r="AC16" s="38"/>
      <c r="AD16" s="763"/>
      <c r="AE16" s="763"/>
      <c r="AF16" s="763"/>
      <c r="AG16" s="763"/>
      <c r="AH16" s="773"/>
      <c r="AJ16" s="344"/>
      <c r="AK16" s="309"/>
      <c r="AL16" s="260"/>
      <c r="AM16" s="257"/>
      <c r="AN16" s="260"/>
      <c r="AO16" s="257"/>
    </row>
    <row r="17" spans="1:41">
      <c r="C17" s="27"/>
      <c r="E17" s="767"/>
      <c r="F17" s="1" t="s">
        <v>466</v>
      </c>
      <c r="G17" s="2">
        <f>électricité!E6</f>
        <v>0.4849151916503906</v>
      </c>
      <c r="H17" s="768"/>
      <c r="I17" s="3">
        <f>G17-K17</f>
        <v>0.29318579223632812</v>
      </c>
      <c r="J17" s="769"/>
      <c r="K17" s="5">
        <f>électricité!E17*0.086</f>
        <v>0.19172939941406247</v>
      </c>
      <c r="L17" s="769"/>
      <c r="N17" s="768"/>
      <c r="O17" s="46"/>
      <c r="P17" s="46"/>
      <c r="Q17" s="46"/>
      <c r="R17" s="45"/>
      <c r="S17" s="341"/>
      <c r="T17" s="783"/>
      <c r="U17" s="1"/>
      <c r="V17" s="773"/>
      <c r="W17" s="257"/>
      <c r="X17" s="260"/>
      <c r="Y17" s="257"/>
      <c r="Z17" s="260"/>
      <c r="AA17" s="257"/>
      <c r="AB17" s="36"/>
      <c r="AC17" s="38"/>
      <c r="AD17" s="763"/>
      <c r="AE17" s="763"/>
      <c r="AF17" s="763"/>
      <c r="AG17" s="763"/>
      <c r="AH17" s="773"/>
      <c r="AJ17" s="344"/>
      <c r="AK17" s="309"/>
      <c r="AL17" s="260"/>
      <c r="AM17" s="257"/>
      <c r="AN17" s="260"/>
      <c r="AO17" s="257"/>
    </row>
    <row r="18" spans="1:41">
      <c r="C18" s="27"/>
      <c r="E18" s="767"/>
      <c r="F18" s="1" t="s">
        <v>181</v>
      </c>
      <c r="G18" s="2">
        <f>électricité!E4</f>
        <v>4.29916796875</v>
      </c>
      <c r="H18" s="768"/>
      <c r="I18" s="3">
        <f>G18-K18</f>
        <v>2.8322584101562502</v>
      </c>
      <c r="J18" s="769"/>
      <c r="K18" s="2">
        <f>électricité!E10*0.086</f>
        <v>1.4669095585937497</v>
      </c>
      <c r="L18" s="769"/>
      <c r="N18" s="768"/>
      <c r="O18" s="46"/>
      <c r="P18" s="46"/>
      <c r="Q18" s="46"/>
      <c r="R18" s="45"/>
      <c r="S18" s="341"/>
      <c r="T18" s="783"/>
      <c r="U18" s="1"/>
      <c r="V18" s="773"/>
      <c r="W18" s="257"/>
      <c r="X18" s="260"/>
      <c r="Y18" s="257"/>
      <c r="Z18" s="260"/>
      <c r="AA18" s="257"/>
      <c r="AB18" s="36"/>
      <c r="AC18" s="38"/>
      <c r="AD18" s="763"/>
      <c r="AE18" s="763"/>
      <c r="AF18" s="763"/>
      <c r="AG18" s="763"/>
      <c r="AH18" s="773"/>
      <c r="AJ18" s="344"/>
      <c r="AK18" s="309"/>
      <c r="AL18" s="260"/>
      <c r="AM18" s="257"/>
      <c r="AN18" s="260"/>
      <c r="AO18" s="257"/>
    </row>
    <row r="19" spans="1:41">
      <c r="B19" s="24" t="s">
        <v>49</v>
      </c>
      <c r="C19" s="27">
        <f>G15</f>
        <v>0.16218861987304686</v>
      </c>
      <c r="D19" s="27"/>
      <c r="E19" s="767"/>
      <c r="F19" s="1" t="s">
        <v>31</v>
      </c>
      <c r="G19" s="2">
        <f>'bilan complet'!F118-I32-I29</f>
        <v>1.4294411434374346</v>
      </c>
      <c r="H19" s="768"/>
      <c r="I19" s="3">
        <f>G19-K19</f>
        <v>0.40302761609368454</v>
      </c>
      <c r="J19" s="769"/>
      <c r="K19" s="2">
        <f>électricité!E12*0.086</f>
        <v>1.02641352734375</v>
      </c>
      <c r="L19" s="769"/>
      <c r="N19" s="768"/>
      <c r="O19" s="46"/>
      <c r="P19" s="46"/>
      <c r="Q19" s="46"/>
      <c r="R19" s="45"/>
      <c r="S19" s="341"/>
      <c r="T19" s="783"/>
      <c r="U19" s="1"/>
      <c r="V19" s="774"/>
      <c r="W19" s="258"/>
      <c r="X19" s="261"/>
      <c r="Y19" s="258"/>
      <c r="Z19" s="261"/>
      <c r="AA19" s="258"/>
      <c r="AB19" s="36"/>
      <c r="AC19" s="269"/>
      <c r="AD19" s="764"/>
      <c r="AE19" s="764"/>
      <c r="AF19" s="764"/>
      <c r="AG19" s="764"/>
      <c r="AH19" s="774"/>
      <c r="AJ19" s="345"/>
      <c r="AK19" s="311"/>
      <c r="AL19" s="261"/>
      <c r="AM19" s="258"/>
      <c r="AN19" s="261"/>
      <c r="AO19" s="258"/>
    </row>
    <row r="20" spans="1:41">
      <c r="E20" s="1"/>
      <c r="F20" s="1"/>
      <c r="G20" s="1"/>
      <c r="H20" s="1"/>
      <c r="I20" s="2"/>
      <c r="J20" s="2"/>
      <c r="K20" s="2"/>
      <c r="L20" s="1"/>
      <c r="M20" s="1"/>
      <c r="N20" s="1"/>
      <c r="O20" s="1"/>
      <c r="P20" s="1"/>
      <c r="Q20" s="1"/>
      <c r="R20" s="1"/>
      <c r="S20" s="1"/>
      <c r="T20" s="363">
        <f>T7-électricité!E38*0.086</f>
        <v>0</v>
      </c>
      <c r="U20" s="265"/>
      <c r="V20" s="2"/>
      <c r="W20" s="1"/>
      <c r="X20" s="2"/>
      <c r="Y20" s="1"/>
      <c r="Z20" s="2"/>
      <c r="AA20" s="1"/>
      <c r="AJ20" s="2"/>
      <c r="AK20" s="1"/>
      <c r="AL20" s="2"/>
      <c r="AM20" s="1"/>
      <c r="AN20" s="2"/>
      <c r="AO20" s="1"/>
    </row>
    <row r="21" spans="1:41">
      <c r="A21" s="24" t="s">
        <v>50</v>
      </c>
      <c r="B21" s="24" t="s">
        <v>24</v>
      </c>
      <c r="C21" s="27">
        <f>G10</f>
        <v>102.79999975585937</v>
      </c>
      <c r="E21" s="775" t="s">
        <v>12</v>
      </c>
      <c r="F21" s="1" t="s">
        <v>25</v>
      </c>
      <c r="G21" s="2"/>
      <c r="H21" s="776">
        <f>SUM(G21:G24)</f>
        <v>29.469172522897413</v>
      </c>
      <c r="J21" s="776"/>
      <c r="K21" s="2">
        <f t="shared" si="2"/>
        <v>0</v>
      </c>
      <c r="L21" s="777">
        <f>SUM(K21:K24)</f>
        <v>29.469172522897413</v>
      </c>
      <c r="M21" s="2"/>
      <c r="N21" s="777">
        <f>L21</f>
        <v>29.469172522897413</v>
      </c>
      <c r="O21" s="779"/>
      <c r="P21" s="779"/>
      <c r="Q21" s="779"/>
      <c r="R21" s="322"/>
      <c r="S21" s="322"/>
      <c r="T21" s="322"/>
      <c r="U21" s="1"/>
      <c r="V21" s="780">
        <f>SUM(W23:AA23)</f>
        <v>26.371492326423422</v>
      </c>
      <c r="W21" s="230"/>
      <c r="X21" s="230"/>
      <c r="Y21" s="230"/>
      <c r="Z21" s="230"/>
      <c r="AA21" s="231"/>
      <c r="AC21" s="267"/>
      <c r="AD21" s="277"/>
      <c r="AE21" s="277"/>
      <c r="AF21" s="277"/>
      <c r="AG21" s="277"/>
      <c r="AH21" s="270"/>
      <c r="AJ21" s="304"/>
      <c r="AK21" s="231"/>
      <c r="AL21" s="230"/>
      <c r="AM21" s="230"/>
      <c r="AN21" s="230"/>
      <c r="AO21" s="231"/>
    </row>
    <row r="22" spans="1:41">
      <c r="B22" s="24" t="s">
        <v>34</v>
      </c>
      <c r="C22" s="27">
        <f>G24+G32</f>
        <v>31.653810163412665</v>
      </c>
      <c r="E22" s="775"/>
      <c r="F22" s="1" t="s">
        <v>32</v>
      </c>
      <c r="G22" s="2"/>
      <c r="H22" s="758"/>
      <c r="J22" s="758"/>
      <c r="K22" s="2">
        <f t="shared" si="2"/>
        <v>0</v>
      </c>
      <c r="L22" s="778"/>
      <c r="M22" s="2"/>
      <c r="N22" s="777"/>
      <c r="O22" s="779"/>
      <c r="P22" s="779"/>
      <c r="Q22" s="779"/>
      <c r="R22" s="334"/>
      <c r="S22" s="340"/>
      <c r="T22" s="340"/>
      <c r="U22" s="1"/>
      <c r="V22" s="781"/>
      <c r="W22" s="334"/>
      <c r="X22" s="334"/>
      <c r="Y22" s="334"/>
      <c r="Z22" s="334"/>
      <c r="AA22" s="340"/>
      <c r="AC22" s="268"/>
      <c r="AD22" s="278"/>
      <c r="AE22" s="278"/>
      <c r="AF22" s="278"/>
      <c r="AG22" s="278"/>
      <c r="AH22" s="271"/>
      <c r="AJ22" s="305"/>
      <c r="AK22" s="340"/>
      <c r="AL22" s="334"/>
      <c r="AM22" s="334"/>
      <c r="AN22" s="334"/>
      <c r="AO22" s="340"/>
    </row>
    <row r="23" spans="1:41">
      <c r="B23" s="24" t="s">
        <v>51</v>
      </c>
      <c r="C23" s="27">
        <f>G40+G41</f>
        <v>60.546354887935678</v>
      </c>
      <c r="E23" s="775"/>
      <c r="F23" s="1" t="s">
        <v>33</v>
      </c>
      <c r="G23" s="2"/>
      <c r="H23" s="758"/>
      <c r="I23" s="27"/>
      <c r="J23" s="758"/>
      <c r="K23" s="2">
        <f t="shared" si="2"/>
        <v>0</v>
      </c>
      <c r="L23" s="778"/>
      <c r="M23" s="2"/>
      <c r="N23" s="777"/>
      <c r="O23" s="779"/>
      <c r="P23" s="779"/>
      <c r="Q23" s="779"/>
      <c r="R23" s="334">
        <f>G32</f>
        <v>2.184637640515251</v>
      </c>
      <c r="S23" s="340">
        <f>G19</f>
        <v>1.4294411434374346</v>
      </c>
      <c r="T23" s="340">
        <f>N21-R23-S23</f>
        <v>25.855093738944728</v>
      </c>
      <c r="U23" s="1"/>
      <c r="V23" s="781"/>
      <c r="W23" s="235">
        <f>'scenario demande'!E337</f>
        <v>0.38624685552377075</v>
      </c>
      <c r="X23" s="244">
        <f>'scenario demande'!E10</f>
        <v>9.7143239970026105</v>
      </c>
      <c r="Y23" s="244">
        <f>'scenario demande'!E110</f>
        <v>10.649627928519838</v>
      </c>
      <c r="Z23" s="244">
        <f>'scenario demande'!E186</f>
        <v>5.4560455743627898</v>
      </c>
      <c r="AA23" s="232">
        <f>'scenario demande'!E277+'scenario demande'!E279</f>
        <v>0.16524797101441407</v>
      </c>
      <c r="AC23" s="38"/>
      <c r="AD23" s="278"/>
      <c r="AE23" s="278"/>
      <c r="AF23" s="278"/>
      <c r="AG23" s="278"/>
      <c r="AH23" s="271"/>
      <c r="AJ23" s="305">
        <f>SUM(AK23:AO23)</f>
        <v>25.855093738944728</v>
      </c>
      <c r="AK23" s="312">
        <f>$T$23*W23/$V$21</f>
        <v>0.37868348640754096</v>
      </c>
      <c r="AL23" s="312">
        <f t="shared" ref="AL23:AO23" si="3">$T$23*X23/$V$21</f>
        <v>9.5241010422957135</v>
      </c>
      <c r="AM23" s="312">
        <f t="shared" si="3"/>
        <v>10.441090135080252</v>
      </c>
      <c r="AN23" s="312">
        <f t="shared" si="3"/>
        <v>5.3492069399409798</v>
      </c>
      <c r="AO23" s="312">
        <f t="shared" si="3"/>
        <v>0.16201213522024244</v>
      </c>
    </row>
    <row r="24" spans="1:41">
      <c r="B24" s="24" t="s">
        <v>40</v>
      </c>
      <c r="C24" s="27">
        <f>G44+G18</f>
        <v>9.3796368661881573</v>
      </c>
      <c r="E24" s="775"/>
      <c r="F24" s="1" t="s">
        <v>34</v>
      </c>
      <c r="G24" s="2">
        <f>'bilan complet'!F132-'bilan complet'!F129</f>
        <v>29.469172522897413</v>
      </c>
      <c r="H24" s="758"/>
      <c r="J24" s="758"/>
      <c r="K24" s="2">
        <f t="shared" si="2"/>
        <v>29.469172522897413</v>
      </c>
      <c r="L24" s="778"/>
      <c r="M24" s="6"/>
      <c r="N24" s="777"/>
      <c r="O24" s="779"/>
      <c r="P24" s="779"/>
      <c r="Q24" s="779"/>
      <c r="R24" s="334"/>
      <c r="S24" s="340"/>
      <c r="T24" s="340"/>
      <c r="U24" s="1"/>
      <c r="V24" s="782"/>
      <c r="W24" s="233"/>
      <c r="X24" s="233"/>
      <c r="Y24" s="233"/>
      <c r="Z24" s="233"/>
      <c r="AA24" s="234"/>
      <c r="AC24" s="38"/>
      <c r="AD24" s="278"/>
      <c r="AE24" s="278"/>
      <c r="AF24" s="278"/>
      <c r="AG24" s="278"/>
      <c r="AH24" s="271"/>
      <c r="AJ24" s="306"/>
      <c r="AK24" s="234"/>
      <c r="AL24" s="233"/>
      <c r="AM24" s="233"/>
      <c r="AN24" s="233"/>
      <c r="AO24" s="234"/>
    </row>
    <row r="25" spans="1:41">
      <c r="B25" s="24" t="s">
        <v>39</v>
      </c>
      <c r="C25" s="27">
        <f>G42</f>
        <v>0</v>
      </c>
      <c r="E25" s="1"/>
      <c r="F25" s="1"/>
      <c r="G25" s="1"/>
      <c r="H25" s="1"/>
      <c r="I25" s="1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W25" s="217"/>
      <c r="X25" s="248"/>
      <c r="Y25" s="248"/>
      <c r="Z25" s="248"/>
      <c r="AA25" s="217"/>
      <c r="AC25" s="273" t="s">
        <v>465</v>
      </c>
      <c r="AD25" s="279">
        <f>'bilan complet'!$F$124+'bilan complet'!$J$124</f>
        <v>0.38029486549538227</v>
      </c>
      <c r="AE25" s="279">
        <f>'bilan complet'!$F$121+'bilan complet'!$J$121</f>
        <v>14.189058762380023</v>
      </c>
      <c r="AF25" s="279">
        <f>'bilan complet'!$F$122+'bilan complet'!$J$122</f>
        <v>22.728683218059182</v>
      </c>
      <c r="AG25" s="279">
        <f>'bilan complet'!$F$123+'bilan complet'!$J$123</f>
        <v>6.520467592872552</v>
      </c>
      <c r="AH25" s="274">
        <f>'bilan complet'!$F$125+'bilan complet'!$J$125</f>
        <v>3.713306951443502</v>
      </c>
      <c r="AI25" s="27">
        <f>SUM(AD25:AH25)</f>
        <v>47.531811390250638</v>
      </c>
      <c r="AK25" s="217"/>
      <c r="AL25" s="248"/>
      <c r="AM25" s="248"/>
      <c r="AN25" s="248"/>
      <c r="AO25" s="217"/>
    </row>
    <row r="26" spans="1:41">
      <c r="E26" s="788" t="s">
        <v>13</v>
      </c>
      <c r="F26" s="1" t="s">
        <v>25</v>
      </c>
      <c r="G26" s="142">
        <v>0</v>
      </c>
      <c r="H26" s="770">
        <f>SUM(G26:G32)</f>
        <v>4.607366801383117</v>
      </c>
      <c r="I26" s="142">
        <f>G26-K26</f>
        <v>0</v>
      </c>
      <c r="J26" s="789"/>
      <c r="K26" s="27">
        <f>$L$26*J49</f>
        <v>0</v>
      </c>
      <c r="L26" s="789">
        <f>V29</f>
        <v>4.0217759854366504</v>
      </c>
      <c r="M26" s="1"/>
      <c r="N26" s="770">
        <f>L26</f>
        <v>4.0217759854366504</v>
      </c>
      <c r="O26" s="771"/>
      <c r="P26" s="771"/>
      <c r="Q26" s="771"/>
      <c r="R26" s="790"/>
      <c r="S26" s="791"/>
      <c r="T26" s="791">
        <f>N26-O26-Q26</f>
        <v>4.0217759854366504</v>
      </c>
      <c r="U26" s="1"/>
      <c r="V26" s="236"/>
      <c r="W26" s="236"/>
      <c r="X26" s="236"/>
      <c r="Y26" s="236"/>
      <c r="Z26" s="249"/>
      <c r="AA26" s="236"/>
      <c r="AC26" s="275" t="s">
        <v>491</v>
      </c>
      <c r="AD26" s="280"/>
      <c r="AE26" s="280"/>
      <c r="AF26" s="280"/>
      <c r="AG26" s="280"/>
      <c r="AH26" s="276"/>
      <c r="AI26" s="27"/>
      <c r="AJ26" s="236"/>
      <c r="AK26" s="236"/>
      <c r="AL26" s="236"/>
      <c r="AM26" s="236"/>
      <c r="AN26" s="249"/>
      <c r="AO26" s="236"/>
    </row>
    <row r="27" spans="1:41">
      <c r="E27" s="788"/>
      <c r="F27" s="1" t="s">
        <v>26</v>
      </c>
      <c r="G27" s="142">
        <f>$K$27/'Réseaux de chaleur'!$E$63</f>
        <v>0.85854738083722726</v>
      </c>
      <c r="H27" s="770"/>
      <c r="I27" s="142">
        <f t="shared" ref="I27:I31" si="4">G27-K27</f>
        <v>0</v>
      </c>
      <c r="J27" s="789"/>
      <c r="K27" s="27">
        <f t="shared" ref="K27:K31" si="5">$L$26*J50</f>
        <v>0.85854738083722726</v>
      </c>
      <c r="L27" s="789"/>
      <c r="M27" s="1"/>
      <c r="N27" s="770"/>
      <c r="O27" s="771"/>
      <c r="P27" s="771"/>
      <c r="Q27" s="771"/>
      <c r="R27" s="790"/>
      <c r="S27" s="791"/>
      <c r="T27" s="791"/>
      <c r="U27" s="1"/>
      <c r="V27" s="238"/>
      <c r="W27" s="338"/>
      <c r="X27" s="338"/>
      <c r="Y27" s="338"/>
      <c r="Z27" s="339"/>
      <c r="AA27" s="338"/>
      <c r="AC27" s="38"/>
      <c r="AD27" s="278"/>
      <c r="AE27" s="278"/>
      <c r="AF27" s="278"/>
      <c r="AG27" s="278"/>
      <c r="AH27" s="271"/>
      <c r="AJ27" s="238"/>
      <c r="AK27" s="338"/>
      <c r="AL27" s="338"/>
      <c r="AM27" s="338"/>
      <c r="AN27" s="339"/>
      <c r="AO27" s="338"/>
    </row>
    <row r="28" spans="1:41">
      <c r="E28" s="788"/>
      <c r="F28" s="1" t="s">
        <v>30</v>
      </c>
      <c r="G28" s="142">
        <v>0</v>
      </c>
      <c r="H28" s="770"/>
      <c r="I28" s="142">
        <f t="shared" si="4"/>
        <v>0</v>
      </c>
      <c r="J28" s="789"/>
      <c r="K28" s="27">
        <f>$L$26*J51</f>
        <v>0</v>
      </c>
      <c r="L28" s="789"/>
      <c r="M28" s="1"/>
      <c r="N28" s="770"/>
      <c r="O28" s="771"/>
      <c r="P28" s="771" t="e">
        <v>#REF!</v>
      </c>
      <c r="Q28" s="771"/>
      <c r="R28" s="790" t="e">
        <v>#REF!</v>
      </c>
      <c r="S28" s="791" t="e">
        <v>#REF!</v>
      </c>
      <c r="T28" s="791"/>
      <c r="U28" s="1"/>
      <c r="V28" s="238"/>
      <c r="W28" s="338"/>
      <c r="X28" s="338"/>
      <c r="Y28" s="338"/>
      <c r="Z28" s="339"/>
      <c r="AA28" s="338"/>
      <c r="AC28" s="38"/>
      <c r="AD28" s="278"/>
      <c r="AE28" s="278"/>
      <c r="AF28" s="278"/>
      <c r="AG28" s="278"/>
      <c r="AH28" s="271"/>
      <c r="AJ28" s="238"/>
      <c r="AK28" s="338"/>
      <c r="AL28" s="338"/>
      <c r="AM28" s="338"/>
      <c r="AN28" s="339"/>
      <c r="AO28" s="338"/>
    </row>
    <row r="29" spans="1:41">
      <c r="E29" s="788"/>
      <c r="F29" s="1" t="s">
        <v>27</v>
      </c>
      <c r="G29" s="142">
        <f>$K$29/'Réseaux de chaleur'!$E$62</f>
        <v>1.0388097827015768</v>
      </c>
      <c r="H29" s="770"/>
      <c r="I29" s="142">
        <f>G29-K29</f>
        <v>0.19080179682273857</v>
      </c>
      <c r="J29" s="789"/>
      <c r="K29" s="27">
        <f t="shared" si="5"/>
        <v>0.84800798587883819</v>
      </c>
      <c r="L29" s="789"/>
      <c r="M29" s="1"/>
      <c r="N29" s="770"/>
      <c r="O29" s="771"/>
      <c r="P29" s="771" t="e">
        <v>#REF!</v>
      </c>
      <c r="Q29" s="771"/>
      <c r="R29" s="790" t="e">
        <v>#REF!</v>
      </c>
      <c r="S29" s="791" t="e">
        <v>#REF!</v>
      </c>
      <c r="T29" s="791"/>
      <c r="U29" s="1"/>
      <c r="V29" s="242">
        <f>SUM(W29:AA29)</f>
        <v>4.0217759854366504</v>
      </c>
      <c r="W29" s="243">
        <f>'scenario demande'!E340</f>
        <v>0</v>
      </c>
      <c r="X29" s="243">
        <f>'scenario demande'!E13</f>
        <v>1.6662481828381108</v>
      </c>
      <c r="Y29" s="243">
        <f>'scenario demande'!E114</f>
        <v>1.576860016461153</v>
      </c>
      <c r="Z29" s="241">
        <f>'scenario demande'!E189</f>
        <v>0.77866778613738652</v>
      </c>
      <c r="AA29" s="338"/>
      <c r="AC29" s="38"/>
      <c r="AD29" s="278"/>
      <c r="AE29" s="278"/>
      <c r="AF29" s="278"/>
      <c r="AG29" s="278"/>
      <c r="AH29" s="271"/>
      <c r="AJ29" s="242">
        <f>SUM(AK29:AO29)</f>
        <v>4.0217759854366504</v>
      </c>
      <c r="AK29" s="243">
        <f>W29</f>
        <v>0</v>
      </c>
      <c r="AL29" s="243">
        <f>X29</f>
        <v>1.6662481828381108</v>
      </c>
      <c r="AM29" s="243">
        <f>Y29</f>
        <v>1.576860016461153</v>
      </c>
      <c r="AN29" s="243">
        <f>Z29</f>
        <v>0.77866778613738652</v>
      </c>
      <c r="AO29" s="243">
        <f>AA29</f>
        <v>0</v>
      </c>
    </row>
    <row r="30" spans="1:41">
      <c r="E30" s="788"/>
      <c r="F30" s="1" t="s">
        <v>28</v>
      </c>
      <c r="G30" s="142">
        <f>$K$30/'Réseaux de chaleur'!$E$64</f>
        <v>0.16723219422638544</v>
      </c>
      <c r="H30" s="770"/>
      <c r="I30" s="142">
        <f t="shared" si="4"/>
        <v>0</v>
      </c>
      <c r="J30" s="789"/>
      <c r="K30" s="27">
        <f t="shared" si="5"/>
        <v>0.16723219422638544</v>
      </c>
      <c r="L30" s="789"/>
      <c r="M30" s="1"/>
      <c r="N30" s="770"/>
      <c r="O30" s="771"/>
      <c r="P30" s="771"/>
      <c r="Q30" s="771"/>
      <c r="R30" s="790"/>
      <c r="S30" s="791"/>
      <c r="T30" s="791"/>
      <c r="U30" s="1"/>
      <c r="V30" s="238"/>
      <c r="W30" s="338"/>
      <c r="X30" s="338"/>
      <c r="Y30" s="338"/>
      <c r="Z30" s="339"/>
      <c r="AA30" s="338"/>
      <c r="AC30" s="38"/>
      <c r="AD30" s="278"/>
      <c r="AE30" s="278"/>
      <c r="AF30" s="278"/>
      <c r="AG30" s="278"/>
      <c r="AH30" s="271"/>
      <c r="AJ30" s="238"/>
      <c r="AK30" s="338"/>
      <c r="AL30" s="338"/>
      <c r="AM30" s="338"/>
      <c r="AN30" s="339"/>
      <c r="AO30" s="338"/>
    </row>
    <row r="31" spans="1:41">
      <c r="E31" s="788"/>
      <c r="F31" s="1" t="s">
        <v>35</v>
      </c>
      <c r="G31" s="142">
        <f>$K$31/'Réseaux de chaleur'!$E$65</f>
        <v>0.35813980310267701</v>
      </c>
      <c r="H31" s="770"/>
      <c r="I31" s="142">
        <f t="shared" si="4"/>
        <v>0</v>
      </c>
      <c r="J31" s="789"/>
      <c r="K31" s="27">
        <f t="shared" si="5"/>
        <v>0.35813980310267701</v>
      </c>
      <c r="L31" s="789"/>
      <c r="M31" s="1"/>
      <c r="N31" s="770"/>
      <c r="O31" s="771"/>
      <c r="P31" s="771"/>
      <c r="Q31" s="771"/>
      <c r="R31" s="790"/>
      <c r="S31" s="791"/>
      <c r="T31" s="791"/>
      <c r="U31" s="1"/>
      <c r="V31" s="238"/>
      <c r="W31" s="338"/>
      <c r="X31" s="338"/>
      <c r="Y31" s="338"/>
      <c r="Z31" s="339"/>
      <c r="AA31" s="338"/>
      <c r="AC31" s="38"/>
      <c r="AD31" s="278"/>
      <c r="AE31" s="278"/>
      <c r="AF31" s="278"/>
      <c r="AG31" s="278"/>
      <c r="AH31" s="271"/>
      <c r="AJ31" s="238"/>
      <c r="AK31" s="338"/>
      <c r="AL31" s="338"/>
      <c r="AM31" s="338"/>
      <c r="AN31" s="339"/>
      <c r="AO31" s="338"/>
    </row>
    <row r="32" spans="1:41">
      <c r="E32" s="788"/>
      <c r="F32" s="1" t="s">
        <v>31</v>
      </c>
      <c r="G32" s="142">
        <f>$K$32/'Réseaux de chaleur'!$E$61</f>
        <v>2.184637640515251</v>
      </c>
      <c r="H32" s="770"/>
      <c r="I32" s="142">
        <f>G32-K32</f>
        <v>0.39478901912372888</v>
      </c>
      <c r="J32" s="789"/>
      <c r="K32" s="27">
        <f>$L$26*J55</f>
        <v>1.7898486213915221</v>
      </c>
      <c r="L32" s="789"/>
      <c r="M32" s="1"/>
      <c r="N32" s="770"/>
      <c r="O32" s="771"/>
      <c r="P32" s="771"/>
      <c r="Q32" s="771"/>
      <c r="R32" s="790"/>
      <c r="S32" s="791"/>
      <c r="T32" s="791"/>
      <c r="U32" s="1"/>
      <c r="V32" s="239"/>
      <c r="W32" s="237"/>
      <c r="X32" s="237"/>
      <c r="Y32" s="237"/>
      <c r="Z32" s="240"/>
      <c r="AA32" s="237"/>
      <c r="AC32" s="38"/>
      <c r="AD32" s="278"/>
      <c r="AE32" s="278"/>
      <c r="AF32" s="278"/>
      <c r="AG32" s="278"/>
      <c r="AH32" s="271"/>
      <c r="AJ32" s="239"/>
      <c r="AK32" s="237"/>
      <c r="AL32" s="237"/>
      <c r="AM32" s="237"/>
      <c r="AN32" s="240"/>
      <c r="AO32" s="237"/>
    </row>
    <row r="33" spans="5:41">
      <c r="E33" s="4"/>
      <c r="F33" s="1"/>
      <c r="H33" s="363">
        <f>SUM(G49:G55)-'Réseaux de chaleur'!E78</f>
        <v>0</v>
      </c>
      <c r="I33" s="1"/>
      <c r="J33" s="1"/>
      <c r="K33" s="2"/>
      <c r="L33" s="364">
        <f>SUM(H49:H55)-'Réseaux de chaleur'!E54</f>
        <v>0</v>
      </c>
      <c r="M33" s="1"/>
      <c r="N33" s="1"/>
      <c r="O33" s="1"/>
      <c r="P33" s="1"/>
      <c r="Q33" s="1"/>
      <c r="R33" s="1"/>
      <c r="S33" s="1"/>
      <c r="T33" s="361">
        <f>T23+T26+G35+G36+G38-('bilan complet'!F126+'bilan complet'!G126+'bilan complet'!J126)</f>
        <v>0</v>
      </c>
      <c r="U33" s="1"/>
      <c r="X33" s="27"/>
      <c r="Y33" s="27"/>
      <c r="Z33" s="27"/>
      <c r="AC33" s="38"/>
      <c r="AD33" s="278"/>
      <c r="AE33" s="278"/>
      <c r="AF33" s="278"/>
      <c r="AG33" s="278"/>
      <c r="AH33" s="271"/>
      <c r="AL33" s="27"/>
      <c r="AM33" s="27"/>
      <c r="AN33" s="27"/>
    </row>
    <row r="34" spans="5:41">
      <c r="E34" s="784" t="s">
        <v>36</v>
      </c>
      <c r="F34" s="1" t="s">
        <v>25</v>
      </c>
      <c r="H34" s="784">
        <f>SUM(G34:G44)</f>
        <v>90.431578256058458</v>
      </c>
      <c r="I34" s="343"/>
      <c r="J34" s="786"/>
      <c r="K34" s="2">
        <f t="shared" si="2"/>
        <v>0</v>
      </c>
      <c r="L34" s="784">
        <f>SUM(K34:K44)</f>
        <v>85.946663079174328</v>
      </c>
      <c r="M34" s="337"/>
      <c r="N34" s="337"/>
      <c r="O34" s="337"/>
      <c r="P34" s="337"/>
      <c r="Q34" s="337"/>
      <c r="R34" s="337"/>
      <c r="S34" s="337"/>
      <c r="T34" s="252"/>
      <c r="V34" s="784">
        <f>SUM(W34:AA44)</f>
        <v>62.794104481082037</v>
      </c>
      <c r="W34" s="134"/>
      <c r="X34" s="133"/>
      <c r="Y34" s="134"/>
      <c r="Z34" s="135"/>
      <c r="AA34" s="132"/>
      <c r="AC34" s="38"/>
      <c r="AD34" s="278"/>
      <c r="AE34" s="278"/>
      <c r="AF34" s="278"/>
      <c r="AG34" s="278"/>
      <c r="AH34" s="271"/>
      <c r="AJ34" s="132"/>
      <c r="AK34" s="134"/>
      <c r="AL34" s="133"/>
      <c r="AM34" s="134"/>
      <c r="AN34" s="135"/>
      <c r="AO34" s="132"/>
    </row>
    <row r="35" spans="5:41">
      <c r="E35" s="784"/>
      <c r="F35" s="1" t="s">
        <v>27</v>
      </c>
      <c r="G35" s="27">
        <f>'bilan complet'!J132-G12-G27-G29-G30-G31-G36-G38</f>
        <v>15.750658759230213</v>
      </c>
      <c r="H35" s="784"/>
      <c r="I35" s="343">
        <v>0</v>
      </c>
      <c r="J35" s="786"/>
      <c r="K35" s="2">
        <f>G35-I35</f>
        <v>15.750658759230213</v>
      </c>
      <c r="L35" s="784"/>
      <c r="M35" s="337"/>
      <c r="N35" s="337"/>
      <c r="O35" s="337"/>
      <c r="P35" s="337"/>
      <c r="Q35" s="337"/>
      <c r="R35" s="337"/>
      <c r="S35" s="337"/>
      <c r="T35" s="253"/>
      <c r="V35" s="784"/>
      <c r="W35" s="351">
        <f>'scenario demande'!E341</f>
        <v>7.4931889971611515E-2</v>
      </c>
      <c r="X35" s="352">
        <f>'scenario demande'!E14</f>
        <v>3.4781585272262574</v>
      </c>
      <c r="Y35" s="351">
        <f>'scenario demande'!E115-'scenario demande'!E166</f>
        <v>7.3826077338309348</v>
      </c>
      <c r="Z35" s="353">
        <f>'scenario demande'!E190-'scenario demande'!E236</f>
        <v>1.3459656133622362</v>
      </c>
      <c r="AA35" s="146"/>
      <c r="AB35" s="24">
        <f>SUM(W35:AA35)</f>
        <v>12.281663764391041</v>
      </c>
      <c r="AC35" s="38"/>
      <c r="AD35" s="278"/>
      <c r="AE35" s="278"/>
      <c r="AF35" s="278"/>
      <c r="AG35" s="278"/>
      <c r="AH35" s="271"/>
      <c r="AJ35" s="335"/>
      <c r="AK35" s="136">
        <f>W35</f>
        <v>7.4931889971611515E-2</v>
      </c>
      <c r="AL35" s="136">
        <f t="shared" ref="AL35:AN35" si="6">X35</f>
        <v>3.4781585272262574</v>
      </c>
      <c r="AM35" s="148">
        <f>Y35+K35-SUM(W35:AA35)-AO35</f>
        <v>7.3082454574378595</v>
      </c>
      <c r="AN35" s="136">
        <f t="shared" si="6"/>
        <v>1.3459656133622362</v>
      </c>
      <c r="AO35" s="136">
        <f>'bilan complet'!J125</f>
        <v>3.5433572712322463</v>
      </c>
    </row>
    <row r="36" spans="5:41">
      <c r="E36" s="784"/>
      <c r="F36" s="1" t="s">
        <v>35</v>
      </c>
      <c r="G36" s="27">
        <f>'scenario demande'!E166</f>
        <v>0.1042829066390448</v>
      </c>
      <c r="H36" s="784"/>
      <c r="I36" s="343"/>
      <c r="J36" s="786"/>
      <c r="K36" s="2">
        <f t="shared" si="2"/>
        <v>0.1042829066390448</v>
      </c>
      <c r="L36" s="784"/>
      <c r="M36" s="337"/>
      <c r="N36" s="337"/>
      <c r="O36" s="337"/>
      <c r="P36" s="337"/>
      <c r="Q36" s="337"/>
      <c r="R36" s="337"/>
      <c r="S36" s="337"/>
      <c r="T36" s="253"/>
      <c r="V36" s="784"/>
      <c r="W36" s="354"/>
      <c r="X36" s="352"/>
      <c r="Y36" s="351">
        <f>'scenario demande'!E166</f>
        <v>0.1042829066390448</v>
      </c>
      <c r="Z36" s="353">
        <f>'scenario demande'!E236</f>
        <v>6.4069288956444148E-2</v>
      </c>
      <c r="AA36" s="346"/>
      <c r="AB36" s="24">
        <f>SUM(W36:AA36)</f>
        <v>0.16835219559548895</v>
      </c>
      <c r="AC36" s="269"/>
      <c r="AD36" s="281"/>
      <c r="AE36" s="281"/>
      <c r="AF36" s="281"/>
      <c r="AG36" s="281"/>
      <c r="AH36" s="272"/>
      <c r="AJ36" s="335"/>
      <c r="AK36" s="134"/>
      <c r="AL36" s="133"/>
      <c r="AM36" s="148">
        <f>K36</f>
        <v>0.1042829066390448</v>
      </c>
      <c r="AN36" s="137">
        <f>'scenario demande'!V237</f>
        <v>0</v>
      </c>
      <c r="AO36" s="132"/>
    </row>
    <row r="37" spans="5:41">
      <c r="E37" s="784"/>
      <c r="F37" s="1" t="s">
        <v>41</v>
      </c>
      <c r="G37" s="27"/>
      <c r="H37" s="784"/>
      <c r="I37" s="343"/>
      <c r="J37" s="786"/>
      <c r="K37" s="2">
        <f t="shared" si="2"/>
        <v>0</v>
      </c>
      <c r="L37" s="784"/>
      <c r="M37" s="337"/>
      <c r="N37" s="337"/>
      <c r="O37" s="337"/>
      <c r="P37" s="337"/>
      <c r="Q37" s="337"/>
      <c r="R37" s="337"/>
      <c r="S37" s="337"/>
      <c r="T37" s="253"/>
      <c r="V37" s="784"/>
      <c r="W37" s="134"/>
      <c r="X37" s="133"/>
      <c r="Y37" s="136"/>
      <c r="Z37" s="137"/>
      <c r="AA37" s="132"/>
      <c r="AJ37" s="335"/>
      <c r="AK37" s="355"/>
      <c r="AL37" s="133"/>
      <c r="AM37" s="147">
        <f>K38</f>
        <v>1.8</v>
      </c>
      <c r="AN37" s="136"/>
      <c r="AO37" s="132"/>
    </row>
    <row r="38" spans="5:41">
      <c r="E38" s="784"/>
      <c r="F38" s="1" t="s">
        <v>42</v>
      </c>
      <c r="G38" s="27">
        <f>'indicateurs ams2'!E91</f>
        <v>1.8</v>
      </c>
      <c r="H38" s="784"/>
      <c r="I38" s="343"/>
      <c r="J38" s="786"/>
      <c r="K38" s="2">
        <f t="shared" si="2"/>
        <v>1.8</v>
      </c>
      <c r="L38" s="784"/>
      <c r="M38" s="337"/>
      <c r="N38" s="337"/>
      <c r="O38" s="337"/>
      <c r="P38" s="337"/>
      <c r="Q38" s="337"/>
      <c r="R38" s="337"/>
      <c r="S38" s="337"/>
      <c r="T38" s="253"/>
      <c r="V38" s="784"/>
      <c r="W38" s="134"/>
      <c r="X38" s="133"/>
      <c r="Y38" s="136"/>
      <c r="Z38" s="137"/>
      <c r="AA38" s="132"/>
      <c r="AJ38" s="335"/>
      <c r="AK38" s="355"/>
      <c r="AL38" s="133"/>
      <c r="AM38" s="355"/>
      <c r="AN38" s="133"/>
      <c r="AO38" s="355"/>
    </row>
    <row r="39" spans="5:41">
      <c r="E39" s="784"/>
      <c r="F39" s="1" t="s">
        <v>63</v>
      </c>
      <c r="G39" s="27">
        <f>K39</f>
        <v>5.595797582970687</v>
      </c>
      <c r="H39" s="784"/>
      <c r="I39" s="40"/>
      <c r="J39" s="786"/>
      <c r="K39" s="2">
        <f>'bilan complet'!E126*'indicateurs ams2'!E67</f>
        <v>5.595797582970687</v>
      </c>
      <c r="L39" s="784"/>
      <c r="M39" s="337"/>
      <c r="N39" s="337"/>
      <c r="O39" s="337"/>
      <c r="P39" s="337"/>
      <c r="Q39" s="337"/>
      <c r="R39" s="337"/>
      <c r="S39" s="337"/>
      <c r="T39" s="255">
        <f>L34-K41-K43</f>
        <v>72.678304848233495</v>
      </c>
      <c r="V39" s="784"/>
      <c r="W39" s="136"/>
      <c r="X39" s="133"/>
      <c r="Y39" s="136"/>
      <c r="Z39" s="137"/>
      <c r="AA39" s="138"/>
      <c r="AC39" s="282" t="s">
        <v>511</v>
      </c>
      <c r="AD39" s="286">
        <f>'bilan complet'!$E$124</f>
        <v>2.7955585866144346</v>
      </c>
      <c r="AE39" s="286">
        <f>'bilan complet'!E121</f>
        <v>3.1731314916135829</v>
      </c>
      <c r="AF39" s="286">
        <f>'bilan complet'!$E$122</f>
        <v>2.369754745353108</v>
      </c>
      <c r="AG39" s="286">
        <f>'bilan complet'!$E$123</f>
        <v>2.374646006480285</v>
      </c>
      <c r="AH39" s="283">
        <f>'bilan complet'!$E$125</f>
        <v>39.22980345486468</v>
      </c>
      <c r="AJ39" s="132"/>
      <c r="AK39" s="133">
        <f>AD39</f>
        <v>2.7955585866144346</v>
      </c>
      <c r="AL39" s="133">
        <f>AE39</f>
        <v>3.1731314916135829</v>
      </c>
      <c r="AM39" s="133">
        <f>AF39</f>
        <v>2.369754745353108</v>
      </c>
      <c r="AN39" s="133">
        <f>AG39</f>
        <v>2.374646006480285</v>
      </c>
      <c r="AO39" s="136">
        <f>AH39</f>
        <v>39.22980345486468</v>
      </c>
    </row>
    <row r="40" spans="5:41">
      <c r="E40" s="784"/>
      <c r="F40" s="1" t="s">
        <v>37</v>
      </c>
      <c r="G40" s="27">
        <f>K40+I40</f>
        <v>47.894864438111831</v>
      </c>
      <c r="H40" s="784"/>
      <c r="I40" s="40">
        <f>0.08*K40</f>
        <v>3.5477677361564322</v>
      </c>
      <c r="J40" s="786"/>
      <c r="K40" s="2">
        <f>'bilan complet'!E126-K39</f>
        <v>44.347096701955401</v>
      </c>
      <c r="L40" s="784"/>
      <c r="M40" s="337"/>
      <c r="N40" s="337"/>
      <c r="O40" s="337"/>
      <c r="P40" s="337"/>
      <c r="Q40" s="337"/>
      <c r="R40" s="337"/>
      <c r="S40" s="337"/>
      <c r="T40" s="253"/>
      <c r="V40" s="784"/>
      <c r="W40" s="348">
        <f>'scenario demande'!E336</f>
        <v>2.7925585866144345</v>
      </c>
      <c r="X40" s="133">
        <f>'scenario demande'!E9</f>
        <v>3.1537846486931311</v>
      </c>
      <c r="Y40" s="136">
        <f>'scenario demande'!E109+'scenario demande'!E112</f>
        <v>2.4774505949555481</v>
      </c>
      <c r="Z40" s="137">
        <f>'scenario demande'!E185</f>
        <v>1.5503730299914742</v>
      </c>
      <c r="AA40" s="138">
        <f>'scenario demande'!E273+'scenario demande'!E274+'scenario demande'!E275+'scenario demande'!E276</f>
        <v>35.497041702000232</v>
      </c>
      <c r="AB40" s="27">
        <f>SUM(W40:AA40)</f>
        <v>45.471208562254823</v>
      </c>
      <c r="AC40" s="284" t="s">
        <v>181</v>
      </c>
      <c r="AD40" s="362">
        <f>'bilan complet'!$B$124</f>
        <v>0</v>
      </c>
      <c r="AE40" s="288">
        <f>'bilan complet'!$B$121</f>
        <v>5.0703591165279018</v>
      </c>
      <c r="AF40" s="362">
        <f>'bilan complet'!$B$122</f>
        <v>0</v>
      </c>
      <c r="AG40" s="362">
        <f>'bilan complet'!$B$123</f>
        <v>1.0109780910255328E-2</v>
      </c>
      <c r="AH40" s="362">
        <f>'bilan complet'!$B$125</f>
        <v>0</v>
      </c>
      <c r="AI40" s="27">
        <f>SUM(AD39:AH40)</f>
        <v>55.02336318236425</v>
      </c>
      <c r="AJ40" s="335">
        <f>SUM(AK34:AO44)</f>
        <v>72.668195067323239</v>
      </c>
      <c r="AK40" s="355"/>
      <c r="AL40" s="355"/>
      <c r="AM40" s="355"/>
      <c r="AN40" s="355"/>
      <c r="AO40" s="355"/>
    </row>
    <row r="41" spans="5:41">
      <c r="E41" s="784"/>
      <c r="F41" s="1" t="s">
        <v>38</v>
      </c>
      <c r="G41" s="27">
        <f>K41+I41</f>
        <v>12.651490449823847</v>
      </c>
      <c r="H41" s="784"/>
      <c r="I41" s="40">
        <f>0.08*K41</f>
        <v>0.9371474407276924</v>
      </c>
      <c r="J41" s="786"/>
      <c r="K41" s="2">
        <f>'bilan complet'!E129</f>
        <v>11.714343009096154</v>
      </c>
      <c r="L41" s="784"/>
      <c r="M41" s="337"/>
      <c r="N41" s="337"/>
      <c r="O41" s="337"/>
      <c r="P41" s="337"/>
      <c r="Q41" s="337"/>
      <c r="R41" s="337"/>
      <c r="S41" s="337"/>
      <c r="T41" s="253"/>
      <c r="V41" s="784"/>
      <c r="W41" s="136"/>
      <c r="X41" s="133"/>
      <c r="Y41" s="136"/>
      <c r="Z41" s="137"/>
      <c r="AA41" s="138"/>
      <c r="AJ41" s="335"/>
      <c r="AK41" s="133"/>
      <c r="AL41" s="133"/>
      <c r="AM41" s="133"/>
      <c r="AN41" s="133"/>
      <c r="AO41" s="133"/>
    </row>
    <row r="42" spans="5:41">
      <c r="E42" s="784"/>
      <c r="F42" s="1" t="s">
        <v>39</v>
      </c>
      <c r="G42" s="27"/>
      <c r="H42" s="784"/>
      <c r="I42" s="40"/>
      <c r="J42" s="786"/>
      <c r="K42" s="2">
        <f t="shared" si="2"/>
        <v>0</v>
      </c>
      <c r="L42" s="784"/>
      <c r="M42" s="337"/>
      <c r="N42" s="337"/>
      <c r="O42" s="337"/>
      <c r="P42" s="337"/>
      <c r="Q42" s="337"/>
      <c r="R42" s="337"/>
      <c r="S42" s="337"/>
      <c r="T42" s="253"/>
      <c r="V42" s="784"/>
      <c r="W42" s="136"/>
      <c r="X42" s="133"/>
      <c r="Y42" s="136"/>
      <c r="Z42" s="137"/>
      <c r="AA42" s="138"/>
      <c r="AJ42" s="335"/>
      <c r="AK42" s="133"/>
      <c r="AL42" s="133"/>
      <c r="AM42" s="133"/>
      <c r="AN42" s="133"/>
      <c r="AO42" s="133"/>
    </row>
    <row r="43" spans="5:41">
      <c r="E43" s="784"/>
      <c r="F43" s="1" t="s">
        <v>465</v>
      </c>
      <c r="G43" s="27">
        <f>'bilan complet'!F129</f>
        <v>1.5540152218446721</v>
      </c>
      <c r="H43" s="784"/>
      <c r="I43" s="40"/>
      <c r="J43" s="786"/>
      <c r="K43" s="2">
        <f t="shared" si="2"/>
        <v>1.5540152218446721</v>
      </c>
      <c r="L43" s="784"/>
      <c r="M43" s="337"/>
      <c r="N43" s="337"/>
      <c r="O43" s="337"/>
      <c r="P43" s="337"/>
      <c r="Q43" s="337"/>
      <c r="R43" s="337"/>
      <c r="S43" s="337"/>
      <c r="T43" s="253"/>
      <c r="V43" s="784"/>
      <c r="W43" s="136"/>
      <c r="X43" s="133"/>
      <c r="Y43" s="136"/>
      <c r="Z43" s="137"/>
      <c r="AA43" s="138"/>
      <c r="AJ43" s="335"/>
      <c r="AK43" s="136"/>
      <c r="AL43" s="133"/>
      <c r="AM43" s="136"/>
      <c r="AN43" s="138"/>
      <c r="AO43" s="133"/>
    </row>
    <row r="44" spans="5:41">
      <c r="E44" s="785"/>
      <c r="F44" s="1" t="s">
        <v>40</v>
      </c>
      <c r="G44" s="27">
        <f>'bilan complet'!B126</f>
        <v>5.0804688974381573</v>
      </c>
      <c r="H44" s="785"/>
      <c r="I44" s="343"/>
      <c r="J44" s="787"/>
      <c r="K44" s="2">
        <f t="shared" si="2"/>
        <v>5.0804688974381573</v>
      </c>
      <c r="L44" s="785"/>
      <c r="M44" s="337"/>
      <c r="N44" s="337"/>
      <c r="O44" s="337"/>
      <c r="P44" s="337"/>
      <c r="Q44" s="337"/>
      <c r="R44" s="337"/>
      <c r="S44" s="337"/>
      <c r="T44" s="254"/>
      <c r="V44" s="785"/>
      <c r="W44" s="250">
        <f>'scenario demande'!E338</f>
        <v>0</v>
      </c>
      <c r="X44" s="349">
        <f>'scenario demande'!E11</f>
        <v>4.8086679734538702</v>
      </c>
      <c r="Y44" s="141">
        <f>'scenario demande'!E111</f>
        <v>3.167805967189203E-3</v>
      </c>
      <c r="Z44" s="350">
        <f>'scenario demande'!E187</f>
        <v>6.1044179419633429E-2</v>
      </c>
      <c r="AA44" s="139"/>
      <c r="AB44" s="24">
        <f>SUM(W44:AA44)</f>
        <v>4.8728799588406932</v>
      </c>
      <c r="AI44" s="479">
        <f>AI13+AI25+AI40-'bilan complet'!K126</f>
        <v>0</v>
      </c>
      <c r="AJ44" s="336"/>
      <c r="AK44" s="250"/>
      <c r="AL44" s="140">
        <f>AE40</f>
        <v>5.0703591165279018</v>
      </c>
      <c r="AM44" s="141"/>
      <c r="AN44" s="357"/>
      <c r="AO44" s="358"/>
    </row>
    <row r="45" spans="5:41">
      <c r="E45" s="1"/>
      <c r="F45" s="1"/>
      <c r="G45" s="149"/>
      <c r="H45" s="1"/>
      <c r="I45" s="1"/>
      <c r="J45" s="1"/>
      <c r="K45" s="2"/>
      <c r="L45" s="1"/>
      <c r="M45" s="1"/>
      <c r="N45" s="1"/>
      <c r="O45" s="1"/>
      <c r="P45" s="1"/>
      <c r="Q45" s="1"/>
      <c r="R45" s="1"/>
      <c r="S45" s="1"/>
      <c r="T45" s="289">
        <f>T39-K35-K36-K38-SUM(AD39:AH40)</f>
        <v>0</v>
      </c>
      <c r="U45" s="1"/>
      <c r="W45" s="27"/>
      <c r="X45" s="27"/>
      <c r="Y45" s="27"/>
      <c r="Z45" s="27"/>
      <c r="AA45" s="27"/>
    </row>
    <row r="46" spans="5:41">
      <c r="F46" s="1"/>
      <c r="G46" s="219"/>
      <c r="H46" s="215"/>
      <c r="I46" s="215"/>
      <c r="J46" s="215"/>
      <c r="K46" s="215"/>
      <c r="L46" s="215"/>
      <c r="M46" s="216"/>
      <c r="N46" s="216"/>
      <c r="O46" s="216"/>
      <c r="P46" s="217"/>
      <c r="Q46" s="215"/>
      <c r="R46" s="215"/>
      <c r="S46" s="215"/>
      <c r="T46" s="1"/>
      <c r="U46" s="1"/>
      <c r="V46" s="6"/>
      <c r="W46" s="2"/>
      <c r="X46" s="2"/>
      <c r="Y46" s="2"/>
      <c r="Z46" s="2"/>
      <c r="AA46" s="2"/>
    </row>
    <row r="47" spans="5:41">
      <c r="G47" s="218"/>
      <c r="H47" s="215"/>
      <c r="I47" s="215"/>
      <c r="J47" s="215"/>
      <c r="K47" s="215"/>
      <c r="L47" s="215"/>
      <c r="M47" s="219"/>
      <c r="N47" s="219"/>
      <c r="O47" s="219"/>
      <c r="P47" s="218"/>
      <c r="Q47" s="215"/>
      <c r="R47" s="219"/>
      <c r="S47" s="219"/>
      <c r="T47" s="1"/>
      <c r="U47" s="1"/>
    </row>
    <row r="48" spans="5:41">
      <c r="F48" s="223" t="s">
        <v>488</v>
      </c>
      <c r="G48" s="224" t="s">
        <v>173</v>
      </c>
      <c r="H48" s="225" t="s">
        <v>487</v>
      </c>
      <c r="I48" s="224" t="s">
        <v>173</v>
      </c>
      <c r="J48" s="225" t="s">
        <v>487</v>
      </c>
      <c r="K48" s="215"/>
      <c r="L48" s="215"/>
      <c r="M48" s="142"/>
      <c r="N48" s="220"/>
      <c r="O48" s="220"/>
      <c r="P48" s="217"/>
      <c r="Q48" s="215"/>
      <c r="R48" s="220"/>
      <c r="S48" s="220"/>
      <c r="T48" s="1"/>
      <c r="U48" s="1"/>
      <c r="V48" s="2"/>
      <c r="W48" s="2"/>
      <c r="X48" s="2"/>
      <c r="Y48" s="2"/>
      <c r="Z48" s="2"/>
      <c r="AA48" s="2"/>
    </row>
    <row r="49" spans="6:27">
      <c r="F49" s="223" t="s">
        <v>25</v>
      </c>
      <c r="G49" s="226">
        <v>0</v>
      </c>
      <c r="H49" s="227">
        <v>0</v>
      </c>
      <c r="I49" s="229">
        <f>G49/$G$56</f>
        <v>0</v>
      </c>
      <c r="J49" s="229">
        <f>H49/$H$56</f>
        <v>0</v>
      </c>
      <c r="K49" s="215"/>
      <c r="L49" s="215"/>
      <c r="M49" s="142"/>
      <c r="N49" s="220"/>
      <c r="O49" s="220"/>
      <c r="P49" s="217"/>
      <c r="Q49" s="215"/>
      <c r="R49" s="220"/>
      <c r="S49" s="220"/>
      <c r="T49" s="1"/>
      <c r="U49" s="1"/>
      <c r="V49" s="251"/>
      <c r="W49" s="1"/>
      <c r="X49" s="1"/>
      <c r="Y49" s="1"/>
      <c r="Z49" s="1"/>
      <c r="AA49" s="1"/>
    </row>
    <row r="50" spans="6:27">
      <c r="F50" s="223" t="s">
        <v>26</v>
      </c>
      <c r="G50" s="226">
        <f>'Réseaux de chaleur'!$E$75</f>
        <v>0.4960547288806117</v>
      </c>
      <c r="H50" s="227">
        <f>'Réseaux de chaleur'!$E$51</f>
        <v>0.4960547288806117</v>
      </c>
      <c r="I50" s="229">
        <f t="shared" ref="I50:I55" si="7">G50/$G$56</f>
        <v>0.18745843269079962</v>
      </c>
      <c r="J50" s="229">
        <f t="shared" ref="J50:J55" si="8">H50/$H$56</f>
        <v>0.21347468977539619</v>
      </c>
      <c r="K50" s="215"/>
      <c r="L50" s="215"/>
      <c r="M50" s="142"/>
      <c r="N50" s="220"/>
      <c r="O50" s="220"/>
      <c r="P50" s="217"/>
      <c r="Q50" s="215"/>
      <c r="R50" s="220"/>
      <c r="S50" s="220"/>
      <c r="T50" s="1"/>
      <c r="U50" s="1"/>
      <c r="V50" s="2"/>
      <c r="W50" s="1"/>
      <c r="X50" s="1"/>
      <c r="Y50" s="1"/>
      <c r="Z50" s="1"/>
      <c r="AA50" s="1"/>
    </row>
    <row r="51" spans="6:27">
      <c r="F51" s="223" t="s">
        <v>30</v>
      </c>
      <c r="G51" s="226">
        <v>0</v>
      </c>
      <c r="H51" s="227"/>
      <c r="I51" s="229">
        <f t="shared" si="7"/>
        <v>0</v>
      </c>
      <c r="J51" s="229">
        <f t="shared" si="8"/>
        <v>0</v>
      </c>
      <c r="K51" s="215"/>
      <c r="L51" s="215"/>
      <c r="M51" s="142"/>
      <c r="N51" s="220"/>
      <c r="O51" s="220"/>
      <c r="P51" s="217"/>
      <c r="Q51" s="217"/>
      <c r="R51" s="220"/>
      <c r="S51" s="220"/>
      <c r="T51" s="1"/>
      <c r="U51" s="1"/>
      <c r="V51" s="1"/>
      <c r="W51" s="1"/>
      <c r="X51" s="1"/>
      <c r="Y51" s="1"/>
      <c r="Z51" s="1"/>
      <c r="AA51" s="1"/>
    </row>
    <row r="52" spans="6:27">
      <c r="F52" s="223" t="s">
        <v>27</v>
      </c>
      <c r="G52" s="226">
        <f>'Réseaux de chaleur'!$E$74</f>
        <v>0.60020741617550311</v>
      </c>
      <c r="H52" s="227">
        <f>'Réseaux de chaleur'!$E$50</f>
        <v>0.48996523769428829</v>
      </c>
      <c r="I52" s="229">
        <f t="shared" si="7"/>
        <v>0.22681759687998795</v>
      </c>
      <c r="J52" s="229">
        <f t="shared" si="8"/>
        <v>0.21085410747629413</v>
      </c>
      <c r="K52" s="215"/>
      <c r="L52" s="215"/>
      <c r="M52" s="142"/>
      <c r="N52" s="220"/>
      <c r="O52" s="220"/>
      <c r="P52" s="217"/>
      <c r="Q52" s="215"/>
      <c r="R52" s="220"/>
      <c r="S52" s="220"/>
      <c r="T52" s="1"/>
      <c r="U52" s="1"/>
      <c r="V52" s="1"/>
      <c r="W52" s="1"/>
      <c r="X52" s="1"/>
      <c r="Y52" s="1"/>
      <c r="Z52" s="1"/>
      <c r="AA52" s="1"/>
    </row>
    <row r="53" spans="6:27">
      <c r="F53" s="223" t="s">
        <v>28</v>
      </c>
      <c r="G53" s="226">
        <f>'Réseaux de chaleur'!$E$76</f>
        <v>9.6624045007490611E-2</v>
      </c>
      <c r="H53" s="227">
        <f>'Réseaux de chaleur'!$E$52</f>
        <v>9.6624045007490611E-2</v>
      </c>
      <c r="I53" s="229">
        <f t="shared" si="7"/>
        <v>3.6514100124038593E-2</v>
      </c>
      <c r="J53" s="229">
        <f t="shared" si="8"/>
        <v>4.1581678052669754E-2</v>
      </c>
      <c r="K53" s="215"/>
      <c r="L53" s="215"/>
      <c r="M53" s="142"/>
      <c r="N53" s="220"/>
      <c r="O53" s="220"/>
      <c r="P53" s="218"/>
      <c r="Q53" s="215"/>
      <c r="R53" s="219"/>
      <c r="S53" s="219"/>
      <c r="T53" s="1"/>
      <c r="U53" s="1"/>
      <c r="V53" s="1"/>
      <c r="W53" s="1"/>
      <c r="X53" s="1"/>
      <c r="Y53" s="1"/>
      <c r="Z53" s="1"/>
      <c r="AA53" s="1"/>
    </row>
    <row r="54" spans="6:27">
      <c r="F54" s="223" t="s">
        <v>35</v>
      </c>
      <c r="G54" s="226">
        <f>'Réseaux de chaleur'!$E$77</f>
        <v>0.2069273599742496</v>
      </c>
      <c r="H54" s="227">
        <f>'Réseaux de chaleur'!$E$53</f>
        <v>0.2069273599742496</v>
      </c>
      <c r="I54" s="229">
        <f t="shared" si="7"/>
        <v>7.8197578459036549E-2</v>
      </c>
      <c r="J54" s="229">
        <f t="shared" si="8"/>
        <v>8.9050162017861173E-2</v>
      </c>
      <c r="K54" s="215"/>
      <c r="L54" s="215"/>
      <c r="M54" s="142"/>
      <c r="N54" s="220"/>
      <c r="O54" s="220"/>
      <c r="P54" s="217"/>
      <c r="Q54" s="215"/>
      <c r="R54" s="220"/>
      <c r="S54" s="220"/>
      <c r="T54" s="1"/>
      <c r="U54" s="1"/>
      <c r="V54" s="1"/>
      <c r="W54" s="1"/>
      <c r="X54" s="1"/>
      <c r="Y54" s="1"/>
      <c r="Z54" s="1"/>
      <c r="AA54" s="1"/>
    </row>
    <row r="55" spans="6:27">
      <c r="F55" s="223" t="s">
        <v>31</v>
      </c>
      <c r="G55" s="226">
        <f>'Réseaux de chaleur'!$E$73+'Réseaux de chaleur'!$E$72+'Réseaux de chaleur'!$E$71</f>
        <v>1.246398315495137</v>
      </c>
      <c r="H55" s="227">
        <f>'Réseaux de chaleur'!$E$49+'Réseaux de chaleur'!$E$48+'Réseaux de chaleur'!$E$47</f>
        <v>1.0341454559629468</v>
      </c>
      <c r="I55" s="229">
        <f t="shared" si="7"/>
        <v>0.4710122918461373</v>
      </c>
      <c r="J55" s="229">
        <f t="shared" si="8"/>
        <v>0.44503936267777866</v>
      </c>
      <c r="K55" s="215"/>
      <c r="L55" s="215"/>
      <c r="M55" s="220"/>
      <c r="N55" s="220"/>
      <c r="O55" s="220"/>
      <c r="P55" s="217"/>
      <c r="Q55" s="215"/>
      <c r="R55" s="220"/>
      <c r="S55" s="220"/>
      <c r="T55" s="1"/>
      <c r="U55" s="1"/>
      <c r="V55" s="1"/>
      <c r="W55" s="1"/>
      <c r="X55" s="1"/>
      <c r="Y55" s="1"/>
      <c r="Z55" s="1"/>
      <c r="AA55" s="1"/>
    </row>
    <row r="56" spans="6:27">
      <c r="F56" s="223" t="s">
        <v>489</v>
      </c>
      <c r="G56" s="228">
        <f>SUM(G49:G55)</f>
        <v>2.646211865532992</v>
      </c>
      <c r="H56" s="228">
        <f>SUM(H49:H55)</f>
        <v>2.3237168275195872</v>
      </c>
      <c r="I56" s="228">
        <f>SUM(I49:I55)</f>
        <v>1</v>
      </c>
      <c r="J56" s="228">
        <f>SUM(J49:J55)</f>
        <v>0.99999999999999989</v>
      </c>
      <c r="K56" s="215"/>
      <c r="L56" s="215"/>
      <c r="M56" s="220"/>
      <c r="N56" s="220"/>
      <c r="O56" s="220"/>
      <c r="P56" s="217"/>
      <c r="Q56" s="217"/>
      <c r="R56" s="217"/>
      <c r="S56" s="217"/>
      <c r="T56" s="1"/>
      <c r="U56" s="1"/>
      <c r="V56" s="1"/>
      <c r="W56" s="1"/>
      <c r="X56" s="1"/>
      <c r="Y56" s="1"/>
      <c r="Z56" s="1"/>
      <c r="AA56" s="1"/>
    </row>
    <row r="57" spans="6:27">
      <c r="F57" s="1"/>
      <c r="G57" s="215"/>
      <c r="H57" s="215"/>
      <c r="I57" s="215"/>
      <c r="J57" s="215"/>
      <c r="K57" s="215"/>
      <c r="L57" s="215"/>
      <c r="M57" s="220"/>
      <c r="N57" s="220"/>
      <c r="O57" s="220"/>
      <c r="P57" s="217"/>
      <c r="Q57" s="221"/>
      <c r="R57" s="222"/>
      <c r="S57" s="222"/>
      <c r="T57" s="1"/>
      <c r="U57" s="1"/>
      <c r="V57" s="1"/>
      <c r="W57" s="1"/>
      <c r="X57" s="1"/>
      <c r="Y57" s="1"/>
      <c r="Z57" s="1"/>
      <c r="AA57" s="1"/>
    </row>
    <row r="58" spans="6:27">
      <c r="F58" s="1"/>
      <c r="G58" s="215"/>
      <c r="H58" s="215"/>
      <c r="I58" s="215"/>
      <c r="J58" s="215"/>
      <c r="K58" s="215"/>
      <c r="L58" s="215"/>
      <c r="M58" s="220"/>
      <c r="N58" s="220"/>
      <c r="O58" s="220"/>
      <c r="P58" s="217"/>
      <c r="Q58" s="221"/>
      <c r="R58" s="222"/>
      <c r="S58" s="222"/>
      <c r="T58" s="1"/>
      <c r="U58" s="1"/>
      <c r="V58" s="1"/>
      <c r="W58" s="1"/>
      <c r="X58" s="1"/>
      <c r="Y58" s="1"/>
      <c r="Z58" s="1"/>
      <c r="AA58" s="1"/>
    </row>
    <row r="62" spans="6:27">
      <c r="G62" s="245"/>
    </row>
    <row r="63" spans="6:27">
      <c r="G63" s="246"/>
    </row>
    <row r="64" spans="6:27">
      <c r="G64" s="245"/>
    </row>
    <row r="65" spans="7:7">
      <c r="G65" s="245"/>
    </row>
    <row r="66" spans="7:7">
      <c r="G66" s="247"/>
    </row>
  </sheetData>
  <mergeCells count="48">
    <mergeCell ref="V34:V44"/>
    <mergeCell ref="P26:P32"/>
    <mergeCell ref="Q26:Q32"/>
    <mergeCell ref="R26:R32"/>
    <mergeCell ref="S26:S32"/>
    <mergeCell ref="T26:T32"/>
    <mergeCell ref="E34:E44"/>
    <mergeCell ref="H34:H44"/>
    <mergeCell ref="J34:J44"/>
    <mergeCell ref="L34:L44"/>
    <mergeCell ref="E26:E32"/>
    <mergeCell ref="H26:H32"/>
    <mergeCell ref="J26:J32"/>
    <mergeCell ref="L26:L32"/>
    <mergeCell ref="N26:N32"/>
    <mergeCell ref="O26:O32"/>
    <mergeCell ref="AH7:AH19"/>
    <mergeCell ref="E21:E24"/>
    <mergeCell ref="H21:H24"/>
    <mergeCell ref="J21:J24"/>
    <mergeCell ref="L21:L24"/>
    <mergeCell ref="N21:N24"/>
    <mergeCell ref="O21:O24"/>
    <mergeCell ref="P21:P24"/>
    <mergeCell ref="Q21:Q24"/>
    <mergeCell ref="V21:V24"/>
    <mergeCell ref="T7:T19"/>
    <mergeCell ref="V7:V19"/>
    <mergeCell ref="AD7:AD19"/>
    <mergeCell ref="AE7:AE19"/>
    <mergeCell ref="AF7:AF19"/>
    <mergeCell ref="AG7:AG19"/>
    <mergeCell ref="A4:C4"/>
    <mergeCell ref="E7:E19"/>
    <mergeCell ref="H7:H19"/>
    <mergeCell ref="J7:J19"/>
    <mergeCell ref="L7:L19"/>
    <mergeCell ref="N7:N19"/>
    <mergeCell ref="G1:L1"/>
    <mergeCell ref="N1:T1"/>
    <mergeCell ref="V1:AA1"/>
    <mergeCell ref="G2:H2"/>
    <mergeCell ref="I2:L2"/>
    <mergeCell ref="N2:N4"/>
    <mergeCell ref="O2:T3"/>
    <mergeCell ref="V2:AA3"/>
    <mergeCell ref="I3:J3"/>
    <mergeCell ref="K3:L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6"/>
  <sheetViews>
    <sheetView topLeftCell="AC1" workbookViewId="0">
      <selection activeCell="AM35" sqref="AM35"/>
    </sheetView>
  </sheetViews>
  <sheetFormatPr baseColWidth="10" defaultRowHeight="12.75"/>
  <cols>
    <col min="1" max="1" width="14.85546875" style="24" bestFit="1" customWidth="1"/>
    <col min="2" max="2" width="28" style="24" bestFit="1" customWidth="1"/>
    <col min="3" max="3" width="4.42578125" style="24" bestFit="1" customWidth="1"/>
    <col min="4" max="4" width="8" style="24" bestFit="1" customWidth="1"/>
    <col min="5" max="5" width="11.42578125" style="24"/>
    <col min="6" max="6" width="22.85546875" style="24" bestFit="1" customWidth="1"/>
    <col min="7" max="7" width="7" style="24" customWidth="1"/>
    <col min="8" max="8" width="6.28515625" style="24" customWidth="1"/>
    <col min="9" max="9" width="5.7109375" style="24" customWidth="1"/>
    <col min="10" max="10" width="5.7109375" style="24" bestFit="1" customWidth="1"/>
    <col min="11" max="11" width="5.85546875" style="24" bestFit="1" customWidth="1"/>
    <col min="12" max="12" width="9.42578125" style="24" customWidth="1"/>
    <col min="13" max="13" width="9.28515625" style="24" customWidth="1"/>
    <col min="14" max="14" width="9.7109375" style="24" customWidth="1"/>
    <col min="15" max="15" width="6.7109375" style="24" bestFit="1" customWidth="1"/>
    <col min="16" max="16" width="4.85546875" style="24" customWidth="1"/>
    <col min="17" max="17" width="5.28515625" style="24" customWidth="1"/>
    <col min="18" max="19" width="4.42578125" style="24" bestFit="1" customWidth="1"/>
    <col min="20" max="20" width="19.28515625" style="24" customWidth="1"/>
    <col min="21" max="21" width="6" style="24" customWidth="1"/>
    <col min="22" max="22" width="5.85546875" style="24" bestFit="1" customWidth="1"/>
    <col min="23" max="23" width="4.42578125" style="24" bestFit="1" customWidth="1"/>
    <col min="24" max="24" width="6.42578125" style="24" customWidth="1"/>
    <col min="25" max="26" width="5.42578125" style="24" bestFit="1" customWidth="1"/>
    <col min="27" max="27" width="4.42578125" style="24" bestFit="1" customWidth="1"/>
    <col min="28" max="28" width="7.28515625" style="24" customWidth="1"/>
    <col min="29" max="29" width="12.7109375" style="24" customWidth="1"/>
    <col min="30" max="256" width="11.42578125" style="24"/>
    <col min="257" max="257" width="14.85546875" style="24" bestFit="1" customWidth="1"/>
    <col min="258" max="258" width="28" style="24" bestFit="1" customWidth="1"/>
    <col min="259" max="259" width="4.42578125" style="24" bestFit="1" customWidth="1"/>
    <col min="260" max="260" width="8" style="24" bestFit="1" customWidth="1"/>
    <col min="261" max="261" width="11.42578125" style="24"/>
    <col min="262" max="262" width="22.85546875" style="24" bestFit="1" customWidth="1"/>
    <col min="263" max="263" width="7" style="24" customWidth="1"/>
    <col min="264" max="264" width="6.28515625" style="24" customWidth="1"/>
    <col min="265" max="265" width="5.7109375" style="24" customWidth="1"/>
    <col min="266" max="266" width="5.7109375" style="24" bestFit="1" customWidth="1"/>
    <col min="267" max="267" width="5.85546875" style="24" bestFit="1" customWidth="1"/>
    <col min="268" max="268" width="9.42578125" style="24" customWidth="1"/>
    <col min="269" max="269" width="5.140625" style="24" customWidth="1"/>
    <col min="270" max="270" width="9.7109375" style="24" customWidth="1"/>
    <col min="271" max="271" width="6.7109375" style="24" bestFit="1" customWidth="1"/>
    <col min="272" max="272" width="4.85546875" style="24" customWidth="1"/>
    <col min="273" max="273" width="5.28515625" style="24" customWidth="1"/>
    <col min="274" max="275" width="4.42578125" style="24" bestFit="1" customWidth="1"/>
    <col min="276" max="276" width="13.28515625" style="24" bestFit="1" customWidth="1"/>
    <col min="277" max="277" width="3.140625" style="24" customWidth="1"/>
    <col min="278" max="278" width="5.42578125" style="24" bestFit="1" customWidth="1"/>
    <col min="279" max="279" width="4.42578125" style="24" bestFit="1" customWidth="1"/>
    <col min="280" max="280" width="6.42578125" style="24" customWidth="1"/>
    <col min="281" max="281" width="5" style="24" bestFit="1" customWidth="1"/>
    <col min="282" max="282" width="4.5703125" style="24" bestFit="1" customWidth="1"/>
    <col min="283" max="283" width="4.42578125" style="24" bestFit="1" customWidth="1"/>
    <col min="284" max="284" width="4" style="24" customWidth="1"/>
    <col min="285" max="512" width="11.42578125" style="24"/>
    <col min="513" max="513" width="14.85546875" style="24" bestFit="1" customWidth="1"/>
    <col min="514" max="514" width="28" style="24" bestFit="1" customWidth="1"/>
    <col min="515" max="515" width="4.42578125" style="24" bestFit="1" customWidth="1"/>
    <col min="516" max="516" width="8" style="24" bestFit="1" customWidth="1"/>
    <col min="517" max="517" width="11.42578125" style="24"/>
    <col min="518" max="518" width="22.85546875" style="24" bestFit="1" customWidth="1"/>
    <col min="519" max="519" width="7" style="24" customWidth="1"/>
    <col min="520" max="520" width="6.28515625" style="24" customWidth="1"/>
    <col min="521" max="521" width="5.7109375" style="24" customWidth="1"/>
    <col min="522" max="522" width="5.7109375" style="24" bestFit="1" customWidth="1"/>
    <col min="523" max="523" width="5.85546875" style="24" bestFit="1" customWidth="1"/>
    <col min="524" max="524" width="9.42578125" style="24" customWidth="1"/>
    <col min="525" max="525" width="5.140625" style="24" customWidth="1"/>
    <col min="526" max="526" width="9.7109375" style="24" customWidth="1"/>
    <col min="527" max="527" width="6.7109375" style="24" bestFit="1" customWidth="1"/>
    <col min="528" max="528" width="4.85546875" style="24" customWidth="1"/>
    <col min="529" max="529" width="5.28515625" style="24" customWidth="1"/>
    <col min="530" max="531" width="4.42578125" style="24" bestFit="1" customWidth="1"/>
    <col min="532" max="532" width="13.28515625" style="24" bestFit="1" customWidth="1"/>
    <col min="533" max="533" width="3.140625" style="24" customWidth="1"/>
    <col min="534" max="534" width="5.42578125" style="24" bestFit="1" customWidth="1"/>
    <col min="535" max="535" width="4.42578125" style="24" bestFit="1" customWidth="1"/>
    <col min="536" max="536" width="6.42578125" style="24" customWidth="1"/>
    <col min="537" max="537" width="5" style="24" bestFit="1" customWidth="1"/>
    <col min="538" max="538" width="4.5703125" style="24" bestFit="1" customWidth="1"/>
    <col min="539" max="539" width="4.42578125" style="24" bestFit="1" customWidth="1"/>
    <col min="540" max="540" width="4" style="24" customWidth="1"/>
    <col min="541" max="768" width="11.42578125" style="24"/>
    <col min="769" max="769" width="14.85546875" style="24" bestFit="1" customWidth="1"/>
    <col min="770" max="770" width="28" style="24" bestFit="1" customWidth="1"/>
    <col min="771" max="771" width="4.42578125" style="24" bestFit="1" customWidth="1"/>
    <col min="772" max="772" width="8" style="24" bestFit="1" customWidth="1"/>
    <col min="773" max="773" width="11.42578125" style="24"/>
    <col min="774" max="774" width="22.85546875" style="24" bestFit="1" customWidth="1"/>
    <col min="775" max="775" width="7" style="24" customWidth="1"/>
    <col min="776" max="776" width="6.28515625" style="24" customWidth="1"/>
    <col min="777" max="777" width="5.7109375" style="24" customWidth="1"/>
    <col min="778" max="778" width="5.7109375" style="24" bestFit="1" customWidth="1"/>
    <col min="779" max="779" width="5.85546875" style="24" bestFit="1" customWidth="1"/>
    <col min="780" max="780" width="9.42578125" style="24" customWidth="1"/>
    <col min="781" max="781" width="5.140625" style="24" customWidth="1"/>
    <col min="782" max="782" width="9.7109375" style="24" customWidth="1"/>
    <col min="783" max="783" width="6.7109375" style="24" bestFit="1" customWidth="1"/>
    <col min="784" max="784" width="4.85546875" style="24" customWidth="1"/>
    <col min="785" max="785" width="5.28515625" style="24" customWidth="1"/>
    <col min="786" max="787" width="4.42578125" style="24" bestFit="1" customWidth="1"/>
    <col min="788" max="788" width="13.28515625" style="24" bestFit="1" customWidth="1"/>
    <col min="789" max="789" width="3.140625" style="24" customWidth="1"/>
    <col min="790" max="790" width="5.42578125" style="24" bestFit="1" customWidth="1"/>
    <col min="791" max="791" width="4.42578125" style="24" bestFit="1" customWidth="1"/>
    <col min="792" max="792" width="6.42578125" style="24" customWidth="1"/>
    <col min="793" max="793" width="5" style="24" bestFit="1" customWidth="1"/>
    <col min="794" max="794" width="4.5703125" style="24" bestFit="1" customWidth="1"/>
    <col min="795" max="795" width="4.42578125" style="24" bestFit="1" customWidth="1"/>
    <col min="796" max="796" width="4" style="24" customWidth="1"/>
    <col min="797" max="1024" width="11.42578125" style="24"/>
    <col min="1025" max="1025" width="14.85546875" style="24" bestFit="1" customWidth="1"/>
    <col min="1026" max="1026" width="28" style="24" bestFit="1" customWidth="1"/>
    <col min="1027" max="1027" width="4.42578125" style="24" bestFit="1" customWidth="1"/>
    <col min="1028" max="1028" width="8" style="24" bestFit="1" customWidth="1"/>
    <col min="1029" max="1029" width="11.42578125" style="24"/>
    <col min="1030" max="1030" width="22.85546875" style="24" bestFit="1" customWidth="1"/>
    <col min="1031" max="1031" width="7" style="24" customWidth="1"/>
    <col min="1032" max="1032" width="6.28515625" style="24" customWidth="1"/>
    <col min="1033" max="1033" width="5.7109375" style="24" customWidth="1"/>
    <col min="1034" max="1034" width="5.7109375" style="24" bestFit="1" customWidth="1"/>
    <col min="1035" max="1035" width="5.85546875" style="24" bestFit="1" customWidth="1"/>
    <col min="1036" max="1036" width="9.42578125" style="24" customWidth="1"/>
    <col min="1037" max="1037" width="5.140625" style="24" customWidth="1"/>
    <col min="1038" max="1038" width="9.7109375" style="24" customWidth="1"/>
    <col min="1039" max="1039" width="6.7109375" style="24" bestFit="1" customWidth="1"/>
    <col min="1040" max="1040" width="4.85546875" style="24" customWidth="1"/>
    <col min="1041" max="1041" width="5.28515625" style="24" customWidth="1"/>
    <col min="1042" max="1043" width="4.42578125" style="24" bestFit="1" customWidth="1"/>
    <col min="1044" max="1044" width="13.28515625" style="24" bestFit="1" customWidth="1"/>
    <col min="1045" max="1045" width="3.140625" style="24" customWidth="1"/>
    <col min="1046" max="1046" width="5.42578125" style="24" bestFit="1" customWidth="1"/>
    <col min="1047" max="1047" width="4.42578125" style="24" bestFit="1" customWidth="1"/>
    <col min="1048" max="1048" width="6.42578125" style="24" customWidth="1"/>
    <col min="1049" max="1049" width="5" style="24" bestFit="1" customWidth="1"/>
    <col min="1050" max="1050" width="4.5703125" style="24" bestFit="1" customWidth="1"/>
    <col min="1051" max="1051" width="4.42578125" style="24" bestFit="1" customWidth="1"/>
    <col min="1052" max="1052" width="4" style="24" customWidth="1"/>
    <col min="1053" max="1280" width="11.42578125" style="24"/>
    <col min="1281" max="1281" width="14.85546875" style="24" bestFit="1" customWidth="1"/>
    <col min="1282" max="1282" width="28" style="24" bestFit="1" customWidth="1"/>
    <col min="1283" max="1283" width="4.42578125" style="24" bestFit="1" customWidth="1"/>
    <col min="1284" max="1284" width="8" style="24" bestFit="1" customWidth="1"/>
    <col min="1285" max="1285" width="11.42578125" style="24"/>
    <col min="1286" max="1286" width="22.85546875" style="24" bestFit="1" customWidth="1"/>
    <col min="1287" max="1287" width="7" style="24" customWidth="1"/>
    <col min="1288" max="1288" width="6.28515625" style="24" customWidth="1"/>
    <col min="1289" max="1289" width="5.7109375" style="24" customWidth="1"/>
    <col min="1290" max="1290" width="5.7109375" style="24" bestFit="1" customWidth="1"/>
    <col min="1291" max="1291" width="5.85546875" style="24" bestFit="1" customWidth="1"/>
    <col min="1292" max="1292" width="9.42578125" style="24" customWidth="1"/>
    <col min="1293" max="1293" width="5.140625" style="24" customWidth="1"/>
    <col min="1294" max="1294" width="9.7109375" style="24" customWidth="1"/>
    <col min="1295" max="1295" width="6.7109375" style="24" bestFit="1" customWidth="1"/>
    <col min="1296" max="1296" width="4.85546875" style="24" customWidth="1"/>
    <col min="1297" max="1297" width="5.28515625" style="24" customWidth="1"/>
    <col min="1298" max="1299" width="4.42578125" style="24" bestFit="1" customWidth="1"/>
    <col min="1300" max="1300" width="13.28515625" style="24" bestFit="1" customWidth="1"/>
    <col min="1301" max="1301" width="3.140625" style="24" customWidth="1"/>
    <col min="1302" max="1302" width="5.42578125" style="24" bestFit="1" customWidth="1"/>
    <col min="1303" max="1303" width="4.42578125" style="24" bestFit="1" customWidth="1"/>
    <col min="1304" max="1304" width="6.42578125" style="24" customWidth="1"/>
    <col min="1305" max="1305" width="5" style="24" bestFit="1" customWidth="1"/>
    <col min="1306" max="1306" width="4.5703125" style="24" bestFit="1" customWidth="1"/>
    <col min="1307" max="1307" width="4.42578125" style="24" bestFit="1" customWidth="1"/>
    <col min="1308" max="1308" width="4" style="24" customWidth="1"/>
    <col min="1309" max="1536" width="11.42578125" style="24"/>
    <col min="1537" max="1537" width="14.85546875" style="24" bestFit="1" customWidth="1"/>
    <col min="1538" max="1538" width="28" style="24" bestFit="1" customWidth="1"/>
    <col min="1539" max="1539" width="4.42578125" style="24" bestFit="1" customWidth="1"/>
    <col min="1540" max="1540" width="8" style="24" bestFit="1" customWidth="1"/>
    <col min="1541" max="1541" width="11.42578125" style="24"/>
    <col min="1542" max="1542" width="22.85546875" style="24" bestFit="1" customWidth="1"/>
    <col min="1543" max="1543" width="7" style="24" customWidth="1"/>
    <col min="1544" max="1544" width="6.28515625" style="24" customWidth="1"/>
    <col min="1545" max="1545" width="5.7109375" style="24" customWidth="1"/>
    <col min="1546" max="1546" width="5.7109375" style="24" bestFit="1" customWidth="1"/>
    <col min="1547" max="1547" width="5.85546875" style="24" bestFit="1" customWidth="1"/>
    <col min="1548" max="1548" width="9.42578125" style="24" customWidth="1"/>
    <col min="1549" max="1549" width="5.140625" style="24" customWidth="1"/>
    <col min="1550" max="1550" width="9.7109375" style="24" customWidth="1"/>
    <col min="1551" max="1551" width="6.7109375" style="24" bestFit="1" customWidth="1"/>
    <col min="1552" max="1552" width="4.85546875" style="24" customWidth="1"/>
    <col min="1553" max="1553" width="5.28515625" style="24" customWidth="1"/>
    <col min="1554" max="1555" width="4.42578125" style="24" bestFit="1" customWidth="1"/>
    <col min="1556" max="1556" width="13.28515625" style="24" bestFit="1" customWidth="1"/>
    <col min="1557" max="1557" width="3.140625" style="24" customWidth="1"/>
    <col min="1558" max="1558" width="5.42578125" style="24" bestFit="1" customWidth="1"/>
    <col min="1559" max="1559" width="4.42578125" style="24" bestFit="1" customWidth="1"/>
    <col min="1560" max="1560" width="6.42578125" style="24" customWidth="1"/>
    <col min="1561" max="1561" width="5" style="24" bestFit="1" customWidth="1"/>
    <col min="1562" max="1562" width="4.5703125" style="24" bestFit="1" customWidth="1"/>
    <col min="1563" max="1563" width="4.42578125" style="24" bestFit="1" customWidth="1"/>
    <col min="1564" max="1564" width="4" style="24" customWidth="1"/>
    <col min="1565" max="1792" width="11.42578125" style="24"/>
    <col min="1793" max="1793" width="14.85546875" style="24" bestFit="1" customWidth="1"/>
    <col min="1794" max="1794" width="28" style="24" bestFit="1" customWidth="1"/>
    <col min="1795" max="1795" width="4.42578125" style="24" bestFit="1" customWidth="1"/>
    <col min="1796" max="1796" width="8" style="24" bestFit="1" customWidth="1"/>
    <col min="1797" max="1797" width="11.42578125" style="24"/>
    <col min="1798" max="1798" width="22.85546875" style="24" bestFit="1" customWidth="1"/>
    <col min="1799" max="1799" width="7" style="24" customWidth="1"/>
    <col min="1800" max="1800" width="6.28515625" style="24" customWidth="1"/>
    <col min="1801" max="1801" width="5.7109375" style="24" customWidth="1"/>
    <col min="1802" max="1802" width="5.7109375" style="24" bestFit="1" customWidth="1"/>
    <col min="1803" max="1803" width="5.85546875" style="24" bestFit="1" customWidth="1"/>
    <col min="1804" max="1804" width="9.42578125" style="24" customWidth="1"/>
    <col min="1805" max="1805" width="5.140625" style="24" customWidth="1"/>
    <col min="1806" max="1806" width="9.7109375" style="24" customWidth="1"/>
    <col min="1807" max="1807" width="6.7109375" style="24" bestFit="1" customWidth="1"/>
    <col min="1808" max="1808" width="4.85546875" style="24" customWidth="1"/>
    <col min="1809" max="1809" width="5.28515625" style="24" customWidth="1"/>
    <col min="1810" max="1811" width="4.42578125" style="24" bestFit="1" customWidth="1"/>
    <col min="1812" max="1812" width="13.28515625" style="24" bestFit="1" customWidth="1"/>
    <col min="1813" max="1813" width="3.140625" style="24" customWidth="1"/>
    <col min="1814" max="1814" width="5.42578125" style="24" bestFit="1" customWidth="1"/>
    <col min="1815" max="1815" width="4.42578125" style="24" bestFit="1" customWidth="1"/>
    <col min="1816" max="1816" width="6.42578125" style="24" customWidth="1"/>
    <col min="1817" max="1817" width="5" style="24" bestFit="1" customWidth="1"/>
    <col min="1818" max="1818" width="4.5703125" style="24" bestFit="1" customWidth="1"/>
    <col min="1819" max="1819" width="4.42578125" style="24" bestFit="1" customWidth="1"/>
    <col min="1820" max="1820" width="4" style="24" customWidth="1"/>
    <col min="1821" max="2048" width="11.42578125" style="24"/>
    <col min="2049" max="2049" width="14.85546875" style="24" bestFit="1" customWidth="1"/>
    <col min="2050" max="2050" width="28" style="24" bestFit="1" customWidth="1"/>
    <col min="2051" max="2051" width="4.42578125" style="24" bestFit="1" customWidth="1"/>
    <col min="2052" max="2052" width="8" style="24" bestFit="1" customWidth="1"/>
    <col min="2053" max="2053" width="11.42578125" style="24"/>
    <col min="2054" max="2054" width="22.85546875" style="24" bestFit="1" customWidth="1"/>
    <col min="2055" max="2055" width="7" style="24" customWidth="1"/>
    <col min="2056" max="2056" width="6.28515625" style="24" customWidth="1"/>
    <col min="2057" max="2057" width="5.7109375" style="24" customWidth="1"/>
    <col min="2058" max="2058" width="5.7109375" style="24" bestFit="1" customWidth="1"/>
    <col min="2059" max="2059" width="5.85546875" style="24" bestFit="1" customWidth="1"/>
    <col min="2060" max="2060" width="9.42578125" style="24" customWidth="1"/>
    <col min="2061" max="2061" width="5.140625" style="24" customWidth="1"/>
    <col min="2062" max="2062" width="9.7109375" style="24" customWidth="1"/>
    <col min="2063" max="2063" width="6.7109375" style="24" bestFit="1" customWidth="1"/>
    <col min="2064" max="2064" width="4.85546875" style="24" customWidth="1"/>
    <col min="2065" max="2065" width="5.28515625" style="24" customWidth="1"/>
    <col min="2066" max="2067" width="4.42578125" style="24" bestFit="1" customWidth="1"/>
    <col min="2068" max="2068" width="13.28515625" style="24" bestFit="1" customWidth="1"/>
    <col min="2069" max="2069" width="3.140625" style="24" customWidth="1"/>
    <col min="2070" max="2070" width="5.42578125" style="24" bestFit="1" customWidth="1"/>
    <col min="2071" max="2071" width="4.42578125" style="24" bestFit="1" customWidth="1"/>
    <col min="2072" max="2072" width="6.42578125" style="24" customWidth="1"/>
    <col min="2073" max="2073" width="5" style="24" bestFit="1" customWidth="1"/>
    <col min="2074" max="2074" width="4.5703125" style="24" bestFit="1" customWidth="1"/>
    <col min="2075" max="2075" width="4.42578125" style="24" bestFit="1" customWidth="1"/>
    <col min="2076" max="2076" width="4" style="24" customWidth="1"/>
    <col min="2077" max="2304" width="11.42578125" style="24"/>
    <col min="2305" max="2305" width="14.85546875" style="24" bestFit="1" customWidth="1"/>
    <col min="2306" max="2306" width="28" style="24" bestFit="1" customWidth="1"/>
    <col min="2307" max="2307" width="4.42578125" style="24" bestFit="1" customWidth="1"/>
    <col min="2308" max="2308" width="8" style="24" bestFit="1" customWidth="1"/>
    <col min="2309" max="2309" width="11.42578125" style="24"/>
    <col min="2310" max="2310" width="22.85546875" style="24" bestFit="1" customWidth="1"/>
    <col min="2311" max="2311" width="7" style="24" customWidth="1"/>
    <col min="2312" max="2312" width="6.28515625" style="24" customWidth="1"/>
    <col min="2313" max="2313" width="5.7109375" style="24" customWidth="1"/>
    <col min="2314" max="2314" width="5.7109375" style="24" bestFit="1" customWidth="1"/>
    <col min="2315" max="2315" width="5.85546875" style="24" bestFit="1" customWidth="1"/>
    <col min="2316" max="2316" width="9.42578125" style="24" customWidth="1"/>
    <col min="2317" max="2317" width="5.140625" style="24" customWidth="1"/>
    <col min="2318" max="2318" width="9.7109375" style="24" customWidth="1"/>
    <col min="2319" max="2319" width="6.7109375" style="24" bestFit="1" customWidth="1"/>
    <col min="2320" max="2320" width="4.85546875" style="24" customWidth="1"/>
    <col min="2321" max="2321" width="5.28515625" style="24" customWidth="1"/>
    <col min="2322" max="2323" width="4.42578125" style="24" bestFit="1" customWidth="1"/>
    <col min="2324" max="2324" width="13.28515625" style="24" bestFit="1" customWidth="1"/>
    <col min="2325" max="2325" width="3.140625" style="24" customWidth="1"/>
    <col min="2326" max="2326" width="5.42578125" style="24" bestFit="1" customWidth="1"/>
    <col min="2327" max="2327" width="4.42578125" style="24" bestFit="1" customWidth="1"/>
    <col min="2328" max="2328" width="6.42578125" style="24" customWidth="1"/>
    <col min="2329" max="2329" width="5" style="24" bestFit="1" customWidth="1"/>
    <col min="2330" max="2330" width="4.5703125" style="24" bestFit="1" customWidth="1"/>
    <col min="2331" max="2331" width="4.42578125" style="24" bestFit="1" customWidth="1"/>
    <col min="2332" max="2332" width="4" style="24" customWidth="1"/>
    <col min="2333" max="2560" width="11.42578125" style="24"/>
    <col min="2561" max="2561" width="14.85546875" style="24" bestFit="1" customWidth="1"/>
    <col min="2562" max="2562" width="28" style="24" bestFit="1" customWidth="1"/>
    <col min="2563" max="2563" width="4.42578125" style="24" bestFit="1" customWidth="1"/>
    <col min="2564" max="2564" width="8" style="24" bestFit="1" customWidth="1"/>
    <col min="2565" max="2565" width="11.42578125" style="24"/>
    <col min="2566" max="2566" width="22.85546875" style="24" bestFit="1" customWidth="1"/>
    <col min="2567" max="2567" width="7" style="24" customWidth="1"/>
    <col min="2568" max="2568" width="6.28515625" style="24" customWidth="1"/>
    <col min="2569" max="2569" width="5.7109375" style="24" customWidth="1"/>
    <col min="2570" max="2570" width="5.7109375" style="24" bestFit="1" customWidth="1"/>
    <col min="2571" max="2571" width="5.85546875" style="24" bestFit="1" customWidth="1"/>
    <col min="2572" max="2572" width="9.42578125" style="24" customWidth="1"/>
    <col min="2573" max="2573" width="5.140625" style="24" customWidth="1"/>
    <col min="2574" max="2574" width="9.7109375" style="24" customWidth="1"/>
    <col min="2575" max="2575" width="6.7109375" style="24" bestFit="1" customWidth="1"/>
    <col min="2576" max="2576" width="4.85546875" style="24" customWidth="1"/>
    <col min="2577" max="2577" width="5.28515625" style="24" customWidth="1"/>
    <col min="2578" max="2579" width="4.42578125" style="24" bestFit="1" customWidth="1"/>
    <col min="2580" max="2580" width="13.28515625" style="24" bestFit="1" customWidth="1"/>
    <col min="2581" max="2581" width="3.140625" style="24" customWidth="1"/>
    <col min="2582" max="2582" width="5.42578125" style="24" bestFit="1" customWidth="1"/>
    <col min="2583" max="2583" width="4.42578125" style="24" bestFit="1" customWidth="1"/>
    <col min="2584" max="2584" width="6.42578125" style="24" customWidth="1"/>
    <col min="2585" max="2585" width="5" style="24" bestFit="1" customWidth="1"/>
    <col min="2586" max="2586" width="4.5703125" style="24" bestFit="1" customWidth="1"/>
    <col min="2587" max="2587" width="4.42578125" style="24" bestFit="1" customWidth="1"/>
    <col min="2588" max="2588" width="4" style="24" customWidth="1"/>
    <col min="2589" max="2816" width="11.42578125" style="24"/>
    <col min="2817" max="2817" width="14.85546875" style="24" bestFit="1" customWidth="1"/>
    <col min="2818" max="2818" width="28" style="24" bestFit="1" customWidth="1"/>
    <col min="2819" max="2819" width="4.42578125" style="24" bestFit="1" customWidth="1"/>
    <col min="2820" max="2820" width="8" style="24" bestFit="1" customWidth="1"/>
    <col min="2821" max="2821" width="11.42578125" style="24"/>
    <col min="2822" max="2822" width="22.85546875" style="24" bestFit="1" customWidth="1"/>
    <col min="2823" max="2823" width="7" style="24" customWidth="1"/>
    <col min="2824" max="2824" width="6.28515625" style="24" customWidth="1"/>
    <col min="2825" max="2825" width="5.7109375" style="24" customWidth="1"/>
    <col min="2826" max="2826" width="5.7109375" style="24" bestFit="1" customWidth="1"/>
    <col min="2827" max="2827" width="5.85546875" style="24" bestFit="1" customWidth="1"/>
    <col min="2828" max="2828" width="9.42578125" style="24" customWidth="1"/>
    <col min="2829" max="2829" width="5.140625" style="24" customWidth="1"/>
    <col min="2830" max="2830" width="9.7109375" style="24" customWidth="1"/>
    <col min="2831" max="2831" width="6.7109375" style="24" bestFit="1" customWidth="1"/>
    <col min="2832" max="2832" width="4.85546875" style="24" customWidth="1"/>
    <col min="2833" max="2833" width="5.28515625" style="24" customWidth="1"/>
    <col min="2834" max="2835" width="4.42578125" style="24" bestFit="1" customWidth="1"/>
    <col min="2836" max="2836" width="13.28515625" style="24" bestFit="1" customWidth="1"/>
    <col min="2837" max="2837" width="3.140625" style="24" customWidth="1"/>
    <col min="2838" max="2838" width="5.42578125" style="24" bestFit="1" customWidth="1"/>
    <col min="2839" max="2839" width="4.42578125" style="24" bestFit="1" customWidth="1"/>
    <col min="2840" max="2840" width="6.42578125" style="24" customWidth="1"/>
    <col min="2841" max="2841" width="5" style="24" bestFit="1" customWidth="1"/>
    <col min="2842" max="2842" width="4.5703125" style="24" bestFit="1" customWidth="1"/>
    <col min="2843" max="2843" width="4.42578125" style="24" bestFit="1" customWidth="1"/>
    <col min="2844" max="2844" width="4" style="24" customWidth="1"/>
    <col min="2845" max="3072" width="11.42578125" style="24"/>
    <col min="3073" max="3073" width="14.85546875" style="24" bestFit="1" customWidth="1"/>
    <col min="3074" max="3074" width="28" style="24" bestFit="1" customWidth="1"/>
    <col min="3075" max="3075" width="4.42578125" style="24" bestFit="1" customWidth="1"/>
    <col min="3076" max="3076" width="8" style="24" bestFit="1" customWidth="1"/>
    <col min="3077" max="3077" width="11.42578125" style="24"/>
    <col min="3078" max="3078" width="22.85546875" style="24" bestFit="1" customWidth="1"/>
    <col min="3079" max="3079" width="7" style="24" customWidth="1"/>
    <col min="3080" max="3080" width="6.28515625" style="24" customWidth="1"/>
    <col min="3081" max="3081" width="5.7109375" style="24" customWidth="1"/>
    <col min="3082" max="3082" width="5.7109375" style="24" bestFit="1" customWidth="1"/>
    <col min="3083" max="3083" width="5.85546875" style="24" bestFit="1" customWidth="1"/>
    <col min="3084" max="3084" width="9.42578125" style="24" customWidth="1"/>
    <col min="3085" max="3085" width="5.140625" style="24" customWidth="1"/>
    <col min="3086" max="3086" width="9.7109375" style="24" customWidth="1"/>
    <col min="3087" max="3087" width="6.7109375" style="24" bestFit="1" customWidth="1"/>
    <col min="3088" max="3088" width="4.85546875" style="24" customWidth="1"/>
    <col min="3089" max="3089" width="5.28515625" style="24" customWidth="1"/>
    <col min="3090" max="3091" width="4.42578125" style="24" bestFit="1" customWidth="1"/>
    <col min="3092" max="3092" width="13.28515625" style="24" bestFit="1" customWidth="1"/>
    <col min="3093" max="3093" width="3.140625" style="24" customWidth="1"/>
    <col min="3094" max="3094" width="5.42578125" style="24" bestFit="1" customWidth="1"/>
    <col min="3095" max="3095" width="4.42578125" style="24" bestFit="1" customWidth="1"/>
    <col min="3096" max="3096" width="6.42578125" style="24" customWidth="1"/>
    <col min="3097" max="3097" width="5" style="24" bestFit="1" customWidth="1"/>
    <col min="3098" max="3098" width="4.5703125" style="24" bestFit="1" customWidth="1"/>
    <col min="3099" max="3099" width="4.42578125" style="24" bestFit="1" customWidth="1"/>
    <col min="3100" max="3100" width="4" style="24" customWidth="1"/>
    <col min="3101" max="3328" width="11.42578125" style="24"/>
    <col min="3329" max="3329" width="14.85546875" style="24" bestFit="1" customWidth="1"/>
    <col min="3330" max="3330" width="28" style="24" bestFit="1" customWidth="1"/>
    <col min="3331" max="3331" width="4.42578125" style="24" bestFit="1" customWidth="1"/>
    <col min="3332" max="3332" width="8" style="24" bestFit="1" customWidth="1"/>
    <col min="3333" max="3333" width="11.42578125" style="24"/>
    <col min="3334" max="3334" width="22.85546875" style="24" bestFit="1" customWidth="1"/>
    <col min="3335" max="3335" width="7" style="24" customWidth="1"/>
    <col min="3336" max="3336" width="6.28515625" style="24" customWidth="1"/>
    <col min="3337" max="3337" width="5.7109375" style="24" customWidth="1"/>
    <col min="3338" max="3338" width="5.7109375" style="24" bestFit="1" customWidth="1"/>
    <col min="3339" max="3339" width="5.85546875" style="24" bestFit="1" customWidth="1"/>
    <col min="3340" max="3340" width="9.42578125" style="24" customWidth="1"/>
    <col min="3341" max="3341" width="5.140625" style="24" customWidth="1"/>
    <col min="3342" max="3342" width="9.7109375" style="24" customWidth="1"/>
    <col min="3343" max="3343" width="6.7109375" style="24" bestFit="1" customWidth="1"/>
    <col min="3344" max="3344" width="4.85546875" style="24" customWidth="1"/>
    <col min="3345" max="3345" width="5.28515625" style="24" customWidth="1"/>
    <col min="3346" max="3347" width="4.42578125" style="24" bestFit="1" customWidth="1"/>
    <col min="3348" max="3348" width="13.28515625" style="24" bestFit="1" customWidth="1"/>
    <col min="3349" max="3349" width="3.140625" style="24" customWidth="1"/>
    <col min="3350" max="3350" width="5.42578125" style="24" bestFit="1" customWidth="1"/>
    <col min="3351" max="3351" width="4.42578125" style="24" bestFit="1" customWidth="1"/>
    <col min="3352" max="3352" width="6.42578125" style="24" customWidth="1"/>
    <col min="3353" max="3353" width="5" style="24" bestFit="1" customWidth="1"/>
    <col min="3354" max="3354" width="4.5703125" style="24" bestFit="1" customWidth="1"/>
    <col min="3355" max="3355" width="4.42578125" style="24" bestFit="1" customWidth="1"/>
    <col min="3356" max="3356" width="4" style="24" customWidth="1"/>
    <col min="3357" max="3584" width="11.42578125" style="24"/>
    <col min="3585" max="3585" width="14.85546875" style="24" bestFit="1" customWidth="1"/>
    <col min="3586" max="3586" width="28" style="24" bestFit="1" customWidth="1"/>
    <col min="3587" max="3587" width="4.42578125" style="24" bestFit="1" customWidth="1"/>
    <col min="3588" max="3588" width="8" style="24" bestFit="1" customWidth="1"/>
    <col min="3589" max="3589" width="11.42578125" style="24"/>
    <col min="3590" max="3590" width="22.85546875" style="24" bestFit="1" customWidth="1"/>
    <col min="3591" max="3591" width="7" style="24" customWidth="1"/>
    <col min="3592" max="3592" width="6.28515625" style="24" customWidth="1"/>
    <col min="3593" max="3593" width="5.7109375" style="24" customWidth="1"/>
    <col min="3594" max="3594" width="5.7109375" style="24" bestFit="1" customWidth="1"/>
    <col min="3595" max="3595" width="5.85546875" style="24" bestFit="1" customWidth="1"/>
    <col min="3596" max="3596" width="9.42578125" style="24" customWidth="1"/>
    <col min="3597" max="3597" width="5.140625" style="24" customWidth="1"/>
    <col min="3598" max="3598" width="9.7109375" style="24" customWidth="1"/>
    <col min="3599" max="3599" width="6.7109375" style="24" bestFit="1" customWidth="1"/>
    <col min="3600" max="3600" width="4.85546875" style="24" customWidth="1"/>
    <col min="3601" max="3601" width="5.28515625" style="24" customWidth="1"/>
    <col min="3602" max="3603" width="4.42578125" style="24" bestFit="1" customWidth="1"/>
    <col min="3604" max="3604" width="13.28515625" style="24" bestFit="1" customWidth="1"/>
    <col min="3605" max="3605" width="3.140625" style="24" customWidth="1"/>
    <col min="3606" max="3606" width="5.42578125" style="24" bestFit="1" customWidth="1"/>
    <col min="3607" max="3607" width="4.42578125" style="24" bestFit="1" customWidth="1"/>
    <col min="3608" max="3608" width="6.42578125" style="24" customWidth="1"/>
    <col min="3609" max="3609" width="5" style="24" bestFit="1" customWidth="1"/>
    <col min="3610" max="3610" width="4.5703125" style="24" bestFit="1" customWidth="1"/>
    <col min="3611" max="3611" width="4.42578125" style="24" bestFit="1" customWidth="1"/>
    <col min="3612" max="3612" width="4" style="24" customWidth="1"/>
    <col min="3613" max="3840" width="11.42578125" style="24"/>
    <col min="3841" max="3841" width="14.85546875" style="24" bestFit="1" customWidth="1"/>
    <col min="3842" max="3842" width="28" style="24" bestFit="1" customWidth="1"/>
    <col min="3843" max="3843" width="4.42578125" style="24" bestFit="1" customWidth="1"/>
    <col min="3844" max="3844" width="8" style="24" bestFit="1" customWidth="1"/>
    <col min="3845" max="3845" width="11.42578125" style="24"/>
    <col min="3846" max="3846" width="22.85546875" style="24" bestFit="1" customWidth="1"/>
    <col min="3847" max="3847" width="7" style="24" customWidth="1"/>
    <col min="3848" max="3848" width="6.28515625" style="24" customWidth="1"/>
    <col min="3849" max="3849" width="5.7109375" style="24" customWidth="1"/>
    <col min="3850" max="3850" width="5.7109375" style="24" bestFit="1" customWidth="1"/>
    <col min="3851" max="3851" width="5.85546875" style="24" bestFit="1" customWidth="1"/>
    <col min="3852" max="3852" width="9.42578125" style="24" customWidth="1"/>
    <col min="3853" max="3853" width="5.140625" style="24" customWidth="1"/>
    <col min="3854" max="3854" width="9.7109375" style="24" customWidth="1"/>
    <col min="3855" max="3855" width="6.7109375" style="24" bestFit="1" customWidth="1"/>
    <col min="3856" max="3856" width="4.85546875" style="24" customWidth="1"/>
    <col min="3857" max="3857" width="5.28515625" style="24" customWidth="1"/>
    <col min="3858" max="3859" width="4.42578125" style="24" bestFit="1" customWidth="1"/>
    <col min="3860" max="3860" width="13.28515625" style="24" bestFit="1" customWidth="1"/>
    <col min="3861" max="3861" width="3.140625" style="24" customWidth="1"/>
    <col min="3862" max="3862" width="5.42578125" style="24" bestFit="1" customWidth="1"/>
    <col min="3863" max="3863" width="4.42578125" style="24" bestFit="1" customWidth="1"/>
    <col min="3864" max="3864" width="6.42578125" style="24" customWidth="1"/>
    <col min="3865" max="3865" width="5" style="24" bestFit="1" customWidth="1"/>
    <col min="3866" max="3866" width="4.5703125" style="24" bestFit="1" customWidth="1"/>
    <col min="3867" max="3867" width="4.42578125" style="24" bestFit="1" customWidth="1"/>
    <col min="3868" max="3868" width="4" style="24" customWidth="1"/>
    <col min="3869" max="4096" width="11.42578125" style="24"/>
    <col min="4097" max="4097" width="14.85546875" style="24" bestFit="1" customWidth="1"/>
    <col min="4098" max="4098" width="28" style="24" bestFit="1" customWidth="1"/>
    <col min="4099" max="4099" width="4.42578125" style="24" bestFit="1" customWidth="1"/>
    <col min="4100" max="4100" width="8" style="24" bestFit="1" customWidth="1"/>
    <col min="4101" max="4101" width="11.42578125" style="24"/>
    <col min="4102" max="4102" width="22.85546875" style="24" bestFit="1" customWidth="1"/>
    <col min="4103" max="4103" width="7" style="24" customWidth="1"/>
    <col min="4104" max="4104" width="6.28515625" style="24" customWidth="1"/>
    <col min="4105" max="4105" width="5.7109375" style="24" customWidth="1"/>
    <col min="4106" max="4106" width="5.7109375" style="24" bestFit="1" customWidth="1"/>
    <col min="4107" max="4107" width="5.85546875" style="24" bestFit="1" customWidth="1"/>
    <col min="4108" max="4108" width="9.42578125" style="24" customWidth="1"/>
    <col min="4109" max="4109" width="5.140625" style="24" customWidth="1"/>
    <col min="4110" max="4110" width="9.7109375" style="24" customWidth="1"/>
    <col min="4111" max="4111" width="6.7109375" style="24" bestFit="1" customWidth="1"/>
    <col min="4112" max="4112" width="4.85546875" style="24" customWidth="1"/>
    <col min="4113" max="4113" width="5.28515625" style="24" customWidth="1"/>
    <col min="4114" max="4115" width="4.42578125" style="24" bestFit="1" customWidth="1"/>
    <col min="4116" max="4116" width="13.28515625" style="24" bestFit="1" customWidth="1"/>
    <col min="4117" max="4117" width="3.140625" style="24" customWidth="1"/>
    <col min="4118" max="4118" width="5.42578125" style="24" bestFit="1" customWidth="1"/>
    <col min="4119" max="4119" width="4.42578125" style="24" bestFit="1" customWidth="1"/>
    <col min="4120" max="4120" width="6.42578125" style="24" customWidth="1"/>
    <col min="4121" max="4121" width="5" style="24" bestFit="1" customWidth="1"/>
    <col min="4122" max="4122" width="4.5703125" style="24" bestFit="1" customWidth="1"/>
    <col min="4123" max="4123" width="4.42578125" style="24" bestFit="1" customWidth="1"/>
    <col min="4124" max="4124" width="4" style="24" customWidth="1"/>
    <col min="4125" max="4352" width="11.42578125" style="24"/>
    <col min="4353" max="4353" width="14.85546875" style="24" bestFit="1" customWidth="1"/>
    <col min="4354" max="4354" width="28" style="24" bestFit="1" customWidth="1"/>
    <col min="4355" max="4355" width="4.42578125" style="24" bestFit="1" customWidth="1"/>
    <col min="4356" max="4356" width="8" style="24" bestFit="1" customWidth="1"/>
    <col min="4357" max="4357" width="11.42578125" style="24"/>
    <col min="4358" max="4358" width="22.85546875" style="24" bestFit="1" customWidth="1"/>
    <col min="4359" max="4359" width="7" style="24" customWidth="1"/>
    <col min="4360" max="4360" width="6.28515625" style="24" customWidth="1"/>
    <col min="4361" max="4361" width="5.7109375" style="24" customWidth="1"/>
    <col min="4362" max="4362" width="5.7109375" style="24" bestFit="1" customWidth="1"/>
    <col min="4363" max="4363" width="5.85546875" style="24" bestFit="1" customWidth="1"/>
    <col min="4364" max="4364" width="9.42578125" style="24" customWidth="1"/>
    <col min="4365" max="4365" width="5.140625" style="24" customWidth="1"/>
    <col min="4366" max="4366" width="9.7109375" style="24" customWidth="1"/>
    <col min="4367" max="4367" width="6.7109375" style="24" bestFit="1" customWidth="1"/>
    <col min="4368" max="4368" width="4.85546875" style="24" customWidth="1"/>
    <col min="4369" max="4369" width="5.28515625" style="24" customWidth="1"/>
    <col min="4370" max="4371" width="4.42578125" style="24" bestFit="1" customWidth="1"/>
    <col min="4372" max="4372" width="13.28515625" style="24" bestFit="1" customWidth="1"/>
    <col min="4373" max="4373" width="3.140625" style="24" customWidth="1"/>
    <col min="4374" max="4374" width="5.42578125" style="24" bestFit="1" customWidth="1"/>
    <col min="4375" max="4375" width="4.42578125" style="24" bestFit="1" customWidth="1"/>
    <col min="4376" max="4376" width="6.42578125" style="24" customWidth="1"/>
    <col min="4377" max="4377" width="5" style="24" bestFit="1" customWidth="1"/>
    <col min="4378" max="4378" width="4.5703125" style="24" bestFit="1" customWidth="1"/>
    <col min="4379" max="4379" width="4.42578125" style="24" bestFit="1" customWidth="1"/>
    <col min="4380" max="4380" width="4" style="24" customWidth="1"/>
    <col min="4381" max="4608" width="11.42578125" style="24"/>
    <col min="4609" max="4609" width="14.85546875" style="24" bestFit="1" customWidth="1"/>
    <col min="4610" max="4610" width="28" style="24" bestFit="1" customWidth="1"/>
    <col min="4611" max="4611" width="4.42578125" style="24" bestFit="1" customWidth="1"/>
    <col min="4612" max="4612" width="8" style="24" bestFit="1" customWidth="1"/>
    <col min="4613" max="4613" width="11.42578125" style="24"/>
    <col min="4614" max="4614" width="22.85546875" style="24" bestFit="1" customWidth="1"/>
    <col min="4615" max="4615" width="7" style="24" customWidth="1"/>
    <col min="4616" max="4616" width="6.28515625" style="24" customWidth="1"/>
    <col min="4617" max="4617" width="5.7109375" style="24" customWidth="1"/>
    <col min="4618" max="4618" width="5.7109375" style="24" bestFit="1" customWidth="1"/>
    <col min="4619" max="4619" width="5.85546875" style="24" bestFit="1" customWidth="1"/>
    <col min="4620" max="4620" width="9.42578125" style="24" customWidth="1"/>
    <col min="4621" max="4621" width="5.140625" style="24" customWidth="1"/>
    <col min="4622" max="4622" width="9.7109375" style="24" customWidth="1"/>
    <col min="4623" max="4623" width="6.7109375" style="24" bestFit="1" customWidth="1"/>
    <col min="4624" max="4624" width="4.85546875" style="24" customWidth="1"/>
    <col min="4625" max="4625" width="5.28515625" style="24" customWidth="1"/>
    <col min="4626" max="4627" width="4.42578125" style="24" bestFit="1" customWidth="1"/>
    <col min="4628" max="4628" width="13.28515625" style="24" bestFit="1" customWidth="1"/>
    <col min="4629" max="4629" width="3.140625" style="24" customWidth="1"/>
    <col min="4630" max="4630" width="5.42578125" style="24" bestFit="1" customWidth="1"/>
    <col min="4631" max="4631" width="4.42578125" style="24" bestFit="1" customWidth="1"/>
    <col min="4632" max="4632" width="6.42578125" style="24" customWidth="1"/>
    <col min="4633" max="4633" width="5" style="24" bestFit="1" customWidth="1"/>
    <col min="4634" max="4634" width="4.5703125" style="24" bestFit="1" customWidth="1"/>
    <col min="4635" max="4635" width="4.42578125" style="24" bestFit="1" customWidth="1"/>
    <col min="4636" max="4636" width="4" style="24" customWidth="1"/>
    <col min="4637" max="4864" width="11.42578125" style="24"/>
    <col min="4865" max="4865" width="14.85546875" style="24" bestFit="1" customWidth="1"/>
    <col min="4866" max="4866" width="28" style="24" bestFit="1" customWidth="1"/>
    <col min="4867" max="4867" width="4.42578125" style="24" bestFit="1" customWidth="1"/>
    <col min="4868" max="4868" width="8" style="24" bestFit="1" customWidth="1"/>
    <col min="4869" max="4869" width="11.42578125" style="24"/>
    <col min="4870" max="4870" width="22.85546875" style="24" bestFit="1" customWidth="1"/>
    <col min="4871" max="4871" width="7" style="24" customWidth="1"/>
    <col min="4872" max="4872" width="6.28515625" style="24" customWidth="1"/>
    <col min="4873" max="4873" width="5.7109375" style="24" customWidth="1"/>
    <col min="4874" max="4874" width="5.7109375" style="24" bestFit="1" customWidth="1"/>
    <col min="4875" max="4875" width="5.85546875" style="24" bestFit="1" customWidth="1"/>
    <col min="4876" max="4876" width="9.42578125" style="24" customWidth="1"/>
    <col min="4877" max="4877" width="5.140625" style="24" customWidth="1"/>
    <col min="4878" max="4878" width="9.7109375" style="24" customWidth="1"/>
    <col min="4879" max="4879" width="6.7109375" style="24" bestFit="1" customWidth="1"/>
    <col min="4880" max="4880" width="4.85546875" style="24" customWidth="1"/>
    <col min="4881" max="4881" width="5.28515625" style="24" customWidth="1"/>
    <col min="4882" max="4883" width="4.42578125" style="24" bestFit="1" customWidth="1"/>
    <col min="4884" max="4884" width="13.28515625" style="24" bestFit="1" customWidth="1"/>
    <col min="4885" max="4885" width="3.140625" style="24" customWidth="1"/>
    <col min="4886" max="4886" width="5.42578125" style="24" bestFit="1" customWidth="1"/>
    <col min="4887" max="4887" width="4.42578125" style="24" bestFit="1" customWidth="1"/>
    <col min="4888" max="4888" width="6.42578125" style="24" customWidth="1"/>
    <col min="4889" max="4889" width="5" style="24" bestFit="1" customWidth="1"/>
    <col min="4890" max="4890" width="4.5703125" style="24" bestFit="1" customWidth="1"/>
    <col min="4891" max="4891" width="4.42578125" style="24" bestFit="1" customWidth="1"/>
    <col min="4892" max="4892" width="4" style="24" customWidth="1"/>
    <col min="4893" max="5120" width="11.42578125" style="24"/>
    <col min="5121" max="5121" width="14.85546875" style="24" bestFit="1" customWidth="1"/>
    <col min="5122" max="5122" width="28" style="24" bestFit="1" customWidth="1"/>
    <col min="5123" max="5123" width="4.42578125" style="24" bestFit="1" customWidth="1"/>
    <col min="5124" max="5124" width="8" style="24" bestFit="1" customWidth="1"/>
    <col min="5125" max="5125" width="11.42578125" style="24"/>
    <col min="5126" max="5126" width="22.85546875" style="24" bestFit="1" customWidth="1"/>
    <col min="5127" max="5127" width="7" style="24" customWidth="1"/>
    <col min="5128" max="5128" width="6.28515625" style="24" customWidth="1"/>
    <col min="5129" max="5129" width="5.7109375" style="24" customWidth="1"/>
    <col min="5130" max="5130" width="5.7109375" style="24" bestFit="1" customWidth="1"/>
    <col min="5131" max="5131" width="5.85546875" style="24" bestFit="1" customWidth="1"/>
    <col min="5132" max="5132" width="9.42578125" style="24" customWidth="1"/>
    <col min="5133" max="5133" width="5.140625" style="24" customWidth="1"/>
    <col min="5134" max="5134" width="9.7109375" style="24" customWidth="1"/>
    <col min="5135" max="5135" width="6.7109375" style="24" bestFit="1" customWidth="1"/>
    <col min="5136" max="5136" width="4.85546875" style="24" customWidth="1"/>
    <col min="5137" max="5137" width="5.28515625" style="24" customWidth="1"/>
    <col min="5138" max="5139" width="4.42578125" style="24" bestFit="1" customWidth="1"/>
    <col min="5140" max="5140" width="13.28515625" style="24" bestFit="1" customWidth="1"/>
    <col min="5141" max="5141" width="3.140625" style="24" customWidth="1"/>
    <col min="5142" max="5142" width="5.42578125" style="24" bestFit="1" customWidth="1"/>
    <col min="5143" max="5143" width="4.42578125" style="24" bestFit="1" customWidth="1"/>
    <col min="5144" max="5144" width="6.42578125" style="24" customWidth="1"/>
    <col min="5145" max="5145" width="5" style="24" bestFit="1" customWidth="1"/>
    <col min="5146" max="5146" width="4.5703125" style="24" bestFit="1" customWidth="1"/>
    <col min="5147" max="5147" width="4.42578125" style="24" bestFit="1" customWidth="1"/>
    <col min="5148" max="5148" width="4" style="24" customWidth="1"/>
    <col min="5149" max="5376" width="11.42578125" style="24"/>
    <col min="5377" max="5377" width="14.85546875" style="24" bestFit="1" customWidth="1"/>
    <col min="5378" max="5378" width="28" style="24" bestFit="1" customWidth="1"/>
    <col min="5379" max="5379" width="4.42578125" style="24" bestFit="1" customWidth="1"/>
    <col min="5380" max="5380" width="8" style="24" bestFit="1" customWidth="1"/>
    <col min="5381" max="5381" width="11.42578125" style="24"/>
    <col min="5382" max="5382" width="22.85546875" style="24" bestFit="1" customWidth="1"/>
    <col min="5383" max="5383" width="7" style="24" customWidth="1"/>
    <col min="5384" max="5384" width="6.28515625" style="24" customWidth="1"/>
    <col min="5385" max="5385" width="5.7109375" style="24" customWidth="1"/>
    <col min="5386" max="5386" width="5.7109375" style="24" bestFit="1" customWidth="1"/>
    <col min="5387" max="5387" width="5.85546875" style="24" bestFit="1" customWidth="1"/>
    <col min="5388" max="5388" width="9.42578125" style="24" customWidth="1"/>
    <col min="5389" max="5389" width="5.140625" style="24" customWidth="1"/>
    <col min="5390" max="5390" width="9.7109375" style="24" customWidth="1"/>
    <col min="5391" max="5391" width="6.7109375" style="24" bestFit="1" customWidth="1"/>
    <col min="5392" max="5392" width="4.85546875" style="24" customWidth="1"/>
    <col min="5393" max="5393" width="5.28515625" style="24" customWidth="1"/>
    <col min="5394" max="5395" width="4.42578125" style="24" bestFit="1" customWidth="1"/>
    <col min="5396" max="5396" width="13.28515625" style="24" bestFit="1" customWidth="1"/>
    <col min="5397" max="5397" width="3.140625" style="24" customWidth="1"/>
    <col min="5398" max="5398" width="5.42578125" style="24" bestFit="1" customWidth="1"/>
    <col min="5399" max="5399" width="4.42578125" style="24" bestFit="1" customWidth="1"/>
    <col min="5400" max="5400" width="6.42578125" style="24" customWidth="1"/>
    <col min="5401" max="5401" width="5" style="24" bestFit="1" customWidth="1"/>
    <col min="5402" max="5402" width="4.5703125" style="24" bestFit="1" customWidth="1"/>
    <col min="5403" max="5403" width="4.42578125" style="24" bestFit="1" customWidth="1"/>
    <col min="5404" max="5404" width="4" style="24" customWidth="1"/>
    <col min="5405" max="5632" width="11.42578125" style="24"/>
    <col min="5633" max="5633" width="14.85546875" style="24" bestFit="1" customWidth="1"/>
    <col min="5634" max="5634" width="28" style="24" bestFit="1" customWidth="1"/>
    <col min="5635" max="5635" width="4.42578125" style="24" bestFit="1" customWidth="1"/>
    <col min="5636" max="5636" width="8" style="24" bestFit="1" customWidth="1"/>
    <col min="5637" max="5637" width="11.42578125" style="24"/>
    <col min="5638" max="5638" width="22.85546875" style="24" bestFit="1" customWidth="1"/>
    <col min="5639" max="5639" width="7" style="24" customWidth="1"/>
    <col min="5640" max="5640" width="6.28515625" style="24" customWidth="1"/>
    <col min="5641" max="5641" width="5.7109375" style="24" customWidth="1"/>
    <col min="5642" max="5642" width="5.7109375" style="24" bestFit="1" customWidth="1"/>
    <col min="5643" max="5643" width="5.85546875" style="24" bestFit="1" customWidth="1"/>
    <col min="5644" max="5644" width="9.42578125" style="24" customWidth="1"/>
    <col min="5645" max="5645" width="5.140625" style="24" customWidth="1"/>
    <col min="5646" max="5646" width="9.7109375" style="24" customWidth="1"/>
    <col min="5647" max="5647" width="6.7109375" style="24" bestFit="1" customWidth="1"/>
    <col min="5648" max="5648" width="4.85546875" style="24" customWidth="1"/>
    <col min="5649" max="5649" width="5.28515625" style="24" customWidth="1"/>
    <col min="5650" max="5651" width="4.42578125" style="24" bestFit="1" customWidth="1"/>
    <col min="5652" max="5652" width="13.28515625" style="24" bestFit="1" customWidth="1"/>
    <col min="5653" max="5653" width="3.140625" style="24" customWidth="1"/>
    <col min="5654" max="5654" width="5.42578125" style="24" bestFit="1" customWidth="1"/>
    <col min="5655" max="5655" width="4.42578125" style="24" bestFit="1" customWidth="1"/>
    <col min="5656" max="5656" width="6.42578125" style="24" customWidth="1"/>
    <col min="5657" max="5657" width="5" style="24" bestFit="1" customWidth="1"/>
    <col min="5658" max="5658" width="4.5703125" style="24" bestFit="1" customWidth="1"/>
    <col min="5659" max="5659" width="4.42578125" style="24" bestFit="1" customWidth="1"/>
    <col min="5660" max="5660" width="4" style="24" customWidth="1"/>
    <col min="5661" max="5888" width="11.42578125" style="24"/>
    <col min="5889" max="5889" width="14.85546875" style="24" bestFit="1" customWidth="1"/>
    <col min="5890" max="5890" width="28" style="24" bestFit="1" customWidth="1"/>
    <col min="5891" max="5891" width="4.42578125" style="24" bestFit="1" customWidth="1"/>
    <col min="5892" max="5892" width="8" style="24" bestFit="1" customWidth="1"/>
    <col min="5893" max="5893" width="11.42578125" style="24"/>
    <col min="5894" max="5894" width="22.85546875" style="24" bestFit="1" customWidth="1"/>
    <col min="5895" max="5895" width="7" style="24" customWidth="1"/>
    <col min="5896" max="5896" width="6.28515625" style="24" customWidth="1"/>
    <col min="5897" max="5897" width="5.7109375" style="24" customWidth="1"/>
    <col min="5898" max="5898" width="5.7109375" style="24" bestFit="1" customWidth="1"/>
    <col min="5899" max="5899" width="5.85546875" style="24" bestFit="1" customWidth="1"/>
    <col min="5900" max="5900" width="9.42578125" style="24" customWidth="1"/>
    <col min="5901" max="5901" width="5.140625" style="24" customWidth="1"/>
    <col min="5902" max="5902" width="9.7109375" style="24" customWidth="1"/>
    <col min="5903" max="5903" width="6.7109375" style="24" bestFit="1" customWidth="1"/>
    <col min="5904" max="5904" width="4.85546875" style="24" customWidth="1"/>
    <col min="5905" max="5905" width="5.28515625" style="24" customWidth="1"/>
    <col min="5906" max="5907" width="4.42578125" style="24" bestFit="1" customWidth="1"/>
    <col min="5908" max="5908" width="13.28515625" style="24" bestFit="1" customWidth="1"/>
    <col min="5909" max="5909" width="3.140625" style="24" customWidth="1"/>
    <col min="5910" max="5910" width="5.42578125" style="24" bestFit="1" customWidth="1"/>
    <col min="5911" max="5911" width="4.42578125" style="24" bestFit="1" customWidth="1"/>
    <col min="5912" max="5912" width="6.42578125" style="24" customWidth="1"/>
    <col min="5913" max="5913" width="5" style="24" bestFit="1" customWidth="1"/>
    <col min="5914" max="5914" width="4.5703125" style="24" bestFit="1" customWidth="1"/>
    <col min="5915" max="5915" width="4.42578125" style="24" bestFit="1" customWidth="1"/>
    <col min="5916" max="5916" width="4" style="24" customWidth="1"/>
    <col min="5917" max="6144" width="11.42578125" style="24"/>
    <col min="6145" max="6145" width="14.85546875" style="24" bestFit="1" customWidth="1"/>
    <col min="6146" max="6146" width="28" style="24" bestFit="1" customWidth="1"/>
    <col min="6147" max="6147" width="4.42578125" style="24" bestFit="1" customWidth="1"/>
    <col min="6148" max="6148" width="8" style="24" bestFit="1" customWidth="1"/>
    <col min="6149" max="6149" width="11.42578125" style="24"/>
    <col min="6150" max="6150" width="22.85546875" style="24" bestFit="1" customWidth="1"/>
    <col min="6151" max="6151" width="7" style="24" customWidth="1"/>
    <col min="6152" max="6152" width="6.28515625" style="24" customWidth="1"/>
    <col min="6153" max="6153" width="5.7109375" style="24" customWidth="1"/>
    <col min="6154" max="6154" width="5.7109375" style="24" bestFit="1" customWidth="1"/>
    <col min="6155" max="6155" width="5.85546875" style="24" bestFit="1" customWidth="1"/>
    <col min="6156" max="6156" width="9.42578125" style="24" customWidth="1"/>
    <col min="6157" max="6157" width="5.140625" style="24" customWidth="1"/>
    <col min="6158" max="6158" width="9.7109375" style="24" customWidth="1"/>
    <col min="6159" max="6159" width="6.7109375" style="24" bestFit="1" customWidth="1"/>
    <col min="6160" max="6160" width="4.85546875" style="24" customWidth="1"/>
    <col min="6161" max="6161" width="5.28515625" style="24" customWidth="1"/>
    <col min="6162" max="6163" width="4.42578125" style="24" bestFit="1" customWidth="1"/>
    <col min="6164" max="6164" width="13.28515625" style="24" bestFit="1" customWidth="1"/>
    <col min="6165" max="6165" width="3.140625" style="24" customWidth="1"/>
    <col min="6166" max="6166" width="5.42578125" style="24" bestFit="1" customWidth="1"/>
    <col min="6167" max="6167" width="4.42578125" style="24" bestFit="1" customWidth="1"/>
    <col min="6168" max="6168" width="6.42578125" style="24" customWidth="1"/>
    <col min="6169" max="6169" width="5" style="24" bestFit="1" customWidth="1"/>
    <col min="6170" max="6170" width="4.5703125" style="24" bestFit="1" customWidth="1"/>
    <col min="6171" max="6171" width="4.42578125" style="24" bestFit="1" customWidth="1"/>
    <col min="6172" max="6172" width="4" style="24" customWidth="1"/>
    <col min="6173" max="6400" width="11.42578125" style="24"/>
    <col min="6401" max="6401" width="14.85546875" style="24" bestFit="1" customWidth="1"/>
    <col min="6402" max="6402" width="28" style="24" bestFit="1" customWidth="1"/>
    <col min="6403" max="6403" width="4.42578125" style="24" bestFit="1" customWidth="1"/>
    <col min="6404" max="6404" width="8" style="24" bestFit="1" customWidth="1"/>
    <col min="6405" max="6405" width="11.42578125" style="24"/>
    <col min="6406" max="6406" width="22.85546875" style="24" bestFit="1" customWidth="1"/>
    <col min="6407" max="6407" width="7" style="24" customWidth="1"/>
    <col min="6408" max="6408" width="6.28515625" style="24" customWidth="1"/>
    <col min="6409" max="6409" width="5.7109375" style="24" customWidth="1"/>
    <col min="6410" max="6410" width="5.7109375" style="24" bestFit="1" customWidth="1"/>
    <col min="6411" max="6411" width="5.85546875" style="24" bestFit="1" customWidth="1"/>
    <col min="6412" max="6412" width="9.42578125" style="24" customWidth="1"/>
    <col min="6413" max="6413" width="5.140625" style="24" customWidth="1"/>
    <col min="6414" max="6414" width="9.7109375" style="24" customWidth="1"/>
    <col min="6415" max="6415" width="6.7109375" style="24" bestFit="1" customWidth="1"/>
    <col min="6416" max="6416" width="4.85546875" style="24" customWidth="1"/>
    <col min="6417" max="6417" width="5.28515625" style="24" customWidth="1"/>
    <col min="6418" max="6419" width="4.42578125" style="24" bestFit="1" customWidth="1"/>
    <col min="6420" max="6420" width="13.28515625" style="24" bestFit="1" customWidth="1"/>
    <col min="6421" max="6421" width="3.140625" style="24" customWidth="1"/>
    <col min="6422" max="6422" width="5.42578125" style="24" bestFit="1" customWidth="1"/>
    <col min="6423" max="6423" width="4.42578125" style="24" bestFit="1" customWidth="1"/>
    <col min="6424" max="6424" width="6.42578125" style="24" customWidth="1"/>
    <col min="6425" max="6425" width="5" style="24" bestFit="1" customWidth="1"/>
    <col min="6426" max="6426" width="4.5703125" style="24" bestFit="1" customWidth="1"/>
    <col min="6427" max="6427" width="4.42578125" style="24" bestFit="1" customWidth="1"/>
    <col min="6428" max="6428" width="4" style="24" customWidth="1"/>
    <col min="6429" max="6656" width="11.42578125" style="24"/>
    <col min="6657" max="6657" width="14.85546875" style="24" bestFit="1" customWidth="1"/>
    <col min="6658" max="6658" width="28" style="24" bestFit="1" customWidth="1"/>
    <col min="6659" max="6659" width="4.42578125" style="24" bestFit="1" customWidth="1"/>
    <col min="6660" max="6660" width="8" style="24" bestFit="1" customWidth="1"/>
    <col min="6661" max="6661" width="11.42578125" style="24"/>
    <col min="6662" max="6662" width="22.85546875" style="24" bestFit="1" customWidth="1"/>
    <col min="6663" max="6663" width="7" style="24" customWidth="1"/>
    <col min="6664" max="6664" width="6.28515625" style="24" customWidth="1"/>
    <col min="6665" max="6665" width="5.7109375" style="24" customWidth="1"/>
    <col min="6666" max="6666" width="5.7109375" style="24" bestFit="1" customWidth="1"/>
    <col min="6667" max="6667" width="5.85546875" style="24" bestFit="1" customWidth="1"/>
    <col min="6668" max="6668" width="9.42578125" style="24" customWidth="1"/>
    <col min="6669" max="6669" width="5.140625" style="24" customWidth="1"/>
    <col min="6670" max="6670" width="9.7109375" style="24" customWidth="1"/>
    <col min="6671" max="6671" width="6.7109375" style="24" bestFit="1" customWidth="1"/>
    <col min="6672" max="6672" width="4.85546875" style="24" customWidth="1"/>
    <col min="6673" max="6673" width="5.28515625" style="24" customWidth="1"/>
    <col min="6674" max="6675" width="4.42578125" style="24" bestFit="1" customWidth="1"/>
    <col min="6676" max="6676" width="13.28515625" style="24" bestFit="1" customWidth="1"/>
    <col min="6677" max="6677" width="3.140625" style="24" customWidth="1"/>
    <col min="6678" max="6678" width="5.42578125" style="24" bestFit="1" customWidth="1"/>
    <col min="6679" max="6679" width="4.42578125" style="24" bestFit="1" customWidth="1"/>
    <col min="6680" max="6680" width="6.42578125" style="24" customWidth="1"/>
    <col min="6681" max="6681" width="5" style="24" bestFit="1" customWidth="1"/>
    <col min="6682" max="6682" width="4.5703125" style="24" bestFit="1" customWidth="1"/>
    <col min="6683" max="6683" width="4.42578125" style="24" bestFit="1" customWidth="1"/>
    <col min="6684" max="6684" width="4" style="24" customWidth="1"/>
    <col min="6685" max="6912" width="11.42578125" style="24"/>
    <col min="6913" max="6913" width="14.85546875" style="24" bestFit="1" customWidth="1"/>
    <col min="6914" max="6914" width="28" style="24" bestFit="1" customWidth="1"/>
    <col min="6915" max="6915" width="4.42578125" style="24" bestFit="1" customWidth="1"/>
    <col min="6916" max="6916" width="8" style="24" bestFit="1" customWidth="1"/>
    <col min="6917" max="6917" width="11.42578125" style="24"/>
    <col min="6918" max="6918" width="22.85546875" style="24" bestFit="1" customWidth="1"/>
    <col min="6919" max="6919" width="7" style="24" customWidth="1"/>
    <col min="6920" max="6920" width="6.28515625" style="24" customWidth="1"/>
    <col min="6921" max="6921" width="5.7109375" style="24" customWidth="1"/>
    <col min="6922" max="6922" width="5.7109375" style="24" bestFit="1" customWidth="1"/>
    <col min="6923" max="6923" width="5.85546875" style="24" bestFit="1" customWidth="1"/>
    <col min="6924" max="6924" width="9.42578125" style="24" customWidth="1"/>
    <col min="6925" max="6925" width="5.140625" style="24" customWidth="1"/>
    <col min="6926" max="6926" width="9.7109375" style="24" customWidth="1"/>
    <col min="6927" max="6927" width="6.7109375" style="24" bestFit="1" customWidth="1"/>
    <col min="6928" max="6928" width="4.85546875" style="24" customWidth="1"/>
    <col min="6929" max="6929" width="5.28515625" style="24" customWidth="1"/>
    <col min="6930" max="6931" width="4.42578125" style="24" bestFit="1" customWidth="1"/>
    <col min="6932" max="6932" width="13.28515625" style="24" bestFit="1" customWidth="1"/>
    <col min="6933" max="6933" width="3.140625" style="24" customWidth="1"/>
    <col min="6934" max="6934" width="5.42578125" style="24" bestFit="1" customWidth="1"/>
    <col min="6935" max="6935" width="4.42578125" style="24" bestFit="1" customWidth="1"/>
    <col min="6936" max="6936" width="6.42578125" style="24" customWidth="1"/>
    <col min="6937" max="6937" width="5" style="24" bestFit="1" customWidth="1"/>
    <col min="6938" max="6938" width="4.5703125" style="24" bestFit="1" customWidth="1"/>
    <col min="6939" max="6939" width="4.42578125" style="24" bestFit="1" customWidth="1"/>
    <col min="6940" max="6940" width="4" style="24" customWidth="1"/>
    <col min="6941" max="7168" width="11.42578125" style="24"/>
    <col min="7169" max="7169" width="14.85546875" style="24" bestFit="1" customWidth="1"/>
    <col min="7170" max="7170" width="28" style="24" bestFit="1" customWidth="1"/>
    <col min="7171" max="7171" width="4.42578125" style="24" bestFit="1" customWidth="1"/>
    <col min="7172" max="7172" width="8" style="24" bestFit="1" customWidth="1"/>
    <col min="7173" max="7173" width="11.42578125" style="24"/>
    <col min="7174" max="7174" width="22.85546875" style="24" bestFit="1" customWidth="1"/>
    <col min="7175" max="7175" width="7" style="24" customWidth="1"/>
    <col min="7176" max="7176" width="6.28515625" style="24" customWidth="1"/>
    <col min="7177" max="7177" width="5.7109375" style="24" customWidth="1"/>
    <col min="7178" max="7178" width="5.7109375" style="24" bestFit="1" customWidth="1"/>
    <col min="7179" max="7179" width="5.85546875" style="24" bestFit="1" customWidth="1"/>
    <col min="7180" max="7180" width="9.42578125" style="24" customWidth="1"/>
    <col min="7181" max="7181" width="5.140625" style="24" customWidth="1"/>
    <col min="7182" max="7182" width="9.7109375" style="24" customWidth="1"/>
    <col min="7183" max="7183" width="6.7109375" style="24" bestFit="1" customWidth="1"/>
    <col min="7184" max="7184" width="4.85546875" style="24" customWidth="1"/>
    <col min="7185" max="7185" width="5.28515625" style="24" customWidth="1"/>
    <col min="7186" max="7187" width="4.42578125" style="24" bestFit="1" customWidth="1"/>
    <col min="7188" max="7188" width="13.28515625" style="24" bestFit="1" customWidth="1"/>
    <col min="7189" max="7189" width="3.140625" style="24" customWidth="1"/>
    <col min="7190" max="7190" width="5.42578125" style="24" bestFit="1" customWidth="1"/>
    <col min="7191" max="7191" width="4.42578125" style="24" bestFit="1" customWidth="1"/>
    <col min="7192" max="7192" width="6.42578125" style="24" customWidth="1"/>
    <col min="7193" max="7193" width="5" style="24" bestFit="1" customWidth="1"/>
    <col min="7194" max="7194" width="4.5703125" style="24" bestFit="1" customWidth="1"/>
    <col min="7195" max="7195" width="4.42578125" style="24" bestFit="1" customWidth="1"/>
    <col min="7196" max="7196" width="4" style="24" customWidth="1"/>
    <col min="7197" max="7424" width="11.42578125" style="24"/>
    <col min="7425" max="7425" width="14.85546875" style="24" bestFit="1" customWidth="1"/>
    <col min="7426" max="7426" width="28" style="24" bestFit="1" customWidth="1"/>
    <col min="7427" max="7427" width="4.42578125" style="24" bestFit="1" customWidth="1"/>
    <col min="7428" max="7428" width="8" style="24" bestFit="1" customWidth="1"/>
    <col min="7429" max="7429" width="11.42578125" style="24"/>
    <col min="7430" max="7430" width="22.85546875" style="24" bestFit="1" customWidth="1"/>
    <col min="7431" max="7431" width="7" style="24" customWidth="1"/>
    <col min="7432" max="7432" width="6.28515625" style="24" customWidth="1"/>
    <col min="7433" max="7433" width="5.7109375" style="24" customWidth="1"/>
    <col min="7434" max="7434" width="5.7109375" style="24" bestFit="1" customWidth="1"/>
    <col min="7435" max="7435" width="5.85546875" style="24" bestFit="1" customWidth="1"/>
    <col min="7436" max="7436" width="9.42578125" style="24" customWidth="1"/>
    <col min="7437" max="7437" width="5.140625" style="24" customWidth="1"/>
    <col min="7438" max="7438" width="9.7109375" style="24" customWidth="1"/>
    <col min="7439" max="7439" width="6.7109375" style="24" bestFit="1" customWidth="1"/>
    <col min="7440" max="7440" width="4.85546875" style="24" customWidth="1"/>
    <col min="7441" max="7441" width="5.28515625" style="24" customWidth="1"/>
    <col min="7442" max="7443" width="4.42578125" style="24" bestFit="1" customWidth="1"/>
    <col min="7444" max="7444" width="13.28515625" style="24" bestFit="1" customWidth="1"/>
    <col min="7445" max="7445" width="3.140625" style="24" customWidth="1"/>
    <col min="7446" max="7446" width="5.42578125" style="24" bestFit="1" customWidth="1"/>
    <col min="7447" max="7447" width="4.42578125" style="24" bestFit="1" customWidth="1"/>
    <col min="7448" max="7448" width="6.42578125" style="24" customWidth="1"/>
    <col min="7449" max="7449" width="5" style="24" bestFit="1" customWidth="1"/>
    <col min="7450" max="7450" width="4.5703125" style="24" bestFit="1" customWidth="1"/>
    <col min="7451" max="7451" width="4.42578125" style="24" bestFit="1" customWidth="1"/>
    <col min="7452" max="7452" width="4" style="24" customWidth="1"/>
    <col min="7453" max="7680" width="11.42578125" style="24"/>
    <col min="7681" max="7681" width="14.85546875" style="24" bestFit="1" customWidth="1"/>
    <col min="7682" max="7682" width="28" style="24" bestFit="1" customWidth="1"/>
    <col min="7683" max="7683" width="4.42578125" style="24" bestFit="1" customWidth="1"/>
    <col min="7684" max="7684" width="8" style="24" bestFit="1" customWidth="1"/>
    <col min="7685" max="7685" width="11.42578125" style="24"/>
    <col min="7686" max="7686" width="22.85546875" style="24" bestFit="1" customWidth="1"/>
    <col min="7687" max="7687" width="7" style="24" customWidth="1"/>
    <col min="7688" max="7688" width="6.28515625" style="24" customWidth="1"/>
    <col min="7689" max="7689" width="5.7109375" style="24" customWidth="1"/>
    <col min="7690" max="7690" width="5.7109375" style="24" bestFit="1" customWidth="1"/>
    <col min="7691" max="7691" width="5.85546875" style="24" bestFit="1" customWidth="1"/>
    <col min="7692" max="7692" width="9.42578125" style="24" customWidth="1"/>
    <col min="7693" max="7693" width="5.140625" style="24" customWidth="1"/>
    <col min="7694" max="7694" width="9.7109375" style="24" customWidth="1"/>
    <col min="7695" max="7695" width="6.7109375" style="24" bestFit="1" customWidth="1"/>
    <col min="7696" max="7696" width="4.85546875" style="24" customWidth="1"/>
    <col min="7697" max="7697" width="5.28515625" style="24" customWidth="1"/>
    <col min="7698" max="7699" width="4.42578125" style="24" bestFit="1" customWidth="1"/>
    <col min="7700" max="7700" width="13.28515625" style="24" bestFit="1" customWidth="1"/>
    <col min="7701" max="7701" width="3.140625" style="24" customWidth="1"/>
    <col min="7702" max="7702" width="5.42578125" style="24" bestFit="1" customWidth="1"/>
    <col min="7703" max="7703" width="4.42578125" style="24" bestFit="1" customWidth="1"/>
    <col min="7704" max="7704" width="6.42578125" style="24" customWidth="1"/>
    <col min="7705" max="7705" width="5" style="24" bestFit="1" customWidth="1"/>
    <col min="7706" max="7706" width="4.5703125" style="24" bestFit="1" customWidth="1"/>
    <col min="7707" max="7707" width="4.42578125" style="24" bestFit="1" customWidth="1"/>
    <col min="7708" max="7708" width="4" style="24" customWidth="1"/>
    <col min="7709" max="7936" width="11.42578125" style="24"/>
    <col min="7937" max="7937" width="14.85546875" style="24" bestFit="1" customWidth="1"/>
    <col min="7938" max="7938" width="28" style="24" bestFit="1" customWidth="1"/>
    <col min="7939" max="7939" width="4.42578125" style="24" bestFit="1" customWidth="1"/>
    <col min="7940" max="7940" width="8" style="24" bestFit="1" customWidth="1"/>
    <col min="7941" max="7941" width="11.42578125" style="24"/>
    <col min="7942" max="7942" width="22.85546875" style="24" bestFit="1" customWidth="1"/>
    <col min="7943" max="7943" width="7" style="24" customWidth="1"/>
    <col min="7944" max="7944" width="6.28515625" style="24" customWidth="1"/>
    <col min="7945" max="7945" width="5.7109375" style="24" customWidth="1"/>
    <col min="7946" max="7946" width="5.7109375" style="24" bestFit="1" customWidth="1"/>
    <col min="7947" max="7947" width="5.85546875" style="24" bestFit="1" customWidth="1"/>
    <col min="7948" max="7948" width="9.42578125" style="24" customWidth="1"/>
    <col min="7949" max="7949" width="5.140625" style="24" customWidth="1"/>
    <col min="7950" max="7950" width="9.7109375" style="24" customWidth="1"/>
    <col min="7951" max="7951" width="6.7109375" style="24" bestFit="1" customWidth="1"/>
    <col min="7952" max="7952" width="4.85546875" style="24" customWidth="1"/>
    <col min="7953" max="7953" width="5.28515625" style="24" customWidth="1"/>
    <col min="7954" max="7955" width="4.42578125" style="24" bestFit="1" customWidth="1"/>
    <col min="7956" max="7956" width="13.28515625" style="24" bestFit="1" customWidth="1"/>
    <col min="7957" max="7957" width="3.140625" style="24" customWidth="1"/>
    <col min="7958" max="7958" width="5.42578125" style="24" bestFit="1" customWidth="1"/>
    <col min="7959" max="7959" width="4.42578125" style="24" bestFit="1" customWidth="1"/>
    <col min="7960" max="7960" width="6.42578125" style="24" customWidth="1"/>
    <col min="7961" max="7961" width="5" style="24" bestFit="1" customWidth="1"/>
    <col min="7962" max="7962" width="4.5703125" style="24" bestFit="1" customWidth="1"/>
    <col min="7963" max="7963" width="4.42578125" style="24" bestFit="1" customWidth="1"/>
    <col min="7964" max="7964" width="4" style="24" customWidth="1"/>
    <col min="7965" max="8192" width="11.42578125" style="24"/>
    <col min="8193" max="8193" width="14.85546875" style="24" bestFit="1" customWidth="1"/>
    <col min="8194" max="8194" width="28" style="24" bestFit="1" customWidth="1"/>
    <col min="8195" max="8195" width="4.42578125" style="24" bestFit="1" customWidth="1"/>
    <col min="8196" max="8196" width="8" style="24" bestFit="1" customWidth="1"/>
    <col min="8197" max="8197" width="11.42578125" style="24"/>
    <col min="8198" max="8198" width="22.85546875" style="24" bestFit="1" customWidth="1"/>
    <col min="8199" max="8199" width="7" style="24" customWidth="1"/>
    <col min="8200" max="8200" width="6.28515625" style="24" customWidth="1"/>
    <col min="8201" max="8201" width="5.7109375" style="24" customWidth="1"/>
    <col min="8202" max="8202" width="5.7109375" style="24" bestFit="1" customWidth="1"/>
    <col min="8203" max="8203" width="5.85546875" style="24" bestFit="1" customWidth="1"/>
    <col min="8204" max="8204" width="9.42578125" style="24" customWidth="1"/>
    <col min="8205" max="8205" width="5.140625" style="24" customWidth="1"/>
    <col min="8206" max="8206" width="9.7109375" style="24" customWidth="1"/>
    <col min="8207" max="8207" width="6.7109375" style="24" bestFit="1" customWidth="1"/>
    <col min="8208" max="8208" width="4.85546875" style="24" customWidth="1"/>
    <col min="8209" max="8209" width="5.28515625" style="24" customWidth="1"/>
    <col min="8210" max="8211" width="4.42578125" style="24" bestFit="1" customWidth="1"/>
    <col min="8212" max="8212" width="13.28515625" style="24" bestFit="1" customWidth="1"/>
    <col min="8213" max="8213" width="3.140625" style="24" customWidth="1"/>
    <col min="8214" max="8214" width="5.42578125" style="24" bestFit="1" customWidth="1"/>
    <col min="8215" max="8215" width="4.42578125" style="24" bestFit="1" customWidth="1"/>
    <col min="8216" max="8216" width="6.42578125" style="24" customWidth="1"/>
    <col min="8217" max="8217" width="5" style="24" bestFit="1" customWidth="1"/>
    <col min="8218" max="8218" width="4.5703125" style="24" bestFit="1" customWidth="1"/>
    <col min="8219" max="8219" width="4.42578125" style="24" bestFit="1" customWidth="1"/>
    <col min="8220" max="8220" width="4" style="24" customWidth="1"/>
    <col min="8221" max="8448" width="11.42578125" style="24"/>
    <col min="8449" max="8449" width="14.85546875" style="24" bestFit="1" customWidth="1"/>
    <col min="8450" max="8450" width="28" style="24" bestFit="1" customWidth="1"/>
    <col min="8451" max="8451" width="4.42578125" style="24" bestFit="1" customWidth="1"/>
    <col min="8452" max="8452" width="8" style="24" bestFit="1" customWidth="1"/>
    <col min="8453" max="8453" width="11.42578125" style="24"/>
    <col min="8454" max="8454" width="22.85546875" style="24" bestFit="1" customWidth="1"/>
    <col min="8455" max="8455" width="7" style="24" customWidth="1"/>
    <col min="8456" max="8456" width="6.28515625" style="24" customWidth="1"/>
    <col min="8457" max="8457" width="5.7109375" style="24" customWidth="1"/>
    <col min="8458" max="8458" width="5.7109375" style="24" bestFit="1" customWidth="1"/>
    <col min="8459" max="8459" width="5.85546875" style="24" bestFit="1" customWidth="1"/>
    <col min="8460" max="8460" width="9.42578125" style="24" customWidth="1"/>
    <col min="8461" max="8461" width="5.140625" style="24" customWidth="1"/>
    <col min="8462" max="8462" width="9.7109375" style="24" customWidth="1"/>
    <col min="8463" max="8463" width="6.7109375" style="24" bestFit="1" customWidth="1"/>
    <col min="8464" max="8464" width="4.85546875" style="24" customWidth="1"/>
    <col min="8465" max="8465" width="5.28515625" style="24" customWidth="1"/>
    <col min="8466" max="8467" width="4.42578125" style="24" bestFit="1" customWidth="1"/>
    <col min="8468" max="8468" width="13.28515625" style="24" bestFit="1" customWidth="1"/>
    <col min="8469" max="8469" width="3.140625" style="24" customWidth="1"/>
    <col min="8470" max="8470" width="5.42578125" style="24" bestFit="1" customWidth="1"/>
    <col min="8471" max="8471" width="4.42578125" style="24" bestFit="1" customWidth="1"/>
    <col min="8472" max="8472" width="6.42578125" style="24" customWidth="1"/>
    <col min="8473" max="8473" width="5" style="24" bestFit="1" customWidth="1"/>
    <col min="8474" max="8474" width="4.5703125" style="24" bestFit="1" customWidth="1"/>
    <col min="8475" max="8475" width="4.42578125" style="24" bestFit="1" customWidth="1"/>
    <col min="8476" max="8476" width="4" style="24" customWidth="1"/>
    <col min="8477" max="8704" width="11.42578125" style="24"/>
    <col min="8705" max="8705" width="14.85546875" style="24" bestFit="1" customWidth="1"/>
    <col min="8706" max="8706" width="28" style="24" bestFit="1" customWidth="1"/>
    <col min="8707" max="8707" width="4.42578125" style="24" bestFit="1" customWidth="1"/>
    <col min="8708" max="8708" width="8" style="24" bestFit="1" customWidth="1"/>
    <col min="8709" max="8709" width="11.42578125" style="24"/>
    <col min="8710" max="8710" width="22.85546875" style="24" bestFit="1" customWidth="1"/>
    <col min="8711" max="8711" width="7" style="24" customWidth="1"/>
    <col min="8712" max="8712" width="6.28515625" style="24" customWidth="1"/>
    <col min="8713" max="8713" width="5.7109375" style="24" customWidth="1"/>
    <col min="8714" max="8714" width="5.7109375" style="24" bestFit="1" customWidth="1"/>
    <col min="8715" max="8715" width="5.85546875" style="24" bestFit="1" customWidth="1"/>
    <col min="8716" max="8716" width="9.42578125" style="24" customWidth="1"/>
    <col min="8717" max="8717" width="5.140625" style="24" customWidth="1"/>
    <col min="8718" max="8718" width="9.7109375" style="24" customWidth="1"/>
    <col min="8719" max="8719" width="6.7109375" style="24" bestFit="1" customWidth="1"/>
    <col min="8720" max="8720" width="4.85546875" style="24" customWidth="1"/>
    <col min="8721" max="8721" width="5.28515625" style="24" customWidth="1"/>
    <col min="8722" max="8723" width="4.42578125" style="24" bestFit="1" customWidth="1"/>
    <col min="8724" max="8724" width="13.28515625" style="24" bestFit="1" customWidth="1"/>
    <col min="8725" max="8725" width="3.140625" style="24" customWidth="1"/>
    <col min="8726" max="8726" width="5.42578125" style="24" bestFit="1" customWidth="1"/>
    <col min="8727" max="8727" width="4.42578125" style="24" bestFit="1" customWidth="1"/>
    <col min="8728" max="8728" width="6.42578125" style="24" customWidth="1"/>
    <col min="8729" max="8729" width="5" style="24" bestFit="1" customWidth="1"/>
    <col min="8730" max="8730" width="4.5703125" style="24" bestFit="1" customWidth="1"/>
    <col min="8731" max="8731" width="4.42578125" style="24" bestFit="1" customWidth="1"/>
    <col min="8732" max="8732" width="4" style="24" customWidth="1"/>
    <col min="8733" max="8960" width="11.42578125" style="24"/>
    <col min="8961" max="8961" width="14.85546875" style="24" bestFit="1" customWidth="1"/>
    <col min="8962" max="8962" width="28" style="24" bestFit="1" customWidth="1"/>
    <col min="8963" max="8963" width="4.42578125" style="24" bestFit="1" customWidth="1"/>
    <col min="8964" max="8964" width="8" style="24" bestFit="1" customWidth="1"/>
    <col min="8965" max="8965" width="11.42578125" style="24"/>
    <col min="8966" max="8966" width="22.85546875" style="24" bestFit="1" customWidth="1"/>
    <col min="8967" max="8967" width="7" style="24" customWidth="1"/>
    <col min="8968" max="8968" width="6.28515625" style="24" customWidth="1"/>
    <col min="8969" max="8969" width="5.7109375" style="24" customWidth="1"/>
    <col min="8970" max="8970" width="5.7109375" style="24" bestFit="1" customWidth="1"/>
    <col min="8971" max="8971" width="5.85546875" style="24" bestFit="1" customWidth="1"/>
    <col min="8972" max="8972" width="9.42578125" style="24" customWidth="1"/>
    <col min="8973" max="8973" width="5.140625" style="24" customWidth="1"/>
    <col min="8974" max="8974" width="9.7109375" style="24" customWidth="1"/>
    <col min="8975" max="8975" width="6.7109375" style="24" bestFit="1" customWidth="1"/>
    <col min="8976" max="8976" width="4.85546875" style="24" customWidth="1"/>
    <col min="8977" max="8977" width="5.28515625" style="24" customWidth="1"/>
    <col min="8978" max="8979" width="4.42578125" style="24" bestFit="1" customWidth="1"/>
    <col min="8980" max="8980" width="13.28515625" style="24" bestFit="1" customWidth="1"/>
    <col min="8981" max="8981" width="3.140625" style="24" customWidth="1"/>
    <col min="8982" max="8982" width="5.42578125" style="24" bestFit="1" customWidth="1"/>
    <col min="8983" max="8983" width="4.42578125" style="24" bestFit="1" customWidth="1"/>
    <col min="8984" max="8984" width="6.42578125" style="24" customWidth="1"/>
    <col min="8985" max="8985" width="5" style="24" bestFit="1" customWidth="1"/>
    <col min="8986" max="8986" width="4.5703125" style="24" bestFit="1" customWidth="1"/>
    <col min="8987" max="8987" width="4.42578125" style="24" bestFit="1" customWidth="1"/>
    <col min="8988" max="8988" width="4" style="24" customWidth="1"/>
    <col min="8989" max="9216" width="11.42578125" style="24"/>
    <col min="9217" max="9217" width="14.85546875" style="24" bestFit="1" customWidth="1"/>
    <col min="9218" max="9218" width="28" style="24" bestFit="1" customWidth="1"/>
    <col min="9219" max="9219" width="4.42578125" style="24" bestFit="1" customWidth="1"/>
    <col min="9220" max="9220" width="8" style="24" bestFit="1" customWidth="1"/>
    <col min="9221" max="9221" width="11.42578125" style="24"/>
    <col min="9222" max="9222" width="22.85546875" style="24" bestFit="1" customWidth="1"/>
    <col min="9223" max="9223" width="7" style="24" customWidth="1"/>
    <col min="9224" max="9224" width="6.28515625" style="24" customWidth="1"/>
    <col min="9225" max="9225" width="5.7109375" style="24" customWidth="1"/>
    <col min="9226" max="9226" width="5.7109375" style="24" bestFit="1" customWidth="1"/>
    <col min="9227" max="9227" width="5.85546875" style="24" bestFit="1" customWidth="1"/>
    <col min="9228" max="9228" width="9.42578125" style="24" customWidth="1"/>
    <col min="9229" max="9229" width="5.140625" style="24" customWidth="1"/>
    <col min="9230" max="9230" width="9.7109375" style="24" customWidth="1"/>
    <col min="9231" max="9231" width="6.7109375" style="24" bestFit="1" customWidth="1"/>
    <col min="9232" max="9232" width="4.85546875" style="24" customWidth="1"/>
    <col min="9233" max="9233" width="5.28515625" style="24" customWidth="1"/>
    <col min="9234" max="9235" width="4.42578125" style="24" bestFit="1" customWidth="1"/>
    <col min="9236" max="9236" width="13.28515625" style="24" bestFit="1" customWidth="1"/>
    <col min="9237" max="9237" width="3.140625" style="24" customWidth="1"/>
    <col min="9238" max="9238" width="5.42578125" style="24" bestFit="1" customWidth="1"/>
    <col min="9239" max="9239" width="4.42578125" style="24" bestFit="1" customWidth="1"/>
    <col min="9240" max="9240" width="6.42578125" style="24" customWidth="1"/>
    <col min="9241" max="9241" width="5" style="24" bestFit="1" customWidth="1"/>
    <col min="9242" max="9242" width="4.5703125" style="24" bestFit="1" customWidth="1"/>
    <col min="9243" max="9243" width="4.42578125" style="24" bestFit="1" customWidth="1"/>
    <col min="9244" max="9244" width="4" style="24" customWidth="1"/>
    <col min="9245" max="9472" width="11.42578125" style="24"/>
    <col min="9473" max="9473" width="14.85546875" style="24" bestFit="1" customWidth="1"/>
    <col min="9474" max="9474" width="28" style="24" bestFit="1" customWidth="1"/>
    <col min="9475" max="9475" width="4.42578125" style="24" bestFit="1" customWidth="1"/>
    <col min="9476" max="9476" width="8" style="24" bestFit="1" customWidth="1"/>
    <col min="9477" max="9477" width="11.42578125" style="24"/>
    <col min="9478" max="9478" width="22.85546875" style="24" bestFit="1" customWidth="1"/>
    <col min="9479" max="9479" width="7" style="24" customWidth="1"/>
    <col min="9480" max="9480" width="6.28515625" style="24" customWidth="1"/>
    <col min="9481" max="9481" width="5.7109375" style="24" customWidth="1"/>
    <col min="9482" max="9482" width="5.7109375" style="24" bestFit="1" customWidth="1"/>
    <col min="9483" max="9483" width="5.85546875" style="24" bestFit="1" customWidth="1"/>
    <col min="9484" max="9484" width="9.42578125" style="24" customWidth="1"/>
    <col min="9485" max="9485" width="5.140625" style="24" customWidth="1"/>
    <col min="9486" max="9486" width="9.7109375" style="24" customWidth="1"/>
    <col min="9487" max="9487" width="6.7109375" style="24" bestFit="1" customWidth="1"/>
    <col min="9488" max="9488" width="4.85546875" style="24" customWidth="1"/>
    <col min="9489" max="9489" width="5.28515625" style="24" customWidth="1"/>
    <col min="9490" max="9491" width="4.42578125" style="24" bestFit="1" customWidth="1"/>
    <col min="9492" max="9492" width="13.28515625" style="24" bestFit="1" customWidth="1"/>
    <col min="9493" max="9493" width="3.140625" style="24" customWidth="1"/>
    <col min="9494" max="9494" width="5.42578125" style="24" bestFit="1" customWidth="1"/>
    <col min="9495" max="9495" width="4.42578125" style="24" bestFit="1" customWidth="1"/>
    <col min="9496" max="9496" width="6.42578125" style="24" customWidth="1"/>
    <col min="9497" max="9497" width="5" style="24" bestFit="1" customWidth="1"/>
    <col min="9498" max="9498" width="4.5703125" style="24" bestFit="1" customWidth="1"/>
    <col min="9499" max="9499" width="4.42578125" style="24" bestFit="1" customWidth="1"/>
    <col min="9500" max="9500" width="4" style="24" customWidth="1"/>
    <col min="9501" max="9728" width="11.42578125" style="24"/>
    <col min="9729" max="9729" width="14.85546875" style="24" bestFit="1" customWidth="1"/>
    <col min="9730" max="9730" width="28" style="24" bestFit="1" customWidth="1"/>
    <col min="9731" max="9731" width="4.42578125" style="24" bestFit="1" customWidth="1"/>
    <col min="9732" max="9732" width="8" style="24" bestFit="1" customWidth="1"/>
    <col min="9733" max="9733" width="11.42578125" style="24"/>
    <col min="9734" max="9734" width="22.85546875" style="24" bestFit="1" customWidth="1"/>
    <col min="9735" max="9735" width="7" style="24" customWidth="1"/>
    <col min="9736" max="9736" width="6.28515625" style="24" customWidth="1"/>
    <col min="9737" max="9737" width="5.7109375" style="24" customWidth="1"/>
    <col min="9738" max="9738" width="5.7109375" style="24" bestFit="1" customWidth="1"/>
    <col min="9739" max="9739" width="5.85546875" style="24" bestFit="1" customWidth="1"/>
    <col min="9740" max="9740" width="9.42578125" style="24" customWidth="1"/>
    <col min="9741" max="9741" width="5.140625" style="24" customWidth="1"/>
    <col min="9742" max="9742" width="9.7109375" style="24" customWidth="1"/>
    <col min="9743" max="9743" width="6.7109375" style="24" bestFit="1" customWidth="1"/>
    <col min="9744" max="9744" width="4.85546875" style="24" customWidth="1"/>
    <col min="9745" max="9745" width="5.28515625" style="24" customWidth="1"/>
    <col min="9746" max="9747" width="4.42578125" style="24" bestFit="1" customWidth="1"/>
    <col min="9748" max="9748" width="13.28515625" style="24" bestFit="1" customWidth="1"/>
    <col min="9749" max="9749" width="3.140625" style="24" customWidth="1"/>
    <col min="9750" max="9750" width="5.42578125" style="24" bestFit="1" customWidth="1"/>
    <col min="9751" max="9751" width="4.42578125" style="24" bestFit="1" customWidth="1"/>
    <col min="9752" max="9752" width="6.42578125" style="24" customWidth="1"/>
    <col min="9753" max="9753" width="5" style="24" bestFit="1" customWidth="1"/>
    <col min="9754" max="9754" width="4.5703125" style="24" bestFit="1" customWidth="1"/>
    <col min="9755" max="9755" width="4.42578125" style="24" bestFit="1" customWidth="1"/>
    <col min="9756" max="9756" width="4" style="24" customWidth="1"/>
    <col min="9757" max="9984" width="11.42578125" style="24"/>
    <col min="9985" max="9985" width="14.85546875" style="24" bestFit="1" customWidth="1"/>
    <col min="9986" max="9986" width="28" style="24" bestFit="1" customWidth="1"/>
    <col min="9987" max="9987" width="4.42578125" style="24" bestFit="1" customWidth="1"/>
    <col min="9988" max="9988" width="8" style="24" bestFit="1" customWidth="1"/>
    <col min="9989" max="9989" width="11.42578125" style="24"/>
    <col min="9990" max="9990" width="22.85546875" style="24" bestFit="1" customWidth="1"/>
    <col min="9991" max="9991" width="7" style="24" customWidth="1"/>
    <col min="9992" max="9992" width="6.28515625" style="24" customWidth="1"/>
    <col min="9993" max="9993" width="5.7109375" style="24" customWidth="1"/>
    <col min="9994" max="9994" width="5.7109375" style="24" bestFit="1" customWidth="1"/>
    <col min="9995" max="9995" width="5.85546875" style="24" bestFit="1" customWidth="1"/>
    <col min="9996" max="9996" width="9.42578125" style="24" customWidth="1"/>
    <col min="9997" max="9997" width="5.140625" style="24" customWidth="1"/>
    <col min="9998" max="9998" width="9.7109375" style="24" customWidth="1"/>
    <col min="9999" max="9999" width="6.7109375" style="24" bestFit="1" customWidth="1"/>
    <col min="10000" max="10000" width="4.85546875" style="24" customWidth="1"/>
    <col min="10001" max="10001" width="5.28515625" style="24" customWidth="1"/>
    <col min="10002" max="10003" width="4.42578125" style="24" bestFit="1" customWidth="1"/>
    <col min="10004" max="10004" width="13.28515625" style="24" bestFit="1" customWidth="1"/>
    <col min="10005" max="10005" width="3.140625" style="24" customWidth="1"/>
    <col min="10006" max="10006" width="5.42578125" style="24" bestFit="1" customWidth="1"/>
    <col min="10007" max="10007" width="4.42578125" style="24" bestFit="1" customWidth="1"/>
    <col min="10008" max="10008" width="6.42578125" style="24" customWidth="1"/>
    <col min="10009" max="10009" width="5" style="24" bestFit="1" customWidth="1"/>
    <col min="10010" max="10010" width="4.5703125" style="24" bestFit="1" customWidth="1"/>
    <col min="10011" max="10011" width="4.42578125" style="24" bestFit="1" customWidth="1"/>
    <col min="10012" max="10012" width="4" style="24" customWidth="1"/>
    <col min="10013" max="10240" width="11.42578125" style="24"/>
    <col min="10241" max="10241" width="14.85546875" style="24" bestFit="1" customWidth="1"/>
    <col min="10242" max="10242" width="28" style="24" bestFit="1" customWidth="1"/>
    <col min="10243" max="10243" width="4.42578125" style="24" bestFit="1" customWidth="1"/>
    <col min="10244" max="10244" width="8" style="24" bestFit="1" customWidth="1"/>
    <col min="10245" max="10245" width="11.42578125" style="24"/>
    <col min="10246" max="10246" width="22.85546875" style="24" bestFit="1" customWidth="1"/>
    <col min="10247" max="10247" width="7" style="24" customWidth="1"/>
    <col min="10248" max="10248" width="6.28515625" style="24" customWidth="1"/>
    <col min="10249" max="10249" width="5.7109375" style="24" customWidth="1"/>
    <col min="10250" max="10250" width="5.7109375" style="24" bestFit="1" customWidth="1"/>
    <col min="10251" max="10251" width="5.85546875" style="24" bestFit="1" customWidth="1"/>
    <col min="10252" max="10252" width="9.42578125" style="24" customWidth="1"/>
    <col min="10253" max="10253" width="5.140625" style="24" customWidth="1"/>
    <col min="10254" max="10254" width="9.7109375" style="24" customWidth="1"/>
    <col min="10255" max="10255" width="6.7109375" style="24" bestFit="1" customWidth="1"/>
    <col min="10256" max="10256" width="4.85546875" style="24" customWidth="1"/>
    <col min="10257" max="10257" width="5.28515625" style="24" customWidth="1"/>
    <col min="10258" max="10259" width="4.42578125" style="24" bestFit="1" customWidth="1"/>
    <col min="10260" max="10260" width="13.28515625" style="24" bestFit="1" customWidth="1"/>
    <col min="10261" max="10261" width="3.140625" style="24" customWidth="1"/>
    <col min="10262" max="10262" width="5.42578125" style="24" bestFit="1" customWidth="1"/>
    <col min="10263" max="10263" width="4.42578125" style="24" bestFit="1" customWidth="1"/>
    <col min="10264" max="10264" width="6.42578125" style="24" customWidth="1"/>
    <col min="10265" max="10265" width="5" style="24" bestFit="1" customWidth="1"/>
    <col min="10266" max="10266" width="4.5703125" style="24" bestFit="1" customWidth="1"/>
    <col min="10267" max="10267" width="4.42578125" style="24" bestFit="1" customWidth="1"/>
    <col min="10268" max="10268" width="4" style="24" customWidth="1"/>
    <col min="10269" max="10496" width="11.42578125" style="24"/>
    <col min="10497" max="10497" width="14.85546875" style="24" bestFit="1" customWidth="1"/>
    <col min="10498" max="10498" width="28" style="24" bestFit="1" customWidth="1"/>
    <col min="10499" max="10499" width="4.42578125" style="24" bestFit="1" customWidth="1"/>
    <col min="10500" max="10500" width="8" style="24" bestFit="1" customWidth="1"/>
    <col min="10501" max="10501" width="11.42578125" style="24"/>
    <col min="10502" max="10502" width="22.85546875" style="24" bestFit="1" customWidth="1"/>
    <col min="10503" max="10503" width="7" style="24" customWidth="1"/>
    <col min="10504" max="10504" width="6.28515625" style="24" customWidth="1"/>
    <col min="10505" max="10505" width="5.7109375" style="24" customWidth="1"/>
    <col min="10506" max="10506" width="5.7109375" style="24" bestFit="1" customWidth="1"/>
    <col min="10507" max="10507" width="5.85546875" style="24" bestFit="1" customWidth="1"/>
    <col min="10508" max="10508" width="9.42578125" style="24" customWidth="1"/>
    <col min="10509" max="10509" width="5.140625" style="24" customWidth="1"/>
    <col min="10510" max="10510" width="9.7109375" style="24" customWidth="1"/>
    <col min="10511" max="10511" width="6.7109375" style="24" bestFit="1" customWidth="1"/>
    <col min="10512" max="10512" width="4.85546875" style="24" customWidth="1"/>
    <col min="10513" max="10513" width="5.28515625" style="24" customWidth="1"/>
    <col min="10514" max="10515" width="4.42578125" style="24" bestFit="1" customWidth="1"/>
    <col min="10516" max="10516" width="13.28515625" style="24" bestFit="1" customWidth="1"/>
    <col min="10517" max="10517" width="3.140625" style="24" customWidth="1"/>
    <col min="10518" max="10518" width="5.42578125" style="24" bestFit="1" customWidth="1"/>
    <col min="10519" max="10519" width="4.42578125" style="24" bestFit="1" customWidth="1"/>
    <col min="10520" max="10520" width="6.42578125" style="24" customWidth="1"/>
    <col min="10521" max="10521" width="5" style="24" bestFit="1" customWidth="1"/>
    <col min="10522" max="10522" width="4.5703125" style="24" bestFit="1" customWidth="1"/>
    <col min="10523" max="10523" width="4.42578125" style="24" bestFit="1" customWidth="1"/>
    <col min="10524" max="10524" width="4" style="24" customWidth="1"/>
    <col min="10525" max="10752" width="11.42578125" style="24"/>
    <col min="10753" max="10753" width="14.85546875" style="24" bestFit="1" customWidth="1"/>
    <col min="10754" max="10754" width="28" style="24" bestFit="1" customWidth="1"/>
    <col min="10755" max="10755" width="4.42578125" style="24" bestFit="1" customWidth="1"/>
    <col min="10756" max="10756" width="8" style="24" bestFit="1" customWidth="1"/>
    <col min="10757" max="10757" width="11.42578125" style="24"/>
    <col min="10758" max="10758" width="22.85546875" style="24" bestFit="1" customWidth="1"/>
    <col min="10759" max="10759" width="7" style="24" customWidth="1"/>
    <col min="10760" max="10760" width="6.28515625" style="24" customWidth="1"/>
    <col min="10761" max="10761" width="5.7109375" style="24" customWidth="1"/>
    <col min="10762" max="10762" width="5.7109375" style="24" bestFit="1" customWidth="1"/>
    <col min="10763" max="10763" width="5.85546875" style="24" bestFit="1" customWidth="1"/>
    <col min="10764" max="10764" width="9.42578125" style="24" customWidth="1"/>
    <col min="10765" max="10765" width="5.140625" style="24" customWidth="1"/>
    <col min="10766" max="10766" width="9.7109375" style="24" customWidth="1"/>
    <col min="10767" max="10767" width="6.7109375" style="24" bestFit="1" customWidth="1"/>
    <col min="10768" max="10768" width="4.85546875" style="24" customWidth="1"/>
    <col min="10769" max="10769" width="5.28515625" style="24" customWidth="1"/>
    <col min="10770" max="10771" width="4.42578125" style="24" bestFit="1" customWidth="1"/>
    <col min="10772" max="10772" width="13.28515625" style="24" bestFit="1" customWidth="1"/>
    <col min="10773" max="10773" width="3.140625" style="24" customWidth="1"/>
    <col min="10774" max="10774" width="5.42578125" style="24" bestFit="1" customWidth="1"/>
    <col min="10775" max="10775" width="4.42578125" style="24" bestFit="1" customWidth="1"/>
    <col min="10776" max="10776" width="6.42578125" style="24" customWidth="1"/>
    <col min="10777" max="10777" width="5" style="24" bestFit="1" customWidth="1"/>
    <col min="10778" max="10778" width="4.5703125" style="24" bestFit="1" customWidth="1"/>
    <col min="10779" max="10779" width="4.42578125" style="24" bestFit="1" customWidth="1"/>
    <col min="10780" max="10780" width="4" style="24" customWidth="1"/>
    <col min="10781" max="11008" width="11.42578125" style="24"/>
    <col min="11009" max="11009" width="14.85546875" style="24" bestFit="1" customWidth="1"/>
    <col min="11010" max="11010" width="28" style="24" bestFit="1" customWidth="1"/>
    <col min="11011" max="11011" width="4.42578125" style="24" bestFit="1" customWidth="1"/>
    <col min="11012" max="11012" width="8" style="24" bestFit="1" customWidth="1"/>
    <col min="11013" max="11013" width="11.42578125" style="24"/>
    <col min="11014" max="11014" width="22.85546875" style="24" bestFit="1" customWidth="1"/>
    <col min="11015" max="11015" width="7" style="24" customWidth="1"/>
    <col min="11016" max="11016" width="6.28515625" style="24" customWidth="1"/>
    <col min="11017" max="11017" width="5.7109375" style="24" customWidth="1"/>
    <col min="11018" max="11018" width="5.7109375" style="24" bestFit="1" customWidth="1"/>
    <col min="11019" max="11019" width="5.85546875" style="24" bestFit="1" customWidth="1"/>
    <col min="11020" max="11020" width="9.42578125" style="24" customWidth="1"/>
    <col min="11021" max="11021" width="5.140625" style="24" customWidth="1"/>
    <col min="11022" max="11022" width="9.7109375" style="24" customWidth="1"/>
    <col min="11023" max="11023" width="6.7109375" style="24" bestFit="1" customWidth="1"/>
    <col min="11024" max="11024" width="4.85546875" style="24" customWidth="1"/>
    <col min="11025" max="11025" width="5.28515625" style="24" customWidth="1"/>
    <col min="11026" max="11027" width="4.42578125" style="24" bestFit="1" customWidth="1"/>
    <col min="11028" max="11028" width="13.28515625" style="24" bestFit="1" customWidth="1"/>
    <col min="11029" max="11029" width="3.140625" style="24" customWidth="1"/>
    <col min="11030" max="11030" width="5.42578125" style="24" bestFit="1" customWidth="1"/>
    <col min="11031" max="11031" width="4.42578125" style="24" bestFit="1" customWidth="1"/>
    <col min="11032" max="11032" width="6.42578125" style="24" customWidth="1"/>
    <col min="11033" max="11033" width="5" style="24" bestFit="1" customWidth="1"/>
    <col min="11034" max="11034" width="4.5703125" style="24" bestFit="1" customWidth="1"/>
    <col min="11035" max="11035" width="4.42578125" style="24" bestFit="1" customWidth="1"/>
    <col min="11036" max="11036" width="4" style="24" customWidth="1"/>
    <col min="11037" max="11264" width="11.42578125" style="24"/>
    <col min="11265" max="11265" width="14.85546875" style="24" bestFit="1" customWidth="1"/>
    <col min="11266" max="11266" width="28" style="24" bestFit="1" customWidth="1"/>
    <col min="11267" max="11267" width="4.42578125" style="24" bestFit="1" customWidth="1"/>
    <col min="11268" max="11268" width="8" style="24" bestFit="1" customWidth="1"/>
    <col min="11269" max="11269" width="11.42578125" style="24"/>
    <col min="11270" max="11270" width="22.85546875" style="24" bestFit="1" customWidth="1"/>
    <col min="11271" max="11271" width="7" style="24" customWidth="1"/>
    <col min="11272" max="11272" width="6.28515625" style="24" customWidth="1"/>
    <col min="11273" max="11273" width="5.7109375" style="24" customWidth="1"/>
    <col min="11274" max="11274" width="5.7109375" style="24" bestFit="1" customWidth="1"/>
    <col min="11275" max="11275" width="5.85546875" style="24" bestFit="1" customWidth="1"/>
    <col min="11276" max="11276" width="9.42578125" style="24" customWidth="1"/>
    <col min="11277" max="11277" width="5.140625" style="24" customWidth="1"/>
    <col min="11278" max="11278" width="9.7109375" style="24" customWidth="1"/>
    <col min="11279" max="11279" width="6.7109375" style="24" bestFit="1" customWidth="1"/>
    <col min="11280" max="11280" width="4.85546875" style="24" customWidth="1"/>
    <col min="11281" max="11281" width="5.28515625" style="24" customWidth="1"/>
    <col min="11282" max="11283" width="4.42578125" style="24" bestFit="1" customWidth="1"/>
    <col min="11284" max="11284" width="13.28515625" style="24" bestFit="1" customWidth="1"/>
    <col min="11285" max="11285" width="3.140625" style="24" customWidth="1"/>
    <col min="11286" max="11286" width="5.42578125" style="24" bestFit="1" customWidth="1"/>
    <col min="11287" max="11287" width="4.42578125" style="24" bestFit="1" customWidth="1"/>
    <col min="11288" max="11288" width="6.42578125" style="24" customWidth="1"/>
    <col min="11289" max="11289" width="5" style="24" bestFit="1" customWidth="1"/>
    <col min="11290" max="11290" width="4.5703125" style="24" bestFit="1" customWidth="1"/>
    <col min="11291" max="11291" width="4.42578125" style="24" bestFit="1" customWidth="1"/>
    <col min="11292" max="11292" width="4" style="24" customWidth="1"/>
    <col min="11293" max="11520" width="11.42578125" style="24"/>
    <col min="11521" max="11521" width="14.85546875" style="24" bestFit="1" customWidth="1"/>
    <col min="11522" max="11522" width="28" style="24" bestFit="1" customWidth="1"/>
    <col min="11523" max="11523" width="4.42578125" style="24" bestFit="1" customWidth="1"/>
    <col min="11524" max="11524" width="8" style="24" bestFit="1" customWidth="1"/>
    <col min="11525" max="11525" width="11.42578125" style="24"/>
    <col min="11526" max="11526" width="22.85546875" style="24" bestFit="1" customWidth="1"/>
    <col min="11527" max="11527" width="7" style="24" customWidth="1"/>
    <col min="11528" max="11528" width="6.28515625" style="24" customWidth="1"/>
    <col min="11529" max="11529" width="5.7109375" style="24" customWidth="1"/>
    <col min="11530" max="11530" width="5.7109375" style="24" bestFit="1" customWidth="1"/>
    <col min="11531" max="11531" width="5.85546875" style="24" bestFit="1" customWidth="1"/>
    <col min="11532" max="11532" width="9.42578125" style="24" customWidth="1"/>
    <col min="11533" max="11533" width="5.140625" style="24" customWidth="1"/>
    <col min="11534" max="11534" width="9.7109375" style="24" customWidth="1"/>
    <col min="11535" max="11535" width="6.7109375" style="24" bestFit="1" customWidth="1"/>
    <col min="11536" max="11536" width="4.85546875" style="24" customWidth="1"/>
    <col min="11537" max="11537" width="5.28515625" style="24" customWidth="1"/>
    <col min="11538" max="11539" width="4.42578125" style="24" bestFit="1" customWidth="1"/>
    <col min="11540" max="11540" width="13.28515625" style="24" bestFit="1" customWidth="1"/>
    <col min="11541" max="11541" width="3.140625" style="24" customWidth="1"/>
    <col min="11542" max="11542" width="5.42578125" style="24" bestFit="1" customWidth="1"/>
    <col min="11543" max="11543" width="4.42578125" style="24" bestFit="1" customWidth="1"/>
    <col min="11544" max="11544" width="6.42578125" style="24" customWidth="1"/>
    <col min="11545" max="11545" width="5" style="24" bestFit="1" customWidth="1"/>
    <col min="11546" max="11546" width="4.5703125" style="24" bestFit="1" customWidth="1"/>
    <col min="11547" max="11547" width="4.42578125" style="24" bestFit="1" customWidth="1"/>
    <col min="11548" max="11548" width="4" style="24" customWidth="1"/>
    <col min="11549" max="11776" width="11.42578125" style="24"/>
    <col min="11777" max="11777" width="14.85546875" style="24" bestFit="1" customWidth="1"/>
    <col min="11778" max="11778" width="28" style="24" bestFit="1" customWidth="1"/>
    <col min="11779" max="11779" width="4.42578125" style="24" bestFit="1" customWidth="1"/>
    <col min="11780" max="11780" width="8" style="24" bestFit="1" customWidth="1"/>
    <col min="11781" max="11781" width="11.42578125" style="24"/>
    <col min="11782" max="11782" width="22.85546875" style="24" bestFit="1" customWidth="1"/>
    <col min="11783" max="11783" width="7" style="24" customWidth="1"/>
    <col min="11784" max="11784" width="6.28515625" style="24" customWidth="1"/>
    <col min="11785" max="11785" width="5.7109375" style="24" customWidth="1"/>
    <col min="11786" max="11786" width="5.7109375" style="24" bestFit="1" customWidth="1"/>
    <col min="11787" max="11787" width="5.85546875" style="24" bestFit="1" customWidth="1"/>
    <col min="11788" max="11788" width="9.42578125" style="24" customWidth="1"/>
    <col min="11789" max="11789" width="5.140625" style="24" customWidth="1"/>
    <col min="11790" max="11790" width="9.7109375" style="24" customWidth="1"/>
    <col min="11791" max="11791" width="6.7109375" style="24" bestFit="1" customWidth="1"/>
    <col min="11792" max="11792" width="4.85546875" style="24" customWidth="1"/>
    <col min="11793" max="11793" width="5.28515625" style="24" customWidth="1"/>
    <col min="11794" max="11795" width="4.42578125" style="24" bestFit="1" customWidth="1"/>
    <col min="11796" max="11796" width="13.28515625" style="24" bestFit="1" customWidth="1"/>
    <col min="11797" max="11797" width="3.140625" style="24" customWidth="1"/>
    <col min="11798" max="11798" width="5.42578125" style="24" bestFit="1" customWidth="1"/>
    <col min="11799" max="11799" width="4.42578125" style="24" bestFit="1" customWidth="1"/>
    <col min="11800" max="11800" width="6.42578125" style="24" customWidth="1"/>
    <col min="11801" max="11801" width="5" style="24" bestFit="1" customWidth="1"/>
    <col min="11802" max="11802" width="4.5703125" style="24" bestFit="1" customWidth="1"/>
    <col min="11803" max="11803" width="4.42578125" style="24" bestFit="1" customWidth="1"/>
    <col min="11804" max="11804" width="4" style="24" customWidth="1"/>
    <col min="11805" max="12032" width="11.42578125" style="24"/>
    <col min="12033" max="12033" width="14.85546875" style="24" bestFit="1" customWidth="1"/>
    <col min="12034" max="12034" width="28" style="24" bestFit="1" customWidth="1"/>
    <col min="12035" max="12035" width="4.42578125" style="24" bestFit="1" customWidth="1"/>
    <col min="12036" max="12036" width="8" style="24" bestFit="1" customWidth="1"/>
    <col min="12037" max="12037" width="11.42578125" style="24"/>
    <col min="12038" max="12038" width="22.85546875" style="24" bestFit="1" customWidth="1"/>
    <col min="12039" max="12039" width="7" style="24" customWidth="1"/>
    <col min="12040" max="12040" width="6.28515625" style="24" customWidth="1"/>
    <col min="12041" max="12041" width="5.7109375" style="24" customWidth="1"/>
    <col min="12042" max="12042" width="5.7109375" style="24" bestFit="1" customWidth="1"/>
    <col min="12043" max="12043" width="5.85546875" style="24" bestFit="1" customWidth="1"/>
    <col min="12044" max="12044" width="9.42578125" style="24" customWidth="1"/>
    <col min="12045" max="12045" width="5.140625" style="24" customWidth="1"/>
    <col min="12046" max="12046" width="9.7109375" style="24" customWidth="1"/>
    <col min="12047" max="12047" width="6.7109375" style="24" bestFit="1" customWidth="1"/>
    <col min="12048" max="12048" width="4.85546875" style="24" customWidth="1"/>
    <col min="12049" max="12049" width="5.28515625" style="24" customWidth="1"/>
    <col min="12050" max="12051" width="4.42578125" style="24" bestFit="1" customWidth="1"/>
    <col min="12052" max="12052" width="13.28515625" style="24" bestFit="1" customWidth="1"/>
    <col min="12053" max="12053" width="3.140625" style="24" customWidth="1"/>
    <col min="12054" max="12054" width="5.42578125" style="24" bestFit="1" customWidth="1"/>
    <col min="12055" max="12055" width="4.42578125" style="24" bestFit="1" customWidth="1"/>
    <col min="12056" max="12056" width="6.42578125" style="24" customWidth="1"/>
    <col min="12057" max="12057" width="5" style="24" bestFit="1" customWidth="1"/>
    <col min="12058" max="12058" width="4.5703125" style="24" bestFit="1" customWidth="1"/>
    <col min="12059" max="12059" width="4.42578125" style="24" bestFit="1" customWidth="1"/>
    <col min="12060" max="12060" width="4" style="24" customWidth="1"/>
    <col min="12061" max="12288" width="11.42578125" style="24"/>
    <col min="12289" max="12289" width="14.85546875" style="24" bestFit="1" customWidth="1"/>
    <col min="12290" max="12290" width="28" style="24" bestFit="1" customWidth="1"/>
    <col min="12291" max="12291" width="4.42578125" style="24" bestFit="1" customWidth="1"/>
    <col min="12292" max="12292" width="8" style="24" bestFit="1" customWidth="1"/>
    <col min="12293" max="12293" width="11.42578125" style="24"/>
    <col min="12294" max="12294" width="22.85546875" style="24" bestFit="1" customWidth="1"/>
    <col min="12295" max="12295" width="7" style="24" customWidth="1"/>
    <col min="12296" max="12296" width="6.28515625" style="24" customWidth="1"/>
    <col min="12297" max="12297" width="5.7109375" style="24" customWidth="1"/>
    <col min="12298" max="12298" width="5.7109375" style="24" bestFit="1" customWidth="1"/>
    <col min="12299" max="12299" width="5.85546875" style="24" bestFit="1" customWidth="1"/>
    <col min="12300" max="12300" width="9.42578125" style="24" customWidth="1"/>
    <col min="12301" max="12301" width="5.140625" style="24" customWidth="1"/>
    <col min="12302" max="12302" width="9.7109375" style="24" customWidth="1"/>
    <col min="12303" max="12303" width="6.7109375" style="24" bestFit="1" customWidth="1"/>
    <col min="12304" max="12304" width="4.85546875" style="24" customWidth="1"/>
    <col min="12305" max="12305" width="5.28515625" style="24" customWidth="1"/>
    <col min="12306" max="12307" width="4.42578125" style="24" bestFit="1" customWidth="1"/>
    <col min="12308" max="12308" width="13.28515625" style="24" bestFit="1" customWidth="1"/>
    <col min="12309" max="12309" width="3.140625" style="24" customWidth="1"/>
    <col min="12310" max="12310" width="5.42578125" style="24" bestFit="1" customWidth="1"/>
    <col min="12311" max="12311" width="4.42578125" style="24" bestFit="1" customWidth="1"/>
    <col min="12312" max="12312" width="6.42578125" style="24" customWidth="1"/>
    <col min="12313" max="12313" width="5" style="24" bestFit="1" customWidth="1"/>
    <col min="12314" max="12314" width="4.5703125" style="24" bestFit="1" customWidth="1"/>
    <col min="12315" max="12315" width="4.42578125" style="24" bestFit="1" customWidth="1"/>
    <col min="12316" max="12316" width="4" style="24" customWidth="1"/>
    <col min="12317" max="12544" width="11.42578125" style="24"/>
    <col min="12545" max="12545" width="14.85546875" style="24" bestFit="1" customWidth="1"/>
    <col min="12546" max="12546" width="28" style="24" bestFit="1" customWidth="1"/>
    <col min="12547" max="12547" width="4.42578125" style="24" bestFit="1" customWidth="1"/>
    <col min="12548" max="12548" width="8" style="24" bestFit="1" customWidth="1"/>
    <col min="12549" max="12549" width="11.42578125" style="24"/>
    <col min="12550" max="12550" width="22.85546875" style="24" bestFit="1" customWidth="1"/>
    <col min="12551" max="12551" width="7" style="24" customWidth="1"/>
    <col min="12552" max="12552" width="6.28515625" style="24" customWidth="1"/>
    <col min="12553" max="12553" width="5.7109375" style="24" customWidth="1"/>
    <col min="12554" max="12554" width="5.7109375" style="24" bestFit="1" customWidth="1"/>
    <col min="12555" max="12555" width="5.85546875" style="24" bestFit="1" customWidth="1"/>
    <col min="12556" max="12556" width="9.42578125" style="24" customWidth="1"/>
    <col min="12557" max="12557" width="5.140625" style="24" customWidth="1"/>
    <col min="12558" max="12558" width="9.7109375" style="24" customWidth="1"/>
    <col min="12559" max="12559" width="6.7109375" style="24" bestFit="1" customWidth="1"/>
    <col min="12560" max="12560" width="4.85546875" style="24" customWidth="1"/>
    <col min="12561" max="12561" width="5.28515625" style="24" customWidth="1"/>
    <col min="12562" max="12563" width="4.42578125" style="24" bestFit="1" customWidth="1"/>
    <col min="12564" max="12564" width="13.28515625" style="24" bestFit="1" customWidth="1"/>
    <col min="12565" max="12565" width="3.140625" style="24" customWidth="1"/>
    <col min="12566" max="12566" width="5.42578125" style="24" bestFit="1" customWidth="1"/>
    <col min="12567" max="12567" width="4.42578125" style="24" bestFit="1" customWidth="1"/>
    <col min="12568" max="12568" width="6.42578125" style="24" customWidth="1"/>
    <col min="12569" max="12569" width="5" style="24" bestFit="1" customWidth="1"/>
    <col min="12570" max="12570" width="4.5703125" style="24" bestFit="1" customWidth="1"/>
    <col min="12571" max="12571" width="4.42578125" style="24" bestFit="1" customWidth="1"/>
    <col min="12572" max="12572" width="4" style="24" customWidth="1"/>
    <col min="12573" max="12800" width="11.42578125" style="24"/>
    <col min="12801" max="12801" width="14.85546875" style="24" bestFit="1" customWidth="1"/>
    <col min="12802" max="12802" width="28" style="24" bestFit="1" customWidth="1"/>
    <col min="12803" max="12803" width="4.42578125" style="24" bestFit="1" customWidth="1"/>
    <col min="12804" max="12804" width="8" style="24" bestFit="1" customWidth="1"/>
    <col min="12805" max="12805" width="11.42578125" style="24"/>
    <col min="12806" max="12806" width="22.85546875" style="24" bestFit="1" customWidth="1"/>
    <col min="12807" max="12807" width="7" style="24" customWidth="1"/>
    <col min="12808" max="12808" width="6.28515625" style="24" customWidth="1"/>
    <col min="12809" max="12809" width="5.7109375" style="24" customWidth="1"/>
    <col min="12810" max="12810" width="5.7109375" style="24" bestFit="1" customWidth="1"/>
    <col min="12811" max="12811" width="5.85546875" style="24" bestFit="1" customWidth="1"/>
    <col min="12812" max="12812" width="9.42578125" style="24" customWidth="1"/>
    <col min="12813" max="12813" width="5.140625" style="24" customWidth="1"/>
    <col min="12814" max="12814" width="9.7109375" style="24" customWidth="1"/>
    <col min="12815" max="12815" width="6.7109375" style="24" bestFit="1" customWidth="1"/>
    <col min="12816" max="12816" width="4.85546875" style="24" customWidth="1"/>
    <col min="12817" max="12817" width="5.28515625" style="24" customWidth="1"/>
    <col min="12818" max="12819" width="4.42578125" style="24" bestFit="1" customWidth="1"/>
    <col min="12820" max="12820" width="13.28515625" style="24" bestFit="1" customWidth="1"/>
    <col min="12821" max="12821" width="3.140625" style="24" customWidth="1"/>
    <col min="12822" max="12822" width="5.42578125" style="24" bestFit="1" customWidth="1"/>
    <col min="12823" max="12823" width="4.42578125" style="24" bestFit="1" customWidth="1"/>
    <col min="12824" max="12824" width="6.42578125" style="24" customWidth="1"/>
    <col min="12825" max="12825" width="5" style="24" bestFit="1" customWidth="1"/>
    <col min="12826" max="12826" width="4.5703125" style="24" bestFit="1" customWidth="1"/>
    <col min="12827" max="12827" width="4.42578125" style="24" bestFit="1" customWidth="1"/>
    <col min="12828" max="12828" width="4" style="24" customWidth="1"/>
    <col min="12829" max="13056" width="11.42578125" style="24"/>
    <col min="13057" max="13057" width="14.85546875" style="24" bestFit="1" customWidth="1"/>
    <col min="13058" max="13058" width="28" style="24" bestFit="1" customWidth="1"/>
    <col min="13059" max="13059" width="4.42578125" style="24" bestFit="1" customWidth="1"/>
    <col min="13060" max="13060" width="8" style="24" bestFit="1" customWidth="1"/>
    <col min="13061" max="13061" width="11.42578125" style="24"/>
    <col min="13062" max="13062" width="22.85546875" style="24" bestFit="1" customWidth="1"/>
    <col min="13063" max="13063" width="7" style="24" customWidth="1"/>
    <col min="13064" max="13064" width="6.28515625" style="24" customWidth="1"/>
    <col min="13065" max="13065" width="5.7109375" style="24" customWidth="1"/>
    <col min="13066" max="13066" width="5.7109375" style="24" bestFit="1" customWidth="1"/>
    <col min="13067" max="13067" width="5.85546875" style="24" bestFit="1" customWidth="1"/>
    <col min="13068" max="13068" width="9.42578125" style="24" customWidth="1"/>
    <col min="13069" max="13069" width="5.140625" style="24" customWidth="1"/>
    <col min="13070" max="13070" width="9.7109375" style="24" customWidth="1"/>
    <col min="13071" max="13071" width="6.7109375" style="24" bestFit="1" customWidth="1"/>
    <col min="13072" max="13072" width="4.85546875" style="24" customWidth="1"/>
    <col min="13073" max="13073" width="5.28515625" style="24" customWidth="1"/>
    <col min="13074" max="13075" width="4.42578125" style="24" bestFit="1" customWidth="1"/>
    <col min="13076" max="13076" width="13.28515625" style="24" bestFit="1" customWidth="1"/>
    <col min="13077" max="13077" width="3.140625" style="24" customWidth="1"/>
    <col min="13078" max="13078" width="5.42578125" style="24" bestFit="1" customWidth="1"/>
    <col min="13079" max="13079" width="4.42578125" style="24" bestFit="1" customWidth="1"/>
    <col min="13080" max="13080" width="6.42578125" style="24" customWidth="1"/>
    <col min="13081" max="13081" width="5" style="24" bestFit="1" customWidth="1"/>
    <col min="13082" max="13082" width="4.5703125" style="24" bestFit="1" customWidth="1"/>
    <col min="13083" max="13083" width="4.42578125" style="24" bestFit="1" customWidth="1"/>
    <col min="13084" max="13084" width="4" style="24" customWidth="1"/>
    <col min="13085" max="13312" width="11.42578125" style="24"/>
    <col min="13313" max="13313" width="14.85546875" style="24" bestFit="1" customWidth="1"/>
    <col min="13314" max="13314" width="28" style="24" bestFit="1" customWidth="1"/>
    <col min="13315" max="13315" width="4.42578125" style="24" bestFit="1" customWidth="1"/>
    <col min="13316" max="13316" width="8" style="24" bestFit="1" customWidth="1"/>
    <col min="13317" max="13317" width="11.42578125" style="24"/>
    <col min="13318" max="13318" width="22.85546875" style="24" bestFit="1" customWidth="1"/>
    <col min="13319" max="13319" width="7" style="24" customWidth="1"/>
    <col min="13320" max="13320" width="6.28515625" style="24" customWidth="1"/>
    <col min="13321" max="13321" width="5.7109375" style="24" customWidth="1"/>
    <col min="13322" max="13322" width="5.7109375" style="24" bestFit="1" customWidth="1"/>
    <col min="13323" max="13323" width="5.85546875" style="24" bestFit="1" customWidth="1"/>
    <col min="13324" max="13324" width="9.42578125" style="24" customWidth="1"/>
    <col min="13325" max="13325" width="5.140625" style="24" customWidth="1"/>
    <col min="13326" max="13326" width="9.7109375" style="24" customWidth="1"/>
    <col min="13327" max="13327" width="6.7109375" style="24" bestFit="1" customWidth="1"/>
    <col min="13328" max="13328" width="4.85546875" style="24" customWidth="1"/>
    <col min="13329" max="13329" width="5.28515625" style="24" customWidth="1"/>
    <col min="13330" max="13331" width="4.42578125" style="24" bestFit="1" customWidth="1"/>
    <col min="13332" max="13332" width="13.28515625" style="24" bestFit="1" customWidth="1"/>
    <col min="13333" max="13333" width="3.140625" style="24" customWidth="1"/>
    <col min="13334" max="13334" width="5.42578125" style="24" bestFit="1" customWidth="1"/>
    <col min="13335" max="13335" width="4.42578125" style="24" bestFit="1" customWidth="1"/>
    <col min="13336" max="13336" width="6.42578125" style="24" customWidth="1"/>
    <col min="13337" max="13337" width="5" style="24" bestFit="1" customWidth="1"/>
    <col min="13338" max="13338" width="4.5703125" style="24" bestFit="1" customWidth="1"/>
    <col min="13339" max="13339" width="4.42578125" style="24" bestFit="1" customWidth="1"/>
    <col min="13340" max="13340" width="4" style="24" customWidth="1"/>
    <col min="13341" max="13568" width="11.42578125" style="24"/>
    <col min="13569" max="13569" width="14.85546875" style="24" bestFit="1" customWidth="1"/>
    <col min="13570" max="13570" width="28" style="24" bestFit="1" customWidth="1"/>
    <col min="13571" max="13571" width="4.42578125" style="24" bestFit="1" customWidth="1"/>
    <col min="13572" max="13572" width="8" style="24" bestFit="1" customWidth="1"/>
    <col min="13573" max="13573" width="11.42578125" style="24"/>
    <col min="13574" max="13574" width="22.85546875" style="24" bestFit="1" customWidth="1"/>
    <col min="13575" max="13575" width="7" style="24" customWidth="1"/>
    <col min="13576" max="13576" width="6.28515625" style="24" customWidth="1"/>
    <col min="13577" max="13577" width="5.7109375" style="24" customWidth="1"/>
    <col min="13578" max="13578" width="5.7109375" style="24" bestFit="1" customWidth="1"/>
    <col min="13579" max="13579" width="5.85546875" style="24" bestFit="1" customWidth="1"/>
    <col min="13580" max="13580" width="9.42578125" style="24" customWidth="1"/>
    <col min="13581" max="13581" width="5.140625" style="24" customWidth="1"/>
    <col min="13582" max="13582" width="9.7109375" style="24" customWidth="1"/>
    <col min="13583" max="13583" width="6.7109375" style="24" bestFit="1" customWidth="1"/>
    <col min="13584" max="13584" width="4.85546875" style="24" customWidth="1"/>
    <col min="13585" max="13585" width="5.28515625" style="24" customWidth="1"/>
    <col min="13586" max="13587" width="4.42578125" style="24" bestFit="1" customWidth="1"/>
    <col min="13588" max="13588" width="13.28515625" style="24" bestFit="1" customWidth="1"/>
    <col min="13589" max="13589" width="3.140625" style="24" customWidth="1"/>
    <col min="13590" max="13590" width="5.42578125" style="24" bestFit="1" customWidth="1"/>
    <col min="13591" max="13591" width="4.42578125" style="24" bestFit="1" customWidth="1"/>
    <col min="13592" max="13592" width="6.42578125" style="24" customWidth="1"/>
    <col min="13593" max="13593" width="5" style="24" bestFit="1" customWidth="1"/>
    <col min="13594" max="13594" width="4.5703125" style="24" bestFit="1" customWidth="1"/>
    <col min="13595" max="13595" width="4.42578125" style="24" bestFit="1" customWidth="1"/>
    <col min="13596" max="13596" width="4" style="24" customWidth="1"/>
    <col min="13597" max="13824" width="11.42578125" style="24"/>
    <col min="13825" max="13825" width="14.85546875" style="24" bestFit="1" customWidth="1"/>
    <col min="13826" max="13826" width="28" style="24" bestFit="1" customWidth="1"/>
    <col min="13827" max="13827" width="4.42578125" style="24" bestFit="1" customWidth="1"/>
    <col min="13828" max="13828" width="8" style="24" bestFit="1" customWidth="1"/>
    <col min="13829" max="13829" width="11.42578125" style="24"/>
    <col min="13830" max="13830" width="22.85546875" style="24" bestFit="1" customWidth="1"/>
    <col min="13831" max="13831" width="7" style="24" customWidth="1"/>
    <col min="13832" max="13832" width="6.28515625" style="24" customWidth="1"/>
    <col min="13833" max="13833" width="5.7109375" style="24" customWidth="1"/>
    <col min="13834" max="13834" width="5.7109375" style="24" bestFit="1" customWidth="1"/>
    <col min="13835" max="13835" width="5.85546875" style="24" bestFit="1" customWidth="1"/>
    <col min="13836" max="13836" width="9.42578125" style="24" customWidth="1"/>
    <col min="13837" max="13837" width="5.140625" style="24" customWidth="1"/>
    <col min="13838" max="13838" width="9.7109375" style="24" customWidth="1"/>
    <col min="13839" max="13839" width="6.7109375" style="24" bestFit="1" customWidth="1"/>
    <col min="13840" max="13840" width="4.85546875" style="24" customWidth="1"/>
    <col min="13841" max="13841" width="5.28515625" style="24" customWidth="1"/>
    <col min="13842" max="13843" width="4.42578125" style="24" bestFit="1" customWidth="1"/>
    <col min="13844" max="13844" width="13.28515625" style="24" bestFit="1" customWidth="1"/>
    <col min="13845" max="13845" width="3.140625" style="24" customWidth="1"/>
    <col min="13846" max="13846" width="5.42578125" style="24" bestFit="1" customWidth="1"/>
    <col min="13847" max="13847" width="4.42578125" style="24" bestFit="1" customWidth="1"/>
    <col min="13848" max="13848" width="6.42578125" style="24" customWidth="1"/>
    <col min="13849" max="13849" width="5" style="24" bestFit="1" customWidth="1"/>
    <col min="13850" max="13850" width="4.5703125" style="24" bestFit="1" customWidth="1"/>
    <col min="13851" max="13851" width="4.42578125" style="24" bestFit="1" customWidth="1"/>
    <col min="13852" max="13852" width="4" style="24" customWidth="1"/>
    <col min="13853" max="14080" width="11.42578125" style="24"/>
    <col min="14081" max="14081" width="14.85546875" style="24" bestFit="1" customWidth="1"/>
    <col min="14082" max="14082" width="28" style="24" bestFit="1" customWidth="1"/>
    <col min="14083" max="14083" width="4.42578125" style="24" bestFit="1" customWidth="1"/>
    <col min="14084" max="14084" width="8" style="24" bestFit="1" customWidth="1"/>
    <col min="14085" max="14085" width="11.42578125" style="24"/>
    <col min="14086" max="14086" width="22.85546875" style="24" bestFit="1" customWidth="1"/>
    <col min="14087" max="14087" width="7" style="24" customWidth="1"/>
    <col min="14088" max="14088" width="6.28515625" style="24" customWidth="1"/>
    <col min="14089" max="14089" width="5.7109375" style="24" customWidth="1"/>
    <col min="14090" max="14090" width="5.7109375" style="24" bestFit="1" customWidth="1"/>
    <col min="14091" max="14091" width="5.85546875" style="24" bestFit="1" customWidth="1"/>
    <col min="14092" max="14092" width="9.42578125" style="24" customWidth="1"/>
    <col min="14093" max="14093" width="5.140625" style="24" customWidth="1"/>
    <col min="14094" max="14094" width="9.7109375" style="24" customWidth="1"/>
    <col min="14095" max="14095" width="6.7109375" style="24" bestFit="1" customWidth="1"/>
    <col min="14096" max="14096" width="4.85546875" style="24" customWidth="1"/>
    <col min="14097" max="14097" width="5.28515625" style="24" customWidth="1"/>
    <col min="14098" max="14099" width="4.42578125" style="24" bestFit="1" customWidth="1"/>
    <col min="14100" max="14100" width="13.28515625" style="24" bestFit="1" customWidth="1"/>
    <col min="14101" max="14101" width="3.140625" style="24" customWidth="1"/>
    <col min="14102" max="14102" width="5.42578125" style="24" bestFit="1" customWidth="1"/>
    <col min="14103" max="14103" width="4.42578125" style="24" bestFit="1" customWidth="1"/>
    <col min="14104" max="14104" width="6.42578125" style="24" customWidth="1"/>
    <col min="14105" max="14105" width="5" style="24" bestFit="1" customWidth="1"/>
    <col min="14106" max="14106" width="4.5703125" style="24" bestFit="1" customWidth="1"/>
    <col min="14107" max="14107" width="4.42578125" style="24" bestFit="1" customWidth="1"/>
    <col min="14108" max="14108" width="4" style="24" customWidth="1"/>
    <col min="14109" max="14336" width="11.42578125" style="24"/>
    <col min="14337" max="14337" width="14.85546875" style="24" bestFit="1" customWidth="1"/>
    <col min="14338" max="14338" width="28" style="24" bestFit="1" customWidth="1"/>
    <col min="14339" max="14339" width="4.42578125" style="24" bestFit="1" customWidth="1"/>
    <col min="14340" max="14340" width="8" style="24" bestFit="1" customWidth="1"/>
    <col min="14341" max="14341" width="11.42578125" style="24"/>
    <col min="14342" max="14342" width="22.85546875" style="24" bestFit="1" customWidth="1"/>
    <col min="14343" max="14343" width="7" style="24" customWidth="1"/>
    <col min="14344" max="14344" width="6.28515625" style="24" customWidth="1"/>
    <col min="14345" max="14345" width="5.7109375" style="24" customWidth="1"/>
    <col min="14346" max="14346" width="5.7109375" style="24" bestFit="1" customWidth="1"/>
    <col min="14347" max="14347" width="5.85546875" style="24" bestFit="1" customWidth="1"/>
    <col min="14348" max="14348" width="9.42578125" style="24" customWidth="1"/>
    <col min="14349" max="14349" width="5.140625" style="24" customWidth="1"/>
    <col min="14350" max="14350" width="9.7109375" style="24" customWidth="1"/>
    <col min="14351" max="14351" width="6.7109375" style="24" bestFit="1" customWidth="1"/>
    <col min="14352" max="14352" width="4.85546875" style="24" customWidth="1"/>
    <col min="14353" max="14353" width="5.28515625" style="24" customWidth="1"/>
    <col min="14354" max="14355" width="4.42578125" style="24" bestFit="1" customWidth="1"/>
    <col min="14356" max="14356" width="13.28515625" style="24" bestFit="1" customWidth="1"/>
    <col min="14357" max="14357" width="3.140625" style="24" customWidth="1"/>
    <col min="14358" max="14358" width="5.42578125" style="24" bestFit="1" customWidth="1"/>
    <col min="14359" max="14359" width="4.42578125" style="24" bestFit="1" customWidth="1"/>
    <col min="14360" max="14360" width="6.42578125" style="24" customWidth="1"/>
    <col min="14361" max="14361" width="5" style="24" bestFit="1" customWidth="1"/>
    <col min="14362" max="14362" width="4.5703125" style="24" bestFit="1" customWidth="1"/>
    <col min="14363" max="14363" width="4.42578125" style="24" bestFit="1" customWidth="1"/>
    <col min="14364" max="14364" width="4" style="24" customWidth="1"/>
    <col min="14365" max="14592" width="11.42578125" style="24"/>
    <col min="14593" max="14593" width="14.85546875" style="24" bestFit="1" customWidth="1"/>
    <col min="14594" max="14594" width="28" style="24" bestFit="1" customWidth="1"/>
    <col min="14595" max="14595" width="4.42578125" style="24" bestFit="1" customWidth="1"/>
    <col min="14596" max="14596" width="8" style="24" bestFit="1" customWidth="1"/>
    <col min="14597" max="14597" width="11.42578125" style="24"/>
    <col min="14598" max="14598" width="22.85546875" style="24" bestFit="1" customWidth="1"/>
    <col min="14599" max="14599" width="7" style="24" customWidth="1"/>
    <col min="14600" max="14600" width="6.28515625" style="24" customWidth="1"/>
    <col min="14601" max="14601" width="5.7109375" style="24" customWidth="1"/>
    <col min="14602" max="14602" width="5.7109375" style="24" bestFit="1" customWidth="1"/>
    <col min="14603" max="14603" width="5.85546875" style="24" bestFit="1" customWidth="1"/>
    <col min="14604" max="14604" width="9.42578125" style="24" customWidth="1"/>
    <col min="14605" max="14605" width="5.140625" style="24" customWidth="1"/>
    <col min="14606" max="14606" width="9.7109375" style="24" customWidth="1"/>
    <col min="14607" max="14607" width="6.7109375" style="24" bestFit="1" customWidth="1"/>
    <col min="14608" max="14608" width="4.85546875" style="24" customWidth="1"/>
    <col min="14609" max="14609" width="5.28515625" style="24" customWidth="1"/>
    <col min="14610" max="14611" width="4.42578125" style="24" bestFit="1" customWidth="1"/>
    <col min="14612" max="14612" width="13.28515625" style="24" bestFit="1" customWidth="1"/>
    <col min="14613" max="14613" width="3.140625" style="24" customWidth="1"/>
    <col min="14614" max="14614" width="5.42578125" style="24" bestFit="1" customWidth="1"/>
    <col min="14615" max="14615" width="4.42578125" style="24" bestFit="1" customWidth="1"/>
    <col min="14616" max="14616" width="6.42578125" style="24" customWidth="1"/>
    <col min="14617" max="14617" width="5" style="24" bestFit="1" customWidth="1"/>
    <col min="14618" max="14618" width="4.5703125" style="24" bestFit="1" customWidth="1"/>
    <col min="14619" max="14619" width="4.42578125" style="24" bestFit="1" customWidth="1"/>
    <col min="14620" max="14620" width="4" style="24" customWidth="1"/>
    <col min="14621" max="14848" width="11.42578125" style="24"/>
    <col min="14849" max="14849" width="14.85546875" style="24" bestFit="1" customWidth="1"/>
    <col min="14850" max="14850" width="28" style="24" bestFit="1" customWidth="1"/>
    <col min="14851" max="14851" width="4.42578125" style="24" bestFit="1" customWidth="1"/>
    <col min="14852" max="14852" width="8" style="24" bestFit="1" customWidth="1"/>
    <col min="14853" max="14853" width="11.42578125" style="24"/>
    <col min="14854" max="14854" width="22.85546875" style="24" bestFit="1" customWidth="1"/>
    <col min="14855" max="14855" width="7" style="24" customWidth="1"/>
    <col min="14856" max="14856" width="6.28515625" style="24" customWidth="1"/>
    <col min="14857" max="14857" width="5.7109375" style="24" customWidth="1"/>
    <col min="14858" max="14858" width="5.7109375" style="24" bestFit="1" customWidth="1"/>
    <col min="14859" max="14859" width="5.85546875" style="24" bestFit="1" customWidth="1"/>
    <col min="14860" max="14860" width="9.42578125" style="24" customWidth="1"/>
    <col min="14861" max="14861" width="5.140625" style="24" customWidth="1"/>
    <col min="14862" max="14862" width="9.7109375" style="24" customWidth="1"/>
    <col min="14863" max="14863" width="6.7109375" style="24" bestFit="1" customWidth="1"/>
    <col min="14864" max="14864" width="4.85546875" style="24" customWidth="1"/>
    <col min="14865" max="14865" width="5.28515625" style="24" customWidth="1"/>
    <col min="14866" max="14867" width="4.42578125" style="24" bestFit="1" customWidth="1"/>
    <col min="14868" max="14868" width="13.28515625" style="24" bestFit="1" customWidth="1"/>
    <col min="14869" max="14869" width="3.140625" style="24" customWidth="1"/>
    <col min="14870" max="14870" width="5.42578125" style="24" bestFit="1" customWidth="1"/>
    <col min="14871" max="14871" width="4.42578125" style="24" bestFit="1" customWidth="1"/>
    <col min="14872" max="14872" width="6.42578125" style="24" customWidth="1"/>
    <col min="14873" max="14873" width="5" style="24" bestFit="1" customWidth="1"/>
    <col min="14874" max="14874" width="4.5703125" style="24" bestFit="1" customWidth="1"/>
    <col min="14875" max="14875" width="4.42578125" style="24" bestFit="1" customWidth="1"/>
    <col min="14876" max="14876" width="4" style="24" customWidth="1"/>
    <col min="14877" max="15104" width="11.42578125" style="24"/>
    <col min="15105" max="15105" width="14.85546875" style="24" bestFit="1" customWidth="1"/>
    <col min="15106" max="15106" width="28" style="24" bestFit="1" customWidth="1"/>
    <col min="15107" max="15107" width="4.42578125" style="24" bestFit="1" customWidth="1"/>
    <col min="15108" max="15108" width="8" style="24" bestFit="1" customWidth="1"/>
    <col min="15109" max="15109" width="11.42578125" style="24"/>
    <col min="15110" max="15110" width="22.85546875" style="24" bestFit="1" customWidth="1"/>
    <col min="15111" max="15111" width="7" style="24" customWidth="1"/>
    <col min="15112" max="15112" width="6.28515625" style="24" customWidth="1"/>
    <col min="15113" max="15113" width="5.7109375" style="24" customWidth="1"/>
    <col min="15114" max="15114" width="5.7109375" style="24" bestFit="1" customWidth="1"/>
    <col min="15115" max="15115" width="5.85546875" style="24" bestFit="1" customWidth="1"/>
    <col min="15116" max="15116" width="9.42578125" style="24" customWidth="1"/>
    <col min="15117" max="15117" width="5.140625" style="24" customWidth="1"/>
    <col min="15118" max="15118" width="9.7109375" style="24" customWidth="1"/>
    <col min="15119" max="15119" width="6.7109375" style="24" bestFit="1" customWidth="1"/>
    <col min="15120" max="15120" width="4.85546875" style="24" customWidth="1"/>
    <col min="15121" max="15121" width="5.28515625" style="24" customWidth="1"/>
    <col min="15122" max="15123" width="4.42578125" style="24" bestFit="1" customWidth="1"/>
    <col min="15124" max="15124" width="13.28515625" style="24" bestFit="1" customWidth="1"/>
    <col min="15125" max="15125" width="3.140625" style="24" customWidth="1"/>
    <col min="15126" max="15126" width="5.42578125" style="24" bestFit="1" customWidth="1"/>
    <col min="15127" max="15127" width="4.42578125" style="24" bestFit="1" customWidth="1"/>
    <col min="15128" max="15128" width="6.42578125" style="24" customWidth="1"/>
    <col min="15129" max="15129" width="5" style="24" bestFit="1" customWidth="1"/>
    <col min="15130" max="15130" width="4.5703125" style="24" bestFit="1" customWidth="1"/>
    <col min="15131" max="15131" width="4.42578125" style="24" bestFit="1" customWidth="1"/>
    <col min="15132" max="15132" width="4" style="24" customWidth="1"/>
    <col min="15133" max="15360" width="11.42578125" style="24"/>
    <col min="15361" max="15361" width="14.85546875" style="24" bestFit="1" customWidth="1"/>
    <col min="15362" max="15362" width="28" style="24" bestFit="1" customWidth="1"/>
    <col min="15363" max="15363" width="4.42578125" style="24" bestFit="1" customWidth="1"/>
    <col min="15364" max="15364" width="8" style="24" bestFit="1" customWidth="1"/>
    <col min="15365" max="15365" width="11.42578125" style="24"/>
    <col min="15366" max="15366" width="22.85546875" style="24" bestFit="1" customWidth="1"/>
    <col min="15367" max="15367" width="7" style="24" customWidth="1"/>
    <col min="15368" max="15368" width="6.28515625" style="24" customWidth="1"/>
    <col min="15369" max="15369" width="5.7109375" style="24" customWidth="1"/>
    <col min="15370" max="15370" width="5.7109375" style="24" bestFit="1" customWidth="1"/>
    <col min="15371" max="15371" width="5.85546875" style="24" bestFit="1" customWidth="1"/>
    <col min="15372" max="15372" width="9.42578125" style="24" customWidth="1"/>
    <col min="15373" max="15373" width="5.140625" style="24" customWidth="1"/>
    <col min="15374" max="15374" width="9.7109375" style="24" customWidth="1"/>
    <col min="15375" max="15375" width="6.7109375" style="24" bestFit="1" customWidth="1"/>
    <col min="15376" max="15376" width="4.85546875" style="24" customWidth="1"/>
    <col min="15377" max="15377" width="5.28515625" style="24" customWidth="1"/>
    <col min="15378" max="15379" width="4.42578125" style="24" bestFit="1" customWidth="1"/>
    <col min="15380" max="15380" width="13.28515625" style="24" bestFit="1" customWidth="1"/>
    <col min="15381" max="15381" width="3.140625" style="24" customWidth="1"/>
    <col min="15382" max="15382" width="5.42578125" style="24" bestFit="1" customWidth="1"/>
    <col min="15383" max="15383" width="4.42578125" style="24" bestFit="1" customWidth="1"/>
    <col min="15384" max="15384" width="6.42578125" style="24" customWidth="1"/>
    <col min="15385" max="15385" width="5" style="24" bestFit="1" customWidth="1"/>
    <col min="15386" max="15386" width="4.5703125" style="24" bestFit="1" customWidth="1"/>
    <col min="15387" max="15387" width="4.42578125" style="24" bestFit="1" customWidth="1"/>
    <col min="15388" max="15388" width="4" style="24" customWidth="1"/>
    <col min="15389" max="15616" width="11.42578125" style="24"/>
    <col min="15617" max="15617" width="14.85546875" style="24" bestFit="1" customWidth="1"/>
    <col min="15618" max="15618" width="28" style="24" bestFit="1" customWidth="1"/>
    <col min="15619" max="15619" width="4.42578125" style="24" bestFit="1" customWidth="1"/>
    <col min="15620" max="15620" width="8" style="24" bestFit="1" customWidth="1"/>
    <col min="15621" max="15621" width="11.42578125" style="24"/>
    <col min="15622" max="15622" width="22.85546875" style="24" bestFit="1" customWidth="1"/>
    <col min="15623" max="15623" width="7" style="24" customWidth="1"/>
    <col min="15624" max="15624" width="6.28515625" style="24" customWidth="1"/>
    <col min="15625" max="15625" width="5.7109375" style="24" customWidth="1"/>
    <col min="15626" max="15626" width="5.7109375" style="24" bestFit="1" customWidth="1"/>
    <col min="15627" max="15627" width="5.85546875" style="24" bestFit="1" customWidth="1"/>
    <col min="15628" max="15628" width="9.42578125" style="24" customWidth="1"/>
    <col min="15629" max="15629" width="5.140625" style="24" customWidth="1"/>
    <col min="15630" max="15630" width="9.7109375" style="24" customWidth="1"/>
    <col min="15631" max="15631" width="6.7109375" style="24" bestFit="1" customWidth="1"/>
    <col min="15632" max="15632" width="4.85546875" style="24" customWidth="1"/>
    <col min="15633" max="15633" width="5.28515625" style="24" customWidth="1"/>
    <col min="15634" max="15635" width="4.42578125" style="24" bestFit="1" customWidth="1"/>
    <col min="15636" max="15636" width="13.28515625" style="24" bestFit="1" customWidth="1"/>
    <col min="15637" max="15637" width="3.140625" style="24" customWidth="1"/>
    <col min="15638" max="15638" width="5.42578125" style="24" bestFit="1" customWidth="1"/>
    <col min="15639" max="15639" width="4.42578125" style="24" bestFit="1" customWidth="1"/>
    <col min="15640" max="15640" width="6.42578125" style="24" customWidth="1"/>
    <col min="15641" max="15641" width="5" style="24" bestFit="1" customWidth="1"/>
    <col min="15642" max="15642" width="4.5703125" style="24" bestFit="1" customWidth="1"/>
    <col min="15643" max="15643" width="4.42578125" style="24" bestFit="1" customWidth="1"/>
    <col min="15644" max="15644" width="4" style="24" customWidth="1"/>
    <col min="15645" max="15872" width="11.42578125" style="24"/>
    <col min="15873" max="15873" width="14.85546875" style="24" bestFit="1" customWidth="1"/>
    <col min="15874" max="15874" width="28" style="24" bestFit="1" customWidth="1"/>
    <col min="15875" max="15875" width="4.42578125" style="24" bestFit="1" customWidth="1"/>
    <col min="15876" max="15876" width="8" style="24" bestFit="1" customWidth="1"/>
    <col min="15877" max="15877" width="11.42578125" style="24"/>
    <col min="15878" max="15878" width="22.85546875" style="24" bestFit="1" customWidth="1"/>
    <col min="15879" max="15879" width="7" style="24" customWidth="1"/>
    <col min="15880" max="15880" width="6.28515625" style="24" customWidth="1"/>
    <col min="15881" max="15881" width="5.7109375" style="24" customWidth="1"/>
    <col min="15882" max="15882" width="5.7109375" style="24" bestFit="1" customWidth="1"/>
    <col min="15883" max="15883" width="5.85546875" style="24" bestFit="1" customWidth="1"/>
    <col min="15884" max="15884" width="9.42578125" style="24" customWidth="1"/>
    <col min="15885" max="15885" width="5.140625" style="24" customWidth="1"/>
    <col min="15886" max="15886" width="9.7109375" style="24" customWidth="1"/>
    <col min="15887" max="15887" width="6.7109375" style="24" bestFit="1" customWidth="1"/>
    <col min="15888" max="15888" width="4.85546875" style="24" customWidth="1"/>
    <col min="15889" max="15889" width="5.28515625" style="24" customWidth="1"/>
    <col min="15890" max="15891" width="4.42578125" style="24" bestFit="1" customWidth="1"/>
    <col min="15892" max="15892" width="13.28515625" style="24" bestFit="1" customWidth="1"/>
    <col min="15893" max="15893" width="3.140625" style="24" customWidth="1"/>
    <col min="15894" max="15894" width="5.42578125" style="24" bestFit="1" customWidth="1"/>
    <col min="15895" max="15895" width="4.42578125" style="24" bestFit="1" customWidth="1"/>
    <col min="15896" max="15896" width="6.42578125" style="24" customWidth="1"/>
    <col min="15897" max="15897" width="5" style="24" bestFit="1" customWidth="1"/>
    <col min="15898" max="15898" width="4.5703125" style="24" bestFit="1" customWidth="1"/>
    <col min="15899" max="15899" width="4.42578125" style="24" bestFit="1" customWidth="1"/>
    <col min="15900" max="15900" width="4" style="24" customWidth="1"/>
    <col min="15901" max="16128" width="11.42578125" style="24"/>
    <col min="16129" max="16129" width="14.85546875" style="24" bestFit="1" customWidth="1"/>
    <col min="16130" max="16130" width="28" style="24" bestFit="1" customWidth="1"/>
    <col min="16131" max="16131" width="4.42578125" style="24" bestFit="1" customWidth="1"/>
    <col min="16132" max="16132" width="8" style="24" bestFit="1" customWidth="1"/>
    <col min="16133" max="16133" width="11.42578125" style="24"/>
    <col min="16134" max="16134" width="22.85546875" style="24" bestFit="1" customWidth="1"/>
    <col min="16135" max="16135" width="7" style="24" customWidth="1"/>
    <col min="16136" max="16136" width="6.28515625" style="24" customWidth="1"/>
    <col min="16137" max="16137" width="5.7109375" style="24" customWidth="1"/>
    <col min="16138" max="16138" width="5.7109375" style="24" bestFit="1" customWidth="1"/>
    <col min="16139" max="16139" width="5.85546875" style="24" bestFit="1" customWidth="1"/>
    <col min="16140" max="16140" width="9.42578125" style="24" customWidth="1"/>
    <col min="16141" max="16141" width="5.140625" style="24" customWidth="1"/>
    <col min="16142" max="16142" width="9.7109375" style="24" customWidth="1"/>
    <col min="16143" max="16143" width="6.7109375" style="24" bestFit="1" customWidth="1"/>
    <col min="16144" max="16144" width="4.85546875" style="24" customWidth="1"/>
    <col min="16145" max="16145" width="5.28515625" style="24" customWidth="1"/>
    <col min="16146" max="16147" width="4.42578125" style="24" bestFit="1" customWidth="1"/>
    <col min="16148" max="16148" width="13.28515625" style="24" bestFit="1" customWidth="1"/>
    <col min="16149" max="16149" width="3.140625" style="24" customWidth="1"/>
    <col min="16150" max="16150" width="5.42578125" style="24" bestFit="1" customWidth="1"/>
    <col min="16151" max="16151" width="4.42578125" style="24" bestFit="1" customWidth="1"/>
    <col min="16152" max="16152" width="6.42578125" style="24" customWidth="1"/>
    <col min="16153" max="16153" width="5" style="24" bestFit="1" customWidth="1"/>
    <col min="16154" max="16154" width="4.5703125" style="24" bestFit="1" customWidth="1"/>
    <col min="16155" max="16155" width="4.42578125" style="24" bestFit="1" customWidth="1"/>
    <col min="16156" max="16156" width="4" style="24" customWidth="1"/>
    <col min="16157" max="16384" width="11.42578125" style="24"/>
  </cols>
  <sheetData>
    <row r="1" spans="1:42">
      <c r="E1" s="1"/>
      <c r="F1" s="1"/>
      <c r="G1" s="748" t="s">
        <v>0</v>
      </c>
      <c r="H1" s="749"/>
      <c r="I1" s="749"/>
      <c r="J1" s="749"/>
      <c r="K1" s="749"/>
      <c r="L1" s="750"/>
      <c r="M1" s="342"/>
      <c r="N1" s="749" t="s">
        <v>1</v>
      </c>
      <c r="O1" s="749"/>
      <c r="P1" s="749"/>
      <c r="Q1" s="749"/>
      <c r="R1" s="749"/>
      <c r="S1" s="749"/>
      <c r="T1" s="749"/>
      <c r="U1" s="1"/>
      <c r="V1" s="749" t="s">
        <v>2</v>
      </c>
      <c r="W1" s="749"/>
      <c r="X1" s="749"/>
      <c r="Y1" s="749"/>
      <c r="Z1" s="749"/>
      <c r="AA1" s="749"/>
      <c r="AB1" s="28"/>
    </row>
    <row r="2" spans="1:42" ht="15" customHeight="1">
      <c r="E2" s="1"/>
      <c r="F2" s="1"/>
      <c r="G2" s="751" t="s">
        <v>43</v>
      </c>
      <c r="H2" s="752"/>
      <c r="I2" s="753" t="s">
        <v>3</v>
      </c>
      <c r="J2" s="752"/>
      <c r="K2" s="752"/>
      <c r="L2" s="752"/>
      <c r="M2" s="143"/>
      <c r="N2" s="754" t="s">
        <v>4</v>
      </c>
      <c r="O2" s="756" t="s">
        <v>5</v>
      </c>
      <c r="P2" s="757"/>
      <c r="Q2" s="757"/>
      <c r="R2" s="757"/>
      <c r="S2" s="757"/>
      <c r="T2" s="758"/>
      <c r="U2" s="1"/>
      <c r="V2" s="760" t="s">
        <v>508</v>
      </c>
      <c r="W2" s="757"/>
      <c r="X2" s="757"/>
      <c r="Y2" s="757"/>
      <c r="Z2" s="757"/>
      <c r="AA2" s="758"/>
      <c r="AB2" s="29"/>
      <c r="AJ2" s="331"/>
      <c r="AK2" s="324"/>
      <c r="AL2" s="331"/>
      <c r="AM2" s="323" t="s">
        <v>507</v>
      </c>
      <c r="AN2" s="324"/>
      <c r="AO2" s="325"/>
    </row>
    <row r="3" spans="1:42" s="25" customFormat="1" ht="38.25">
      <c r="E3" s="4"/>
      <c r="F3" s="4"/>
      <c r="G3" s="30"/>
      <c r="H3" s="30"/>
      <c r="I3" s="761" t="s">
        <v>6</v>
      </c>
      <c r="J3" s="752"/>
      <c r="K3" s="761" t="s">
        <v>52</v>
      </c>
      <c r="L3" s="752"/>
      <c r="M3" s="144" t="s">
        <v>467</v>
      </c>
      <c r="N3" s="755"/>
      <c r="O3" s="759"/>
      <c r="P3" s="757"/>
      <c r="Q3" s="757"/>
      <c r="R3" s="757"/>
      <c r="S3" s="757"/>
      <c r="T3" s="758"/>
      <c r="U3" s="4"/>
      <c r="V3" s="759"/>
      <c r="W3" s="750"/>
      <c r="X3" s="750"/>
      <c r="Y3" s="750"/>
      <c r="Z3" s="750"/>
      <c r="AA3" s="758"/>
      <c r="AB3" s="31"/>
      <c r="AD3" s="332"/>
      <c r="AE3" s="332" t="s">
        <v>492</v>
      </c>
      <c r="AF3" s="332"/>
      <c r="AG3" s="332" t="s">
        <v>509</v>
      </c>
      <c r="AH3" s="332"/>
      <c r="AI3" s="332" t="s">
        <v>452</v>
      </c>
      <c r="AJ3" s="326"/>
      <c r="AK3" s="327"/>
      <c r="AL3" s="327"/>
      <c r="AM3" s="327"/>
      <c r="AN3" s="327"/>
      <c r="AO3" s="325"/>
    </row>
    <row r="4" spans="1:42" ht="15">
      <c r="A4" s="765" t="s">
        <v>44</v>
      </c>
      <c r="B4" s="766"/>
      <c r="C4" s="766"/>
      <c r="E4" s="22" t="s">
        <v>7</v>
      </c>
      <c r="F4" s="22" t="s">
        <v>8</v>
      </c>
      <c r="G4" s="32"/>
      <c r="H4" s="33" t="s">
        <v>9</v>
      </c>
      <c r="I4" s="21"/>
      <c r="J4" s="51" t="s">
        <v>9</v>
      </c>
      <c r="K4" s="21"/>
      <c r="L4" s="51" t="s">
        <v>9</v>
      </c>
      <c r="M4" s="33"/>
      <c r="N4" s="755"/>
      <c r="O4" s="14" t="s">
        <v>10</v>
      </c>
      <c r="P4" s="14" t="s">
        <v>11</v>
      </c>
      <c r="Q4" s="14" t="s">
        <v>12</v>
      </c>
      <c r="R4" s="13" t="s">
        <v>13</v>
      </c>
      <c r="S4" s="12" t="s">
        <v>14</v>
      </c>
      <c r="T4" s="12" t="s">
        <v>15</v>
      </c>
      <c r="U4" s="10"/>
      <c r="V4" s="20" t="s">
        <v>9</v>
      </c>
      <c r="W4" s="14" t="s">
        <v>16</v>
      </c>
      <c r="X4" s="14" t="s">
        <v>17</v>
      </c>
      <c r="Y4" s="13" t="s">
        <v>18</v>
      </c>
      <c r="Z4" s="12" t="s">
        <v>19</v>
      </c>
      <c r="AA4" s="12" t="s">
        <v>20</v>
      </c>
      <c r="AB4" s="24" t="s">
        <v>510</v>
      </c>
      <c r="AD4" s="14" t="s">
        <v>16</v>
      </c>
      <c r="AE4" s="14" t="s">
        <v>17</v>
      </c>
      <c r="AF4" s="13" t="s">
        <v>18</v>
      </c>
      <c r="AG4" s="12" t="s">
        <v>19</v>
      </c>
      <c r="AH4" s="12" t="s">
        <v>20</v>
      </c>
      <c r="AI4" s="347" t="s">
        <v>452</v>
      </c>
      <c r="AJ4" s="328" t="s">
        <v>9</v>
      </c>
      <c r="AK4" s="328" t="s">
        <v>16</v>
      </c>
      <c r="AL4" s="328" t="s">
        <v>17</v>
      </c>
      <c r="AM4" s="329" t="s">
        <v>18</v>
      </c>
      <c r="AN4" s="330" t="s">
        <v>19</v>
      </c>
      <c r="AO4" s="330" t="s">
        <v>20</v>
      </c>
    </row>
    <row r="5" spans="1:42" ht="15">
      <c r="A5" s="24" t="s">
        <v>9</v>
      </c>
      <c r="C5" s="26">
        <f>SUM(C7:C25)</f>
        <v>214.72010106914931</v>
      </c>
      <c r="E5" s="2"/>
      <c r="F5" s="19"/>
      <c r="G5" s="34">
        <f>SUM(G7:G44)-R23-S23</f>
        <v>214.89404096242089</v>
      </c>
      <c r="H5" s="19"/>
      <c r="I5" s="18"/>
      <c r="J5" s="17"/>
      <c r="L5" s="8"/>
      <c r="N5" s="16"/>
      <c r="O5" s="15"/>
      <c r="P5" s="14"/>
      <c r="Q5" s="14"/>
      <c r="R5" s="13"/>
      <c r="S5" s="12"/>
      <c r="T5" s="11">
        <f>T7+T23+T26+T39</f>
        <v>130.06286623336106</v>
      </c>
      <c r="U5" s="10"/>
      <c r="V5" s="9">
        <f>SUM(V7,V21,V26:V32,V34)</f>
        <v>119.33163167954764</v>
      </c>
      <c r="W5" s="9">
        <f>SUM(W7:W44)</f>
        <v>3.4643458245920002</v>
      </c>
      <c r="X5" s="9">
        <f t="shared" ref="X5:Z5" si="0">SUM(X7:X44)</f>
        <v>31.300293112040322</v>
      </c>
      <c r="Y5" s="9">
        <f t="shared" si="0"/>
        <v>30.481351825664063</v>
      </c>
      <c r="Z5" s="9">
        <f t="shared" si="0"/>
        <v>19.58999221147193</v>
      </c>
      <c r="AA5" s="9">
        <f>SUM(AA7:AA44)</f>
        <v>34.495648705779324</v>
      </c>
      <c r="AB5" s="27"/>
      <c r="AJ5" s="9">
        <f>SUM(AJ13,AJ23,AJ26:AJ32,AJ40)</f>
        <v>130.71002758119573</v>
      </c>
      <c r="AK5" s="9">
        <f>SUM(AK7:AK44)</f>
        <v>3.4565023451561072</v>
      </c>
      <c r="AL5" s="9">
        <f t="shared" ref="AL5:AO5" si="1">SUM(AL7:AL44)</f>
        <v>31.208001728758219</v>
      </c>
      <c r="AM5" s="9">
        <f t="shared" si="1"/>
        <v>33.244597198398111</v>
      </c>
      <c r="AN5" s="9">
        <f t="shared" si="1"/>
        <v>20.208727599895862</v>
      </c>
      <c r="AO5" s="9">
        <f t="shared" si="1"/>
        <v>42.592198708987432</v>
      </c>
      <c r="AP5" s="27"/>
    </row>
    <row r="6" spans="1:42">
      <c r="E6" s="1"/>
      <c r="F6" s="1"/>
      <c r="G6" s="360">
        <f>G5-'bilan complet'!K175-I40-I41</f>
        <v>-0.11752710091383367</v>
      </c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2">
        <f>T5-'bilan complet'!K169+(SUM(AD7:AH19)-T7)</f>
        <v>-7.1054273576010019E-15</v>
      </c>
      <c r="U6" s="263"/>
      <c r="V6" s="264">
        <f>V5-'scenario demande'!F368</f>
        <v>0</v>
      </c>
      <c r="W6" s="1"/>
      <c r="X6" s="1"/>
      <c r="Y6" s="1"/>
      <c r="Z6" s="1"/>
      <c r="AA6" s="1"/>
      <c r="AB6" s="35"/>
      <c r="AJ6" s="333">
        <f>AJ5-'bilan complet'!K169</f>
        <v>0</v>
      </c>
      <c r="AK6" s="1"/>
      <c r="AL6" s="1"/>
      <c r="AM6" s="1"/>
      <c r="AN6" s="1"/>
      <c r="AO6" s="1"/>
    </row>
    <row r="7" spans="1:42">
      <c r="A7" s="24" t="s">
        <v>45</v>
      </c>
      <c r="B7" s="24" t="s">
        <v>46</v>
      </c>
      <c r="C7" s="27">
        <f>G29+G35+G13</f>
        <v>18.21858695553944</v>
      </c>
      <c r="E7" s="767" t="s">
        <v>14</v>
      </c>
      <c r="F7" s="1" t="s">
        <v>21</v>
      </c>
      <c r="G7" s="2">
        <f>électricité!F27*0.086</f>
        <v>5.7552765468749998</v>
      </c>
      <c r="H7" s="768">
        <f>SUM(G7:G20)</f>
        <v>101.6314595620705</v>
      </c>
      <c r="I7" s="3"/>
      <c r="J7" s="769">
        <f>SUM(I7:I19)</f>
        <v>59.118066603208206</v>
      </c>
      <c r="K7" s="2">
        <f>G7-I7</f>
        <v>5.7552765468749998</v>
      </c>
      <c r="L7" s="769">
        <f>SUM(K6:K19)</f>
        <v>43.588080518920897</v>
      </c>
      <c r="N7" s="768">
        <f>L7-M13</f>
        <v>39.121622524684398</v>
      </c>
      <c r="O7" s="46"/>
      <c r="P7" s="46"/>
      <c r="Q7" s="46"/>
      <c r="R7" s="45"/>
      <c r="S7" s="341"/>
      <c r="T7" s="783">
        <f>N7-O12-P12-Q12</f>
        <v>35.351924727809397</v>
      </c>
      <c r="U7" s="23"/>
      <c r="V7" s="772">
        <f>SUM(W7:AA19)</f>
        <v>34.872648764065779</v>
      </c>
      <c r="W7" s="256"/>
      <c r="X7" s="259"/>
      <c r="Y7" s="256"/>
      <c r="Z7" s="259"/>
      <c r="AA7" s="256"/>
      <c r="AB7" s="36"/>
      <c r="AC7" s="267"/>
      <c r="AD7" s="762">
        <f>'bilan complet'!$I$167</f>
        <v>0.52139695767717442</v>
      </c>
      <c r="AE7" s="762">
        <f>'bilan complet'!$I$164</f>
        <v>9.567932510751163</v>
      </c>
      <c r="AF7" s="762">
        <f>'bilan complet'!$I$165</f>
        <v>12.367304972173393</v>
      </c>
      <c r="AG7" s="762">
        <f>'bilan complet'!$I$166</f>
        <v>11.433853160291584</v>
      </c>
      <c r="AH7" s="772">
        <f>'bilan complet'!$I$168</f>
        <v>2.1085984747507398</v>
      </c>
      <c r="AJ7" s="307"/>
      <c r="AK7" s="308"/>
      <c r="AL7" s="259"/>
      <c r="AM7" s="256"/>
      <c r="AN7" s="259"/>
      <c r="AO7" s="256"/>
    </row>
    <row r="8" spans="1:42">
      <c r="B8" s="24" t="s">
        <v>21</v>
      </c>
      <c r="C8" s="27">
        <f>G7</f>
        <v>5.7552765468749998</v>
      </c>
      <c r="D8" s="27"/>
      <c r="E8" s="767"/>
      <c r="F8" s="1" t="s">
        <v>22</v>
      </c>
      <c r="G8" s="2">
        <f>électricité!F25*0.086</f>
        <v>5.7867088749999995</v>
      </c>
      <c r="H8" s="768"/>
      <c r="I8" s="3"/>
      <c r="J8" s="769"/>
      <c r="K8" s="2">
        <f t="shared" ref="K8:K44" si="2">G8-I8</f>
        <v>5.7867088749999995</v>
      </c>
      <c r="L8" s="769"/>
      <c r="N8" s="768"/>
      <c r="O8" s="46"/>
      <c r="P8" s="46"/>
      <c r="Q8" s="46"/>
      <c r="R8" s="45"/>
      <c r="S8" s="341"/>
      <c r="T8" s="783"/>
      <c r="U8" s="23"/>
      <c r="V8" s="773"/>
      <c r="W8" s="257"/>
      <c r="X8" s="260"/>
      <c r="Y8" s="257"/>
      <c r="Z8" s="260"/>
      <c r="AA8" s="257"/>
      <c r="AB8" s="36"/>
      <c r="AC8" s="38"/>
      <c r="AD8" s="763"/>
      <c r="AE8" s="763"/>
      <c r="AF8" s="763"/>
      <c r="AG8" s="763"/>
      <c r="AH8" s="773"/>
      <c r="AJ8" s="344"/>
      <c r="AK8" s="309"/>
      <c r="AL8" s="260"/>
      <c r="AM8" s="257"/>
      <c r="AN8" s="260"/>
      <c r="AO8" s="257"/>
    </row>
    <row r="9" spans="1:42">
      <c r="B9" s="24" t="s">
        <v>47</v>
      </c>
      <c r="C9" s="27">
        <f>G11+G21+G22+G26+G34</f>
        <v>0</v>
      </c>
      <c r="E9" s="767"/>
      <c r="F9" s="1" t="s">
        <v>23</v>
      </c>
      <c r="G9" s="2">
        <f>électricité!F26*0.086</f>
        <v>1.8833029140624997</v>
      </c>
      <c r="H9" s="768"/>
      <c r="I9" s="3"/>
      <c r="J9" s="769"/>
      <c r="K9" s="2">
        <f t="shared" si="2"/>
        <v>1.8833029140624997</v>
      </c>
      <c r="L9" s="769"/>
      <c r="N9" s="768"/>
      <c r="O9" s="46"/>
      <c r="P9" s="46"/>
      <c r="Q9" s="46"/>
      <c r="R9" s="45"/>
      <c r="S9" s="341"/>
      <c r="T9" s="783"/>
      <c r="U9" s="23"/>
      <c r="V9" s="773"/>
      <c r="W9" s="257"/>
      <c r="X9" s="260"/>
      <c r="Y9" s="257"/>
      <c r="Z9" s="260"/>
      <c r="AA9" s="257"/>
      <c r="AB9" s="36"/>
      <c r="AC9" s="38"/>
      <c r="AD9" s="763"/>
      <c r="AE9" s="763"/>
      <c r="AF9" s="763"/>
      <c r="AG9" s="763"/>
      <c r="AH9" s="773"/>
      <c r="AJ9" s="344"/>
      <c r="AK9" s="309"/>
      <c r="AL9" s="260"/>
      <c r="AM9" s="257"/>
      <c r="AN9" s="260"/>
      <c r="AO9" s="257"/>
    </row>
    <row r="10" spans="1:42">
      <c r="B10" s="24" t="s">
        <v>28</v>
      </c>
      <c r="C10" s="27">
        <f>G14+G30+G37</f>
        <v>0.19601459598080881</v>
      </c>
      <c r="E10" s="767"/>
      <c r="F10" s="1" t="s">
        <v>24</v>
      </c>
      <c r="G10" s="2">
        <f>65.77+'bilan complet'!H147</f>
        <v>64.91</v>
      </c>
      <c r="H10" s="768"/>
      <c r="I10" s="3">
        <f>K10/0.33-K10</f>
        <v>44.064405455078131</v>
      </c>
      <c r="J10" s="769"/>
      <c r="K10" s="3">
        <f>électricité!F22*0.086</f>
        <v>21.703363880859374</v>
      </c>
      <c r="L10" s="769"/>
      <c r="N10" s="768"/>
      <c r="O10" s="46"/>
      <c r="P10" s="46"/>
      <c r="Q10" s="46"/>
      <c r="R10" s="45"/>
      <c r="S10" s="341"/>
      <c r="T10" s="783"/>
      <c r="U10" s="23"/>
      <c r="V10" s="773"/>
      <c r="W10" s="257"/>
      <c r="X10" s="260"/>
      <c r="Y10" s="257"/>
      <c r="Z10" s="260"/>
      <c r="AA10" s="257"/>
      <c r="AB10" s="36"/>
      <c r="AC10" s="38"/>
      <c r="AD10" s="763"/>
      <c r="AE10" s="763"/>
      <c r="AF10" s="763"/>
      <c r="AG10" s="763"/>
      <c r="AH10" s="773"/>
      <c r="AJ10" s="344"/>
      <c r="AK10" s="309"/>
      <c r="AL10" s="260"/>
      <c r="AM10" s="257"/>
      <c r="AN10" s="260"/>
      <c r="AO10" s="257"/>
    </row>
    <row r="11" spans="1:42">
      <c r="B11" s="24" t="s">
        <v>22</v>
      </c>
      <c r="C11" s="27">
        <f>G8</f>
        <v>5.7867088749999995</v>
      </c>
      <c r="E11" s="767"/>
      <c r="F11" s="1" t="s">
        <v>25</v>
      </c>
      <c r="G11" s="2"/>
      <c r="H11" s="768"/>
      <c r="I11" s="3"/>
      <c r="J11" s="769"/>
      <c r="K11" s="2">
        <f t="shared" si="2"/>
        <v>0</v>
      </c>
      <c r="L11" s="769"/>
      <c r="N11" s="768"/>
      <c r="O11" s="46"/>
      <c r="P11" s="46"/>
      <c r="Q11" s="46"/>
      <c r="R11" s="45"/>
      <c r="S11" s="341"/>
      <c r="T11" s="783"/>
      <c r="U11" s="23"/>
      <c r="V11" s="773"/>
      <c r="W11" s="257"/>
      <c r="X11" s="260"/>
      <c r="Y11" s="257"/>
      <c r="Z11" s="260"/>
      <c r="AA11" s="257"/>
      <c r="AB11" s="36"/>
      <c r="AC11" s="38"/>
      <c r="AD11" s="763"/>
      <c r="AE11" s="763"/>
      <c r="AF11" s="763"/>
      <c r="AG11" s="763"/>
      <c r="AH11" s="773"/>
      <c r="AJ11" s="344"/>
      <c r="AK11" s="309"/>
      <c r="AL11" s="260"/>
      <c r="AM11" s="257"/>
      <c r="AN11" s="260"/>
      <c r="AO11" s="257"/>
    </row>
    <row r="12" spans="1:42">
      <c r="B12" s="24" t="s">
        <v>23</v>
      </c>
      <c r="C12" s="27">
        <f>G9</f>
        <v>1.8833029140624997</v>
      </c>
      <c r="D12" s="27"/>
      <c r="E12" s="767"/>
      <c r="F12" s="1" t="s">
        <v>26</v>
      </c>
      <c r="G12" s="2">
        <f>'bilan complet'!J161</f>
        <v>5.2568008426379524</v>
      </c>
      <c r="H12" s="768"/>
      <c r="I12" s="3">
        <f>G12-K12</f>
        <v>3.6147198660754523</v>
      </c>
      <c r="J12" s="769"/>
      <c r="K12" s="2">
        <f>électricité!F21*0.086</f>
        <v>1.6420809765625</v>
      </c>
      <c r="L12" s="769"/>
      <c r="N12" s="768"/>
      <c r="O12" s="46">
        <f>(électricité!F32)*0.086</f>
        <v>2.9096977968749997</v>
      </c>
      <c r="P12" s="46">
        <f>électricité!F36*0.086</f>
        <v>0.85999999999999988</v>
      </c>
      <c r="Q12" s="46"/>
      <c r="R12" s="45"/>
      <c r="S12" s="341"/>
      <c r="T12" s="783"/>
      <c r="U12" s="7"/>
      <c r="V12" s="773"/>
      <c r="W12" s="257"/>
      <c r="X12" s="260"/>
      <c r="Y12" s="257"/>
      <c r="Z12" s="260"/>
      <c r="AA12" s="257"/>
      <c r="AB12" s="36"/>
      <c r="AC12" s="38" t="s">
        <v>490</v>
      </c>
      <c r="AD12" s="763"/>
      <c r="AE12" s="763"/>
      <c r="AF12" s="763"/>
      <c r="AG12" s="763"/>
      <c r="AH12" s="773"/>
      <c r="AJ12" s="344"/>
      <c r="AK12" s="309"/>
      <c r="AL12" s="260"/>
      <c r="AM12" s="257"/>
      <c r="AN12" s="260"/>
      <c r="AO12" s="257"/>
    </row>
    <row r="13" spans="1:42">
      <c r="B13" s="24" t="s">
        <v>62</v>
      </c>
      <c r="C13" s="27">
        <f>G39</f>
        <v>6.4579573013781273</v>
      </c>
      <c r="E13" s="767"/>
      <c r="F13" s="1" t="s">
        <v>27</v>
      </c>
      <c r="G13" s="2"/>
      <c r="H13" s="768"/>
      <c r="I13" s="3"/>
      <c r="J13" s="769"/>
      <c r="K13" s="2">
        <f t="shared" si="2"/>
        <v>0</v>
      </c>
      <c r="L13" s="769"/>
      <c r="M13" s="37">
        <f>électricité!F34*0.086</f>
        <v>4.466457994236503</v>
      </c>
      <c r="N13" s="768"/>
      <c r="O13" s="46"/>
      <c r="P13" s="46"/>
      <c r="Q13" s="46"/>
      <c r="R13" s="45"/>
      <c r="S13" s="341"/>
      <c r="T13" s="783"/>
      <c r="U13" s="1"/>
      <c r="V13" s="773"/>
      <c r="W13" s="257">
        <f>'scenario demande'!$F$339</f>
        <v>0.5163997416771744</v>
      </c>
      <c r="X13" s="260">
        <f>'scenario demande'!$F$12</f>
        <v>9.5467787862414486</v>
      </c>
      <c r="Y13" s="257">
        <f>'scenario demande'!$F$113</f>
        <v>11.42328337074772</v>
      </c>
      <c r="Z13" s="260">
        <f>'scenario demande'!$F$188</f>
        <v>11.275672461589828</v>
      </c>
      <c r="AA13" s="257">
        <f>'scenario demande'!$F$278</f>
        <v>2.1105144038096109</v>
      </c>
      <c r="AB13" s="36"/>
      <c r="AC13" s="38"/>
      <c r="AD13" s="763"/>
      <c r="AE13" s="763"/>
      <c r="AF13" s="763"/>
      <c r="AG13" s="763"/>
      <c r="AH13" s="773"/>
      <c r="AI13" s="27">
        <f>SUM(AD7:AH19)</f>
        <v>35.999086075644058</v>
      </c>
      <c r="AJ13" s="344">
        <f>SUM(AK7:AO19)</f>
        <v>35.999086075644058</v>
      </c>
      <c r="AK13" s="310">
        <f>AD7</f>
        <v>0.52139695767717442</v>
      </c>
      <c r="AL13" s="260">
        <f>AE7</f>
        <v>9.567932510751163</v>
      </c>
      <c r="AM13" s="260">
        <f>AF7</f>
        <v>12.367304972173393</v>
      </c>
      <c r="AN13" s="260">
        <f>AG7</f>
        <v>11.433853160291584</v>
      </c>
      <c r="AO13" s="260">
        <f>AH7</f>
        <v>2.1085984747507398</v>
      </c>
    </row>
    <row r="14" spans="1:42">
      <c r="B14" s="24" t="s">
        <v>48</v>
      </c>
      <c r="C14" s="27">
        <f>G38</f>
        <v>2.2999999999999998</v>
      </c>
      <c r="E14" s="767"/>
      <c r="F14" s="1" t="s">
        <v>28</v>
      </c>
      <c r="G14" s="2"/>
      <c r="H14" s="768"/>
      <c r="I14" s="3"/>
      <c r="J14" s="769"/>
      <c r="K14" s="2">
        <f t="shared" si="2"/>
        <v>0</v>
      </c>
      <c r="L14" s="769"/>
      <c r="N14" s="768"/>
      <c r="O14" s="46"/>
      <c r="P14" s="46"/>
      <c r="Q14" s="46"/>
      <c r="R14" s="45"/>
      <c r="S14" s="341"/>
      <c r="T14" s="783"/>
      <c r="U14" s="1"/>
      <c r="V14" s="773"/>
      <c r="W14" s="257"/>
      <c r="X14" s="260"/>
      <c r="Y14" s="257"/>
      <c r="Z14" s="260"/>
      <c r="AA14" s="257"/>
      <c r="AB14" s="36"/>
      <c r="AC14" s="38"/>
      <c r="AD14" s="763"/>
      <c r="AE14" s="763"/>
      <c r="AF14" s="763"/>
      <c r="AG14" s="763"/>
      <c r="AH14" s="773"/>
      <c r="AJ14" s="344"/>
      <c r="AK14" s="309"/>
      <c r="AL14" s="260"/>
      <c r="AM14" s="257"/>
      <c r="AN14" s="260"/>
      <c r="AO14" s="257"/>
    </row>
    <row r="15" spans="1:42">
      <c r="B15" s="24" t="s">
        <v>35</v>
      </c>
      <c r="C15" s="27">
        <f>G36+G31</f>
        <v>0.55001399354250613</v>
      </c>
      <c r="E15" s="767"/>
      <c r="F15" s="1" t="s">
        <v>29</v>
      </c>
      <c r="G15" s="2">
        <f>électricité!F30*0.086</f>
        <v>0.29250321679687497</v>
      </c>
      <c r="H15" s="768"/>
      <c r="I15" s="3"/>
      <c r="J15" s="769"/>
      <c r="K15" s="2">
        <f t="shared" si="2"/>
        <v>0.29250321679687497</v>
      </c>
      <c r="L15" s="769"/>
      <c r="N15" s="768"/>
      <c r="O15" s="46"/>
      <c r="P15" s="46"/>
      <c r="Q15" s="46"/>
      <c r="R15" s="45"/>
      <c r="S15" s="341"/>
      <c r="T15" s="783"/>
      <c r="U15" s="1"/>
      <c r="V15" s="773"/>
      <c r="W15" s="257"/>
      <c r="X15" s="260"/>
      <c r="Y15" s="257"/>
      <c r="Z15" s="260"/>
      <c r="AA15" s="257"/>
      <c r="AB15" s="36"/>
      <c r="AC15" s="38"/>
      <c r="AD15" s="763"/>
      <c r="AE15" s="763"/>
      <c r="AF15" s="763"/>
      <c r="AG15" s="763"/>
      <c r="AH15" s="773"/>
      <c r="AJ15" s="344"/>
      <c r="AK15" s="309"/>
      <c r="AL15" s="260"/>
      <c r="AM15" s="257"/>
      <c r="AN15" s="260"/>
      <c r="AO15" s="257"/>
    </row>
    <row r="16" spans="1:42">
      <c r="B16" s="24" t="s">
        <v>39</v>
      </c>
      <c r="C16" s="27">
        <f>G12+G16+G27+G28</f>
        <v>6.0913767475161249</v>
      </c>
      <c r="E16" s="767"/>
      <c r="F16" s="1" t="s">
        <v>30</v>
      </c>
      <c r="G16" s="2">
        <v>0</v>
      </c>
      <c r="H16" s="768"/>
      <c r="I16" s="3"/>
      <c r="J16" s="769"/>
      <c r="K16" s="2">
        <f>électricité!F20*0.086</f>
        <v>0.21691822412109374</v>
      </c>
      <c r="L16" s="769"/>
      <c r="N16" s="768"/>
      <c r="O16" s="46"/>
      <c r="P16" s="46"/>
      <c r="Q16" s="46"/>
      <c r="R16" s="45"/>
      <c r="S16" s="341"/>
      <c r="T16" s="783"/>
      <c r="U16" s="1"/>
      <c r="V16" s="773"/>
      <c r="W16" s="257"/>
      <c r="X16" s="260"/>
      <c r="Y16" s="257"/>
      <c r="Z16" s="260"/>
      <c r="AA16" s="257"/>
      <c r="AB16" s="36"/>
      <c r="AC16" s="38"/>
      <c r="AD16" s="763"/>
      <c r="AE16" s="763"/>
      <c r="AF16" s="763"/>
      <c r="AG16" s="763"/>
      <c r="AH16" s="773"/>
      <c r="AJ16" s="344"/>
      <c r="AK16" s="309"/>
      <c r="AL16" s="260"/>
      <c r="AM16" s="257"/>
      <c r="AN16" s="260"/>
      <c r="AO16" s="257"/>
    </row>
    <row r="17" spans="1:41">
      <c r="C17" s="27"/>
      <c r="E17" s="767"/>
      <c r="F17" s="1" t="s">
        <v>466</v>
      </c>
      <c r="G17" s="2">
        <f>électricité!F6</f>
        <v>0.10049864959716796</v>
      </c>
      <c r="H17" s="768"/>
      <c r="I17" s="3">
        <f>G17-K17</f>
        <v>6.053394464111328E-2</v>
      </c>
      <c r="J17" s="769"/>
      <c r="K17" s="5">
        <f>électricité!F17*0.086</f>
        <v>3.9964704956054684E-2</v>
      </c>
      <c r="L17" s="769"/>
      <c r="N17" s="768"/>
      <c r="O17" s="46"/>
      <c r="P17" s="46"/>
      <c r="Q17" s="46"/>
      <c r="R17" s="45"/>
      <c r="S17" s="341"/>
      <c r="T17" s="783"/>
      <c r="U17" s="1"/>
      <c r="V17" s="773"/>
      <c r="W17" s="257"/>
      <c r="X17" s="260"/>
      <c r="Y17" s="257"/>
      <c r="Z17" s="260"/>
      <c r="AA17" s="257"/>
      <c r="AB17" s="36"/>
      <c r="AC17" s="38"/>
      <c r="AD17" s="763"/>
      <c r="AE17" s="763"/>
      <c r="AF17" s="763"/>
      <c r="AG17" s="763"/>
      <c r="AH17" s="773"/>
      <c r="AJ17" s="344"/>
      <c r="AK17" s="309"/>
      <c r="AL17" s="260"/>
      <c r="AM17" s="257"/>
      <c r="AN17" s="260"/>
      <c r="AO17" s="257"/>
    </row>
    <row r="18" spans="1:41">
      <c r="C18" s="27"/>
      <c r="E18" s="767"/>
      <c r="F18" s="1" t="s">
        <v>181</v>
      </c>
      <c r="G18" s="2">
        <f>électricité!F4</f>
        <v>4.3214882812499997</v>
      </c>
      <c r="H18" s="768"/>
      <c r="I18" s="3">
        <f>G18-K18</f>
        <v>2.8469628515625001</v>
      </c>
      <c r="J18" s="769"/>
      <c r="K18" s="2">
        <f>électricité!F10*0.086</f>
        <v>1.4745254296874999</v>
      </c>
      <c r="L18" s="769"/>
      <c r="N18" s="768"/>
      <c r="O18" s="46"/>
      <c r="P18" s="46"/>
      <c r="Q18" s="46"/>
      <c r="R18" s="45"/>
      <c r="S18" s="341"/>
      <c r="T18" s="783"/>
      <c r="U18" s="1"/>
      <c r="V18" s="773"/>
      <c r="W18" s="257"/>
      <c r="X18" s="260"/>
      <c r="Y18" s="257"/>
      <c r="Z18" s="260"/>
      <c r="AA18" s="257"/>
      <c r="AB18" s="36"/>
      <c r="AC18" s="38"/>
      <c r="AD18" s="763"/>
      <c r="AE18" s="763"/>
      <c r="AF18" s="763"/>
      <c r="AG18" s="763"/>
      <c r="AH18" s="773"/>
      <c r="AJ18" s="344"/>
      <c r="AK18" s="309"/>
      <c r="AL18" s="260"/>
      <c r="AM18" s="257"/>
      <c r="AN18" s="260"/>
      <c r="AO18" s="257"/>
    </row>
    <row r="19" spans="1:41">
      <c r="B19" s="24" t="s">
        <v>49</v>
      </c>
      <c r="C19" s="27">
        <f>G15</f>
        <v>0.29250321679687497</v>
      </c>
      <c r="D19" s="27"/>
      <c r="E19" s="767"/>
      <c r="F19" s="1" t="s">
        <v>31</v>
      </c>
      <c r="G19" s="2">
        <f>'bilan complet'!F161-I32-I29</f>
        <v>13.324880235851008</v>
      </c>
      <c r="H19" s="768"/>
      <c r="I19" s="3">
        <f>G19-K19</f>
        <v>8.5314444858510079</v>
      </c>
      <c r="J19" s="769"/>
      <c r="K19" s="2">
        <f>électricité!F12*0.086</f>
        <v>4.7934357499999996</v>
      </c>
      <c r="L19" s="769"/>
      <c r="N19" s="768"/>
      <c r="O19" s="46"/>
      <c r="P19" s="46"/>
      <c r="Q19" s="46"/>
      <c r="R19" s="45"/>
      <c r="S19" s="341"/>
      <c r="T19" s="783"/>
      <c r="U19" s="1"/>
      <c r="V19" s="774"/>
      <c r="W19" s="258"/>
      <c r="X19" s="261"/>
      <c r="Y19" s="258"/>
      <c r="Z19" s="261"/>
      <c r="AA19" s="258"/>
      <c r="AB19" s="36"/>
      <c r="AC19" s="269"/>
      <c r="AD19" s="764"/>
      <c r="AE19" s="764"/>
      <c r="AF19" s="764"/>
      <c r="AG19" s="764"/>
      <c r="AH19" s="774"/>
      <c r="AJ19" s="345"/>
      <c r="AK19" s="311"/>
      <c r="AL19" s="261"/>
      <c r="AM19" s="258"/>
      <c r="AN19" s="261"/>
      <c r="AO19" s="258"/>
    </row>
    <row r="20" spans="1:41">
      <c r="E20" s="1"/>
      <c r="F20" s="1"/>
      <c r="G20" s="1"/>
      <c r="H20" s="1"/>
      <c r="I20" s="2"/>
      <c r="J20" s="2"/>
      <c r="K20" s="2"/>
      <c r="L20" s="1"/>
      <c r="M20" s="1"/>
      <c r="N20" s="1"/>
      <c r="O20" s="1"/>
      <c r="P20" s="1"/>
      <c r="Q20" s="1"/>
      <c r="R20" s="1"/>
      <c r="S20" s="1"/>
      <c r="T20" s="363">
        <f>T7-électricité!F38*0.086</f>
        <v>0</v>
      </c>
      <c r="U20" s="265"/>
      <c r="V20" s="2"/>
      <c r="W20" s="1"/>
      <c r="X20" s="2"/>
      <c r="Y20" s="1"/>
      <c r="Z20" s="2"/>
      <c r="AA20" s="1"/>
      <c r="AJ20" s="2"/>
      <c r="AK20" s="1"/>
      <c r="AL20" s="2"/>
      <c r="AM20" s="1"/>
      <c r="AN20" s="2"/>
      <c r="AO20" s="1"/>
    </row>
    <row r="21" spans="1:41">
      <c r="A21" s="24" t="s">
        <v>50</v>
      </c>
      <c r="B21" s="24" t="s">
        <v>24</v>
      </c>
      <c r="C21" s="27">
        <f>G10</f>
        <v>64.91</v>
      </c>
      <c r="E21" s="775" t="s">
        <v>12</v>
      </c>
      <c r="F21" s="1" t="s">
        <v>25</v>
      </c>
      <c r="G21" s="2"/>
      <c r="H21" s="776">
        <f>SUM(G21:G24)</f>
        <v>36.935808485106627</v>
      </c>
      <c r="J21" s="776"/>
      <c r="K21" s="2">
        <f t="shared" si="2"/>
        <v>0</v>
      </c>
      <c r="L21" s="777">
        <f>SUM(K21:K24)</f>
        <v>36.935808485106627</v>
      </c>
      <c r="M21" s="2"/>
      <c r="N21" s="777">
        <f>L21</f>
        <v>36.935808485106627</v>
      </c>
      <c r="O21" s="779"/>
      <c r="P21" s="779"/>
      <c r="Q21" s="779"/>
      <c r="R21" s="322"/>
      <c r="S21" s="322"/>
      <c r="T21" s="322"/>
      <c r="U21" s="1"/>
      <c r="V21" s="780">
        <f>SUM(W23:AA23)</f>
        <v>23.070724760583339</v>
      </c>
      <c r="W21" s="230"/>
      <c r="X21" s="230"/>
      <c r="Y21" s="230"/>
      <c r="Z21" s="230"/>
      <c r="AA21" s="231"/>
      <c r="AC21" s="267"/>
      <c r="AD21" s="277"/>
      <c r="AE21" s="277"/>
      <c r="AF21" s="277"/>
      <c r="AG21" s="277"/>
      <c r="AH21" s="270"/>
      <c r="AJ21" s="304"/>
      <c r="AK21" s="231"/>
      <c r="AL21" s="230"/>
      <c r="AM21" s="230"/>
      <c r="AN21" s="230"/>
      <c r="AO21" s="231"/>
    </row>
    <row r="22" spans="1:41">
      <c r="B22" s="24" t="s">
        <v>34</v>
      </c>
      <c r="C22" s="27">
        <f>G24+G32</f>
        <v>38.46565019697956</v>
      </c>
      <c r="E22" s="775"/>
      <c r="F22" s="1" t="s">
        <v>32</v>
      </c>
      <c r="G22" s="2"/>
      <c r="H22" s="758"/>
      <c r="J22" s="758"/>
      <c r="K22" s="2">
        <f t="shared" si="2"/>
        <v>0</v>
      </c>
      <c r="L22" s="778"/>
      <c r="M22" s="2"/>
      <c r="N22" s="777"/>
      <c r="O22" s="779"/>
      <c r="P22" s="779"/>
      <c r="Q22" s="779"/>
      <c r="R22" s="334"/>
      <c r="S22" s="340"/>
      <c r="T22" s="340"/>
      <c r="U22" s="1"/>
      <c r="V22" s="781"/>
      <c r="W22" s="334"/>
      <c r="X22" s="334"/>
      <c r="Y22" s="334"/>
      <c r="Z22" s="334"/>
      <c r="AA22" s="340"/>
      <c r="AC22" s="268"/>
      <c r="AD22" s="278"/>
      <c r="AE22" s="278"/>
      <c r="AF22" s="278"/>
      <c r="AG22" s="278"/>
      <c r="AH22" s="271"/>
      <c r="AJ22" s="305"/>
      <c r="AK22" s="340"/>
      <c r="AL22" s="334"/>
      <c r="AM22" s="334"/>
      <c r="AN22" s="334"/>
      <c r="AO22" s="340"/>
    </row>
    <row r="23" spans="1:41">
      <c r="B23" s="24" t="s">
        <v>51</v>
      </c>
      <c r="C23" s="27">
        <f>G40+G41</f>
        <v>54.707637523793366</v>
      </c>
      <c r="E23" s="775"/>
      <c r="F23" s="1" t="s">
        <v>33</v>
      </c>
      <c r="G23" s="2"/>
      <c r="H23" s="758"/>
      <c r="I23" s="27"/>
      <c r="J23" s="758"/>
      <c r="K23" s="2">
        <f t="shared" si="2"/>
        <v>0</v>
      </c>
      <c r="L23" s="778"/>
      <c r="M23" s="2"/>
      <c r="N23" s="777"/>
      <c r="O23" s="779"/>
      <c r="P23" s="779"/>
      <c r="Q23" s="779"/>
      <c r="R23" s="334">
        <f>G32</f>
        <v>1.5298417118729364</v>
      </c>
      <c r="S23" s="340">
        <f>G19</f>
        <v>13.324880235851008</v>
      </c>
      <c r="T23" s="340">
        <f>N21-R23-S23</f>
        <v>22.081086537382685</v>
      </c>
      <c r="U23" s="1"/>
      <c r="V23" s="781"/>
      <c r="W23" s="235">
        <f>'scenario demande'!F337</f>
        <v>0.36928274984748483</v>
      </c>
      <c r="X23" s="244">
        <f>'scenario demande'!F10</f>
        <v>8.4368572918976454</v>
      </c>
      <c r="Y23" s="244">
        <f>'scenario demande'!F110</f>
        <v>9.1130794402702868</v>
      </c>
      <c r="Z23" s="244">
        <f>'scenario demande'!F186</f>
        <v>4.8167624158446749</v>
      </c>
      <c r="AA23" s="232">
        <f>'scenario demande'!F277+'scenario demande'!F279</f>
        <v>0.33474286272324677</v>
      </c>
      <c r="AC23" s="38"/>
      <c r="AD23" s="278"/>
      <c r="AE23" s="278"/>
      <c r="AF23" s="278"/>
      <c r="AG23" s="278"/>
      <c r="AH23" s="271"/>
      <c r="AJ23" s="305">
        <f>SUM(AK23:AO23)</f>
        <v>22.081086537382681</v>
      </c>
      <c r="AK23" s="312">
        <f>$T$23*W23/$V$21</f>
        <v>0.35344205441159182</v>
      </c>
      <c r="AL23" s="312">
        <f t="shared" ref="AL23:AO23" si="3">$T$23*X23/$V$21</f>
        <v>8.0749511729353056</v>
      </c>
      <c r="AM23" s="312">
        <f t="shared" si="3"/>
        <v>8.722166201143791</v>
      </c>
      <c r="AN23" s="312">
        <f t="shared" si="3"/>
        <v>4.610143323975465</v>
      </c>
      <c r="AO23" s="312">
        <f t="shared" si="3"/>
        <v>0.32038378491653124</v>
      </c>
    </row>
    <row r="24" spans="1:41">
      <c r="B24" s="24" t="s">
        <v>40</v>
      </c>
      <c r="C24" s="27">
        <f>G44+G18</f>
        <v>9.1050722016850205</v>
      </c>
      <c r="E24" s="775"/>
      <c r="F24" s="1" t="s">
        <v>34</v>
      </c>
      <c r="G24" s="2">
        <f>'bilan complet'!F175-'bilan complet'!F172</f>
        <v>36.935808485106627</v>
      </c>
      <c r="H24" s="758"/>
      <c r="J24" s="758"/>
      <c r="K24" s="2">
        <f t="shared" si="2"/>
        <v>36.935808485106627</v>
      </c>
      <c r="L24" s="778"/>
      <c r="M24" s="6"/>
      <c r="N24" s="777"/>
      <c r="O24" s="779"/>
      <c r="P24" s="779"/>
      <c r="Q24" s="779"/>
      <c r="R24" s="334"/>
      <c r="S24" s="340"/>
      <c r="T24" s="340"/>
      <c r="U24" s="1"/>
      <c r="V24" s="782"/>
      <c r="W24" s="233"/>
      <c r="X24" s="233"/>
      <c r="Y24" s="233"/>
      <c r="Z24" s="233"/>
      <c r="AA24" s="234"/>
      <c r="AC24" s="38"/>
      <c r="AD24" s="278"/>
      <c r="AE24" s="278"/>
      <c r="AF24" s="278"/>
      <c r="AG24" s="278"/>
      <c r="AH24" s="271"/>
      <c r="AJ24" s="306"/>
      <c r="AK24" s="234"/>
      <c r="AL24" s="233"/>
      <c r="AM24" s="233"/>
      <c r="AN24" s="233"/>
      <c r="AO24" s="234"/>
    </row>
    <row r="25" spans="1:41">
      <c r="B25" s="24" t="s">
        <v>39</v>
      </c>
      <c r="C25" s="27">
        <f>G42</f>
        <v>0</v>
      </c>
      <c r="E25" s="1"/>
      <c r="F25" s="1"/>
      <c r="G25" s="1"/>
      <c r="H25" s="1"/>
      <c r="I25" s="1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W25" s="217"/>
      <c r="X25" s="248"/>
      <c r="Y25" s="248"/>
      <c r="Z25" s="248"/>
      <c r="AA25" s="217"/>
      <c r="AC25" s="273" t="s">
        <v>465</v>
      </c>
      <c r="AD25" s="279">
        <f>'bilan complet'!$F$167+'bilan complet'!$J$167</f>
        <v>0.36003972331789691</v>
      </c>
      <c r="AE25" s="279">
        <f>'bilan complet'!$F$164+'bilan complet'!$J$164</f>
        <v>13.828508026956039</v>
      </c>
      <c r="AF25" s="279">
        <f>'bilan complet'!$F$165+'bilan complet'!$J$165</f>
        <v>20.537017709183623</v>
      </c>
      <c r="AG25" s="279">
        <f>'bilan complet'!$F$166+'bilan complet'!$J$166</f>
        <v>6.2181930146898523</v>
      </c>
      <c r="AH25" s="274">
        <f>'bilan complet'!$F$168+'bilan complet'!$J$168</f>
        <v>4.2081679614068452</v>
      </c>
      <c r="AI25" s="27">
        <f>SUM(AD25:AH25)</f>
        <v>45.151926435554252</v>
      </c>
      <c r="AK25" s="217"/>
      <c r="AL25" s="248"/>
      <c r="AM25" s="248"/>
      <c r="AN25" s="248"/>
      <c r="AO25" s="217"/>
    </row>
    <row r="26" spans="1:41">
      <c r="E26" s="788" t="s">
        <v>13</v>
      </c>
      <c r="F26" s="1" t="s">
        <v>25</v>
      </c>
      <c r="G26" s="142">
        <v>0</v>
      </c>
      <c r="H26" s="770">
        <f>SUM(G26:G32)</f>
        <v>4.4424540385215785</v>
      </c>
      <c r="I26" s="142">
        <f>G26-K26</f>
        <v>0</v>
      </c>
      <c r="J26" s="789"/>
      <c r="K26" s="27">
        <f>$L$26*J49</f>
        <v>0</v>
      </c>
      <c r="L26" s="789">
        <f>V29</f>
        <v>3.8842607748792881</v>
      </c>
      <c r="M26" s="1"/>
      <c r="N26" s="770">
        <f>L26</f>
        <v>3.8842607748792881</v>
      </c>
      <c r="O26" s="771"/>
      <c r="P26" s="771"/>
      <c r="Q26" s="771"/>
      <c r="R26" s="790"/>
      <c r="S26" s="791"/>
      <c r="T26" s="791">
        <f>N26-O26-Q26</f>
        <v>3.8842607748792881</v>
      </c>
      <c r="U26" s="1"/>
      <c r="V26" s="236"/>
      <c r="W26" s="236"/>
      <c r="X26" s="236"/>
      <c r="Y26" s="236"/>
      <c r="Z26" s="249"/>
      <c r="AA26" s="236"/>
      <c r="AC26" s="275" t="s">
        <v>491</v>
      </c>
      <c r="AD26" s="280"/>
      <c r="AE26" s="280"/>
      <c r="AF26" s="280"/>
      <c r="AG26" s="280"/>
      <c r="AH26" s="276"/>
      <c r="AI26" s="27"/>
      <c r="AJ26" s="236"/>
      <c r="AK26" s="236"/>
      <c r="AL26" s="236"/>
      <c r="AM26" s="236"/>
      <c r="AN26" s="249"/>
      <c r="AO26" s="236"/>
    </row>
    <row r="27" spans="1:41">
      <c r="E27" s="788"/>
      <c r="F27" s="1" t="s">
        <v>26</v>
      </c>
      <c r="G27" s="142">
        <f>$K$27/'Réseaux de chaleur'!$F$63</f>
        <v>0.83457590487817235</v>
      </c>
      <c r="H27" s="770"/>
      <c r="I27" s="142">
        <f t="shared" ref="I27:I31" si="4">G27-K27</f>
        <v>0</v>
      </c>
      <c r="J27" s="789"/>
      <c r="K27" s="27">
        <f t="shared" ref="K27:K31" si="5">$L$26*J50</f>
        <v>0.83457590487817235</v>
      </c>
      <c r="L27" s="789"/>
      <c r="M27" s="1"/>
      <c r="N27" s="770"/>
      <c r="O27" s="771"/>
      <c r="P27" s="771"/>
      <c r="Q27" s="771"/>
      <c r="R27" s="790"/>
      <c r="S27" s="791"/>
      <c r="T27" s="791"/>
      <c r="U27" s="1"/>
      <c r="V27" s="238"/>
      <c r="W27" s="338"/>
      <c r="X27" s="338"/>
      <c r="Y27" s="338"/>
      <c r="Z27" s="339"/>
      <c r="AA27" s="338"/>
      <c r="AC27" s="38"/>
      <c r="AD27" s="278"/>
      <c r="AE27" s="278"/>
      <c r="AF27" s="278"/>
      <c r="AG27" s="278"/>
      <c r="AH27" s="271"/>
      <c r="AJ27" s="238"/>
      <c r="AK27" s="338"/>
      <c r="AL27" s="338"/>
      <c r="AM27" s="338"/>
      <c r="AN27" s="339"/>
      <c r="AO27" s="338"/>
    </row>
    <row r="28" spans="1:41">
      <c r="E28" s="788"/>
      <c r="F28" s="1" t="s">
        <v>30</v>
      </c>
      <c r="G28" s="142">
        <v>0</v>
      </c>
      <c r="H28" s="770"/>
      <c r="I28" s="142">
        <f t="shared" si="4"/>
        <v>0</v>
      </c>
      <c r="J28" s="789"/>
      <c r="K28" s="27">
        <f>$L$26*J51</f>
        <v>0</v>
      </c>
      <c r="L28" s="789"/>
      <c r="M28" s="1"/>
      <c r="N28" s="770"/>
      <c r="O28" s="771"/>
      <c r="P28" s="771" t="e">
        <v>#REF!</v>
      </c>
      <c r="Q28" s="771"/>
      <c r="R28" s="790" t="e">
        <v>#REF!</v>
      </c>
      <c r="S28" s="791" t="e">
        <v>#REF!</v>
      </c>
      <c r="T28" s="791"/>
      <c r="U28" s="1"/>
      <c r="V28" s="238"/>
      <c r="W28" s="338"/>
      <c r="X28" s="338"/>
      <c r="Y28" s="338"/>
      <c r="Z28" s="339"/>
      <c r="AA28" s="338"/>
      <c r="AC28" s="38"/>
      <c r="AD28" s="278"/>
      <c r="AE28" s="278"/>
      <c r="AF28" s="278"/>
      <c r="AG28" s="278"/>
      <c r="AH28" s="271"/>
      <c r="AJ28" s="238"/>
      <c r="AK28" s="338"/>
      <c r="AL28" s="338"/>
      <c r="AM28" s="338"/>
      <c r="AN28" s="339"/>
      <c r="AO28" s="338"/>
    </row>
    <row r="29" spans="1:41">
      <c r="E29" s="788"/>
      <c r="F29" s="1" t="s">
        <v>27</v>
      </c>
      <c r="G29" s="142">
        <f>$K$29/'Réseaux de chaleur'!$F$62</f>
        <v>1.5338816335083287</v>
      </c>
      <c r="H29" s="770"/>
      <c r="I29" s="142">
        <f>G29-K29</f>
        <v>0.28173336125663173</v>
      </c>
      <c r="J29" s="789"/>
      <c r="K29" s="27">
        <f t="shared" si="5"/>
        <v>1.252148272251697</v>
      </c>
      <c r="L29" s="789"/>
      <c r="M29" s="1"/>
      <c r="N29" s="770"/>
      <c r="O29" s="771"/>
      <c r="P29" s="771" t="e">
        <v>#REF!</v>
      </c>
      <c r="Q29" s="771"/>
      <c r="R29" s="790" t="e">
        <v>#REF!</v>
      </c>
      <c r="S29" s="791" t="e">
        <v>#REF!</v>
      </c>
      <c r="T29" s="791"/>
      <c r="U29" s="1"/>
      <c r="V29" s="242">
        <f>SUM(W29:AA29)</f>
        <v>3.8842607748792881</v>
      </c>
      <c r="W29" s="243">
        <f>'scenario demande'!F340</f>
        <v>0</v>
      </c>
      <c r="X29" s="243">
        <f>'scenario demande'!F13</f>
        <v>1.4819753099038921</v>
      </c>
      <c r="Y29" s="243">
        <f>'scenario demande'!F114</f>
        <v>1.5386020056116005</v>
      </c>
      <c r="Z29" s="241">
        <f>'scenario demande'!F189</f>
        <v>0.86368345936379554</v>
      </c>
      <c r="AA29" s="338"/>
      <c r="AC29" s="38"/>
      <c r="AD29" s="278"/>
      <c r="AE29" s="278"/>
      <c r="AF29" s="278"/>
      <c r="AG29" s="278"/>
      <c r="AH29" s="271"/>
      <c r="AJ29" s="242">
        <f>SUM(AK29:AO29)</f>
        <v>3.8842607748792881</v>
      </c>
      <c r="AK29" s="243">
        <f>W29</f>
        <v>0</v>
      </c>
      <c r="AL29" s="243">
        <f>X29</f>
        <v>1.4819753099038921</v>
      </c>
      <c r="AM29" s="243">
        <f>Y29</f>
        <v>1.5386020056116005</v>
      </c>
      <c r="AN29" s="243">
        <f>Z29</f>
        <v>0.86368345936379554</v>
      </c>
      <c r="AO29" s="243">
        <f>AA29</f>
        <v>0</v>
      </c>
    </row>
    <row r="30" spans="1:41">
      <c r="E30" s="788"/>
      <c r="F30" s="1" t="s">
        <v>28</v>
      </c>
      <c r="G30" s="142">
        <f>$K$30/'Réseaux de chaleur'!$F$64</f>
        <v>0.19601459598080881</v>
      </c>
      <c r="H30" s="770"/>
      <c r="I30" s="142">
        <f t="shared" si="4"/>
        <v>0</v>
      </c>
      <c r="J30" s="789"/>
      <c r="K30" s="27">
        <f t="shared" si="5"/>
        <v>0.19601459598080881</v>
      </c>
      <c r="L30" s="789"/>
      <c r="M30" s="1"/>
      <c r="N30" s="770"/>
      <c r="O30" s="771"/>
      <c r="P30" s="771"/>
      <c r="Q30" s="771"/>
      <c r="R30" s="790"/>
      <c r="S30" s="791"/>
      <c r="T30" s="791"/>
      <c r="U30" s="1"/>
      <c r="V30" s="238"/>
      <c r="W30" s="338"/>
      <c r="X30" s="338"/>
      <c r="Y30" s="338"/>
      <c r="Z30" s="339"/>
      <c r="AA30" s="338"/>
      <c r="AC30" s="38"/>
      <c r="AD30" s="278"/>
      <c r="AE30" s="278"/>
      <c r="AF30" s="278"/>
      <c r="AG30" s="278"/>
      <c r="AH30" s="271"/>
      <c r="AJ30" s="238"/>
      <c r="AK30" s="338"/>
      <c r="AL30" s="338"/>
      <c r="AM30" s="338"/>
      <c r="AN30" s="339"/>
      <c r="AO30" s="338"/>
    </row>
    <row r="31" spans="1:41">
      <c r="E31" s="788"/>
      <c r="F31" s="1" t="s">
        <v>35</v>
      </c>
      <c r="G31" s="142">
        <f>$K$31/'Réseaux de chaleur'!$F$65</f>
        <v>0.34814019228133297</v>
      </c>
      <c r="H31" s="770"/>
      <c r="I31" s="142">
        <f t="shared" si="4"/>
        <v>0</v>
      </c>
      <c r="J31" s="789"/>
      <c r="K31" s="27">
        <f t="shared" si="5"/>
        <v>0.34814019228133297</v>
      </c>
      <c r="L31" s="789"/>
      <c r="M31" s="1"/>
      <c r="N31" s="770"/>
      <c r="O31" s="771"/>
      <c r="P31" s="771"/>
      <c r="Q31" s="771"/>
      <c r="R31" s="790"/>
      <c r="S31" s="791"/>
      <c r="T31" s="791"/>
      <c r="U31" s="1"/>
      <c r="V31" s="238"/>
      <c r="W31" s="338"/>
      <c r="X31" s="338"/>
      <c r="Y31" s="338"/>
      <c r="Z31" s="339"/>
      <c r="AA31" s="338"/>
      <c r="AC31" s="38"/>
      <c r="AD31" s="278"/>
      <c r="AE31" s="278"/>
      <c r="AF31" s="278"/>
      <c r="AG31" s="278"/>
      <c r="AH31" s="271"/>
      <c r="AJ31" s="238"/>
      <c r="AK31" s="338"/>
      <c r="AL31" s="338"/>
      <c r="AM31" s="338"/>
      <c r="AN31" s="339"/>
      <c r="AO31" s="338"/>
    </row>
    <row r="32" spans="1:41">
      <c r="E32" s="788"/>
      <c r="F32" s="1" t="s">
        <v>31</v>
      </c>
      <c r="G32" s="142">
        <f>$K$32/'Réseaux de chaleur'!$F$61</f>
        <v>1.5298417118729364</v>
      </c>
      <c r="H32" s="770"/>
      <c r="I32" s="142">
        <f>G32-K32</f>
        <v>0.2764599023856591</v>
      </c>
      <c r="J32" s="789"/>
      <c r="K32" s="27">
        <f>$L$26*J55</f>
        <v>1.2533818094872773</v>
      </c>
      <c r="L32" s="789"/>
      <c r="M32" s="1"/>
      <c r="N32" s="770"/>
      <c r="O32" s="771"/>
      <c r="P32" s="771"/>
      <c r="Q32" s="771"/>
      <c r="R32" s="790"/>
      <c r="S32" s="791"/>
      <c r="T32" s="791"/>
      <c r="U32" s="1"/>
      <c r="V32" s="239"/>
      <c r="W32" s="237"/>
      <c r="X32" s="237"/>
      <c r="Y32" s="237"/>
      <c r="Z32" s="240"/>
      <c r="AA32" s="237"/>
      <c r="AC32" s="38"/>
      <c r="AD32" s="278"/>
      <c r="AE32" s="278"/>
      <c r="AF32" s="278"/>
      <c r="AG32" s="278"/>
      <c r="AH32" s="271"/>
      <c r="AJ32" s="239"/>
      <c r="AK32" s="237"/>
      <c r="AL32" s="237"/>
      <c r="AM32" s="237"/>
      <c r="AN32" s="240"/>
      <c r="AO32" s="237"/>
    </row>
    <row r="33" spans="5:41">
      <c r="E33" s="4"/>
      <c r="F33" s="1"/>
      <c r="H33" s="363">
        <f>SUM(G49:G55)-'Réseaux de chaleur'!F78</f>
        <v>0</v>
      </c>
      <c r="I33" s="1"/>
      <c r="J33" s="1"/>
      <c r="K33" s="2"/>
      <c r="L33" s="364">
        <f>SUM(H49:H55)-'Réseaux de chaleur'!F54</f>
        <v>0</v>
      </c>
      <c r="M33" s="1"/>
      <c r="N33" s="1"/>
      <c r="O33" s="1"/>
      <c r="P33" s="1"/>
      <c r="Q33" s="1"/>
      <c r="R33" s="1"/>
      <c r="S33" s="1"/>
      <c r="T33" s="361">
        <f>T23+T26+G35+G36+G38-('bilan complet'!F169+'bilan complet'!G169+'bilan complet'!J169)</f>
        <v>0</v>
      </c>
      <c r="U33" s="1"/>
      <c r="X33" s="27"/>
      <c r="Y33" s="27"/>
      <c r="Z33" s="27"/>
      <c r="AC33" s="38"/>
      <c r="AD33" s="278"/>
      <c r="AE33" s="278"/>
      <c r="AF33" s="278"/>
      <c r="AG33" s="278"/>
      <c r="AH33" s="271"/>
      <c r="AL33" s="27"/>
      <c r="AM33" s="27"/>
      <c r="AN33" s="27"/>
    </row>
    <row r="34" spans="5:41">
      <c r="E34" s="784" t="s">
        <v>36</v>
      </c>
      <c r="F34" s="1" t="s">
        <v>25</v>
      </c>
      <c r="H34" s="784">
        <f>SUM(G34:G44)</f>
        <v>86.739040824446121</v>
      </c>
      <c r="I34" s="343"/>
      <c r="J34" s="786"/>
      <c r="K34" s="2">
        <f t="shared" si="2"/>
        <v>0</v>
      </c>
      <c r="L34" s="784">
        <f>SUM(K34:K44)</f>
        <v>82.686623230091058</v>
      </c>
      <c r="M34" s="337"/>
      <c r="N34" s="337"/>
      <c r="O34" s="337"/>
      <c r="P34" s="337"/>
      <c r="Q34" s="337"/>
      <c r="R34" s="337"/>
      <c r="S34" s="337"/>
      <c r="T34" s="252"/>
      <c r="V34" s="784">
        <f>SUM(W34:AA44)</f>
        <v>57.503997380019236</v>
      </c>
      <c r="W34" s="134"/>
      <c r="X34" s="133"/>
      <c r="Y34" s="134"/>
      <c r="Z34" s="135"/>
      <c r="AA34" s="132"/>
      <c r="AC34" s="38"/>
      <c r="AD34" s="278"/>
      <c r="AE34" s="278"/>
      <c r="AF34" s="278"/>
      <c r="AG34" s="278"/>
      <c r="AH34" s="271"/>
      <c r="AJ34" s="132"/>
      <c r="AK34" s="134"/>
      <c r="AL34" s="133"/>
      <c r="AM34" s="134"/>
      <c r="AN34" s="135"/>
      <c r="AO34" s="132"/>
    </row>
    <row r="35" spans="5:41">
      <c r="E35" s="784"/>
      <c r="F35" s="1" t="s">
        <v>27</v>
      </c>
      <c r="G35" s="27">
        <f>'bilan complet'!J175-G12-G27-G29-G30-G31-G36-G38</f>
        <v>16.68470532203111</v>
      </c>
      <c r="H35" s="784"/>
      <c r="I35" s="343">
        <v>0</v>
      </c>
      <c r="J35" s="786"/>
      <c r="K35" s="2">
        <f>G35-I35</f>
        <v>16.68470532203111</v>
      </c>
      <c r="L35" s="784"/>
      <c r="M35" s="337"/>
      <c r="N35" s="337"/>
      <c r="O35" s="337"/>
      <c r="P35" s="337"/>
      <c r="Q35" s="337"/>
      <c r="R35" s="337"/>
      <c r="S35" s="337"/>
      <c r="T35" s="253"/>
      <c r="V35" s="784"/>
      <c r="W35" s="351">
        <f>'scenario demande'!F341</f>
        <v>7.1640853470412061E-2</v>
      </c>
      <c r="X35" s="352">
        <f>'scenario demande'!F14</f>
        <v>4.585166059591784</v>
      </c>
      <c r="Y35" s="351">
        <f>'scenario demande'!F115-'scenario demande'!F166</f>
        <v>6.5638261553746853</v>
      </c>
      <c r="Z35" s="353">
        <f>'scenario demande'!F190-'scenario demande'!F236</f>
        <v>1.5046007194877438</v>
      </c>
      <c r="AA35" s="146"/>
      <c r="AB35" s="24">
        <f>SUM(W35:AA35)</f>
        <v>12.725233787924626</v>
      </c>
      <c r="AC35" s="38"/>
      <c r="AD35" s="278"/>
      <c r="AE35" s="278"/>
      <c r="AF35" s="278"/>
      <c r="AG35" s="278"/>
      <c r="AH35" s="271"/>
      <c r="AJ35" s="335"/>
      <c r="AK35" s="136">
        <f>W35</f>
        <v>7.1640853470412061E-2</v>
      </c>
      <c r="AL35" s="136">
        <f t="shared" ref="AL35:AN35" si="6">X35</f>
        <v>4.585166059591784</v>
      </c>
      <c r="AM35" s="148">
        <f>Y35+K35-SUM(W35:AA35)-AO35</f>
        <v>6.6358683140174133</v>
      </c>
      <c r="AN35" s="136">
        <f t="shared" si="6"/>
        <v>1.5046007194877438</v>
      </c>
      <c r="AO35" s="136">
        <f>'bilan complet'!J168</f>
        <v>3.8874293754637548</v>
      </c>
    </row>
    <row r="36" spans="5:41">
      <c r="E36" s="784"/>
      <c r="F36" s="1" t="s">
        <v>35</v>
      </c>
      <c r="G36" s="27">
        <f>'scenario demande'!F166</f>
        <v>0.2018738012611731</v>
      </c>
      <c r="H36" s="784"/>
      <c r="I36" s="343"/>
      <c r="J36" s="786"/>
      <c r="K36" s="2">
        <f t="shared" si="2"/>
        <v>0.2018738012611731</v>
      </c>
      <c r="L36" s="784"/>
      <c r="M36" s="337"/>
      <c r="N36" s="337"/>
      <c r="O36" s="337"/>
      <c r="P36" s="337"/>
      <c r="Q36" s="337"/>
      <c r="R36" s="337"/>
      <c r="S36" s="337"/>
      <c r="T36" s="253"/>
      <c r="V36" s="784"/>
      <c r="W36" s="354"/>
      <c r="X36" s="352"/>
      <c r="Y36" s="351">
        <f>'scenario demande'!F166</f>
        <v>0.2018738012611731</v>
      </c>
      <c r="Z36" s="353">
        <f>'scenario demande'!F236</f>
        <v>9.3692324325151968E-2</v>
      </c>
      <c r="AA36" s="346"/>
      <c r="AB36" s="24">
        <f>SUM(W36:AA36)</f>
        <v>0.29556612558632506</v>
      </c>
      <c r="AC36" s="269"/>
      <c r="AD36" s="281"/>
      <c r="AE36" s="281"/>
      <c r="AF36" s="281"/>
      <c r="AG36" s="281"/>
      <c r="AH36" s="272"/>
      <c r="AJ36" s="335"/>
      <c r="AK36" s="134"/>
      <c r="AL36" s="133"/>
      <c r="AM36" s="148">
        <f>K36</f>
        <v>0.2018738012611731</v>
      </c>
      <c r="AN36" s="137">
        <f>'scenario demande'!V237</f>
        <v>0</v>
      </c>
      <c r="AO36" s="132"/>
    </row>
    <row r="37" spans="5:41">
      <c r="E37" s="784"/>
      <c r="F37" s="1" t="s">
        <v>41</v>
      </c>
      <c r="G37" s="27"/>
      <c r="H37" s="784"/>
      <c r="I37" s="343"/>
      <c r="J37" s="786"/>
      <c r="K37" s="2">
        <f t="shared" si="2"/>
        <v>0</v>
      </c>
      <c r="L37" s="784"/>
      <c r="M37" s="337"/>
      <c r="N37" s="337"/>
      <c r="O37" s="337"/>
      <c r="P37" s="337"/>
      <c r="Q37" s="337"/>
      <c r="R37" s="337"/>
      <c r="S37" s="337"/>
      <c r="T37" s="253"/>
      <c r="V37" s="784"/>
      <c r="W37" s="134"/>
      <c r="X37" s="133"/>
      <c r="Y37" s="136"/>
      <c r="Z37" s="137"/>
      <c r="AA37" s="132"/>
      <c r="AJ37" s="335"/>
      <c r="AK37" s="355"/>
      <c r="AL37" s="133"/>
      <c r="AM37" s="147">
        <f>K38</f>
        <v>2.2999999999999998</v>
      </c>
      <c r="AN37" s="136"/>
      <c r="AO37" s="132"/>
    </row>
    <row r="38" spans="5:41">
      <c r="E38" s="784"/>
      <c r="F38" s="1" t="s">
        <v>42</v>
      </c>
      <c r="G38" s="27">
        <f>'indicateurs ams2'!F91</f>
        <v>2.2999999999999998</v>
      </c>
      <c r="H38" s="784"/>
      <c r="I38" s="343"/>
      <c r="J38" s="786"/>
      <c r="K38" s="2">
        <f t="shared" si="2"/>
        <v>2.2999999999999998</v>
      </c>
      <c r="L38" s="784"/>
      <c r="M38" s="337"/>
      <c r="N38" s="337"/>
      <c r="O38" s="337"/>
      <c r="P38" s="337"/>
      <c r="Q38" s="337"/>
      <c r="R38" s="337"/>
      <c r="S38" s="337"/>
      <c r="T38" s="253"/>
      <c r="V38" s="784"/>
      <c r="W38" s="134"/>
      <c r="X38" s="133"/>
      <c r="Y38" s="136"/>
      <c r="Z38" s="137"/>
      <c r="AA38" s="132"/>
      <c r="AJ38" s="335"/>
      <c r="AK38" s="355"/>
      <c r="AL38" s="133"/>
      <c r="AM38" s="355"/>
      <c r="AN38" s="133"/>
      <c r="AO38" s="355"/>
    </row>
    <row r="39" spans="5:41">
      <c r="E39" s="784"/>
      <c r="F39" s="1" t="s">
        <v>63</v>
      </c>
      <c r="G39" s="27">
        <f>K39</f>
        <v>6.4579573013781273</v>
      </c>
      <c r="H39" s="784"/>
      <c r="I39" s="40"/>
      <c r="J39" s="786"/>
      <c r="K39" s="2">
        <f>'bilan complet'!E169*'indicateurs ams2'!F67</f>
        <v>6.4579573013781273</v>
      </c>
      <c r="L39" s="784"/>
      <c r="M39" s="337"/>
      <c r="N39" s="337"/>
      <c r="O39" s="337"/>
      <c r="P39" s="337"/>
      <c r="Q39" s="337"/>
      <c r="R39" s="337"/>
      <c r="S39" s="337"/>
      <c r="T39" s="255">
        <f>L34-K41-K43</f>
        <v>68.745594193289705</v>
      </c>
      <c r="V39" s="784"/>
      <c r="W39" s="136"/>
      <c r="X39" s="133"/>
      <c r="Y39" s="136"/>
      <c r="Z39" s="137"/>
      <c r="AA39" s="138"/>
      <c r="AC39" s="282" t="s">
        <v>511</v>
      </c>
      <c r="AD39" s="286">
        <f>'bilan complet'!$E$167</f>
        <v>2.510022479596929</v>
      </c>
      <c r="AE39" s="286">
        <f>'bilan complet'!E164</f>
        <v>2.7143927551410507</v>
      </c>
      <c r="AF39" s="286">
        <f>'bilan complet'!$E$165</f>
        <v>1.4787819041907375</v>
      </c>
      <c r="AG39" s="286">
        <f>'bilan complet'!$E$166</f>
        <v>1.7964469367772764</v>
      </c>
      <c r="AH39" s="283">
        <f>'bilan complet'!$E$168</f>
        <v>36.275787073856407</v>
      </c>
      <c r="AJ39" s="132"/>
      <c r="AK39" s="133">
        <f>AD39</f>
        <v>2.510022479596929</v>
      </c>
      <c r="AL39" s="133">
        <f>AE39</f>
        <v>2.7143927551410507</v>
      </c>
      <c r="AM39" s="133">
        <f>AF39</f>
        <v>1.4787819041907375</v>
      </c>
      <c r="AN39" s="133">
        <f>AG39</f>
        <v>1.7964469367772764</v>
      </c>
      <c r="AO39" s="136">
        <f>AH39</f>
        <v>36.275787073856407</v>
      </c>
    </row>
    <row r="40" spans="5:41">
      <c r="E40" s="784"/>
      <c r="F40" s="1" t="s">
        <v>37</v>
      </c>
      <c r="G40" s="27">
        <f>K40+I40</f>
        <v>41.382871756039009</v>
      </c>
      <c r="H40" s="784"/>
      <c r="I40" s="40">
        <f>0.08*K40</f>
        <v>3.0653979078547415</v>
      </c>
      <c r="J40" s="786"/>
      <c r="K40" s="2">
        <f>'bilan complet'!E169-K39</f>
        <v>38.317473848184271</v>
      </c>
      <c r="L40" s="784"/>
      <c r="M40" s="337"/>
      <c r="N40" s="337"/>
      <c r="O40" s="337"/>
      <c r="P40" s="337"/>
      <c r="Q40" s="337"/>
      <c r="R40" s="337"/>
      <c r="S40" s="337"/>
      <c r="T40" s="253"/>
      <c r="V40" s="784"/>
      <c r="W40" s="348">
        <f>'scenario demande'!F336</f>
        <v>2.5070224795969289</v>
      </c>
      <c r="X40" s="133">
        <f>'scenario demande'!F9</f>
        <v>2.699197137428154</v>
      </c>
      <c r="Y40" s="136">
        <f>'scenario demande'!F109+'scenario demande'!F112</f>
        <v>1.6380809983460813</v>
      </c>
      <c r="Z40" s="137">
        <f>'scenario demande'!F185</f>
        <v>0.99686061702836337</v>
      </c>
      <c r="AA40" s="138">
        <f>'scenario demande'!F273+'scenario demande'!F274+'scenario demande'!F275+'scenario demande'!F276</f>
        <v>32.050391439246468</v>
      </c>
      <c r="AB40" s="27">
        <f>SUM(W40:AA40)</f>
        <v>39.891552671645996</v>
      </c>
      <c r="AC40" s="284" t="s">
        <v>181</v>
      </c>
      <c r="AD40" s="362">
        <f>'bilan complet'!$B$167</f>
        <v>0</v>
      </c>
      <c r="AE40" s="288">
        <f>'bilan complet'!$B$164</f>
        <v>4.7835839204350208</v>
      </c>
      <c r="AF40" s="362">
        <f>'bilan complet'!$B$165</f>
        <v>0</v>
      </c>
      <c r="AG40" s="362">
        <f>'bilan complet'!$B$166</f>
        <v>0</v>
      </c>
      <c r="AH40" s="362">
        <f>'bilan complet'!$B$168</f>
        <v>0</v>
      </c>
      <c r="AI40" s="27">
        <f>SUM(AD39:AH40)</f>
        <v>49.559015069997422</v>
      </c>
      <c r="AJ40" s="335">
        <f>SUM(AK34:AO44)</f>
        <v>68.745594193289705</v>
      </c>
      <c r="AK40" s="355"/>
      <c r="AL40" s="355"/>
      <c r="AM40" s="355"/>
      <c r="AN40" s="355"/>
      <c r="AO40" s="355"/>
    </row>
    <row r="41" spans="5:41">
      <c r="E41" s="784"/>
      <c r="F41" s="1" t="s">
        <v>38</v>
      </c>
      <c r="G41" s="27">
        <f>K41+I41</f>
        <v>13.324765767754354</v>
      </c>
      <c r="H41" s="784"/>
      <c r="I41" s="40">
        <f>0.08*K41</f>
        <v>0.98701968650032246</v>
      </c>
      <c r="J41" s="786"/>
      <c r="K41" s="2">
        <f>'bilan complet'!E172</f>
        <v>12.33774608125403</v>
      </c>
      <c r="L41" s="784"/>
      <c r="M41" s="337"/>
      <c r="N41" s="337"/>
      <c r="O41" s="337"/>
      <c r="P41" s="337"/>
      <c r="Q41" s="337"/>
      <c r="R41" s="337"/>
      <c r="S41" s="337"/>
      <c r="T41" s="253"/>
      <c r="V41" s="784"/>
      <c r="W41" s="136"/>
      <c r="X41" s="133"/>
      <c r="Y41" s="136"/>
      <c r="Z41" s="137"/>
      <c r="AA41" s="138"/>
      <c r="AJ41" s="335"/>
      <c r="AK41" s="133"/>
      <c r="AL41" s="133"/>
      <c r="AM41" s="133"/>
      <c r="AN41" s="133"/>
      <c r="AO41" s="133"/>
    </row>
    <row r="42" spans="5:41">
      <c r="E42" s="784"/>
      <c r="F42" s="1" t="s">
        <v>39</v>
      </c>
      <c r="G42" s="27"/>
      <c r="H42" s="784"/>
      <c r="I42" s="40"/>
      <c r="J42" s="786"/>
      <c r="K42" s="2">
        <f t="shared" si="2"/>
        <v>0</v>
      </c>
      <c r="L42" s="784"/>
      <c r="M42" s="337"/>
      <c r="N42" s="337"/>
      <c r="O42" s="337"/>
      <c r="P42" s="337"/>
      <c r="Q42" s="337"/>
      <c r="R42" s="337"/>
      <c r="S42" s="337"/>
      <c r="T42" s="253"/>
      <c r="V42" s="784"/>
      <c r="W42" s="136"/>
      <c r="X42" s="133"/>
      <c r="Y42" s="136"/>
      <c r="Z42" s="137"/>
      <c r="AA42" s="138"/>
      <c r="AJ42" s="335"/>
      <c r="AK42" s="133"/>
      <c r="AL42" s="133"/>
      <c r="AM42" s="133"/>
      <c r="AN42" s="133"/>
      <c r="AO42" s="133"/>
    </row>
    <row r="43" spans="5:41">
      <c r="E43" s="784"/>
      <c r="F43" s="1" t="s">
        <v>465</v>
      </c>
      <c r="G43" s="27">
        <f>'bilan complet'!F172</f>
        <v>1.6032829555473309</v>
      </c>
      <c r="H43" s="784"/>
      <c r="I43" s="40"/>
      <c r="J43" s="786"/>
      <c r="K43" s="2">
        <f t="shared" si="2"/>
        <v>1.6032829555473309</v>
      </c>
      <c r="L43" s="784"/>
      <c r="M43" s="337"/>
      <c r="N43" s="337"/>
      <c r="O43" s="337"/>
      <c r="P43" s="337"/>
      <c r="Q43" s="337"/>
      <c r="R43" s="337"/>
      <c r="S43" s="337"/>
      <c r="T43" s="253"/>
      <c r="V43" s="784"/>
      <c r="W43" s="136"/>
      <c r="X43" s="133"/>
      <c r="Y43" s="136"/>
      <c r="Z43" s="137"/>
      <c r="AA43" s="138"/>
      <c r="AJ43" s="335"/>
      <c r="AK43" s="136"/>
      <c r="AL43" s="133"/>
      <c r="AM43" s="136"/>
      <c r="AN43" s="138"/>
      <c r="AO43" s="133"/>
    </row>
    <row r="44" spans="5:41">
      <c r="E44" s="785"/>
      <c r="F44" s="1" t="s">
        <v>40</v>
      </c>
      <c r="G44" s="27">
        <f>'bilan complet'!B169</f>
        <v>4.7835839204350208</v>
      </c>
      <c r="H44" s="785"/>
      <c r="I44" s="343"/>
      <c r="J44" s="787"/>
      <c r="K44" s="2">
        <f t="shared" si="2"/>
        <v>4.7835839204350208</v>
      </c>
      <c r="L44" s="785"/>
      <c r="M44" s="337"/>
      <c r="N44" s="337"/>
      <c r="O44" s="337"/>
      <c r="P44" s="337"/>
      <c r="Q44" s="337"/>
      <c r="R44" s="337"/>
      <c r="S44" s="337"/>
      <c r="T44" s="254"/>
      <c r="V44" s="785"/>
      <c r="W44" s="250">
        <f>'scenario demande'!F338</f>
        <v>0</v>
      </c>
      <c r="X44" s="349">
        <f>'scenario demande'!F11</f>
        <v>4.5503185269774002</v>
      </c>
      <c r="Y44" s="141">
        <f>'scenario demande'!F111</f>
        <v>2.6060540525163975E-3</v>
      </c>
      <c r="Z44" s="350">
        <f>'scenario demande'!F187</f>
        <v>3.8720213832375075E-2</v>
      </c>
      <c r="AA44" s="139"/>
      <c r="AB44" s="24">
        <f>SUM(W44:AA44)</f>
        <v>4.591644794862292</v>
      </c>
      <c r="AI44" s="479">
        <f>AI13+AI25+AI40-'bilan complet'!K169</f>
        <v>0</v>
      </c>
      <c r="AJ44" s="336"/>
      <c r="AK44" s="250"/>
      <c r="AL44" s="140">
        <f>AE40</f>
        <v>4.7835839204350208</v>
      </c>
      <c r="AM44" s="141"/>
      <c r="AN44" s="357"/>
      <c r="AO44" s="358"/>
    </row>
    <row r="45" spans="5:41">
      <c r="E45" s="1"/>
      <c r="F45" s="1"/>
      <c r="G45" s="149"/>
      <c r="H45" s="1"/>
      <c r="I45" s="1"/>
      <c r="J45" s="1"/>
      <c r="K45" s="2"/>
      <c r="L45" s="1"/>
      <c r="M45" s="1"/>
      <c r="N45" s="1"/>
      <c r="O45" s="1"/>
      <c r="P45" s="1"/>
      <c r="Q45" s="1"/>
      <c r="R45" s="1"/>
      <c r="S45" s="1"/>
      <c r="T45" s="289">
        <f>T39-K35-K36-K38-SUM(AD39:AH40)</f>
        <v>0</v>
      </c>
      <c r="U45" s="1"/>
      <c r="W45" s="27"/>
      <c r="X45" s="27"/>
      <c r="Y45" s="27"/>
      <c r="Z45" s="27"/>
      <c r="AA45" s="27"/>
    </row>
    <row r="46" spans="5:41">
      <c r="F46" s="1"/>
      <c r="G46" s="219"/>
      <c r="H46" s="215"/>
      <c r="I46" s="215"/>
      <c r="J46" s="215"/>
      <c r="K46" s="215"/>
      <c r="L46" s="215"/>
      <c r="M46" s="216"/>
      <c r="N46" s="216"/>
      <c r="O46" s="216"/>
      <c r="P46" s="217"/>
      <c r="Q46" s="215"/>
      <c r="R46" s="215"/>
      <c r="S46" s="215"/>
      <c r="T46" s="1"/>
      <c r="U46" s="1"/>
      <c r="V46" s="6"/>
      <c r="W46" s="2"/>
      <c r="X46" s="2"/>
      <c r="Y46" s="2"/>
      <c r="Z46" s="2"/>
      <c r="AA46" s="2"/>
    </row>
    <row r="47" spans="5:41">
      <c r="G47" s="218"/>
      <c r="H47" s="215"/>
      <c r="I47" s="215"/>
      <c r="J47" s="215"/>
      <c r="K47" s="215"/>
      <c r="L47" s="215"/>
      <c r="M47" s="219"/>
      <c r="N47" s="219"/>
      <c r="O47" s="219"/>
      <c r="P47" s="218"/>
      <c r="Q47" s="215"/>
      <c r="R47" s="219"/>
      <c r="S47" s="219"/>
      <c r="T47" s="1"/>
      <c r="U47" s="1"/>
    </row>
    <row r="48" spans="5:41">
      <c r="F48" s="223" t="s">
        <v>488</v>
      </c>
      <c r="G48" s="224" t="s">
        <v>173</v>
      </c>
      <c r="H48" s="225" t="s">
        <v>487</v>
      </c>
      <c r="I48" s="224" t="s">
        <v>173</v>
      </c>
      <c r="J48" s="225" t="s">
        <v>487</v>
      </c>
      <c r="K48" s="215"/>
      <c r="L48" s="215"/>
      <c r="M48" s="142"/>
      <c r="N48" s="220"/>
      <c r="O48" s="220"/>
      <c r="P48" s="217"/>
      <c r="Q48" s="215"/>
      <c r="R48" s="220"/>
      <c r="S48" s="220"/>
      <c r="T48" s="1"/>
      <c r="U48" s="1"/>
      <c r="V48" s="2"/>
      <c r="W48" s="2"/>
      <c r="X48" s="2"/>
      <c r="Y48" s="2"/>
      <c r="Z48" s="2"/>
      <c r="AA48" s="2"/>
    </row>
    <row r="49" spans="6:27">
      <c r="F49" s="223" t="s">
        <v>25</v>
      </c>
      <c r="G49" s="226">
        <v>0</v>
      </c>
      <c r="H49" s="227">
        <v>0</v>
      </c>
      <c r="I49" s="229">
        <f>G49/$G$56</f>
        <v>0</v>
      </c>
      <c r="J49" s="229">
        <f>H49/$H$56</f>
        <v>0</v>
      </c>
      <c r="K49" s="215"/>
      <c r="L49" s="215"/>
      <c r="M49" s="142"/>
      <c r="N49" s="220"/>
      <c r="O49" s="220"/>
      <c r="P49" s="217"/>
      <c r="Q49" s="215"/>
      <c r="R49" s="220"/>
      <c r="S49" s="220"/>
      <c r="T49" s="1"/>
      <c r="U49" s="1"/>
      <c r="V49" s="251"/>
      <c r="W49" s="1"/>
      <c r="X49" s="1"/>
      <c r="Y49" s="1"/>
      <c r="Z49" s="1"/>
      <c r="AA49" s="1"/>
    </row>
    <row r="50" spans="6:27">
      <c r="F50" s="223" t="s">
        <v>26</v>
      </c>
      <c r="G50" s="226">
        <f>'Réseaux de chaleur'!$F$75</f>
        <v>0.49605472888061164</v>
      </c>
      <c r="H50" s="227">
        <f>'Réseaux de chaleur'!$F$51</f>
        <v>0.49605472888061164</v>
      </c>
      <c r="I50" s="229">
        <f t="shared" ref="I50:I55" si="7">G50/$G$56</f>
        <v>0.18817054070680081</v>
      </c>
      <c r="J50" s="229">
        <f t="shared" ref="J50:J55" si="8">H50/$H$56</f>
        <v>0.21486093577332191</v>
      </c>
      <c r="K50" s="215"/>
      <c r="L50" s="215"/>
      <c r="M50" s="142"/>
      <c r="N50" s="220"/>
      <c r="O50" s="220"/>
      <c r="P50" s="217"/>
      <c r="Q50" s="215"/>
      <c r="R50" s="220"/>
      <c r="S50" s="220"/>
      <c r="T50" s="1"/>
      <c r="U50" s="1"/>
      <c r="V50" s="2"/>
      <c r="W50" s="1"/>
      <c r="X50" s="1"/>
      <c r="Y50" s="1"/>
      <c r="Z50" s="1"/>
      <c r="AA50" s="1"/>
    </row>
    <row r="51" spans="6:27">
      <c r="F51" s="223" t="s">
        <v>30</v>
      </c>
      <c r="G51" s="226">
        <v>0</v>
      </c>
      <c r="H51" s="227"/>
      <c r="I51" s="229">
        <f t="shared" si="7"/>
        <v>0</v>
      </c>
      <c r="J51" s="229">
        <f t="shared" si="8"/>
        <v>0</v>
      </c>
      <c r="K51" s="215"/>
      <c r="L51" s="215"/>
      <c r="M51" s="142"/>
      <c r="N51" s="220"/>
      <c r="O51" s="220"/>
      <c r="P51" s="217"/>
      <c r="Q51" s="217"/>
      <c r="R51" s="220"/>
      <c r="S51" s="220"/>
      <c r="T51" s="1"/>
      <c r="U51" s="1"/>
      <c r="V51" s="1"/>
      <c r="W51" s="1"/>
      <c r="X51" s="1"/>
      <c r="Y51" s="1"/>
      <c r="Z51" s="1"/>
      <c r="AA51" s="1"/>
    </row>
    <row r="52" spans="6:27">
      <c r="F52" s="223" t="s">
        <v>27</v>
      </c>
      <c r="G52" s="226">
        <f>'Réseaux de chaleur'!$F$74</f>
        <v>0.91170765103264628</v>
      </c>
      <c r="H52" s="227">
        <f>'Réseaux de chaleur'!$F$50</f>
        <v>0.74425114370011947</v>
      </c>
      <c r="I52" s="229">
        <f t="shared" si="7"/>
        <v>0.34584192362901517</v>
      </c>
      <c r="J52" s="229">
        <f t="shared" si="8"/>
        <v>0.32236462606983701</v>
      </c>
      <c r="K52" s="215"/>
      <c r="L52" s="215"/>
      <c r="M52" s="142"/>
      <c r="N52" s="220"/>
      <c r="O52" s="220"/>
      <c r="P52" s="217"/>
      <c r="Q52" s="215"/>
      <c r="R52" s="220"/>
      <c r="S52" s="220"/>
      <c r="T52" s="1"/>
      <c r="U52" s="1"/>
      <c r="V52" s="1"/>
      <c r="W52" s="1"/>
      <c r="X52" s="1"/>
      <c r="Y52" s="1"/>
      <c r="Z52" s="1"/>
      <c r="AA52" s="1"/>
    </row>
    <row r="53" spans="6:27">
      <c r="F53" s="223" t="s">
        <v>28</v>
      </c>
      <c r="G53" s="226">
        <f>'Réseaux de chaleur'!$F$76</f>
        <v>0.11650703872177633</v>
      </c>
      <c r="H53" s="227">
        <f>'Réseaux de chaleur'!$F$52</f>
        <v>0.11650703872177633</v>
      </c>
      <c r="I53" s="229">
        <f t="shared" si="7"/>
        <v>4.4195108313746588E-2</v>
      </c>
      <c r="J53" s="229">
        <f t="shared" si="8"/>
        <v>5.0463809548652247E-2</v>
      </c>
      <c r="K53" s="215"/>
      <c r="L53" s="215"/>
      <c r="M53" s="142"/>
      <c r="N53" s="220"/>
      <c r="O53" s="220"/>
      <c r="P53" s="218"/>
      <c r="Q53" s="215"/>
      <c r="R53" s="219"/>
      <c r="S53" s="219"/>
      <c r="T53" s="1"/>
      <c r="U53" s="1"/>
      <c r="V53" s="1"/>
      <c r="W53" s="1"/>
      <c r="X53" s="1"/>
      <c r="Y53" s="1"/>
      <c r="Z53" s="1"/>
      <c r="AA53" s="1"/>
    </row>
    <row r="54" spans="6:27">
      <c r="F54" s="223" t="s">
        <v>35</v>
      </c>
      <c r="G54" s="226">
        <f>'Réseaux de chaleur'!$F$77</f>
        <v>0.20692735997424958</v>
      </c>
      <c r="H54" s="227">
        <f>'Réseaux de chaleur'!$F$53</f>
        <v>0.20692735997424958</v>
      </c>
      <c r="I54" s="229">
        <f t="shared" si="7"/>
        <v>7.8494631633189607E-2</v>
      </c>
      <c r="J54" s="229">
        <f t="shared" si="8"/>
        <v>8.9628429309603241E-2</v>
      </c>
      <c r="K54" s="215"/>
      <c r="L54" s="215"/>
      <c r="M54" s="142"/>
      <c r="N54" s="220"/>
      <c r="O54" s="220"/>
      <c r="P54" s="217"/>
      <c r="Q54" s="215"/>
      <c r="R54" s="220"/>
      <c r="S54" s="220"/>
      <c r="T54" s="1"/>
      <c r="U54" s="1"/>
      <c r="V54" s="1"/>
      <c r="W54" s="1"/>
      <c r="X54" s="1"/>
      <c r="Y54" s="1"/>
      <c r="Z54" s="1"/>
      <c r="AA54" s="1"/>
    </row>
    <row r="55" spans="6:27">
      <c r="F55" s="223" t="s">
        <v>31</v>
      </c>
      <c r="G55" s="226">
        <f>'Réseaux de chaleur'!$F$73+'Réseaux de chaleur'!$F$72+'Réseaux de chaleur'!$F$71</f>
        <v>0.90500082712296859</v>
      </c>
      <c r="H55" s="227">
        <f>'Réseaux de chaleur'!$F$49+'Réseaux de chaleur'!$F$48+'Réseaux de chaleur'!$F$47</f>
        <v>0.74498433282693621</v>
      </c>
      <c r="I55" s="229">
        <f t="shared" si="7"/>
        <v>0.34329779571724783</v>
      </c>
      <c r="J55" s="229">
        <f t="shared" si="8"/>
        <v>0.32268219929858566</v>
      </c>
      <c r="K55" s="215"/>
      <c r="L55" s="215"/>
      <c r="M55" s="220"/>
      <c r="N55" s="220"/>
      <c r="O55" s="220"/>
      <c r="P55" s="217"/>
      <c r="Q55" s="215"/>
      <c r="R55" s="220"/>
      <c r="S55" s="220"/>
      <c r="T55" s="1"/>
      <c r="U55" s="1"/>
      <c r="V55" s="1"/>
      <c r="W55" s="1"/>
      <c r="X55" s="1"/>
      <c r="Y55" s="1"/>
      <c r="Z55" s="1"/>
      <c r="AA55" s="1"/>
    </row>
    <row r="56" spans="6:27">
      <c r="F56" s="223" t="s">
        <v>489</v>
      </c>
      <c r="G56" s="228">
        <f>SUM(G49:G55)</f>
        <v>2.6361976057322525</v>
      </c>
      <c r="H56" s="228">
        <f>SUM(H49:H55)</f>
        <v>2.3087246041036931</v>
      </c>
      <c r="I56" s="228">
        <f>SUM(I49:I55)</f>
        <v>1</v>
      </c>
      <c r="J56" s="228">
        <f>SUM(J49:J55)</f>
        <v>1</v>
      </c>
      <c r="K56" s="215"/>
      <c r="L56" s="215"/>
      <c r="M56" s="220"/>
      <c r="N56" s="220"/>
      <c r="O56" s="220"/>
      <c r="P56" s="217"/>
      <c r="Q56" s="217"/>
      <c r="R56" s="217"/>
      <c r="S56" s="217"/>
      <c r="T56" s="1"/>
      <c r="U56" s="1"/>
      <c r="V56" s="1"/>
      <c r="W56" s="1"/>
      <c r="X56" s="1"/>
      <c r="Y56" s="1"/>
      <c r="Z56" s="1"/>
      <c r="AA56" s="1"/>
    </row>
    <row r="57" spans="6:27">
      <c r="F57" s="1"/>
      <c r="G57" s="215"/>
      <c r="H57" s="215"/>
      <c r="I57" s="215"/>
      <c r="J57" s="215"/>
      <c r="K57" s="215"/>
      <c r="L57" s="215"/>
      <c r="M57" s="220"/>
      <c r="N57" s="220"/>
      <c r="O57" s="220"/>
      <c r="P57" s="217"/>
      <c r="Q57" s="221"/>
      <c r="R57" s="222"/>
      <c r="S57" s="222"/>
      <c r="T57" s="1"/>
      <c r="U57" s="1"/>
      <c r="V57" s="1"/>
      <c r="W57" s="1"/>
      <c r="X57" s="1"/>
      <c r="Y57" s="1"/>
      <c r="Z57" s="1"/>
      <c r="AA57" s="1"/>
    </row>
    <row r="58" spans="6:27">
      <c r="F58" s="1"/>
      <c r="G58" s="215"/>
      <c r="H58" s="215"/>
      <c r="I58" s="215"/>
      <c r="J58" s="215"/>
      <c r="K58" s="215"/>
      <c r="L58" s="215"/>
      <c r="M58" s="220"/>
      <c r="N58" s="220"/>
      <c r="O58" s="220"/>
      <c r="P58" s="217"/>
      <c r="Q58" s="221"/>
      <c r="R58" s="222"/>
      <c r="S58" s="222"/>
      <c r="T58" s="1"/>
      <c r="U58" s="1"/>
      <c r="V58" s="1"/>
      <c r="W58" s="1"/>
      <c r="X58" s="1"/>
      <c r="Y58" s="1"/>
      <c r="Z58" s="1"/>
      <c r="AA58" s="1"/>
    </row>
    <row r="62" spans="6:27">
      <c r="G62" s="245"/>
    </row>
    <row r="63" spans="6:27">
      <c r="G63" s="246"/>
    </row>
    <row r="64" spans="6:27">
      <c r="G64" s="245"/>
    </row>
    <row r="65" spans="7:7">
      <c r="G65" s="245"/>
    </row>
    <row r="66" spans="7:7">
      <c r="G66" s="247"/>
    </row>
  </sheetData>
  <mergeCells count="48">
    <mergeCell ref="V34:V44"/>
    <mergeCell ref="P26:P32"/>
    <mergeCell ref="Q26:Q32"/>
    <mergeCell ref="R26:R32"/>
    <mergeCell ref="S26:S32"/>
    <mergeCell ref="T26:T32"/>
    <mergeCell ref="E34:E44"/>
    <mergeCell ref="H34:H44"/>
    <mergeCell ref="J34:J44"/>
    <mergeCell ref="L34:L44"/>
    <mergeCell ref="E26:E32"/>
    <mergeCell ref="H26:H32"/>
    <mergeCell ref="J26:J32"/>
    <mergeCell ref="L26:L32"/>
    <mergeCell ref="N26:N32"/>
    <mergeCell ref="O26:O32"/>
    <mergeCell ref="AH7:AH19"/>
    <mergeCell ref="E21:E24"/>
    <mergeCell ref="H21:H24"/>
    <mergeCell ref="J21:J24"/>
    <mergeCell ref="L21:L24"/>
    <mergeCell ref="N21:N24"/>
    <mergeCell ref="O21:O24"/>
    <mergeCell ref="P21:P24"/>
    <mergeCell ref="Q21:Q24"/>
    <mergeCell ref="V21:V24"/>
    <mergeCell ref="T7:T19"/>
    <mergeCell ref="V7:V19"/>
    <mergeCell ref="AD7:AD19"/>
    <mergeCell ref="AE7:AE19"/>
    <mergeCell ref="AF7:AF19"/>
    <mergeCell ref="AG7:AG19"/>
    <mergeCell ref="A4:C4"/>
    <mergeCell ref="E7:E19"/>
    <mergeCell ref="H7:H19"/>
    <mergeCell ref="J7:J19"/>
    <mergeCell ref="L7:L19"/>
    <mergeCell ref="N7:N19"/>
    <mergeCell ref="G1:L1"/>
    <mergeCell ref="N1:T1"/>
    <mergeCell ref="V1:AA1"/>
    <mergeCell ref="G2:H2"/>
    <mergeCell ref="I2:L2"/>
    <mergeCell ref="N2:N4"/>
    <mergeCell ref="O2:T3"/>
    <mergeCell ref="V2:AA3"/>
    <mergeCell ref="I3:J3"/>
    <mergeCell ref="K3:L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6"/>
  <sheetViews>
    <sheetView tabSelected="1" topLeftCell="E13" workbookViewId="0">
      <selection activeCell="Q47" sqref="Q47"/>
    </sheetView>
  </sheetViews>
  <sheetFormatPr baseColWidth="10" defaultRowHeight="12.75"/>
  <cols>
    <col min="1" max="1" width="14.85546875" style="24" bestFit="1" customWidth="1"/>
    <col min="2" max="2" width="28" style="24" bestFit="1" customWidth="1"/>
    <col min="3" max="3" width="4.42578125" style="24" bestFit="1" customWidth="1"/>
    <col min="4" max="4" width="8" style="24" bestFit="1" customWidth="1"/>
    <col min="5" max="5" width="11.42578125" style="24"/>
    <col min="6" max="6" width="22.85546875" style="24" bestFit="1" customWidth="1"/>
    <col min="7" max="7" width="7" style="24" customWidth="1"/>
    <col min="8" max="8" width="6.28515625" style="24" customWidth="1"/>
    <col min="9" max="9" width="5.7109375" style="24" customWidth="1"/>
    <col min="10" max="10" width="5.7109375" style="24" bestFit="1" customWidth="1"/>
    <col min="11" max="11" width="5.85546875" style="24" bestFit="1" customWidth="1"/>
    <col min="12" max="12" width="9.42578125" style="24" customWidth="1"/>
    <col min="13" max="13" width="9.28515625" style="24" customWidth="1"/>
    <col min="14" max="14" width="9.7109375" style="24" customWidth="1"/>
    <col min="15" max="15" width="6.7109375" style="24" bestFit="1" customWidth="1"/>
    <col min="16" max="16" width="4.85546875" style="24" customWidth="1"/>
    <col min="17" max="17" width="5.28515625" style="24" customWidth="1"/>
    <col min="18" max="19" width="4.42578125" style="24" bestFit="1" customWidth="1"/>
    <col min="20" max="20" width="19.28515625" style="24" customWidth="1"/>
    <col min="21" max="21" width="6" style="24" customWidth="1"/>
    <col min="22" max="22" width="5.85546875" style="24" bestFit="1" customWidth="1"/>
    <col min="23" max="23" width="4.42578125" style="24" bestFit="1" customWidth="1"/>
    <col min="24" max="24" width="6.42578125" style="24" customWidth="1"/>
    <col min="25" max="26" width="5.42578125" style="24" bestFit="1" customWidth="1"/>
    <col min="27" max="27" width="4.42578125" style="24" bestFit="1" customWidth="1"/>
    <col min="28" max="28" width="7.28515625" style="24" customWidth="1"/>
    <col min="29" max="29" width="12.7109375" style="24" customWidth="1"/>
    <col min="30" max="256" width="11.42578125" style="24"/>
    <col min="257" max="257" width="14.85546875" style="24" bestFit="1" customWidth="1"/>
    <col min="258" max="258" width="28" style="24" bestFit="1" customWidth="1"/>
    <col min="259" max="259" width="4.42578125" style="24" bestFit="1" customWidth="1"/>
    <col min="260" max="260" width="8" style="24" bestFit="1" customWidth="1"/>
    <col min="261" max="261" width="11.42578125" style="24"/>
    <col min="262" max="262" width="22.85546875" style="24" bestFit="1" customWidth="1"/>
    <col min="263" max="263" width="7" style="24" customWidth="1"/>
    <col min="264" max="264" width="6.28515625" style="24" customWidth="1"/>
    <col min="265" max="265" width="5.7109375" style="24" customWidth="1"/>
    <col min="266" max="266" width="5.7109375" style="24" bestFit="1" customWidth="1"/>
    <col min="267" max="267" width="5.85546875" style="24" bestFit="1" customWidth="1"/>
    <col min="268" max="268" width="9.42578125" style="24" customWidth="1"/>
    <col min="269" max="269" width="5.140625" style="24" customWidth="1"/>
    <col min="270" max="270" width="9.7109375" style="24" customWidth="1"/>
    <col min="271" max="271" width="6.7109375" style="24" bestFit="1" customWidth="1"/>
    <col min="272" max="272" width="4.85546875" style="24" customWidth="1"/>
    <col min="273" max="273" width="5.28515625" style="24" customWidth="1"/>
    <col min="274" max="275" width="4.42578125" style="24" bestFit="1" customWidth="1"/>
    <col min="276" max="276" width="13.28515625" style="24" bestFit="1" customWidth="1"/>
    <col min="277" max="277" width="3.140625" style="24" customWidth="1"/>
    <col min="278" max="278" width="5.42578125" style="24" bestFit="1" customWidth="1"/>
    <col min="279" max="279" width="4.42578125" style="24" bestFit="1" customWidth="1"/>
    <col min="280" max="280" width="6.42578125" style="24" customWidth="1"/>
    <col min="281" max="281" width="5" style="24" bestFit="1" customWidth="1"/>
    <col min="282" max="282" width="4.5703125" style="24" bestFit="1" customWidth="1"/>
    <col min="283" max="283" width="4.42578125" style="24" bestFit="1" customWidth="1"/>
    <col min="284" max="284" width="4" style="24" customWidth="1"/>
    <col min="285" max="512" width="11.42578125" style="24"/>
    <col min="513" max="513" width="14.85546875" style="24" bestFit="1" customWidth="1"/>
    <col min="514" max="514" width="28" style="24" bestFit="1" customWidth="1"/>
    <col min="515" max="515" width="4.42578125" style="24" bestFit="1" customWidth="1"/>
    <col min="516" max="516" width="8" style="24" bestFit="1" customWidth="1"/>
    <col min="517" max="517" width="11.42578125" style="24"/>
    <col min="518" max="518" width="22.85546875" style="24" bestFit="1" customWidth="1"/>
    <col min="519" max="519" width="7" style="24" customWidth="1"/>
    <col min="520" max="520" width="6.28515625" style="24" customWidth="1"/>
    <col min="521" max="521" width="5.7109375" style="24" customWidth="1"/>
    <col min="522" max="522" width="5.7109375" style="24" bestFit="1" customWidth="1"/>
    <col min="523" max="523" width="5.85546875" style="24" bestFit="1" customWidth="1"/>
    <col min="524" max="524" width="9.42578125" style="24" customWidth="1"/>
    <col min="525" max="525" width="5.140625" style="24" customWidth="1"/>
    <col min="526" max="526" width="9.7109375" style="24" customWidth="1"/>
    <col min="527" max="527" width="6.7109375" style="24" bestFit="1" customWidth="1"/>
    <col min="528" max="528" width="4.85546875" style="24" customWidth="1"/>
    <col min="529" max="529" width="5.28515625" style="24" customWidth="1"/>
    <col min="530" max="531" width="4.42578125" style="24" bestFit="1" customWidth="1"/>
    <col min="532" max="532" width="13.28515625" style="24" bestFit="1" customWidth="1"/>
    <col min="533" max="533" width="3.140625" style="24" customWidth="1"/>
    <col min="534" max="534" width="5.42578125" style="24" bestFit="1" customWidth="1"/>
    <col min="535" max="535" width="4.42578125" style="24" bestFit="1" customWidth="1"/>
    <col min="536" max="536" width="6.42578125" style="24" customWidth="1"/>
    <col min="537" max="537" width="5" style="24" bestFit="1" customWidth="1"/>
    <col min="538" max="538" width="4.5703125" style="24" bestFit="1" customWidth="1"/>
    <col min="539" max="539" width="4.42578125" style="24" bestFit="1" customWidth="1"/>
    <col min="540" max="540" width="4" style="24" customWidth="1"/>
    <col min="541" max="768" width="11.42578125" style="24"/>
    <col min="769" max="769" width="14.85546875" style="24" bestFit="1" customWidth="1"/>
    <col min="770" max="770" width="28" style="24" bestFit="1" customWidth="1"/>
    <col min="771" max="771" width="4.42578125" style="24" bestFit="1" customWidth="1"/>
    <col min="772" max="772" width="8" style="24" bestFit="1" customWidth="1"/>
    <col min="773" max="773" width="11.42578125" style="24"/>
    <col min="774" max="774" width="22.85546875" style="24" bestFit="1" customWidth="1"/>
    <col min="775" max="775" width="7" style="24" customWidth="1"/>
    <col min="776" max="776" width="6.28515625" style="24" customWidth="1"/>
    <col min="777" max="777" width="5.7109375" style="24" customWidth="1"/>
    <col min="778" max="778" width="5.7109375" style="24" bestFit="1" customWidth="1"/>
    <col min="779" max="779" width="5.85546875" style="24" bestFit="1" customWidth="1"/>
    <col min="780" max="780" width="9.42578125" style="24" customWidth="1"/>
    <col min="781" max="781" width="5.140625" style="24" customWidth="1"/>
    <col min="782" max="782" width="9.7109375" style="24" customWidth="1"/>
    <col min="783" max="783" width="6.7109375" style="24" bestFit="1" customWidth="1"/>
    <col min="784" max="784" width="4.85546875" style="24" customWidth="1"/>
    <col min="785" max="785" width="5.28515625" style="24" customWidth="1"/>
    <col min="786" max="787" width="4.42578125" style="24" bestFit="1" customWidth="1"/>
    <col min="788" max="788" width="13.28515625" style="24" bestFit="1" customWidth="1"/>
    <col min="789" max="789" width="3.140625" style="24" customWidth="1"/>
    <col min="790" max="790" width="5.42578125" style="24" bestFit="1" customWidth="1"/>
    <col min="791" max="791" width="4.42578125" style="24" bestFit="1" customWidth="1"/>
    <col min="792" max="792" width="6.42578125" style="24" customWidth="1"/>
    <col min="793" max="793" width="5" style="24" bestFit="1" customWidth="1"/>
    <col min="794" max="794" width="4.5703125" style="24" bestFit="1" customWidth="1"/>
    <col min="795" max="795" width="4.42578125" style="24" bestFit="1" customWidth="1"/>
    <col min="796" max="796" width="4" style="24" customWidth="1"/>
    <col min="797" max="1024" width="11.42578125" style="24"/>
    <col min="1025" max="1025" width="14.85546875" style="24" bestFit="1" customWidth="1"/>
    <col min="1026" max="1026" width="28" style="24" bestFit="1" customWidth="1"/>
    <col min="1027" max="1027" width="4.42578125" style="24" bestFit="1" customWidth="1"/>
    <col min="1028" max="1028" width="8" style="24" bestFit="1" customWidth="1"/>
    <col min="1029" max="1029" width="11.42578125" style="24"/>
    <col min="1030" max="1030" width="22.85546875" style="24" bestFit="1" customWidth="1"/>
    <col min="1031" max="1031" width="7" style="24" customWidth="1"/>
    <col min="1032" max="1032" width="6.28515625" style="24" customWidth="1"/>
    <col min="1033" max="1033" width="5.7109375" style="24" customWidth="1"/>
    <col min="1034" max="1034" width="5.7109375" style="24" bestFit="1" customWidth="1"/>
    <col min="1035" max="1035" width="5.85546875" style="24" bestFit="1" customWidth="1"/>
    <col min="1036" max="1036" width="9.42578125" style="24" customWidth="1"/>
    <col min="1037" max="1037" width="5.140625" style="24" customWidth="1"/>
    <col min="1038" max="1038" width="9.7109375" style="24" customWidth="1"/>
    <col min="1039" max="1039" width="6.7109375" style="24" bestFit="1" customWidth="1"/>
    <col min="1040" max="1040" width="4.85546875" style="24" customWidth="1"/>
    <col min="1041" max="1041" width="5.28515625" style="24" customWidth="1"/>
    <col min="1042" max="1043" width="4.42578125" style="24" bestFit="1" customWidth="1"/>
    <col min="1044" max="1044" width="13.28515625" style="24" bestFit="1" customWidth="1"/>
    <col min="1045" max="1045" width="3.140625" style="24" customWidth="1"/>
    <col min="1046" max="1046" width="5.42578125" style="24" bestFit="1" customWidth="1"/>
    <col min="1047" max="1047" width="4.42578125" style="24" bestFit="1" customWidth="1"/>
    <col min="1048" max="1048" width="6.42578125" style="24" customWidth="1"/>
    <col min="1049" max="1049" width="5" style="24" bestFit="1" customWidth="1"/>
    <col min="1050" max="1050" width="4.5703125" style="24" bestFit="1" customWidth="1"/>
    <col min="1051" max="1051" width="4.42578125" style="24" bestFit="1" customWidth="1"/>
    <col min="1052" max="1052" width="4" style="24" customWidth="1"/>
    <col min="1053" max="1280" width="11.42578125" style="24"/>
    <col min="1281" max="1281" width="14.85546875" style="24" bestFit="1" customWidth="1"/>
    <col min="1282" max="1282" width="28" style="24" bestFit="1" customWidth="1"/>
    <col min="1283" max="1283" width="4.42578125" style="24" bestFit="1" customWidth="1"/>
    <col min="1284" max="1284" width="8" style="24" bestFit="1" customWidth="1"/>
    <col min="1285" max="1285" width="11.42578125" style="24"/>
    <col min="1286" max="1286" width="22.85546875" style="24" bestFit="1" customWidth="1"/>
    <col min="1287" max="1287" width="7" style="24" customWidth="1"/>
    <col min="1288" max="1288" width="6.28515625" style="24" customWidth="1"/>
    <col min="1289" max="1289" width="5.7109375" style="24" customWidth="1"/>
    <col min="1290" max="1290" width="5.7109375" style="24" bestFit="1" customWidth="1"/>
    <col min="1291" max="1291" width="5.85546875" style="24" bestFit="1" customWidth="1"/>
    <col min="1292" max="1292" width="9.42578125" style="24" customWidth="1"/>
    <col min="1293" max="1293" width="5.140625" style="24" customWidth="1"/>
    <col min="1294" max="1294" width="9.7109375" style="24" customWidth="1"/>
    <col min="1295" max="1295" width="6.7109375" style="24" bestFit="1" customWidth="1"/>
    <col min="1296" max="1296" width="4.85546875" style="24" customWidth="1"/>
    <col min="1297" max="1297" width="5.28515625" style="24" customWidth="1"/>
    <col min="1298" max="1299" width="4.42578125" style="24" bestFit="1" customWidth="1"/>
    <col min="1300" max="1300" width="13.28515625" style="24" bestFit="1" customWidth="1"/>
    <col min="1301" max="1301" width="3.140625" style="24" customWidth="1"/>
    <col min="1302" max="1302" width="5.42578125" style="24" bestFit="1" customWidth="1"/>
    <col min="1303" max="1303" width="4.42578125" style="24" bestFit="1" customWidth="1"/>
    <col min="1304" max="1304" width="6.42578125" style="24" customWidth="1"/>
    <col min="1305" max="1305" width="5" style="24" bestFit="1" customWidth="1"/>
    <col min="1306" max="1306" width="4.5703125" style="24" bestFit="1" customWidth="1"/>
    <col min="1307" max="1307" width="4.42578125" style="24" bestFit="1" customWidth="1"/>
    <col min="1308" max="1308" width="4" style="24" customWidth="1"/>
    <col min="1309" max="1536" width="11.42578125" style="24"/>
    <col min="1537" max="1537" width="14.85546875" style="24" bestFit="1" customWidth="1"/>
    <col min="1538" max="1538" width="28" style="24" bestFit="1" customWidth="1"/>
    <col min="1539" max="1539" width="4.42578125" style="24" bestFit="1" customWidth="1"/>
    <col min="1540" max="1540" width="8" style="24" bestFit="1" customWidth="1"/>
    <col min="1541" max="1541" width="11.42578125" style="24"/>
    <col min="1542" max="1542" width="22.85546875" style="24" bestFit="1" customWidth="1"/>
    <col min="1543" max="1543" width="7" style="24" customWidth="1"/>
    <col min="1544" max="1544" width="6.28515625" style="24" customWidth="1"/>
    <col min="1545" max="1545" width="5.7109375" style="24" customWidth="1"/>
    <col min="1546" max="1546" width="5.7109375" style="24" bestFit="1" customWidth="1"/>
    <col min="1547" max="1547" width="5.85546875" style="24" bestFit="1" customWidth="1"/>
    <col min="1548" max="1548" width="9.42578125" style="24" customWidth="1"/>
    <col min="1549" max="1549" width="5.140625" style="24" customWidth="1"/>
    <col min="1550" max="1550" width="9.7109375" style="24" customWidth="1"/>
    <col min="1551" max="1551" width="6.7109375" style="24" bestFit="1" customWidth="1"/>
    <col min="1552" max="1552" width="4.85546875" style="24" customWidth="1"/>
    <col min="1553" max="1553" width="5.28515625" style="24" customWidth="1"/>
    <col min="1554" max="1555" width="4.42578125" style="24" bestFit="1" customWidth="1"/>
    <col min="1556" max="1556" width="13.28515625" style="24" bestFit="1" customWidth="1"/>
    <col min="1557" max="1557" width="3.140625" style="24" customWidth="1"/>
    <col min="1558" max="1558" width="5.42578125" style="24" bestFit="1" customWidth="1"/>
    <col min="1559" max="1559" width="4.42578125" style="24" bestFit="1" customWidth="1"/>
    <col min="1560" max="1560" width="6.42578125" style="24" customWidth="1"/>
    <col min="1561" max="1561" width="5" style="24" bestFit="1" customWidth="1"/>
    <col min="1562" max="1562" width="4.5703125" style="24" bestFit="1" customWidth="1"/>
    <col min="1563" max="1563" width="4.42578125" style="24" bestFit="1" customWidth="1"/>
    <col min="1564" max="1564" width="4" style="24" customWidth="1"/>
    <col min="1565" max="1792" width="11.42578125" style="24"/>
    <col min="1793" max="1793" width="14.85546875" style="24" bestFit="1" customWidth="1"/>
    <col min="1794" max="1794" width="28" style="24" bestFit="1" customWidth="1"/>
    <col min="1795" max="1795" width="4.42578125" style="24" bestFit="1" customWidth="1"/>
    <col min="1796" max="1796" width="8" style="24" bestFit="1" customWidth="1"/>
    <col min="1797" max="1797" width="11.42578125" style="24"/>
    <col min="1798" max="1798" width="22.85546875" style="24" bestFit="1" customWidth="1"/>
    <col min="1799" max="1799" width="7" style="24" customWidth="1"/>
    <col min="1800" max="1800" width="6.28515625" style="24" customWidth="1"/>
    <col min="1801" max="1801" width="5.7109375" style="24" customWidth="1"/>
    <col min="1802" max="1802" width="5.7109375" style="24" bestFit="1" customWidth="1"/>
    <col min="1803" max="1803" width="5.85546875" style="24" bestFit="1" customWidth="1"/>
    <col min="1804" max="1804" width="9.42578125" style="24" customWidth="1"/>
    <col min="1805" max="1805" width="5.140625" style="24" customWidth="1"/>
    <col min="1806" max="1806" width="9.7109375" style="24" customWidth="1"/>
    <col min="1807" max="1807" width="6.7109375" style="24" bestFit="1" customWidth="1"/>
    <col min="1808" max="1808" width="4.85546875" style="24" customWidth="1"/>
    <col min="1809" max="1809" width="5.28515625" style="24" customWidth="1"/>
    <col min="1810" max="1811" width="4.42578125" style="24" bestFit="1" customWidth="1"/>
    <col min="1812" max="1812" width="13.28515625" style="24" bestFit="1" customWidth="1"/>
    <col min="1813" max="1813" width="3.140625" style="24" customWidth="1"/>
    <col min="1814" max="1814" width="5.42578125" style="24" bestFit="1" customWidth="1"/>
    <col min="1815" max="1815" width="4.42578125" style="24" bestFit="1" customWidth="1"/>
    <col min="1816" max="1816" width="6.42578125" style="24" customWidth="1"/>
    <col min="1817" max="1817" width="5" style="24" bestFit="1" customWidth="1"/>
    <col min="1818" max="1818" width="4.5703125" style="24" bestFit="1" customWidth="1"/>
    <col min="1819" max="1819" width="4.42578125" style="24" bestFit="1" customWidth="1"/>
    <col min="1820" max="1820" width="4" style="24" customWidth="1"/>
    <col min="1821" max="2048" width="11.42578125" style="24"/>
    <col min="2049" max="2049" width="14.85546875" style="24" bestFit="1" customWidth="1"/>
    <col min="2050" max="2050" width="28" style="24" bestFit="1" customWidth="1"/>
    <col min="2051" max="2051" width="4.42578125" style="24" bestFit="1" customWidth="1"/>
    <col min="2052" max="2052" width="8" style="24" bestFit="1" customWidth="1"/>
    <col min="2053" max="2053" width="11.42578125" style="24"/>
    <col min="2054" max="2054" width="22.85546875" style="24" bestFit="1" customWidth="1"/>
    <col min="2055" max="2055" width="7" style="24" customWidth="1"/>
    <col min="2056" max="2056" width="6.28515625" style="24" customWidth="1"/>
    <col min="2057" max="2057" width="5.7109375" style="24" customWidth="1"/>
    <col min="2058" max="2058" width="5.7109375" style="24" bestFit="1" customWidth="1"/>
    <col min="2059" max="2059" width="5.85546875" style="24" bestFit="1" customWidth="1"/>
    <col min="2060" max="2060" width="9.42578125" style="24" customWidth="1"/>
    <col min="2061" max="2061" width="5.140625" style="24" customWidth="1"/>
    <col min="2062" max="2062" width="9.7109375" style="24" customWidth="1"/>
    <col min="2063" max="2063" width="6.7109375" style="24" bestFit="1" customWidth="1"/>
    <col min="2064" max="2064" width="4.85546875" style="24" customWidth="1"/>
    <col min="2065" max="2065" width="5.28515625" style="24" customWidth="1"/>
    <col min="2066" max="2067" width="4.42578125" style="24" bestFit="1" customWidth="1"/>
    <col min="2068" max="2068" width="13.28515625" style="24" bestFit="1" customWidth="1"/>
    <col min="2069" max="2069" width="3.140625" style="24" customWidth="1"/>
    <col min="2070" max="2070" width="5.42578125" style="24" bestFit="1" customWidth="1"/>
    <col min="2071" max="2071" width="4.42578125" style="24" bestFit="1" customWidth="1"/>
    <col min="2072" max="2072" width="6.42578125" style="24" customWidth="1"/>
    <col min="2073" max="2073" width="5" style="24" bestFit="1" customWidth="1"/>
    <col min="2074" max="2074" width="4.5703125" style="24" bestFit="1" customWidth="1"/>
    <col min="2075" max="2075" width="4.42578125" style="24" bestFit="1" customWidth="1"/>
    <col min="2076" max="2076" width="4" style="24" customWidth="1"/>
    <col min="2077" max="2304" width="11.42578125" style="24"/>
    <col min="2305" max="2305" width="14.85546875" style="24" bestFit="1" customWidth="1"/>
    <col min="2306" max="2306" width="28" style="24" bestFit="1" customWidth="1"/>
    <col min="2307" max="2307" width="4.42578125" style="24" bestFit="1" customWidth="1"/>
    <col min="2308" max="2308" width="8" style="24" bestFit="1" customWidth="1"/>
    <col min="2309" max="2309" width="11.42578125" style="24"/>
    <col min="2310" max="2310" width="22.85546875" style="24" bestFit="1" customWidth="1"/>
    <col min="2311" max="2311" width="7" style="24" customWidth="1"/>
    <col min="2312" max="2312" width="6.28515625" style="24" customWidth="1"/>
    <col min="2313" max="2313" width="5.7109375" style="24" customWidth="1"/>
    <col min="2314" max="2314" width="5.7109375" style="24" bestFit="1" customWidth="1"/>
    <col min="2315" max="2315" width="5.85546875" style="24" bestFit="1" customWidth="1"/>
    <col min="2316" max="2316" width="9.42578125" style="24" customWidth="1"/>
    <col min="2317" max="2317" width="5.140625" style="24" customWidth="1"/>
    <col min="2318" max="2318" width="9.7109375" style="24" customWidth="1"/>
    <col min="2319" max="2319" width="6.7109375" style="24" bestFit="1" customWidth="1"/>
    <col min="2320" max="2320" width="4.85546875" style="24" customWidth="1"/>
    <col min="2321" max="2321" width="5.28515625" style="24" customWidth="1"/>
    <col min="2322" max="2323" width="4.42578125" style="24" bestFit="1" customWidth="1"/>
    <col min="2324" max="2324" width="13.28515625" style="24" bestFit="1" customWidth="1"/>
    <col min="2325" max="2325" width="3.140625" style="24" customWidth="1"/>
    <col min="2326" max="2326" width="5.42578125" style="24" bestFit="1" customWidth="1"/>
    <col min="2327" max="2327" width="4.42578125" style="24" bestFit="1" customWidth="1"/>
    <col min="2328" max="2328" width="6.42578125" style="24" customWidth="1"/>
    <col min="2329" max="2329" width="5" style="24" bestFit="1" customWidth="1"/>
    <col min="2330" max="2330" width="4.5703125" style="24" bestFit="1" customWidth="1"/>
    <col min="2331" max="2331" width="4.42578125" style="24" bestFit="1" customWidth="1"/>
    <col min="2332" max="2332" width="4" style="24" customWidth="1"/>
    <col min="2333" max="2560" width="11.42578125" style="24"/>
    <col min="2561" max="2561" width="14.85546875" style="24" bestFit="1" customWidth="1"/>
    <col min="2562" max="2562" width="28" style="24" bestFit="1" customWidth="1"/>
    <col min="2563" max="2563" width="4.42578125" style="24" bestFit="1" customWidth="1"/>
    <col min="2564" max="2564" width="8" style="24" bestFit="1" customWidth="1"/>
    <col min="2565" max="2565" width="11.42578125" style="24"/>
    <col min="2566" max="2566" width="22.85546875" style="24" bestFit="1" customWidth="1"/>
    <col min="2567" max="2567" width="7" style="24" customWidth="1"/>
    <col min="2568" max="2568" width="6.28515625" style="24" customWidth="1"/>
    <col min="2569" max="2569" width="5.7109375" style="24" customWidth="1"/>
    <col min="2570" max="2570" width="5.7109375" style="24" bestFit="1" customWidth="1"/>
    <col min="2571" max="2571" width="5.85546875" style="24" bestFit="1" customWidth="1"/>
    <col min="2572" max="2572" width="9.42578125" style="24" customWidth="1"/>
    <col min="2573" max="2573" width="5.140625" style="24" customWidth="1"/>
    <col min="2574" max="2574" width="9.7109375" style="24" customWidth="1"/>
    <col min="2575" max="2575" width="6.7109375" style="24" bestFit="1" customWidth="1"/>
    <col min="2576" max="2576" width="4.85546875" style="24" customWidth="1"/>
    <col min="2577" max="2577" width="5.28515625" style="24" customWidth="1"/>
    <col min="2578" max="2579" width="4.42578125" style="24" bestFit="1" customWidth="1"/>
    <col min="2580" max="2580" width="13.28515625" style="24" bestFit="1" customWidth="1"/>
    <col min="2581" max="2581" width="3.140625" style="24" customWidth="1"/>
    <col min="2582" max="2582" width="5.42578125" style="24" bestFit="1" customWidth="1"/>
    <col min="2583" max="2583" width="4.42578125" style="24" bestFit="1" customWidth="1"/>
    <col min="2584" max="2584" width="6.42578125" style="24" customWidth="1"/>
    <col min="2585" max="2585" width="5" style="24" bestFit="1" customWidth="1"/>
    <col min="2586" max="2586" width="4.5703125" style="24" bestFit="1" customWidth="1"/>
    <col min="2587" max="2587" width="4.42578125" style="24" bestFit="1" customWidth="1"/>
    <col min="2588" max="2588" width="4" style="24" customWidth="1"/>
    <col min="2589" max="2816" width="11.42578125" style="24"/>
    <col min="2817" max="2817" width="14.85546875" style="24" bestFit="1" customWidth="1"/>
    <col min="2818" max="2818" width="28" style="24" bestFit="1" customWidth="1"/>
    <col min="2819" max="2819" width="4.42578125" style="24" bestFit="1" customWidth="1"/>
    <col min="2820" max="2820" width="8" style="24" bestFit="1" customWidth="1"/>
    <col min="2821" max="2821" width="11.42578125" style="24"/>
    <col min="2822" max="2822" width="22.85546875" style="24" bestFit="1" customWidth="1"/>
    <col min="2823" max="2823" width="7" style="24" customWidth="1"/>
    <col min="2824" max="2824" width="6.28515625" style="24" customWidth="1"/>
    <col min="2825" max="2825" width="5.7109375" style="24" customWidth="1"/>
    <col min="2826" max="2826" width="5.7109375" style="24" bestFit="1" customWidth="1"/>
    <col min="2827" max="2827" width="5.85546875" style="24" bestFit="1" customWidth="1"/>
    <col min="2828" max="2828" width="9.42578125" style="24" customWidth="1"/>
    <col min="2829" max="2829" width="5.140625" style="24" customWidth="1"/>
    <col min="2830" max="2830" width="9.7109375" style="24" customWidth="1"/>
    <col min="2831" max="2831" width="6.7109375" style="24" bestFit="1" customWidth="1"/>
    <col min="2832" max="2832" width="4.85546875" style="24" customWidth="1"/>
    <col min="2833" max="2833" width="5.28515625" style="24" customWidth="1"/>
    <col min="2834" max="2835" width="4.42578125" style="24" bestFit="1" customWidth="1"/>
    <col min="2836" max="2836" width="13.28515625" style="24" bestFit="1" customWidth="1"/>
    <col min="2837" max="2837" width="3.140625" style="24" customWidth="1"/>
    <col min="2838" max="2838" width="5.42578125" style="24" bestFit="1" customWidth="1"/>
    <col min="2839" max="2839" width="4.42578125" style="24" bestFit="1" customWidth="1"/>
    <col min="2840" max="2840" width="6.42578125" style="24" customWidth="1"/>
    <col min="2841" max="2841" width="5" style="24" bestFit="1" customWidth="1"/>
    <col min="2842" max="2842" width="4.5703125" style="24" bestFit="1" customWidth="1"/>
    <col min="2843" max="2843" width="4.42578125" style="24" bestFit="1" customWidth="1"/>
    <col min="2844" max="2844" width="4" style="24" customWidth="1"/>
    <col min="2845" max="3072" width="11.42578125" style="24"/>
    <col min="3073" max="3073" width="14.85546875" style="24" bestFit="1" customWidth="1"/>
    <col min="3074" max="3074" width="28" style="24" bestFit="1" customWidth="1"/>
    <col min="3075" max="3075" width="4.42578125" style="24" bestFit="1" customWidth="1"/>
    <col min="3076" max="3076" width="8" style="24" bestFit="1" customWidth="1"/>
    <col min="3077" max="3077" width="11.42578125" style="24"/>
    <col min="3078" max="3078" width="22.85546875" style="24" bestFit="1" customWidth="1"/>
    <col min="3079" max="3079" width="7" style="24" customWidth="1"/>
    <col min="3080" max="3080" width="6.28515625" style="24" customWidth="1"/>
    <col min="3081" max="3081" width="5.7109375" style="24" customWidth="1"/>
    <col min="3082" max="3082" width="5.7109375" style="24" bestFit="1" customWidth="1"/>
    <col min="3083" max="3083" width="5.85546875" style="24" bestFit="1" customWidth="1"/>
    <col min="3084" max="3084" width="9.42578125" style="24" customWidth="1"/>
    <col min="3085" max="3085" width="5.140625" style="24" customWidth="1"/>
    <col min="3086" max="3086" width="9.7109375" style="24" customWidth="1"/>
    <col min="3087" max="3087" width="6.7109375" style="24" bestFit="1" customWidth="1"/>
    <col min="3088" max="3088" width="4.85546875" style="24" customWidth="1"/>
    <col min="3089" max="3089" width="5.28515625" style="24" customWidth="1"/>
    <col min="3090" max="3091" width="4.42578125" style="24" bestFit="1" customWidth="1"/>
    <col min="3092" max="3092" width="13.28515625" style="24" bestFit="1" customWidth="1"/>
    <col min="3093" max="3093" width="3.140625" style="24" customWidth="1"/>
    <col min="3094" max="3094" width="5.42578125" style="24" bestFit="1" customWidth="1"/>
    <col min="3095" max="3095" width="4.42578125" style="24" bestFit="1" customWidth="1"/>
    <col min="3096" max="3096" width="6.42578125" style="24" customWidth="1"/>
    <col min="3097" max="3097" width="5" style="24" bestFit="1" customWidth="1"/>
    <col min="3098" max="3098" width="4.5703125" style="24" bestFit="1" customWidth="1"/>
    <col min="3099" max="3099" width="4.42578125" style="24" bestFit="1" customWidth="1"/>
    <col min="3100" max="3100" width="4" style="24" customWidth="1"/>
    <col min="3101" max="3328" width="11.42578125" style="24"/>
    <col min="3329" max="3329" width="14.85546875" style="24" bestFit="1" customWidth="1"/>
    <col min="3330" max="3330" width="28" style="24" bestFit="1" customWidth="1"/>
    <col min="3331" max="3331" width="4.42578125" style="24" bestFit="1" customWidth="1"/>
    <col min="3332" max="3332" width="8" style="24" bestFit="1" customWidth="1"/>
    <col min="3333" max="3333" width="11.42578125" style="24"/>
    <col min="3334" max="3334" width="22.85546875" style="24" bestFit="1" customWidth="1"/>
    <col min="3335" max="3335" width="7" style="24" customWidth="1"/>
    <col min="3336" max="3336" width="6.28515625" style="24" customWidth="1"/>
    <col min="3337" max="3337" width="5.7109375" style="24" customWidth="1"/>
    <col min="3338" max="3338" width="5.7109375" style="24" bestFit="1" customWidth="1"/>
    <col min="3339" max="3339" width="5.85546875" style="24" bestFit="1" customWidth="1"/>
    <col min="3340" max="3340" width="9.42578125" style="24" customWidth="1"/>
    <col min="3341" max="3341" width="5.140625" style="24" customWidth="1"/>
    <col min="3342" max="3342" width="9.7109375" style="24" customWidth="1"/>
    <col min="3343" max="3343" width="6.7109375" style="24" bestFit="1" customWidth="1"/>
    <col min="3344" max="3344" width="4.85546875" style="24" customWidth="1"/>
    <col min="3345" max="3345" width="5.28515625" style="24" customWidth="1"/>
    <col min="3346" max="3347" width="4.42578125" style="24" bestFit="1" customWidth="1"/>
    <col min="3348" max="3348" width="13.28515625" style="24" bestFit="1" customWidth="1"/>
    <col min="3349" max="3349" width="3.140625" style="24" customWidth="1"/>
    <col min="3350" max="3350" width="5.42578125" style="24" bestFit="1" customWidth="1"/>
    <col min="3351" max="3351" width="4.42578125" style="24" bestFit="1" customWidth="1"/>
    <col min="3352" max="3352" width="6.42578125" style="24" customWidth="1"/>
    <col min="3353" max="3353" width="5" style="24" bestFit="1" customWidth="1"/>
    <col min="3354" max="3354" width="4.5703125" style="24" bestFit="1" customWidth="1"/>
    <col min="3355" max="3355" width="4.42578125" style="24" bestFit="1" customWidth="1"/>
    <col min="3356" max="3356" width="4" style="24" customWidth="1"/>
    <col min="3357" max="3584" width="11.42578125" style="24"/>
    <col min="3585" max="3585" width="14.85546875" style="24" bestFit="1" customWidth="1"/>
    <col min="3586" max="3586" width="28" style="24" bestFit="1" customWidth="1"/>
    <col min="3587" max="3587" width="4.42578125" style="24" bestFit="1" customWidth="1"/>
    <col min="3588" max="3588" width="8" style="24" bestFit="1" customWidth="1"/>
    <col min="3589" max="3589" width="11.42578125" style="24"/>
    <col min="3590" max="3590" width="22.85546875" style="24" bestFit="1" customWidth="1"/>
    <col min="3591" max="3591" width="7" style="24" customWidth="1"/>
    <col min="3592" max="3592" width="6.28515625" style="24" customWidth="1"/>
    <col min="3593" max="3593" width="5.7109375" style="24" customWidth="1"/>
    <col min="3594" max="3594" width="5.7109375" style="24" bestFit="1" customWidth="1"/>
    <col min="3595" max="3595" width="5.85546875" style="24" bestFit="1" customWidth="1"/>
    <col min="3596" max="3596" width="9.42578125" style="24" customWidth="1"/>
    <col min="3597" max="3597" width="5.140625" style="24" customWidth="1"/>
    <col min="3598" max="3598" width="9.7109375" style="24" customWidth="1"/>
    <col min="3599" max="3599" width="6.7109375" style="24" bestFit="1" customWidth="1"/>
    <col min="3600" max="3600" width="4.85546875" style="24" customWidth="1"/>
    <col min="3601" max="3601" width="5.28515625" style="24" customWidth="1"/>
    <col min="3602" max="3603" width="4.42578125" style="24" bestFit="1" customWidth="1"/>
    <col min="3604" max="3604" width="13.28515625" style="24" bestFit="1" customWidth="1"/>
    <col min="3605" max="3605" width="3.140625" style="24" customWidth="1"/>
    <col min="3606" max="3606" width="5.42578125" style="24" bestFit="1" customWidth="1"/>
    <col min="3607" max="3607" width="4.42578125" style="24" bestFit="1" customWidth="1"/>
    <col min="3608" max="3608" width="6.42578125" style="24" customWidth="1"/>
    <col min="3609" max="3609" width="5" style="24" bestFit="1" customWidth="1"/>
    <col min="3610" max="3610" width="4.5703125" style="24" bestFit="1" customWidth="1"/>
    <col min="3611" max="3611" width="4.42578125" style="24" bestFit="1" customWidth="1"/>
    <col min="3612" max="3612" width="4" style="24" customWidth="1"/>
    <col min="3613" max="3840" width="11.42578125" style="24"/>
    <col min="3841" max="3841" width="14.85546875" style="24" bestFit="1" customWidth="1"/>
    <col min="3842" max="3842" width="28" style="24" bestFit="1" customWidth="1"/>
    <col min="3843" max="3843" width="4.42578125" style="24" bestFit="1" customWidth="1"/>
    <col min="3844" max="3844" width="8" style="24" bestFit="1" customWidth="1"/>
    <col min="3845" max="3845" width="11.42578125" style="24"/>
    <col min="3846" max="3846" width="22.85546875" style="24" bestFit="1" customWidth="1"/>
    <col min="3847" max="3847" width="7" style="24" customWidth="1"/>
    <col min="3848" max="3848" width="6.28515625" style="24" customWidth="1"/>
    <col min="3849" max="3849" width="5.7109375" style="24" customWidth="1"/>
    <col min="3850" max="3850" width="5.7109375" style="24" bestFit="1" customWidth="1"/>
    <col min="3851" max="3851" width="5.85546875" style="24" bestFit="1" customWidth="1"/>
    <col min="3852" max="3852" width="9.42578125" style="24" customWidth="1"/>
    <col min="3853" max="3853" width="5.140625" style="24" customWidth="1"/>
    <col min="3854" max="3854" width="9.7109375" style="24" customWidth="1"/>
    <col min="3855" max="3855" width="6.7109375" style="24" bestFit="1" customWidth="1"/>
    <col min="3856" max="3856" width="4.85546875" style="24" customWidth="1"/>
    <col min="3857" max="3857" width="5.28515625" style="24" customWidth="1"/>
    <col min="3858" max="3859" width="4.42578125" style="24" bestFit="1" customWidth="1"/>
    <col min="3860" max="3860" width="13.28515625" style="24" bestFit="1" customWidth="1"/>
    <col min="3861" max="3861" width="3.140625" style="24" customWidth="1"/>
    <col min="3862" max="3862" width="5.42578125" style="24" bestFit="1" customWidth="1"/>
    <col min="3863" max="3863" width="4.42578125" style="24" bestFit="1" customWidth="1"/>
    <col min="3864" max="3864" width="6.42578125" style="24" customWidth="1"/>
    <col min="3865" max="3865" width="5" style="24" bestFit="1" customWidth="1"/>
    <col min="3866" max="3866" width="4.5703125" style="24" bestFit="1" customWidth="1"/>
    <col min="3867" max="3867" width="4.42578125" style="24" bestFit="1" customWidth="1"/>
    <col min="3868" max="3868" width="4" style="24" customWidth="1"/>
    <col min="3869" max="4096" width="11.42578125" style="24"/>
    <col min="4097" max="4097" width="14.85546875" style="24" bestFit="1" customWidth="1"/>
    <col min="4098" max="4098" width="28" style="24" bestFit="1" customWidth="1"/>
    <col min="4099" max="4099" width="4.42578125" style="24" bestFit="1" customWidth="1"/>
    <col min="4100" max="4100" width="8" style="24" bestFit="1" customWidth="1"/>
    <col min="4101" max="4101" width="11.42578125" style="24"/>
    <col min="4102" max="4102" width="22.85546875" style="24" bestFit="1" customWidth="1"/>
    <col min="4103" max="4103" width="7" style="24" customWidth="1"/>
    <col min="4104" max="4104" width="6.28515625" style="24" customWidth="1"/>
    <col min="4105" max="4105" width="5.7109375" style="24" customWidth="1"/>
    <col min="4106" max="4106" width="5.7109375" style="24" bestFit="1" customWidth="1"/>
    <col min="4107" max="4107" width="5.85546875" style="24" bestFit="1" customWidth="1"/>
    <col min="4108" max="4108" width="9.42578125" style="24" customWidth="1"/>
    <col min="4109" max="4109" width="5.140625" style="24" customWidth="1"/>
    <col min="4110" max="4110" width="9.7109375" style="24" customWidth="1"/>
    <col min="4111" max="4111" width="6.7109375" style="24" bestFit="1" customWidth="1"/>
    <col min="4112" max="4112" width="4.85546875" style="24" customWidth="1"/>
    <col min="4113" max="4113" width="5.28515625" style="24" customWidth="1"/>
    <col min="4114" max="4115" width="4.42578125" style="24" bestFit="1" customWidth="1"/>
    <col min="4116" max="4116" width="13.28515625" style="24" bestFit="1" customWidth="1"/>
    <col min="4117" max="4117" width="3.140625" style="24" customWidth="1"/>
    <col min="4118" max="4118" width="5.42578125" style="24" bestFit="1" customWidth="1"/>
    <col min="4119" max="4119" width="4.42578125" style="24" bestFit="1" customWidth="1"/>
    <col min="4120" max="4120" width="6.42578125" style="24" customWidth="1"/>
    <col min="4121" max="4121" width="5" style="24" bestFit="1" customWidth="1"/>
    <col min="4122" max="4122" width="4.5703125" style="24" bestFit="1" customWidth="1"/>
    <col min="4123" max="4123" width="4.42578125" style="24" bestFit="1" customWidth="1"/>
    <col min="4124" max="4124" width="4" style="24" customWidth="1"/>
    <col min="4125" max="4352" width="11.42578125" style="24"/>
    <col min="4353" max="4353" width="14.85546875" style="24" bestFit="1" customWidth="1"/>
    <col min="4354" max="4354" width="28" style="24" bestFit="1" customWidth="1"/>
    <col min="4355" max="4355" width="4.42578125" style="24" bestFit="1" customWidth="1"/>
    <col min="4356" max="4356" width="8" style="24" bestFit="1" customWidth="1"/>
    <col min="4357" max="4357" width="11.42578125" style="24"/>
    <col min="4358" max="4358" width="22.85546875" style="24" bestFit="1" customWidth="1"/>
    <col min="4359" max="4359" width="7" style="24" customWidth="1"/>
    <col min="4360" max="4360" width="6.28515625" style="24" customWidth="1"/>
    <col min="4361" max="4361" width="5.7109375" style="24" customWidth="1"/>
    <col min="4362" max="4362" width="5.7109375" style="24" bestFit="1" customWidth="1"/>
    <col min="4363" max="4363" width="5.85546875" style="24" bestFit="1" customWidth="1"/>
    <col min="4364" max="4364" width="9.42578125" style="24" customWidth="1"/>
    <col min="4365" max="4365" width="5.140625" style="24" customWidth="1"/>
    <col min="4366" max="4366" width="9.7109375" style="24" customWidth="1"/>
    <col min="4367" max="4367" width="6.7109375" style="24" bestFit="1" customWidth="1"/>
    <col min="4368" max="4368" width="4.85546875" style="24" customWidth="1"/>
    <col min="4369" max="4369" width="5.28515625" style="24" customWidth="1"/>
    <col min="4370" max="4371" width="4.42578125" style="24" bestFit="1" customWidth="1"/>
    <col min="4372" max="4372" width="13.28515625" style="24" bestFit="1" customWidth="1"/>
    <col min="4373" max="4373" width="3.140625" style="24" customWidth="1"/>
    <col min="4374" max="4374" width="5.42578125" style="24" bestFit="1" customWidth="1"/>
    <col min="4375" max="4375" width="4.42578125" style="24" bestFit="1" customWidth="1"/>
    <col min="4376" max="4376" width="6.42578125" style="24" customWidth="1"/>
    <col min="4377" max="4377" width="5" style="24" bestFit="1" customWidth="1"/>
    <col min="4378" max="4378" width="4.5703125" style="24" bestFit="1" customWidth="1"/>
    <col min="4379" max="4379" width="4.42578125" style="24" bestFit="1" customWidth="1"/>
    <col min="4380" max="4380" width="4" style="24" customWidth="1"/>
    <col min="4381" max="4608" width="11.42578125" style="24"/>
    <col min="4609" max="4609" width="14.85546875" style="24" bestFit="1" customWidth="1"/>
    <col min="4610" max="4610" width="28" style="24" bestFit="1" customWidth="1"/>
    <col min="4611" max="4611" width="4.42578125" style="24" bestFit="1" customWidth="1"/>
    <col min="4612" max="4612" width="8" style="24" bestFit="1" customWidth="1"/>
    <col min="4613" max="4613" width="11.42578125" style="24"/>
    <col min="4614" max="4614" width="22.85546875" style="24" bestFit="1" customWidth="1"/>
    <col min="4615" max="4615" width="7" style="24" customWidth="1"/>
    <col min="4616" max="4616" width="6.28515625" style="24" customWidth="1"/>
    <col min="4617" max="4617" width="5.7109375" style="24" customWidth="1"/>
    <col min="4618" max="4618" width="5.7109375" style="24" bestFit="1" customWidth="1"/>
    <col min="4619" max="4619" width="5.85546875" style="24" bestFit="1" customWidth="1"/>
    <col min="4620" max="4620" width="9.42578125" style="24" customWidth="1"/>
    <col min="4621" max="4621" width="5.140625" style="24" customWidth="1"/>
    <col min="4622" max="4622" width="9.7109375" style="24" customWidth="1"/>
    <col min="4623" max="4623" width="6.7109375" style="24" bestFit="1" customWidth="1"/>
    <col min="4624" max="4624" width="4.85546875" style="24" customWidth="1"/>
    <col min="4625" max="4625" width="5.28515625" style="24" customWidth="1"/>
    <col min="4626" max="4627" width="4.42578125" style="24" bestFit="1" customWidth="1"/>
    <col min="4628" max="4628" width="13.28515625" style="24" bestFit="1" customWidth="1"/>
    <col min="4629" max="4629" width="3.140625" style="24" customWidth="1"/>
    <col min="4630" max="4630" width="5.42578125" style="24" bestFit="1" customWidth="1"/>
    <col min="4631" max="4631" width="4.42578125" style="24" bestFit="1" customWidth="1"/>
    <col min="4632" max="4632" width="6.42578125" style="24" customWidth="1"/>
    <col min="4633" max="4633" width="5" style="24" bestFit="1" customWidth="1"/>
    <col min="4634" max="4634" width="4.5703125" style="24" bestFit="1" customWidth="1"/>
    <col min="4635" max="4635" width="4.42578125" style="24" bestFit="1" customWidth="1"/>
    <col min="4636" max="4636" width="4" style="24" customWidth="1"/>
    <col min="4637" max="4864" width="11.42578125" style="24"/>
    <col min="4865" max="4865" width="14.85546875" style="24" bestFit="1" customWidth="1"/>
    <col min="4866" max="4866" width="28" style="24" bestFit="1" customWidth="1"/>
    <col min="4867" max="4867" width="4.42578125" style="24" bestFit="1" customWidth="1"/>
    <col min="4868" max="4868" width="8" style="24" bestFit="1" customWidth="1"/>
    <col min="4869" max="4869" width="11.42578125" style="24"/>
    <col min="4870" max="4870" width="22.85546875" style="24" bestFit="1" customWidth="1"/>
    <col min="4871" max="4871" width="7" style="24" customWidth="1"/>
    <col min="4872" max="4872" width="6.28515625" style="24" customWidth="1"/>
    <col min="4873" max="4873" width="5.7109375" style="24" customWidth="1"/>
    <col min="4874" max="4874" width="5.7109375" style="24" bestFit="1" customWidth="1"/>
    <col min="4875" max="4875" width="5.85546875" style="24" bestFit="1" customWidth="1"/>
    <col min="4876" max="4876" width="9.42578125" style="24" customWidth="1"/>
    <col min="4877" max="4877" width="5.140625" style="24" customWidth="1"/>
    <col min="4878" max="4878" width="9.7109375" style="24" customWidth="1"/>
    <col min="4879" max="4879" width="6.7109375" style="24" bestFit="1" customWidth="1"/>
    <col min="4880" max="4880" width="4.85546875" style="24" customWidth="1"/>
    <col min="4881" max="4881" width="5.28515625" style="24" customWidth="1"/>
    <col min="4882" max="4883" width="4.42578125" style="24" bestFit="1" customWidth="1"/>
    <col min="4884" max="4884" width="13.28515625" style="24" bestFit="1" customWidth="1"/>
    <col min="4885" max="4885" width="3.140625" style="24" customWidth="1"/>
    <col min="4886" max="4886" width="5.42578125" style="24" bestFit="1" customWidth="1"/>
    <col min="4887" max="4887" width="4.42578125" style="24" bestFit="1" customWidth="1"/>
    <col min="4888" max="4888" width="6.42578125" style="24" customWidth="1"/>
    <col min="4889" max="4889" width="5" style="24" bestFit="1" customWidth="1"/>
    <col min="4890" max="4890" width="4.5703125" style="24" bestFit="1" customWidth="1"/>
    <col min="4891" max="4891" width="4.42578125" style="24" bestFit="1" customWidth="1"/>
    <col min="4892" max="4892" width="4" style="24" customWidth="1"/>
    <col min="4893" max="5120" width="11.42578125" style="24"/>
    <col min="5121" max="5121" width="14.85546875" style="24" bestFit="1" customWidth="1"/>
    <col min="5122" max="5122" width="28" style="24" bestFit="1" customWidth="1"/>
    <col min="5123" max="5123" width="4.42578125" style="24" bestFit="1" customWidth="1"/>
    <col min="5124" max="5124" width="8" style="24" bestFit="1" customWidth="1"/>
    <col min="5125" max="5125" width="11.42578125" style="24"/>
    <col min="5126" max="5126" width="22.85546875" style="24" bestFit="1" customWidth="1"/>
    <col min="5127" max="5127" width="7" style="24" customWidth="1"/>
    <col min="5128" max="5128" width="6.28515625" style="24" customWidth="1"/>
    <col min="5129" max="5129" width="5.7109375" style="24" customWidth="1"/>
    <col min="5130" max="5130" width="5.7109375" style="24" bestFit="1" customWidth="1"/>
    <col min="5131" max="5131" width="5.85546875" style="24" bestFit="1" customWidth="1"/>
    <col min="5132" max="5132" width="9.42578125" style="24" customWidth="1"/>
    <col min="5133" max="5133" width="5.140625" style="24" customWidth="1"/>
    <col min="5134" max="5134" width="9.7109375" style="24" customWidth="1"/>
    <col min="5135" max="5135" width="6.7109375" style="24" bestFit="1" customWidth="1"/>
    <col min="5136" max="5136" width="4.85546875" style="24" customWidth="1"/>
    <col min="5137" max="5137" width="5.28515625" style="24" customWidth="1"/>
    <col min="5138" max="5139" width="4.42578125" style="24" bestFit="1" customWidth="1"/>
    <col min="5140" max="5140" width="13.28515625" style="24" bestFit="1" customWidth="1"/>
    <col min="5141" max="5141" width="3.140625" style="24" customWidth="1"/>
    <col min="5142" max="5142" width="5.42578125" style="24" bestFit="1" customWidth="1"/>
    <col min="5143" max="5143" width="4.42578125" style="24" bestFit="1" customWidth="1"/>
    <col min="5144" max="5144" width="6.42578125" style="24" customWidth="1"/>
    <col min="5145" max="5145" width="5" style="24" bestFit="1" customWidth="1"/>
    <col min="5146" max="5146" width="4.5703125" style="24" bestFit="1" customWidth="1"/>
    <col min="5147" max="5147" width="4.42578125" style="24" bestFit="1" customWidth="1"/>
    <col min="5148" max="5148" width="4" style="24" customWidth="1"/>
    <col min="5149" max="5376" width="11.42578125" style="24"/>
    <col min="5377" max="5377" width="14.85546875" style="24" bestFit="1" customWidth="1"/>
    <col min="5378" max="5378" width="28" style="24" bestFit="1" customWidth="1"/>
    <col min="5379" max="5379" width="4.42578125" style="24" bestFit="1" customWidth="1"/>
    <col min="5380" max="5380" width="8" style="24" bestFit="1" customWidth="1"/>
    <col min="5381" max="5381" width="11.42578125" style="24"/>
    <col min="5382" max="5382" width="22.85546875" style="24" bestFit="1" customWidth="1"/>
    <col min="5383" max="5383" width="7" style="24" customWidth="1"/>
    <col min="5384" max="5384" width="6.28515625" style="24" customWidth="1"/>
    <col min="5385" max="5385" width="5.7109375" style="24" customWidth="1"/>
    <col min="5386" max="5386" width="5.7109375" style="24" bestFit="1" customWidth="1"/>
    <col min="5387" max="5387" width="5.85546875" style="24" bestFit="1" customWidth="1"/>
    <col min="5388" max="5388" width="9.42578125" style="24" customWidth="1"/>
    <col min="5389" max="5389" width="5.140625" style="24" customWidth="1"/>
    <col min="5390" max="5390" width="9.7109375" style="24" customWidth="1"/>
    <col min="5391" max="5391" width="6.7109375" style="24" bestFit="1" customWidth="1"/>
    <col min="5392" max="5392" width="4.85546875" style="24" customWidth="1"/>
    <col min="5393" max="5393" width="5.28515625" style="24" customWidth="1"/>
    <col min="5394" max="5395" width="4.42578125" style="24" bestFit="1" customWidth="1"/>
    <col min="5396" max="5396" width="13.28515625" style="24" bestFit="1" customWidth="1"/>
    <col min="5397" max="5397" width="3.140625" style="24" customWidth="1"/>
    <col min="5398" max="5398" width="5.42578125" style="24" bestFit="1" customWidth="1"/>
    <col min="5399" max="5399" width="4.42578125" style="24" bestFit="1" customWidth="1"/>
    <col min="5400" max="5400" width="6.42578125" style="24" customWidth="1"/>
    <col min="5401" max="5401" width="5" style="24" bestFit="1" customWidth="1"/>
    <col min="5402" max="5402" width="4.5703125" style="24" bestFit="1" customWidth="1"/>
    <col min="5403" max="5403" width="4.42578125" style="24" bestFit="1" customWidth="1"/>
    <col min="5404" max="5404" width="4" style="24" customWidth="1"/>
    <col min="5405" max="5632" width="11.42578125" style="24"/>
    <col min="5633" max="5633" width="14.85546875" style="24" bestFit="1" customWidth="1"/>
    <col min="5634" max="5634" width="28" style="24" bestFit="1" customWidth="1"/>
    <col min="5635" max="5635" width="4.42578125" style="24" bestFit="1" customWidth="1"/>
    <col min="5636" max="5636" width="8" style="24" bestFit="1" customWidth="1"/>
    <col min="5637" max="5637" width="11.42578125" style="24"/>
    <col min="5638" max="5638" width="22.85546875" style="24" bestFit="1" customWidth="1"/>
    <col min="5639" max="5639" width="7" style="24" customWidth="1"/>
    <col min="5640" max="5640" width="6.28515625" style="24" customWidth="1"/>
    <col min="5641" max="5641" width="5.7109375" style="24" customWidth="1"/>
    <col min="5642" max="5642" width="5.7109375" style="24" bestFit="1" customWidth="1"/>
    <col min="5643" max="5643" width="5.85546875" style="24" bestFit="1" customWidth="1"/>
    <col min="5644" max="5644" width="9.42578125" style="24" customWidth="1"/>
    <col min="5645" max="5645" width="5.140625" style="24" customWidth="1"/>
    <col min="5646" max="5646" width="9.7109375" style="24" customWidth="1"/>
    <col min="5647" max="5647" width="6.7109375" style="24" bestFit="1" customWidth="1"/>
    <col min="5648" max="5648" width="4.85546875" style="24" customWidth="1"/>
    <col min="5649" max="5649" width="5.28515625" style="24" customWidth="1"/>
    <col min="5650" max="5651" width="4.42578125" style="24" bestFit="1" customWidth="1"/>
    <col min="5652" max="5652" width="13.28515625" style="24" bestFit="1" customWidth="1"/>
    <col min="5653" max="5653" width="3.140625" style="24" customWidth="1"/>
    <col min="5654" max="5654" width="5.42578125" style="24" bestFit="1" customWidth="1"/>
    <col min="5655" max="5655" width="4.42578125" style="24" bestFit="1" customWidth="1"/>
    <col min="5656" max="5656" width="6.42578125" style="24" customWidth="1"/>
    <col min="5657" max="5657" width="5" style="24" bestFit="1" customWidth="1"/>
    <col min="5658" max="5658" width="4.5703125" style="24" bestFit="1" customWidth="1"/>
    <col min="5659" max="5659" width="4.42578125" style="24" bestFit="1" customWidth="1"/>
    <col min="5660" max="5660" width="4" style="24" customWidth="1"/>
    <col min="5661" max="5888" width="11.42578125" style="24"/>
    <col min="5889" max="5889" width="14.85546875" style="24" bestFit="1" customWidth="1"/>
    <col min="5890" max="5890" width="28" style="24" bestFit="1" customWidth="1"/>
    <col min="5891" max="5891" width="4.42578125" style="24" bestFit="1" customWidth="1"/>
    <col min="5892" max="5892" width="8" style="24" bestFit="1" customWidth="1"/>
    <col min="5893" max="5893" width="11.42578125" style="24"/>
    <col min="5894" max="5894" width="22.85546875" style="24" bestFit="1" customWidth="1"/>
    <col min="5895" max="5895" width="7" style="24" customWidth="1"/>
    <col min="5896" max="5896" width="6.28515625" style="24" customWidth="1"/>
    <col min="5897" max="5897" width="5.7109375" style="24" customWidth="1"/>
    <col min="5898" max="5898" width="5.7109375" style="24" bestFit="1" customWidth="1"/>
    <col min="5899" max="5899" width="5.85546875" style="24" bestFit="1" customWidth="1"/>
    <col min="5900" max="5900" width="9.42578125" style="24" customWidth="1"/>
    <col min="5901" max="5901" width="5.140625" style="24" customWidth="1"/>
    <col min="5902" max="5902" width="9.7109375" style="24" customWidth="1"/>
    <col min="5903" max="5903" width="6.7109375" style="24" bestFit="1" customWidth="1"/>
    <col min="5904" max="5904" width="4.85546875" style="24" customWidth="1"/>
    <col min="5905" max="5905" width="5.28515625" style="24" customWidth="1"/>
    <col min="5906" max="5907" width="4.42578125" style="24" bestFit="1" customWidth="1"/>
    <col min="5908" max="5908" width="13.28515625" style="24" bestFit="1" customWidth="1"/>
    <col min="5909" max="5909" width="3.140625" style="24" customWidth="1"/>
    <col min="5910" max="5910" width="5.42578125" style="24" bestFit="1" customWidth="1"/>
    <col min="5911" max="5911" width="4.42578125" style="24" bestFit="1" customWidth="1"/>
    <col min="5912" max="5912" width="6.42578125" style="24" customWidth="1"/>
    <col min="5913" max="5913" width="5" style="24" bestFit="1" customWidth="1"/>
    <col min="5914" max="5914" width="4.5703125" style="24" bestFit="1" customWidth="1"/>
    <col min="5915" max="5915" width="4.42578125" style="24" bestFit="1" customWidth="1"/>
    <col min="5916" max="5916" width="4" style="24" customWidth="1"/>
    <col min="5917" max="6144" width="11.42578125" style="24"/>
    <col min="6145" max="6145" width="14.85546875" style="24" bestFit="1" customWidth="1"/>
    <col min="6146" max="6146" width="28" style="24" bestFit="1" customWidth="1"/>
    <col min="6147" max="6147" width="4.42578125" style="24" bestFit="1" customWidth="1"/>
    <col min="6148" max="6148" width="8" style="24" bestFit="1" customWidth="1"/>
    <col min="6149" max="6149" width="11.42578125" style="24"/>
    <col min="6150" max="6150" width="22.85546875" style="24" bestFit="1" customWidth="1"/>
    <col min="6151" max="6151" width="7" style="24" customWidth="1"/>
    <col min="6152" max="6152" width="6.28515625" style="24" customWidth="1"/>
    <col min="6153" max="6153" width="5.7109375" style="24" customWidth="1"/>
    <col min="6154" max="6154" width="5.7109375" style="24" bestFit="1" customWidth="1"/>
    <col min="6155" max="6155" width="5.85546875" style="24" bestFit="1" customWidth="1"/>
    <col min="6156" max="6156" width="9.42578125" style="24" customWidth="1"/>
    <col min="6157" max="6157" width="5.140625" style="24" customWidth="1"/>
    <col min="6158" max="6158" width="9.7109375" style="24" customWidth="1"/>
    <col min="6159" max="6159" width="6.7109375" style="24" bestFit="1" customWidth="1"/>
    <col min="6160" max="6160" width="4.85546875" style="24" customWidth="1"/>
    <col min="6161" max="6161" width="5.28515625" style="24" customWidth="1"/>
    <col min="6162" max="6163" width="4.42578125" style="24" bestFit="1" customWidth="1"/>
    <col min="6164" max="6164" width="13.28515625" style="24" bestFit="1" customWidth="1"/>
    <col min="6165" max="6165" width="3.140625" style="24" customWidth="1"/>
    <col min="6166" max="6166" width="5.42578125" style="24" bestFit="1" customWidth="1"/>
    <col min="6167" max="6167" width="4.42578125" style="24" bestFit="1" customWidth="1"/>
    <col min="6168" max="6168" width="6.42578125" style="24" customWidth="1"/>
    <col min="6169" max="6169" width="5" style="24" bestFit="1" customWidth="1"/>
    <col min="6170" max="6170" width="4.5703125" style="24" bestFit="1" customWidth="1"/>
    <col min="6171" max="6171" width="4.42578125" style="24" bestFit="1" customWidth="1"/>
    <col min="6172" max="6172" width="4" style="24" customWidth="1"/>
    <col min="6173" max="6400" width="11.42578125" style="24"/>
    <col min="6401" max="6401" width="14.85546875" style="24" bestFit="1" customWidth="1"/>
    <col min="6402" max="6402" width="28" style="24" bestFit="1" customWidth="1"/>
    <col min="6403" max="6403" width="4.42578125" style="24" bestFit="1" customWidth="1"/>
    <col min="6404" max="6404" width="8" style="24" bestFit="1" customWidth="1"/>
    <col min="6405" max="6405" width="11.42578125" style="24"/>
    <col min="6406" max="6406" width="22.85546875" style="24" bestFit="1" customWidth="1"/>
    <col min="6407" max="6407" width="7" style="24" customWidth="1"/>
    <col min="6408" max="6408" width="6.28515625" style="24" customWidth="1"/>
    <col min="6409" max="6409" width="5.7109375" style="24" customWidth="1"/>
    <col min="6410" max="6410" width="5.7109375" style="24" bestFit="1" customWidth="1"/>
    <col min="6411" max="6411" width="5.85546875" style="24" bestFit="1" customWidth="1"/>
    <col min="6412" max="6412" width="9.42578125" style="24" customWidth="1"/>
    <col min="6413" max="6413" width="5.140625" style="24" customWidth="1"/>
    <col min="6414" max="6414" width="9.7109375" style="24" customWidth="1"/>
    <col min="6415" max="6415" width="6.7109375" style="24" bestFit="1" customWidth="1"/>
    <col min="6416" max="6416" width="4.85546875" style="24" customWidth="1"/>
    <col min="6417" max="6417" width="5.28515625" style="24" customWidth="1"/>
    <col min="6418" max="6419" width="4.42578125" style="24" bestFit="1" customWidth="1"/>
    <col min="6420" max="6420" width="13.28515625" style="24" bestFit="1" customWidth="1"/>
    <col min="6421" max="6421" width="3.140625" style="24" customWidth="1"/>
    <col min="6422" max="6422" width="5.42578125" style="24" bestFit="1" customWidth="1"/>
    <col min="6423" max="6423" width="4.42578125" style="24" bestFit="1" customWidth="1"/>
    <col min="6424" max="6424" width="6.42578125" style="24" customWidth="1"/>
    <col min="6425" max="6425" width="5" style="24" bestFit="1" customWidth="1"/>
    <col min="6426" max="6426" width="4.5703125" style="24" bestFit="1" customWidth="1"/>
    <col min="6427" max="6427" width="4.42578125" style="24" bestFit="1" customWidth="1"/>
    <col min="6428" max="6428" width="4" style="24" customWidth="1"/>
    <col min="6429" max="6656" width="11.42578125" style="24"/>
    <col min="6657" max="6657" width="14.85546875" style="24" bestFit="1" customWidth="1"/>
    <col min="6658" max="6658" width="28" style="24" bestFit="1" customWidth="1"/>
    <col min="6659" max="6659" width="4.42578125" style="24" bestFit="1" customWidth="1"/>
    <col min="6660" max="6660" width="8" style="24" bestFit="1" customWidth="1"/>
    <col min="6661" max="6661" width="11.42578125" style="24"/>
    <col min="6662" max="6662" width="22.85546875" style="24" bestFit="1" customWidth="1"/>
    <col min="6663" max="6663" width="7" style="24" customWidth="1"/>
    <col min="6664" max="6664" width="6.28515625" style="24" customWidth="1"/>
    <col min="6665" max="6665" width="5.7109375" style="24" customWidth="1"/>
    <col min="6666" max="6666" width="5.7109375" style="24" bestFit="1" customWidth="1"/>
    <col min="6667" max="6667" width="5.85546875" style="24" bestFit="1" customWidth="1"/>
    <col min="6668" max="6668" width="9.42578125" style="24" customWidth="1"/>
    <col min="6669" max="6669" width="5.140625" style="24" customWidth="1"/>
    <col min="6670" max="6670" width="9.7109375" style="24" customWidth="1"/>
    <col min="6671" max="6671" width="6.7109375" style="24" bestFit="1" customWidth="1"/>
    <col min="6672" max="6672" width="4.85546875" style="24" customWidth="1"/>
    <col min="6673" max="6673" width="5.28515625" style="24" customWidth="1"/>
    <col min="6674" max="6675" width="4.42578125" style="24" bestFit="1" customWidth="1"/>
    <col min="6676" max="6676" width="13.28515625" style="24" bestFit="1" customWidth="1"/>
    <col min="6677" max="6677" width="3.140625" style="24" customWidth="1"/>
    <col min="6678" max="6678" width="5.42578125" style="24" bestFit="1" customWidth="1"/>
    <col min="6679" max="6679" width="4.42578125" style="24" bestFit="1" customWidth="1"/>
    <col min="6680" max="6680" width="6.42578125" style="24" customWidth="1"/>
    <col min="6681" max="6681" width="5" style="24" bestFit="1" customWidth="1"/>
    <col min="6682" max="6682" width="4.5703125" style="24" bestFit="1" customWidth="1"/>
    <col min="6683" max="6683" width="4.42578125" style="24" bestFit="1" customWidth="1"/>
    <col min="6684" max="6684" width="4" style="24" customWidth="1"/>
    <col min="6685" max="6912" width="11.42578125" style="24"/>
    <col min="6913" max="6913" width="14.85546875" style="24" bestFit="1" customWidth="1"/>
    <col min="6914" max="6914" width="28" style="24" bestFit="1" customWidth="1"/>
    <col min="6915" max="6915" width="4.42578125" style="24" bestFit="1" customWidth="1"/>
    <col min="6916" max="6916" width="8" style="24" bestFit="1" customWidth="1"/>
    <col min="6917" max="6917" width="11.42578125" style="24"/>
    <col min="6918" max="6918" width="22.85546875" style="24" bestFit="1" customWidth="1"/>
    <col min="6919" max="6919" width="7" style="24" customWidth="1"/>
    <col min="6920" max="6920" width="6.28515625" style="24" customWidth="1"/>
    <col min="6921" max="6921" width="5.7109375" style="24" customWidth="1"/>
    <col min="6922" max="6922" width="5.7109375" style="24" bestFit="1" customWidth="1"/>
    <col min="6923" max="6923" width="5.85546875" style="24" bestFit="1" customWidth="1"/>
    <col min="6924" max="6924" width="9.42578125" style="24" customWidth="1"/>
    <col min="6925" max="6925" width="5.140625" style="24" customWidth="1"/>
    <col min="6926" max="6926" width="9.7109375" style="24" customWidth="1"/>
    <col min="6927" max="6927" width="6.7109375" style="24" bestFit="1" customWidth="1"/>
    <col min="6928" max="6928" width="4.85546875" style="24" customWidth="1"/>
    <col min="6929" max="6929" width="5.28515625" style="24" customWidth="1"/>
    <col min="6930" max="6931" width="4.42578125" style="24" bestFit="1" customWidth="1"/>
    <col min="6932" max="6932" width="13.28515625" style="24" bestFit="1" customWidth="1"/>
    <col min="6933" max="6933" width="3.140625" style="24" customWidth="1"/>
    <col min="6934" max="6934" width="5.42578125" style="24" bestFit="1" customWidth="1"/>
    <col min="6935" max="6935" width="4.42578125" style="24" bestFit="1" customWidth="1"/>
    <col min="6936" max="6936" width="6.42578125" style="24" customWidth="1"/>
    <col min="6937" max="6937" width="5" style="24" bestFit="1" customWidth="1"/>
    <col min="6938" max="6938" width="4.5703125" style="24" bestFit="1" customWidth="1"/>
    <col min="6939" max="6939" width="4.42578125" style="24" bestFit="1" customWidth="1"/>
    <col min="6940" max="6940" width="4" style="24" customWidth="1"/>
    <col min="6941" max="7168" width="11.42578125" style="24"/>
    <col min="7169" max="7169" width="14.85546875" style="24" bestFit="1" customWidth="1"/>
    <col min="7170" max="7170" width="28" style="24" bestFit="1" customWidth="1"/>
    <col min="7171" max="7171" width="4.42578125" style="24" bestFit="1" customWidth="1"/>
    <col min="7172" max="7172" width="8" style="24" bestFit="1" customWidth="1"/>
    <col min="7173" max="7173" width="11.42578125" style="24"/>
    <col min="7174" max="7174" width="22.85546875" style="24" bestFit="1" customWidth="1"/>
    <col min="7175" max="7175" width="7" style="24" customWidth="1"/>
    <col min="7176" max="7176" width="6.28515625" style="24" customWidth="1"/>
    <col min="7177" max="7177" width="5.7109375" style="24" customWidth="1"/>
    <col min="7178" max="7178" width="5.7109375" style="24" bestFit="1" customWidth="1"/>
    <col min="7179" max="7179" width="5.85546875" style="24" bestFit="1" customWidth="1"/>
    <col min="7180" max="7180" width="9.42578125" style="24" customWidth="1"/>
    <col min="7181" max="7181" width="5.140625" style="24" customWidth="1"/>
    <col min="7182" max="7182" width="9.7109375" style="24" customWidth="1"/>
    <col min="7183" max="7183" width="6.7109375" style="24" bestFit="1" customWidth="1"/>
    <col min="7184" max="7184" width="4.85546875" style="24" customWidth="1"/>
    <col min="7185" max="7185" width="5.28515625" style="24" customWidth="1"/>
    <col min="7186" max="7187" width="4.42578125" style="24" bestFit="1" customWidth="1"/>
    <col min="7188" max="7188" width="13.28515625" style="24" bestFit="1" customWidth="1"/>
    <col min="7189" max="7189" width="3.140625" style="24" customWidth="1"/>
    <col min="7190" max="7190" width="5.42578125" style="24" bestFit="1" customWidth="1"/>
    <col min="7191" max="7191" width="4.42578125" style="24" bestFit="1" customWidth="1"/>
    <col min="7192" max="7192" width="6.42578125" style="24" customWidth="1"/>
    <col min="7193" max="7193" width="5" style="24" bestFit="1" customWidth="1"/>
    <col min="7194" max="7194" width="4.5703125" style="24" bestFit="1" customWidth="1"/>
    <col min="7195" max="7195" width="4.42578125" style="24" bestFit="1" customWidth="1"/>
    <col min="7196" max="7196" width="4" style="24" customWidth="1"/>
    <col min="7197" max="7424" width="11.42578125" style="24"/>
    <col min="7425" max="7425" width="14.85546875" style="24" bestFit="1" customWidth="1"/>
    <col min="7426" max="7426" width="28" style="24" bestFit="1" customWidth="1"/>
    <col min="7427" max="7427" width="4.42578125" style="24" bestFit="1" customWidth="1"/>
    <col min="7428" max="7428" width="8" style="24" bestFit="1" customWidth="1"/>
    <col min="7429" max="7429" width="11.42578125" style="24"/>
    <col min="7430" max="7430" width="22.85546875" style="24" bestFit="1" customWidth="1"/>
    <col min="7431" max="7431" width="7" style="24" customWidth="1"/>
    <col min="7432" max="7432" width="6.28515625" style="24" customWidth="1"/>
    <col min="7433" max="7433" width="5.7109375" style="24" customWidth="1"/>
    <col min="7434" max="7434" width="5.7109375" style="24" bestFit="1" customWidth="1"/>
    <col min="7435" max="7435" width="5.85546875" style="24" bestFit="1" customWidth="1"/>
    <col min="7436" max="7436" width="9.42578125" style="24" customWidth="1"/>
    <col min="7437" max="7437" width="5.140625" style="24" customWidth="1"/>
    <col min="7438" max="7438" width="9.7109375" style="24" customWidth="1"/>
    <col min="7439" max="7439" width="6.7109375" style="24" bestFit="1" customWidth="1"/>
    <col min="7440" max="7440" width="4.85546875" style="24" customWidth="1"/>
    <col min="7441" max="7441" width="5.28515625" style="24" customWidth="1"/>
    <col min="7442" max="7443" width="4.42578125" style="24" bestFit="1" customWidth="1"/>
    <col min="7444" max="7444" width="13.28515625" style="24" bestFit="1" customWidth="1"/>
    <col min="7445" max="7445" width="3.140625" style="24" customWidth="1"/>
    <col min="7446" max="7446" width="5.42578125" style="24" bestFit="1" customWidth="1"/>
    <col min="7447" max="7447" width="4.42578125" style="24" bestFit="1" customWidth="1"/>
    <col min="7448" max="7448" width="6.42578125" style="24" customWidth="1"/>
    <col min="7449" max="7449" width="5" style="24" bestFit="1" customWidth="1"/>
    <col min="7450" max="7450" width="4.5703125" style="24" bestFit="1" customWidth="1"/>
    <col min="7451" max="7451" width="4.42578125" style="24" bestFit="1" customWidth="1"/>
    <col min="7452" max="7452" width="4" style="24" customWidth="1"/>
    <col min="7453" max="7680" width="11.42578125" style="24"/>
    <col min="7681" max="7681" width="14.85546875" style="24" bestFit="1" customWidth="1"/>
    <col min="7682" max="7682" width="28" style="24" bestFit="1" customWidth="1"/>
    <col min="7683" max="7683" width="4.42578125" style="24" bestFit="1" customWidth="1"/>
    <col min="7684" max="7684" width="8" style="24" bestFit="1" customWidth="1"/>
    <col min="7685" max="7685" width="11.42578125" style="24"/>
    <col min="7686" max="7686" width="22.85546875" style="24" bestFit="1" customWidth="1"/>
    <col min="7687" max="7687" width="7" style="24" customWidth="1"/>
    <col min="7688" max="7688" width="6.28515625" style="24" customWidth="1"/>
    <col min="7689" max="7689" width="5.7109375" style="24" customWidth="1"/>
    <col min="7690" max="7690" width="5.7109375" style="24" bestFit="1" customWidth="1"/>
    <col min="7691" max="7691" width="5.85546875" style="24" bestFit="1" customWidth="1"/>
    <col min="7692" max="7692" width="9.42578125" style="24" customWidth="1"/>
    <col min="7693" max="7693" width="5.140625" style="24" customWidth="1"/>
    <col min="7694" max="7694" width="9.7109375" style="24" customWidth="1"/>
    <col min="7695" max="7695" width="6.7109375" style="24" bestFit="1" customWidth="1"/>
    <col min="7696" max="7696" width="4.85546875" style="24" customWidth="1"/>
    <col min="7697" max="7697" width="5.28515625" style="24" customWidth="1"/>
    <col min="7698" max="7699" width="4.42578125" style="24" bestFit="1" customWidth="1"/>
    <col min="7700" max="7700" width="13.28515625" style="24" bestFit="1" customWidth="1"/>
    <col min="7701" max="7701" width="3.140625" style="24" customWidth="1"/>
    <col min="7702" max="7702" width="5.42578125" style="24" bestFit="1" customWidth="1"/>
    <col min="7703" max="7703" width="4.42578125" style="24" bestFit="1" customWidth="1"/>
    <col min="7704" max="7704" width="6.42578125" style="24" customWidth="1"/>
    <col min="7705" max="7705" width="5" style="24" bestFit="1" customWidth="1"/>
    <col min="7706" max="7706" width="4.5703125" style="24" bestFit="1" customWidth="1"/>
    <col min="7707" max="7707" width="4.42578125" style="24" bestFit="1" customWidth="1"/>
    <col min="7708" max="7708" width="4" style="24" customWidth="1"/>
    <col min="7709" max="7936" width="11.42578125" style="24"/>
    <col min="7937" max="7937" width="14.85546875" style="24" bestFit="1" customWidth="1"/>
    <col min="7938" max="7938" width="28" style="24" bestFit="1" customWidth="1"/>
    <col min="7939" max="7939" width="4.42578125" style="24" bestFit="1" customWidth="1"/>
    <col min="7940" max="7940" width="8" style="24" bestFit="1" customWidth="1"/>
    <col min="7941" max="7941" width="11.42578125" style="24"/>
    <col min="7942" max="7942" width="22.85546875" style="24" bestFit="1" customWidth="1"/>
    <col min="7943" max="7943" width="7" style="24" customWidth="1"/>
    <col min="7944" max="7944" width="6.28515625" style="24" customWidth="1"/>
    <col min="7945" max="7945" width="5.7109375" style="24" customWidth="1"/>
    <col min="7946" max="7946" width="5.7109375" style="24" bestFit="1" customWidth="1"/>
    <col min="7947" max="7947" width="5.85546875" style="24" bestFit="1" customWidth="1"/>
    <col min="7948" max="7948" width="9.42578125" style="24" customWidth="1"/>
    <col min="7949" max="7949" width="5.140625" style="24" customWidth="1"/>
    <col min="7950" max="7950" width="9.7109375" style="24" customWidth="1"/>
    <col min="7951" max="7951" width="6.7109375" style="24" bestFit="1" customWidth="1"/>
    <col min="7952" max="7952" width="4.85546875" style="24" customWidth="1"/>
    <col min="7953" max="7953" width="5.28515625" style="24" customWidth="1"/>
    <col min="7954" max="7955" width="4.42578125" style="24" bestFit="1" customWidth="1"/>
    <col min="7956" max="7956" width="13.28515625" style="24" bestFit="1" customWidth="1"/>
    <col min="7957" max="7957" width="3.140625" style="24" customWidth="1"/>
    <col min="7958" max="7958" width="5.42578125" style="24" bestFit="1" customWidth="1"/>
    <col min="7959" max="7959" width="4.42578125" style="24" bestFit="1" customWidth="1"/>
    <col min="7960" max="7960" width="6.42578125" style="24" customWidth="1"/>
    <col min="7961" max="7961" width="5" style="24" bestFit="1" customWidth="1"/>
    <col min="7962" max="7962" width="4.5703125" style="24" bestFit="1" customWidth="1"/>
    <col min="7963" max="7963" width="4.42578125" style="24" bestFit="1" customWidth="1"/>
    <col min="7964" max="7964" width="4" style="24" customWidth="1"/>
    <col min="7965" max="8192" width="11.42578125" style="24"/>
    <col min="8193" max="8193" width="14.85546875" style="24" bestFit="1" customWidth="1"/>
    <col min="8194" max="8194" width="28" style="24" bestFit="1" customWidth="1"/>
    <col min="8195" max="8195" width="4.42578125" style="24" bestFit="1" customWidth="1"/>
    <col min="8196" max="8196" width="8" style="24" bestFit="1" customWidth="1"/>
    <col min="8197" max="8197" width="11.42578125" style="24"/>
    <col min="8198" max="8198" width="22.85546875" style="24" bestFit="1" customWidth="1"/>
    <col min="8199" max="8199" width="7" style="24" customWidth="1"/>
    <col min="8200" max="8200" width="6.28515625" style="24" customWidth="1"/>
    <col min="8201" max="8201" width="5.7109375" style="24" customWidth="1"/>
    <col min="8202" max="8202" width="5.7109375" style="24" bestFit="1" customWidth="1"/>
    <col min="8203" max="8203" width="5.85546875" style="24" bestFit="1" customWidth="1"/>
    <col min="8204" max="8204" width="9.42578125" style="24" customWidth="1"/>
    <col min="8205" max="8205" width="5.140625" style="24" customWidth="1"/>
    <col min="8206" max="8206" width="9.7109375" style="24" customWidth="1"/>
    <col min="8207" max="8207" width="6.7109375" style="24" bestFit="1" customWidth="1"/>
    <col min="8208" max="8208" width="4.85546875" style="24" customWidth="1"/>
    <col min="8209" max="8209" width="5.28515625" style="24" customWidth="1"/>
    <col min="8210" max="8211" width="4.42578125" style="24" bestFit="1" customWidth="1"/>
    <col min="8212" max="8212" width="13.28515625" style="24" bestFit="1" customWidth="1"/>
    <col min="8213" max="8213" width="3.140625" style="24" customWidth="1"/>
    <col min="8214" max="8214" width="5.42578125" style="24" bestFit="1" customWidth="1"/>
    <col min="8215" max="8215" width="4.42578125" style="24" bestFit="1" customWidth="1"/>
    <col min="8216" max="8216" width="6.42578125" style="24" customWidth="1"/>
    <col min="8217" max="8217" width="5" style="24" bestFit="1" customWidth="1"/>
    <col min="8218" max="8218" width="4.5703125" style="24" bestFit="1" customWidth="1"/>
    <col min="8219" max="8219" width="4.42578125" style="24" bestFit="1" customWidth="1"/>
    <col min="8220" max="8220" width="4" style="24" customWidth="1"/>
    <col min="8221" max="8448" width="11.42578125" style="24"/>
    <col min="8449" max="8449" width="14.85546875" style="24" bestFit="1" customWidth="1"/>
    <col min="8450" max="8450" width="28" style="24" bestFit="1" customWidth="1"/>
    <col min="8451" max="8451" width="4.42578125" style="24" bestFit="1" customWidth="1"/>
    <col min="8452" max="8452" width="8" style="24" bestFit="1" customWidth="1"/>
    <col min="8453" max="8453" width="11.42578125" style="24"/>
    <col min="8454" max="8454" width="22.85546875" style="24" bestFit="1" customWidth="1"/>
    <col min="8455" max="8455" width="7" style="24" customWidth="1"/>
    <col min="8456" max="8456" width="6.28515625" style="24" customWidth="1"/>
    <col min="8457" max="8457" width="5.7109375" style="24" customWidth="1"/>
    <col min="8458" max="8458" width="5.7109375" style="24" bestFit="1" customWidth="1"/>
    <col min="8459" max="8459" width="5.85546875" style="24" bestFit="1" customWidth="1"/>
    <col min="8460" max="8460" width="9.42578125" style="24" customWidth="1"/>
    <col min="8461" max="8461" width="5.140625" style="24" customWidth="1"/>
    <col min="8462" max="8462" width="9.7109375" style="24" customWidth="1"/>
    <col min="8463" max="8463" width="6.7109375" style="24" bestFit="1" customWidth="1"/>
    <col min="8464" max="8464" width="4.85546875" style="24" customWidth="1"/>
    <col min="8465" max="8465" width="5.28515625" style="24" customWidth="1"/>
    <col min="8466" max="8467" width="4.42578125" style="24" bestFit="1" customWidth="1"/>
    <col min="8468" max="8468" width="13.28515625" style="24" bestFit="1" customWidth="1"/>
    <col min="8469" max="8469" width="3.140625" style="24" customWidth="1"/>
    <col min="8470" max="8470" width="5.42578125" style="24" bestFit="1" customWidth="1"/>
    <col min="8471" max="8471" width="4.42578125" style="24" bestFit="1" customWidth="1"/>
    <col min="8472" max="8472" width="6.42578125" style="24" customWidth="1"/>
    <col min="8473" max="8473" width="5" style="24" bestFit="1" customWidth="1"/>
    <col min="8474" max="8474" width="4.5703125" style="24" bestFit="1" customWidth="1"/>
    <col min="8475" max="8475" width="4.42578125" style="24" bestFit="1" customWidth="1"/>
    <col min="8476" max="8476" width="4" style="24" customWidth="1"/>
    <col min="8477" max="8704" width="11.42578125" style="24"/>
    <col min="8705" max="8705" width="14.85546875" style="24" bestFit="1" customWidth="1"/>
    <col min="8706" max="8706" width="28" style="24" bestFit="1" customWidth="1"/>
    <col min="8707" max="8707" width="4.42578125" style="24" bestFit="1" customWidth="1"/>
    <col min="8708" max="8708" width="8" style="24" bestFit="1" customWidth="1"/>
    <col min="8709" max="8709" width="11.42578125" style="24"/>
    <col min="8710" max="8710" width="22.85546875" style="24" bestFit="1" customWidth="1"/>
    <col min="8711" max="8711" width="7" style="24" customWidth="1"/>
    <col min="8712" max="8712" width="6.28515625" style="24" customWidth="1"/>
    <col min="8713" max="8713" width="5.7109375" style="24" customWidth="1"/>
    <col min="8714" max="8714" width="5.7109375" style="24" bestFit="1" customWidth="1"/>
    <col min="8715" max="8715" width="5.85546875" style="24" bestFit="1" customWidth="1"/>
    <col min="8716" max="8716" width="9.42578125" style="24" customWidth="1"/>
    <col min="8717" max="8717" width="5.140625" style="24" customWidth="1"/>
    <col min="8718" max="8718" width="9.7109375" style="24" customWidth="1"/>
    <col min="8719" max="8719" width="6.7109375" style="24" bestFit="1" customWidth="1"/>
    <col min="8720" max="8720" width="4.85546875" style="24" customWidth="1"/>
    <col min="8721" max="8721" width="5.28515625" style="24" customWidth="1"/>
    <col min="8722" max="8723" width="4.42578125" style="24" bestFit="1" customWidth="1"/>
    <col min="8724" max="8724" width="13.28515625" style="24" bestFit="1" customWidth="1"/>
    <col min="8725" max="8725" width="3.140625" style="24" customWidth="1"/>
    <col min="8726" max="8726" width="5.42578125" style="24" bestFit="1" customWidth="1"/>
    <col min="8727" max="8727" width="4.42578125" style="24" bestFit="1" customWidth="1"/>
    <col min="8728" max="8728" width="6.42578125" style="24" customWidth="1"/>
    <col min="8729" max="8729" width="5" style="24" bestFit="1" customWidth="1"/>
    <col min="8730" max="8730" width="4.5703125" style="24" bestFit="1" customWidth="1"/>
    <col min="8731" max="8731" width="4.42578125" style="24" bestFit="1" customWidth="1"/>
    <col min="8732" max="8732" width="4" style="24" customWidth="1"/>
    <col min="8733" max="8960" width="11.42578125" style="24"/>
    <col min="8961" max="8961" width="14.85546875" style="24" bestFit="1" customWidth="1"/>
    <col min="8962" max="8962" width="28" style="24" bestFit="1" customWidth="1"/>
    <col min="8963" max="8963" width="4.42578125" style="24" bestFit="1" customWidth="1"/>
    <col min="8964" max="8964" width="8" style="24" bestFit="1" customWidth="1"/>
    <col min="8965" max="8965" width="11.42578125" style="24"/>
    <col min="8966" max="8966" width="22.85546875" style="24" bestFit="1" customWidth="1"/>
    <col min="8967" max="8967" width="7" style="24" customWidth="1"/>
    <col min="8968" max="8968" width="6.28515625" style="24" customWidth="1"/>
    <col min="8969" max="8969" width="5.7109375" style="24" customWidth="1"/>
    <col min="8970" max="8970" width="5.7109375" style="24" bestFit="1" customWidth="1"/>
    <col min="8971" max="8971" width="5.85546875" style="24" bestFit="1" customWidth="1"/>
    <col min="8972" max="8972" width="9.42578125" style="24" customWidth="1"/>
    <col min="8973" max="8973" width="5.140625" style="24" customWidth="1"/>
    <col min="8974" max="8974" width="9.7109375" style="24" customWidth="1"/>
    <col min="8975" max="8975" width="6.7109375" style="24" bestFit="1" customWidth="1"/>
    <col min="8976" max="8976" width="4.85546875" style="24" customWidth="1"/>
    <col min="8977" max="8977" width="5.28515625" style="24" customWidth="1"/>
    <col min="8978" max="8979" width="4.42578125" style="24" bestFit="1" customWidth="1"/>
    <col min="8980" max="8980" width="13.28515625" style="24" bestFit="1" customWidth="1"/>
    <col min="8981" max="8981" width="3.140625" style="24" customWidth="1"/>
    <col min="8982" max="8982" width="5.42578125" style="24" bestFit="1" customWidth="1"/>
    <col min="8983" max="8983" width="4.42578125" style="24" bestFit="1" customWidth="1"/>
    <col min="8984" max="8984" width="6.42578125" style="24" customWidth="1"/>
    <col min="8985" max="8985" width="5" style="24" bestFit="1" customWidth="1"/>
    <col min="8986" max="8986" width="4.5703125" style="24" bestFit="1" customWidth="1"/>
    <col min="8987" max="8987" width="4.42578125" style="24" bestFit="1" customWidth="1"/>
    <col min="8988" max="8988" width="4" style="24" customWidth="1"/>
    <col min="8989" max="9216" width="11.42578125" style="24"/>
    <col min="9217" max="9217" width="14.85546875" style="24" bestFit="1" customWidth="1"/>
    <col min="9218" max="9218" width="28" style="24" bestFit="1" customWidth="1"/>
    <col min="9219" max="9219" width="4.42578125" style="24" bestFit="1" customWidth="1"/>
    <col min="9220" max="9220" width="8" style="24" bestFit="1" customWidth="1"/>
    <col min="9221" max="9221" width="11.42578125" style="24"/>
    <col min="9222" max="9222" width="22.85546875" style="24" bestFit="1" customWidth="1"/>
    <col min="9223" max="9223" width="7" style="24" customWidth="1"/>
    <col min="9224" max="9224" width="6.28515625" style="24" customWidth="1"/>
    <col min="9225" max="9225" width="5.7109375" style="24" customWidth="1"/>
    <col min="9226" max="9226" width="5.7109375" style="24" bestFit="1" customWidth="1"/>
    <col min="9227" max="9227" width="5.85546875" style="24" bestFit="1" customWidth="1"/>
    <col min="9228" max="9228" width="9.42578125" style="24" customWidth="1"/>
    <col min="9229" max="9229" width="5.140625" style="24" customWidth="1"/>
    <col min="9230" max="9230" width="9.7109375" style="24" customWidth="1"/>
    <col min="9231" max="9231" width="6.7109375" style="24" bestFit="1" customWidth="1"/>
    <col min="9232" max="9232" width="4.85546875" style="24" customWidth="1"/>
    <col min="9233" max="9233" width="5.28515625" style="24" customWidth="1"/>
    <col min="9234" max="9235" width="4.42578125" style="24" bestFit="1" customWidth="1"/>
    <col min="9236" max="9236" width="13.28515625" style="24" bestFit="1" customWidth="1"/>
    <col min="9237" max="9237" width="3.140625" style="24" customWidth="1"/>
    <col min="9238" max="9238" width="5.42578125" style="24" bestFit="1" customWidth="1"/>
    <col min="9239" max="9239" width="4.42578125" style="24" bestFit="1" customWidth="1"/>
    <col min="9240" max="9240" width="6.42578125" style="24" customWidth="1"/>
    <col min="9241" max="9241" width="5" style="24" bestFit="1" customWidth="1"/>
    <col min="9242" max="9242" width="4.5703125" style="24" bestFit="1" customWidth="1"/>
    <col min="9243" max="9243" width="4.42578125" style="24" bestFit="1" customWidth="1"/>
    <col min="9244" max="9244" width="4" style="24" customWidth="1"/>
    <col min="9245" max="9472" width="11.42578125" style="24"/>
    <col min="9473" max="9473" width="14.85546875" style="24" bestFit="1" customWidth="1"/>
    <col min="9474" max="9474" width="28" style="24" bestFit="1" customWidth="1"/>
    <col min="9475" max="9475" width="4.42578125" style="24" bestFit="1" customWidth="1"/>
    <col min="9476" max="9476" width="8" style="24" bestFit="1" customWidth="1"/>
    <col min="9477" max="9477" width="11.42578125" style="24"/>
    <col min="9478" max="9478" width="22.85546875" style="24" bestFit="1" customWidth="1"/>
    <col min="9479" max="9479" width="7" style="24" customWidth="1"/>
    <col min="9480" max="9480" width="6.28515625" style="24" customWidth="1"/>
    <col min="9481" max="9481" width="5.7109375" style="24" customWidth="1"/>
    <col min="9482" max="9482" width="5.7109375" style="24" bestFit="1" customWidth="1"/>
    <col min="9483" max="9483" width="5.85546875" style="24" bestFit="1" customWidth="1"/>
    <col min="9484" max="9484" width="9.42578125" style="24" customWidth="1"/>
    <col min="9485" max="9485" width="5.140625" style="24" customWidth="1"/>
    <col min="9486" max="9486" width="9.7109375" style="24" customWidth="1"/>
    <col min="9487" max="9487" width="6.7109375" style="24" bestFit="1" customWidth="1"/>
    <col min="9488" max="9488" width="4.85546875" style="24" customWidth="1"/>
    <col min="9489" max="9489" width="5.28515625" style="24" customWidth="1"/>
    <col min="9490" max="9491" width="4.42578125" style="24" bestFit="1" customWidth="1"/>
    <col min="9492" max="9492" width="13.28515625" style="24" bestFit="1" customWidth="1"/>
    <col min="9493" max="9493" width="3.140625" style="24" customWidth="1"/>
    <col min="9494" max="9494" width="5.42578125" style="24" bestFit="1" customWidth="1"/>
    <col min="9495" max="9495" width="4.42578125" style="24" bestFit="1" customWidth="1"/>
    <col min="9496" max="9496" width="6.42578125" style="24" customWidth="1"/>
    <col min="9497" max="9497" width="5" style="24" bestFit="1" customWidth="1"/>
    <col min="9498" max="9498" width="4.5703125" style="24" bestFit="1" customWidth="1"/>
    <col min="9499" max="9499" width="4.42578125" style="24" bestFit="1" customWidth="1"/>
    <col min="9500" max="9500" width="4" style="24" customWidth="1"/>
    <col min="9501" max="9728" width="11.42578125" style="24"/>
    <col min="9729" max="9729" width="14.85546875" style="24" bestFit="1" customWidth="1"/>
    <col min="9730" max="9730" width="28" style="24" bestFit="1" customWidth="1"/>
    <col min="9731" max="9731" width="4.42578125" style="24" bestFit="1" customWidth="1"/>
    <col min="9732" max="9732" width="8" style="24" bestFit="1" customWidth="1"/>
    <col min="9733" max="9733" width="11.42578125" style="24"/>
    <col min="9734" max="9734" width="22.85546875" style="24" bestFit="1" customWidth="1"/>
    <col min="9735" max="9735" width="7" style="24" customWidth="1"/>
    <col min="9736" max="9736" width="6.28515625" style="24" customWidth="1"/>
    <col min="9737" max="9737" width="5.7109375" style="24" customWidth="1"/>
    <col min="9738" max="9738" width="5.7109375" style="24" bestFit="1" customWidth="1"/>
    <col min="9739" max="9739" width="5.85546875" style="24" bestFit="1" customWidth="1"/>
    <col min="9740" max="9740" width="9.42578125" style="24" customWidth="1"/>
    <col min="9741" max="9741" width="5.140625" style="24" customWidth="1"/>
    <col min="9742" max="9742" width="9.7109375" style="24" customWidth="1"/>
    <col min="9743" max="9743" width="6.7109375" style="24" bestFit="1" customWidth="1"/>
    <col min="9744" max="9744" width="4.85546875" style="24" customWidth="1"/>
    <col min="9745" max="9745" width="5.28515625" style="24" customWidth="1"/>
    <col min="9746" max="9747" width="4.42578125" style="24" bestFit="1" customWidth="1"/>
    <col min="9748" max="9748" width="13.28515625" style="24" bestFit="1" customWidth="1"/>
    <col min="9749" max="9749" width="3.140625" style="24" customWidth="1"/>
    <col min="9750" max="9750" width="5.42578125" style="24" bestFit="1" customWidth="1"/>
    <col min="9751" max="9751" width="4.42578125" style="24" bestFit="1" customWidth="1"/>
    <col min="9752" max="9752" width="6.42578125" style="24" customWidth="1"/>
    <col min="9753" max="9753" width="5" style="24" bestFit="1" customWidth="1"/>
    <col min="9754" max="9754" width="4.5703125" style="24" bestFit="1" customWidth="1"/>
    <col min="9755" max="9755" width="4.42578125" style="24" bestFit="1" customWidth="1"/>
    <col min="9756" max="9756" width="4" style="24" customWidth="1"/>
    <col min="9757" max="9984" width="11.42578125" style="24"/>
    <col min="9985" max="9985" width="14.85546875" style="24" bestFit="1" customWidth="1"/>
    <col min="9986" max="9986" width="28" style="24" bestFit="1" customWidth="1"/>
    <col min="9987" max="9987" width="4.42578125" style="24" bestFit="1" customWidth="1"/>
    <col min="9988" max="9988" width="8" style="24" bestFit="1" customWidth="1"/>
    <col min="9989" max="9989" width="11.42578125" style="24"/>
    <col min="9990" max="9990" width="22.85546875" style="24" bestFit="1" customWidth="1"/>
    <col min="9991" max="9991" width="7" style="24" customWidth="1"/>
    <col min="9992" max="9992" width="6.28515625" style="24" customWidth="1"/>
    <col min="9993" max="9993" width="5.7109375" style="24" customWidth="1"/>
    <col min="9994" max="9994" width="5.7109375" style="24" bestFit="1" customWidth="1"/>
    <col min="9995" max="9995" width="5.85546875" style="24" bestFit="1" customWidth="1"/>
    <col min="9996" max="9996" width="9.42578125" style="24" customWidth="1"/>
    <col min="9997" max="9997" width="5.140625" style="24" customWidth="1"/>
    <col min="9998" max="9998" width="9.7109375" style="24" customWidth="1"/>
    <col min="9999" max="9999" width="6.7109375" style="24" bestFit="1" customWidth="1"/>
    <col min="10000" max="10000" width="4.85546875" style="24" customWidth="1"/>
    <col min="10001" max="10001" width="5.28515625" style="24" customWidth="1"/>
    <col min="10002" max="10003" width="4.42578125" style="24" bestFit="1" customWidth="1"/>
    <col min="10004" max="10004" width="13.28515625" style="24" bestFit="1" customWidth="1"/>
    <col min="10005" max="10005" width="3.140625" style="24" customWidth="1"/>
    <col min="10006" max="10006" width="5.42578125" style="24" bestFit="1" customWidth="1"/>
    <col min="10007" max="10007" width="4.42578125" style="24" bestFit="1" customWidth="1"/>
    <col min="10008" max="10008" width="6.42578125" style="24" customWidth="1"/>
    <col min="10009" max="10009" width="5" style="24" bestFit="1" customWidth="1"/>
    <col min="10010" max="10010" width="4.5703125" style="24" bestFit="1" customWidth="1"/>
    <col min="10011" max="10011" width="4.42578125" style="24" bestFit="1" customWidth="1"/>
    <col min="10012" max="10012" width="4" style="24" customWidth="1"/>
    <col min="10013" max="10240" width="11.42578125" style="24"/>
    <col min="10241" max="10241" width="14.85546875" style="24" bestFit="1" customWidth="1"/>
    <col min="10242" max="10242" width="28" style="24" bestFit="1" customWidth="1"/>
    <col min="10243" max="10243" width="4.42578125" style="24" bestFit="1" customWidth="1"/>
    <col min="10244" max="10244" width="8" style="24" bestFit="1" customWidth="1"/>
    <col min="10245" max="10245" width="11.42578125" style="24"/>
    <col min="10246" max="10246" width="22.85546875" style="24" bestFit="1" customWidth="1"/>
    <col min="10247" max="10247" width="7" style="24" customWidth="1"/>
    <col min="10248" max="10248" width="6.28515625" style="24" customWidth="1"/>
    <col min="10249" max="10249" width="5.7109375" style="24" customWidth="1"/>
    <col min="10250" max="10250" width="5.7109375" style="24" bestFit="1" customWidth="1"/>
    <col min="10251" max="10251" width="5.85546875" style="24" bestFit="1" customWidth="1"/>
    <col min="10252" max="10252" width="9.42578125" style="24" customWidth="1"/>
    <col min="10253" max="10253" width="5.140625" style="24" customWidth="1"/>
    <col min="10254" max="10254" width="9.7109375" style="24" customWidth="1"/>
    <col min="10255" max="10255" width="6.7109375" style="24" bestFit="1" customWidth="1"/>
    <col min="10256" max="10256" width="4.85546875" style="24" customWidth="1"/>
    <col min="10257" max="10257" width="5.28515625" style="24" customWidth="1"/>
    <col min="10258" max="10259" width="4.42578125" style="24" bestFit="1" customWidth="1"/>
    <col min="10260" max="10260" width="13.28515625" style="24" bestFit="1" customWidth="1"/>
    <col min="10261" max="10261" width="3.140625" style="24" customWidth="1"/>
    <col min="10262" max="10262" width="5.42578125" style="24" bestFit="1" customWidth="1"/>
    <col min="10263" max="10263" width="4.42578125" style="24" bestFit="1" customWidth="1"/>
    <col min="10264" max="10264" width="6.42578125" style="24" customWidth="1"/>
    <col min="10265" max="10265" width="5" style="24" bestFit="1" customWidth="1"/>
    <col min="10266" max="10266" width="4.5703125" style="24" bestFit="1" customWidth="1"/>
    <col min="10267" max="10267" width="4.42578125" style="24" bestFit="1" customWidth="1"/>
    <col min="10268" max="10268" width="4" style="24" customWidth="1"/>
    <col min="10269" max="10496" width="11.42578125" style="24"/>
    <col min="10497" max="10497" width="14.85546875" style="24" bestFit="1" customWidth="1"/>
    <col min="10498" max="10498" width="28" style="24" bestFit="1" customWidth="1"/>
    <col min="10499" max="10499" width="4.42578125" style="24" bestFit="1" customWidth="1"/>
    <col min="10500" max="10500" width="8" style="24" bestFit="1" customWidth="1"/>
    <col min="10501" max="10501" width="11.42578125" style="24"/>
    <col min="10502" max="10502" width="22.85546875" style="24" bestFit="1" customWidth="1"/>
    <col min="10503" max="10503" width="7" style="24" customWidth="1"/>
    <col min="10504" max="10504" width="6.28515625" style="24" customWidth="1"/>
    <col min="10505" max="10505" width="5.7109375" style="24" customWidth="1"/>
    <col min="10506" max="10506" width="5.7109375" style="24" bestFit="1" customWidth="1"/>
    <col min="10507" max="10507" width="5.85546875" style="24" bestFit="1" customWidth="1"/>
    <col min="10508" max="10508" width="9.42578125" style="24" customWidth="1"/>
    <col min="10509" max="10509" width="5.140625" style="24" customWidth="1"/>
    <col min="10510" max="10510" width="9.7109375" style="24" customWidth="1"/>
    <col min="10511" max="10511" width="6.7109375" style="24" bestFit="1" customWidth="1"/>
    <col min="10512" max="10512" width="4.85546875" style="24" customWidth="1"/>
    <col min="10513" max="10513" width="5.28515625" style="24" customWidth="1"/>
    <col min="10514" max="10515" width="4.42578125" style="24" bestFit="1" customWidth="1"/>
    <col min="10516" max="10516" width="13.28515625" style="24" bestFit="1" customWidth="1"/>
    <col min="10517" max="10517" width="3.140625" style="24" customWidth="1"/>
    <col min="10518" max="10518" width="5.42578125" style="24" bestFit="1" customWidth="1"/>
    <col min="10519" max="10519" width="4.42578125" style="24" bestFit="1" customWidth="1"/>
    <col min="10520" max="10520" width="6.42578125" style="24" customWidth="1"/>
    <col min="10521" max="10521" width="5" style="24" bestFit="1" customWidth="1"/>
    <col min="10522" max="10522" width="4.5703125" style="24" bestFit="1" customWidth="1"/>
    <col min="10523" max="10523" width="4.42578125" style="24" bestFit="1" customWidth="1"/>
    <col min="10524" max="10524" width="4" style="24" customWidth="1"/>
    <col min="10525" max="10752" width="11.42578125" style="24"/>
    <col min="10753" max="10753" width="14.85546875" style="24" bestFit="1" customWidth="1"/>
    <col min="10754" max="10754" width="28" style="24" bestFit="1" customWidth="1"/>
    <col min="10755" max="10755" width="4.42578125" style="24" bestFit="1" customWidth="1"/>
    <col min="10756" max="10756" width="8" style="24" bestFit="1" customWidth="1"/>
    <col min="10757" max="10757" width="11.42578125" style="24"/>
    <col min="10758" max="10758" width="22.85546875" style="24" bestFit="1" customWidth="1"/>
    <col min="10759" max="10759" width="7" style="24" customWidth="1"/>
    <col min="10760" max="10760" width="6.28515625" style="24" customWidth="1"/>
    <col min="10761" max="10761" width="5.7109375" style="24" customWidth="1"/>
    <col min="10762" max="10762" width="5.7109375" style="24" bestFit="1" customWidth="1"/>
    <col min="10763" max="10763" width="5.85546875" style="24" bestFit="1" customWidth="1"/>
    <col min="10764" max="10764" width="9.42578125" style="24" customWidth="1"/>
    <col min="10765" max="10765" width="5.140625" style="24" customWidth="1"/>
    <col min="10766" max="10766" width="9.7109375" style="24" customWidth="1"/>
    <col min="10767" max="10767" width="6.7109375" style="24" bestFit="1" customWidth="1"/>
    <col min="10768" max="10768" width="4.85546875" style="24" customWidth="1"/>
    <col min="10769" max="10769" width="5.28515625" style="24" customWidth="1"/>
    <col min="10770" max="10771" width="4.42578125" style="24" bestFit="1" customWidth="1"/>
    <col min="10772" max="10772" width="13.28515625" style="24" bestFit="1" customWidth="1"/>
    <col min="10773" max="10773" width="3.140625" style="24" customWidth="1"/>
    <col min="10774" max="10774" width="5.42578125" style="24" bestFit="1" customWidth="1"/>
    <col min="10775" max="10775" width="4.42578125" style="24" bestFit="1" customWidth="1"/>
    <col min="10776" max="10776" width="6.42578125" style="24" customWidth="1"/>
    <col min="10777" max="10777" width="5" style="24" bestFit="1" customWidth="1"/>
    <col min="10778" max="10778" width="4.5703125" style="24" bestFit="1" customWidth="1"/>
    <col min="10779" max="10779" width="4.42578125" style="24" bestFit="1" customWidth="1"/>
    <col min="10780" max="10780" width="4" style="24" customWidth="1"/>
    <col min="10781" max="11008" width="11.42578125" style="24"/>
    <col min="11009" max="11009" width="14.85546875" style="24" bestFit="1" customWidth="1"/>
    <col min="11010" max="11010" width="28" style="24" bestFit="1" customWidth="1"/>
    <col min="11011" max="11011" width="4.42578125" style="24" bestFit="1" customWidth="1"/>
    <col min="11012" max="11012" width="8" style="24" bestFit="1" customWidth="1"/>
    <col min="11013" max="11013" width="11.42578125" style="24"/>
    <col min="11014" max="11014" width="22.85546875" style="24" bestFit="1" customWidth="1"/>
    <col min="11015" max="11015" width="7" style="24" customWidth="1"/>
    <col min="11016" max="11016" width="6.28515625" style="24" customWidth="1"/>
    <col min="11017" max="11017" width="5.7109375" style="24" customWidth="1"/>
    <col min="11018" max="11018" width="5.7109375" style="24" bestFit="1" customWidth="1"/>
    <col min="11019" max="11019" width="5.85546875" style="24" bestFit="1" customWidth="1"/>
    <col min="11020" max="11020" width="9.42578125" style="24" customWidth="1"/>
    <col min="11021" max="11021" width="5.140625" style="24" customWidth="1"/>
    <col min="11022" max="11022" width="9.7109375" style="24" customWidth="1"/>
    <col min="11023" max="11023" width="6.7109375" style="24" bestFit="1" customWidth="1"/>
    <col min="11024" max="11024" width="4.85546875" style="24" customWidth="1"/>
    <col min="11025" max="11025" width="5.28515625" style="24" customWidth="1"/>
    <col min="11026" max="11027" width="4.42578125" style="24" bestFit="1" customWidth="1"/>
    <col min="11028" max="11028" width="13.28515625" style="24" bestFit="1" customWidth="1"/>
    <col min="11029" max="11029" width="3.140625" style="24" customWidth="1"/>
    <col min="11030" max="11030" width="5.42578125" style="24" bestFit="1" customWidth="1"/>
    <col min="11031" max="11031" width="4.42578125" style="24" bestFit="1" customWidth="1"/>
    <col min="11032" max="11032" width="6.42578125" style="24" customWidth="1"/>
    <col min="11033" max="11033" width="5" style="24" bestFit="1" customWidth="1"/>
    <col min="11034" max="11034" width="4.5703125" style="24" bestFit="1" customWidth="1"/>
    <col min="11035" max="11035" width="4.42578125" style="24" bestFit="1" customWidth="1"/>
    <col min="11036" max="11036" width="4" style="24" customWidth="1"/>
    <col min="11037" max="11264" width="11.42578125" style="24"/>
    <col min="11265" max="11265" width="14.85546875" style="24" bestFit="1" customWidth="1"/>
    <col min="11266" max="11266" width="28" style="24" bestFit="1" customWidth="1"/>
    <col min="11267" max="11267" width="4.42578125" style="24" bestFit="1" customWidth="1"/>
    <col min="11268" max="11268" width="8" style="24" bestFit="1" customWidth="1"/>
    <col min="11269" max="11269" width="11.42578125" style="24"/>
    <col min="11270" max="11270" width="22.85546875" style="24" bestFit="1" customWidth="1"/>
    <col min="11271" max="11271" width="7" style="24" customWidth="1"/>
    <col min="11272" max="11272" width="6.28515625" style="24" customWidth="1"/>
    <col min="11273" max="11273" width="5.7109375" style="24" customWidth="1"/>
    <col min="11274" max="11274" width="5.7109375" style="24" bestFit="1" customWidth="1"/>
    <col min="11275" max="11275" width="5.85546875" style="24" bestFit="1" customWidth="1"/>
    <col min="11276" max="11276" width="9.42578125" style="24" customWidth="1"/>
    <col min="11277" max="11277" width="5.140625" style="24" customWidth="1"/>
    <col min="11278" max="11278" width="9.7109375" style="24" customWidth="1"/>
    <col min="11279" max="11279" width="6.7109375" style="24" bestFit="1" customWidth="1"/>
    <col min="11280" max="11280" width="4.85546875" style="24" customWidth="1"/>
    <col min="11281" max="11281" width="5.28515625" style="24" customWidth="1"/>
    <col min="11282" max="11283" width="4.42578125" style="24" bestFit="1" customWidth="1"/>
    <col min="11284" max="11284" width="13.28515625" style="24" bestFit="1" customWidth="1"/>
    <col min="11285" max="11285" width="3.140625" style="24" customWidth="1"/>
    <col min="11286" max="11286" width="5.42578125" style="24" bestFit="1" customWidth="1"/>
    <col min="11287" max="11287" width="4.42578125" style="24" bestFit="1" customWidth="1"/>
    <col min="11288" max="11288" width="6.42578125" style="24" customWidth="1"/>
    <col min="11289" max="11289" width="5" style="24" bestFit="1" customWidth="1"/>
    <col min="11290" max="11290" width="4.5703125" style="24" bestFit="1" customWidth="1"/>
    <col min="11291" max="11291" width="4.42578125" style="24" bestFit="1" customWidth="1"/>
    <col min="11292" max="11292" width="4" style="24" customWidth="1"/>
    <col min="11293" max="11520" width="11.42578125" style="24"/>
    <col min="11521" max="11521" width="14.85546875" style="24" bestFit="1" customWidth="1"/>
    <col min="11522" max="11522" width="28" style="24" bestFit="1" customWidth="1"/>
    <col min="11523" max="11523" width="4.42578125" style="24" bestFit="1" customWidth="1"/>
    <col min="11524" max="11524" width="8" style="24" bestFit="1" customWidth="1"/>
    <col min="11525" max="11525" width="11.42578125" style="24"/>
    <col min="11526" max="11526" width="22.85546875" style="24" bestFit="1" customWidth="1"/>
    <col min="11527" max="11527" width="7" style="24" customWidth="1"/>
    <col min="11528" max="11528" width="6.28515625" style="24" customWidth="1"/>
    <col min="11529" max="11529" width="5.7109375" style="24" customWidth="1"/>
    <col min="11530" max="11530" width="5.7109375" style="24" bestFit="1" customWidth="1"/>
    <col min="11531" max="11531" width="5.85546875" style="24" bestFit="1" customWidth="1"/>
    <col min="11532" max="11532" width="9.42578125" style="24" customWidth="1"/>
    <col min="11533" max="11533" width="5.140625" style="24" customWidth="1"/>
    <col min="11534" max="11534" width="9.7109375" style="24" customWidth="1"/>
    <col min="11535" max="11535" width="6.7109375" style="24" bestFit="1" customWidth="1"/>
    <col min="11536" max="11536" width="4.85546875" style="24" customWidth="1"/>
    <col min="11537" max="11537" width="5.28515625" style="24" customWidth="1"/>
    <col min="11538" max="11539" width="4.42578125" style="24" bestFit="1" customWidth="1"/>
    <col min="11540" max="11540" width="13.28515625" style="24" bestFit="1" customWidth="1"/>
    <col min="11541" max="11541" width="3.140625" style="24" customWidth="1"/>
    <col min="11542" max="11542" width="5.42578125" style="24" bestFit="1" customWidth="1"/>
    <col min="11543" max="11543" width="4.42578125" style="24" bestFit="1" customWidth="1"/>
    <col min="11544" max="11544" width="6.42578125" style="24" customWidth="1"/>
    <col min="11545" max="11545" width="5" style="24" bestFit="1" customWidth="1"/>
    <col min="11546" max="11546" width="4.5703125" style="24" bestFit="1" customWidth="1"/>
    <col min="11547" max="11547" width="4.42578125" style="24" bestFit="1" customWidth="1"/>
    <col min="11548" max="11548" width="4" style="24" customWidth="1"/>
    <col min="11549" max="11776" width="11.42578125" style="24"/>
    <col min="11777" max="11777" width="14.85546875" style="24" bestFit="1" customWidth="1"/>
    <col min="11778" max="11778" width="28" style="24" bestFit="1" customWidth="1"/>
    <col min="11779" max="11779" width="4.42578125" style="24" bestFit="1" customWidth="1"/>
    <col min="11780" max="11780" width="8" style="24" bestFit="1" customWidth="1"/>
    <col min="11781" max="11781" width="11.42578125" style="24"/>
    <col min="11782" max="11782" width="22.85546875" style="24" bestFit="1" customWidth="1"/>
    <col min="11783" max="11783" width="7" style="24" customWidth="1"/>
    <col min="11784" max="11784" width="6.28515625" style="24" customWidth="1"/>
    <col min="11785" max="11785" width="5.7109375" style="24" customWidth="1"/>
    <col min="11786" max="11786" width="5.7109375" style="24" bestFit="1" customWidth="1"/>
    <col min="11787" max="11787" width="5.85546875" style="24" bestFit="1" customWidth="1"/>
    <col min="11788" max="11788" width="9.42578125" style="24" customWidth="1"/>
    <col min="11789" max="11789" width="5.140625" style="24" customWidth="1"/>
    <col min="11790" max="11790" width="9.7109375" style="24" customWidth="1"/>
    <col min="11791" max="11791" width="6.7109375" style="24" bestFit="1" customWidth="1"/>
    <col min="11792" max="11792" width="4.85546875" style="24" customWidth="1"/>
    <col min="11793" max="11793" width="5.28515625" style="24" customWidth="1"/>
    <col min="11794" max="11795" width="4.42578125" style="24" bestFit="1" customWidth="1"/>
    <col min="11796" max="11796" width="13.28515625" style="24" bestFit="1" customWidth="1"/>
    <col min="11797" max="11797" width="3.140625" style="24" customWidth="1"/>
    <col min="11798" max="11798" width="5.42578125" style="24" bestFit="1" customWidth="1"/>
    <col min="11799" max="11799" width="4.42578125" style="24" bestFit="1" customWidth="1"/>
    <col min="11800" max="11800" width="6.42578125" style="24" customWidth="1"/>
    <col min="11801" max="11801" width="5" style="24" bestFit="1" customWidth="1"/>
    <col min="11802" max="11802" width="4.5703125" style="24" bestFit="1" customWidth="1"/>
    <col min="11803" max="11803" width="4.42578125" style="24" bestFit="1" customWidth="1"/>
    <col min="11804" max="11804" width="4" style="24" customWidth="1"/>
    <col min="11805" max="12032" width="11.42578125" style="24"/>
    <col min="12033" max="12033" width="14.85546875" style="24" bestFit="1" customWidth="1"/>
    <col min="12034" max="12034" width="28" style="24" bestFit="1" customWidth="1"/>
    <col min="12035" max="12035" width="4.42578125" style="24" bestFit="1" customWidth="1"/>
    <col min="12036" max="12036" width="8" style="24" bestFit="1" customWidth="1"/>
    <col min="12037" max="12037" width="11.42578125" style="24"/>
    <col min="12038" max="12038" width="22.85546875" style="24" bestFit="1" customWidth="1"/>
    <col min="12039" max="12039" width="7" style="24" customWidth="1"/>
    <col min="12040" max="12040" width="6.28515625" style="24" customWidth="1"/>
    <col min="12041" max="12041" width="5.7109375" style="24" customWidth="1"/>
    <col min="12042" max="12042" width="5.7109375" style="24" bestFit="1" customWidth="1"/>
    <col min="12043" max="12043" width="5.85546875" style="24" bestFit="1" customWidth="1"/>
    <col min="12044" max="12044" width="9.42578125" style="24" customWidth="1"/>
    <col min="12045" max="12045" width="5.140625" style="24" customWidth="1"/>
    <col min="12046" max="12046" width="9.7109375" style="24" customWidth="1"/>
    <col min="12047" max="12047" width="6.7109375" style="24" bestFit="1" customWidth="1"/>
    <col min="12048" max="12048" width="4.85546875" style="24" customWidth="1"/>
    <col min="12049" max="12049" width="5.28515625" style="24" customWidth="1"/>
    <col min="12050" max="12051" width="4.42578125" style="24" bestFit="1" customWidth="1"/>
    <col min="12052" max="12052" width="13.28515625" style="24" bestFit="1" customWidth="1"/>
    <col min="12053" max="12053" width="3.140625" style="24" customWidth="1"/>
    <col min="12054" max="12054" width="5.42578125" style="24" bestFit="1" customWidth="1"/>
    <col min="12055" max="12055" width="4.42578125" style="24" bestFit="1" customWidth="1"/>
    <col min="12056" max="12056" width="6.42578125" style="24" customWidth="1"/>
    <col min="12057" max="12057" width="5" style="24" bestFit="1" customWidth="1"/>
    <col min="12058" max="12058" width="4.5703125" style="24" bestFit="1" customWidth="1"/>
    <col min="12059" max="12059" width="4.42578125" style="24" bestFit="1" customWidth="1"/>
    <col min="12060" max="12060" width="4" style="24" customWidth="1"/>
    <col min="12061" max="12288" width="11.42578125" style="24"/>
    <col min="12289" max="12289" width="14.85546875" style="24" bestFit="1" customWidth="1"/>
    <col min="12290" max="12290" width="28" style="24" bestFit="1" customWidth="1"/>
    <col min="12291" max="12291" width="4.42578125" style="24" bestFit="1" customWidth="1"/>
    <col min="12292" max="12292" width="8" style="24" bestFit="1" customWidth="1"/>
    <col min="12293" max="12293" width="11.42578125" style="24"/>
    <col min="12294" max="12294" width="22.85546875" style="24" bestFit="1" customWidth="1"/>
    <col min="12295" max="12295" width="7" style="24" customWidth="1"/>
    <col min="12296" max="12296" width="6.28515625" style="24" customWidth="1"/>
    <col min="12297" max="12297" width="5.7109375" style="24" customWidth="1"/>
    <col min="12298" max="12298" width="5.7109375" style="24" bestFit="1" customWidth="1"/>
    <col min="12299" max="12299" width="5.85546875" style="24" bestFit="1" customWidth="1"/>
    <col min="12300" max="12300" width="9.42578125" style="24" customWidth="1"/>
    <col min="12301" max="12301" width="5.140625" style="24" customWidth="1"/>
    <col min="12302" max="12302" width="9.7109375" style="24" customWidth="1"/>
    <col min="12303" max="12303" width="6.7109375" style="24" bestFit="1" customWidth="1"/>
    <col min="12304" max="12304" width="4.85546875" style="24" customWidth="1"/>
    <col min="12305" max="12305" width="5.28515625" style="24" customWidth="1"/>
    <col min="12306" max="12307" width="4.42578125" style="24" bestFit="1" customWidth="1"/>
    <col min="12308" max="12308" width="13.28515625" style="24" bestFit="1" customWidth="1"/>
    <col min="12309" max="12309" width="3.140625" style="24" customWidth="1"/>
    <col min="12310" max="12310" width="5.42578125" style="24" bestFit="1" customWidth="1"/>
    <col min="12311" max="12311" width="4.42578125" style="24" bestFit="1" customWidth="1"/>
    <col min="12312" max="12312" width="6.42578125" style="24" customWidth="1"/>
    <col min="12313" max="12313" width="5" style="24" bestFit="1" customWidth="1"/>
    <col min="12314" max="12314" width="4.5703125" style="24" bestFit="1" customWidth="1"/>
    <col min="12315" max="12315" width="4.42578125" style="24" bestFit="1" customWidth="1"/>
    <col min="12316" max="12316" width="4" style="24" customWidth="1"/>
    <col min="12317" max="12544" width="11.42578125" style="24"/>
    <col min="12545" max="12545" width="14.85546875" style="24" bestFit="1" customWidth="1"/>
    <col min="12546" max="12546" width="28" style="24" bestFit="1" customWidth="1"/>
    <col min="12547" max="12547" width="4.42578125" style="24" bestFit="1" customWidth="1"/>
    <col min="12548" max="12548" width="8" style="24" bestFit="1" customWidth="1"/>
    <col min="12549" max="12549" width="11.42578125" style="24"/>
    <col min="12550" max="12550" width="22.85546875" style="24" bestFit="1" customWidth="1"/>
    <col min="12551" max="12551" width="7" style="24" customWidth="1"/>
    <col min="12552" max="12552" width="6.28515625" style="24" customWidth="1"/>
    <col min="12553" max="12553" width="5.7109375" style="24" customWidth="1"/>
    <col min="12554" max="12554" width="5.7109375" style="24" bestFit="1" customWidth="1"/>
    <col min="12555" max="12555" width="5.85546875" style="24" bestFit="1" customWidth="1"/>
    <col min="12556" max="12556" width="9.42578125" style="24" customWidth="1"/>
    <col min="12557" max="12557" width="5.140625" style="24" customWidth="1"/>
    <col min="12558" max="12558" width="9.7109375" style="24" customWidth="1"/>
    <col min="12559" max="12559" width="6.7109375" style="24" bestFit="1" customWidth="1"/>
    <col min="12560" max="12560" width="4.85546875" style="24" customWidth="1"/>
    <col min="12561" max="12561" width="5.28515625" style="24" customWidth="1"/>
    <col min="12562" max="12563" width="4.42578125" style="24" bestFit="1" customWidth="1"/>
    <col min="12564" max="12564" width="13.28515625" style="24" bestFit="1" customWidth="1"/>
    <col min="12565" max="12565" width="3.140625" style="24" customWidth="1"/>
    <col min="12566" max="12566" width="5.42578125" style="24" bestFit="1" customWidth="1"/>
    <col min="12567" max="12567" width="4.42578125" style="24" bestFit="1" customWidth="1"/>
    <col min="12568" max="12568" width="6.42578125" style="24" customWidth="1"/>
    <col min="12569" max="12569" width="5" style="24" bestFit="1" customWidth="1"/>
    <col min="12570" max="12570" width="4.5703125" style="24" bestFit="1" customWidth="1"/>
    <col min="12571" max="12571" width="4.42578125" style="24" bestFit="1" customWidth="1"/>
    <col min="12572" max="12572" width="4" style="24" customWidth="1"/>
    <col min="12573" max="12800" width="11.42578125" style="24"/>
    <col min="12801" max="12801" width="14.85546875" style="24" bestFit="1" customWidth="1"/>
    <col min="12802" max="12802" width="28" style="24" bestFit="1" customWidth="1"/>
    <col min="12803" max="12803" width="4.42578125" style="24" bestFit="1" customWidth="1"/>
    <col min="12804" max="12804" width="8" style="24" bestFit="1" customWidth="1"/>
    <col min="12805" max="12805" width="11.42578125" style="24"/>
    <col min="12806" max="12806" width="22.85546875" style="24" bestFit="1" customWidth="1"/>
    <col min="12807" max="12807" width="7" style="24" customWidth="1"/>
    <col min="12808" max="12808" width="6.28515625" style="24" customWidth="1"/>
    <col min="12809" max="12809" width="5.7109375" style="24" customWidth="1"/>
    <col min="12810" max="12810" width="5.7109375" style="24" bestFit="1" customWidth="1"/>
    <col min="12811" max="12811" width="5.85546875" style="24" bestFit="1" customWidth="1"/>
    <col min="12812" max="12812" width="9.42578125" style="24" customWidth="1"/>
    <col min="12813" max="12813" width="5.140625" style="24" customWidth="1"/>
    <col min="12814" max="12814" width="9.7109375" style="24" customWidth="1"/>
    <col min="12815" max="12815" width="6.7109375" style="24" bestFit="1" customWidth="1"/>
    <col min="12816" max="12816" width="4.85546875" style="24" customWidth="1"/>
    <col min="12817" max="12817" width="5.28515625" style="24" customWidth="1"/>
    <col min="12818" max="12819" width="4.42578125" style="24" bestFit="1" customWidth="1"/>
    <col min="12820" max="12820" width="13.28515625" style="24" bestFit="1" customWidth="1"/>
    <col min="12821" max="12821" width="3.140625" style="24" customWidth="1"/>
    <col min="12822" max="12822" width="5.42578125" style="24" bestFit="1" customWidth="1"/>
    <col min="12823" max="12823" width="4.42578125" style="24" bestFit="1" customWidth="1"/>
    <col min="12824" max="12824" width="6.42578125" style="24" customWidth="1"/>
    <col min="12825" max="12825" width="5" style="24" bestFit="1" customWidth="1"/>
    <col min="12826" max="12826" width="4.5703125" style="24" bestFit="1" customWidth="1"/>
    <col min="12827" max="12827" width="4.42578125" style="24" bestFit="1" customWidth="1"/>
    <col min="12828" max="12828" width="4" style="24" customWidth="1"/>
    <col min="12829" max="13056" width="11.42578125" style="24"/>
    <col min="13057" max="13057" width="14.85546875" style="24" bestFit="1" customWidth="1"/>
    <col min="13058" max="13058" width="28" style="24" bestFit="1" customWidth="1"/>
    <col min="13059" max="13059" width="4.42578125" style="24" bestFit="1" customWidth="1"/>
    <col min="13060" max="13060" width="8" style="24" bestFit="1" customWidth="1"/>
    <col min="13061" max="13061" width="11.42578125" style="24"/>
    <col min="13062" max="13062" width="22.85546875" style="24" bestFit="1" customWidth="1"/>
    <col min="13063" max="13063" width="7" style="24" customWidth="1"/>
    <col min="13064" max="13064" width="6.28515625" style="24" customWidth="1"/>
    <col min="13065" max="13065" width="5.7109375" style="24" customWidth="1"/>
    <col min="13066" max="13066" width="5.7109375" style="24" bestFit="1" customWidth="1"/>
    <col min="13067" max="13067" width="5.85546875" style="24" bestFit="1" customWidth="1"/>
    <col min="13068" max="13068" width="9.42578125" style="24" customWidth="1"/>
    <col min="13069" max="13069" width="5.140625" style="24" customWidth="1"/>
    <col min="13070" max="13070" width="9.7109375" style="24" customWidth="1"/>
    <col min="13071" max="13071" width="6.7109375" style="24" bestFit="1" customWidth="1"/>
    <col min="13072" max="13072" width="4.85546875" style="24" customWidth="1"/>
    <col min="13073" max="13073" width="5.28515625" style="24" customWidth="1"/>
    <col min="13074" max="13075" width="4.42578125" style="24" bestFit="1" customWidth="1"/>
    <col min="13076" max="13076" width="13.28515625" style="24" bestFit="1" customWidth="1"/>
    <col min="13077" max="13077" width="3.140625" style="24" customWidth="1"/>
    <col min="13078" max="13078" width="5.42578125" style="24" bestFit="1" customWidth="1"/>
    <col min="13079" max="13079" width="4.42578125" style="24" bestFit="1" customWidth="1"/>
    <col min="13080" max="13080" width="6.42578125" style="24" customWidth="1"/>
    <col min="13081" max="13081" width="5" style="24" bestFit="1" customWidth="1"/>
    <col min="13082" max="13082" width="4.5703125" style="24" bestFit="1" customWidth="1"/>
    <col min="13083" max="13083" width="4.42578125" style="24" bestFit="1" customWidth="1"/>
    <col min="13084" max="13084" width="4" style="24" customWidth="1"/>
    <col min="13085" max="13312" width="11.42578125" style="24"/>
    <col min="13313" max="13313" width="14.85546875" style="24" bestFit="1" customWidth="1"/>
    <col min="13314" max="13314" width="28" style="24" bestFit="1" customWidth="1"/>
    <col min="13315" max="13315" width="4.42578125" style="24" bestFit="1" customWidth="1"/>
    <col min="13316" max="13316" width="8" style="24" bestFit="1" customWidth="1"/>
    <col min="13317" max="13317" width="11.42578125" style="24"/>
    <col min="13318" max="13318" width="22.85546875" style="24" bestFit="1" customWidth="1"/>
    <col min="13319" max="13319" width="7" style="24" customWidth="1"/>
    <col min="13320" max="13320" width="6.28515625" style="24" customWidth="1"/>
    <col min="13321" max="13321" width="5.7109375" style="24" customWidth="1"/>
    <col min="13322" max="13322" width="5.7109375" style="24" bestFit="1" customWidth="1"/>
    <col min="13323" max="13323" width="5.85546875" style="24" bestFit="1" customWidth="1"/>
    <col min="13324" max="13324" width="9.42578125" style="24" customWidth="1"/>
    <col min="13325" max="13325" width="5.140625" style="24" customWidth="1"/>
    <col min="13326" max="13326" width="9.7109375" style="24" customWidth="1"/>
    <col min="13327" max="13327" width="6.7109375" style="24" bestFit="1" customWidth="1"/>
    <col min="13328" max="13328" width="4.85546875" style="24" customWidth="1"/>
    <col min="13329" max="13329" width="5.28515625" style="24" customWidth="1"/>
    <col min="13330" max="13331" width="4.42578125" style="24" bestFit="1" customWidth="1"/>
    <col min="13332" max="13332" width="13.28515625" style="24" bestFit="1" customWidth="1"/>
    <col min="13333" max="13333" width="3.140625" style="24" customWidth="1"/>
    <col min="13334" max="13334" width="5.42578125" style="24" bestFit="1" customWidth="1"/>
    <col min="13335" max="13335" width="4.42578125" style="24" bestFit="1" customWidth="1"/>
    <col min="13336" max="13336" width="6.42578125" style="24" customWidth="1"/>
    <col min="13337" max="13337" width="5" style="24" bestFit="1" customWidth="1"/>
    <col min="13338" max="13338" width="4.5703125" style="24" bestFit="1" customWidth="1"/>
    <col min="13339" max="13339" width="4.42578125" style="24" bestFit="1" customWidth="1"/>
    <col min="13340" max="13340" width="4" style="24" customWidth="1"/>
    <col min="13341" max="13568" width="11.42578125" style="24"/>
    <col min="13569" max="13569" width="14.85546875" style="24" bestFit="1" customWidth="1"/>
    <col min="13570" max="13570" width="28" style="24" bestFit="1" customWidth="1"/>
    <col min="13571" max="13571" width="4.42578125" style="24" bestFit="1" customWidth="1"/>
    <col min="13572" max="13572" width="8" style="24" bestFit="1" customWidth="1"/>
    <col min="13573" max="13573" width="11.42578125" style="24"/>
    <col min="13574" max="13574" width="22.85546875" style="24" bestFit="1" customWidth="1"/>
    <col min="13575" max="13575" width="7" style="24" customWidth="1"/>
    <col min="13576" max="13576" width="6.28515625" style="24" customWidth="1"/>
    <col min="13577" max="13577" width="5.7109375" style="24" customWidth="1"/>
    <col min="13578" max="13578" width="5.7109375" style="24" bestFit="1" customWidth="1"/>
    <col min="13579" max="13579" width="5.85546875" style="24" bestFit="1" customWidth="1"/>
    <col min="13580" max="13580" width="9.42578125" style="24" customWidth="1"/>
    <col min="13581" max="13581" width="5.140625" style="24" customWidth="1"/>
    <col min="13582" max="13582" width="9.7109375" style="24" customWidth="1"/>
    <col min="13583" max="13583" width="6.7109375" style="24" bestFit="1" customWidth="1"/>
    <col min="13584" max="13584" width="4.85546875" style="24" customWidth="1"/>
    <col min="13585" max="13585" width="5.28515625" style="24" customWidth="1"/>
    <col min="13586" max="13587" width="4.42578125" style="24" bestFit="1" customWidth="1"/>
    <col min="13588" max="13588" width="13.28515625" style="24" bestFit="1" customWidth="1"/>
    <col min="13589" max="13589" width="3.140625" style="24" customWidth="1"/>
    <col min="13590" max="13590" width="5.42578125" style="24" bestFit="1" customWidth="1"/>
    <col min="13591" max="13591" width="4.42578125" style="24" bestFit="1" customWidth="1"/>
    <col min="13592" max="13592" width="6.42578125" style="24" customWidth="1"/>
    <col min="13593" max="13593" width="5" style="24" bestFit="1" customWidth="1"/>
    <col min="13594" max="13594" width="4.5703125" style="24" bestFit="1" customWidth="1"/>
    <col min="13595" max="13595" width="4.42578125" style="24" bestFit="1" customWidth="1"/>
    <col min="13596" max="13596" width="4" style="24" customWidth="1"/>
    <col min="13597" max="13824" width="11.42578125" style="24"/>
    <col min="13825" max="13825" width="14.85546875" style="24" bestFit="1" customWidth="1"/>
    <col min="13826" max="13826" width="28" style="24" bestFit="1" customWidth="1"/>
    <col min="13827" max="13827" width="4.42578125" style="24" bestFit="1" customWidth="1"/>
    <col min="13828" max="13828" width="8" style="24" bestFit="1" customWidth="1"/>
    <col min="13829" max="13829" width="11.42578125" style="24"/>
    <col min="13830" max="13830" width="22.85546875" style="24" bestFit="1" customWidth="1"/>
    <col min="13831" max="13831" width="7" style="24" customWidth="1"/>
    <col min="13832" max="13832" width="6.28515625" style="24" customWidth="1"/>
    <col min="13833" max="13833" width="5.7109375" style="24" customWidth="1"/>
    <col min="13834" max="13834" width="5.7109375" style="24" bestFit="1" customWidth="1"/>
    <col min="13835" max="13835" width="5.85546875" style="24" bestFit="1" customWidth="1"/>
    <col min="13836" max="13836" width="9.42578125" style="24" customWidth="1"/>
    <col min="13837" max="13837" width="5.140625" style="24" customWidth="1"/>
    <col min="13838" max="13838" width="9.7109375" style="24" customWidth="1"/>
    <col min="13839" max="13839" width="6.7109375" style="24" bestFit="1" customWidth="1"/>
    <col min="13840" max="13840" width="4.85546875" style="24" customWidth="1"/>
    <col min="13841" max="13841" width="5.28515625" style="24" customWidth="1"/>
    <col min="13842" max="13843" width="4.42578125" style="24" bestFit="1" customWidth="1"/>
    <col min="13844" max="13844" width="13.28515625" style="24" bestFit="1" customWidth="1"/>
    <col min="13845" max="13845" width="3.140625" style="24" customWidth="1"/>
    <col min="13846" max="13846" width="5.42578125" style="24" bestFit="1" customWidth="1"/>
    <col min="13847" max="13847" width="4.42578125" style="24" bestFit="1" customWidth="1"/>
    <col min="13848" max="13848" width="6.42578125" style="24" customWidth="1"/>
    <col min="13849" max="13849" width="5" style="24" bestFit="1" customWidth="1"/>
    <col min="13850" max="13850" width="4.5703125" style="24" bestFit="1" customWidth="1"/>
    <col min="13851" max="13851" width="4.42578125" style="24" bestFit="1" customWidth="1"/>
    <col min="13852" max="13852" width="4" style="24" customWidth="1"/>
    <col min="13853" max="14080" width="11.42578125" style="24"/>
    <col min="14081" max="14081" width="14.85546875" style="24" bestFit="1" customWidth="1"/>
    <col min="14082" max="14082" width="28" style="24" bestFit="1" customWidth="1"/>
    <col min="14083" max="14083" width="4.42578125" style="24" bestFit="1" customWidth="1"/>
    <col min="14084" max="14084" width="8" style="24" bestFit="1" customWidth="1"/>
    <col min="14085" max="14085" width="11.42578125" style="24"/>
    <col min="14086" max="14086" width="22.85546875" style="24" bestFit="1" customWidth="1"/>
    <col min="14087" max="14087" width="7" style="24" customWidth="1"/>
    <col min="14088" max="14088" width="6.28515625" style="24" customWidth="1"/>
    <col min="14089" max="14089" width="5.7109375" style="24" customWidth="1"/>
    <col min="14090" max="14090" width="5.7109375" style="24" bestFit="1" customWidth="1"/>
    <col min="14091" max="14091" width="5.85546875" style="24" bestFit="1" customWidth="1"/>
    <col min="14092" max="14092" width="9.42578125" style="24" customWidth="1"/>
    <col min="14093" max="14093" width="5.140625" style="24" customWidth="1"/>
    <col min="14094" max="14094" width="9.7109375" style="24" customWidth="1"/>
    <col min="14095" max="14095" width="6.7109375" style="24" bestFit="1" customWidth="1"/>
    <col min="14096" max="14096" width="4.85546875" style="24" customWidth="1"/>
    <col min="14097" max="14097" width="5.28515625" style="24" customWidth="1"/>
    <col min="14098" max="14099" width="4.42578125" style="24" bestFit="1" customWidth="1"/>
    <col min="14100" max="14100" width="13.28515625" style="24" bestFit="1" customWidth="1"/>
    <col min="14101" max="14101" width="3.140625" style="24" customWidth="1"/>
    <col min="14102" max="14102" width="5.42578125" style="24" bestFit="1" customWidth="1"/>
    <col min="14103" max="14103" width="4.42578125" style="24" bestFit="1" customWidth="1"/>
    <col min="14104" max="14104" width="6.42578125" style="24" customWidth="1"/>
    <col min="14105" max="14105" width="5" style="24" bestFit="1" customWidth="1"/>
    <col min="14106" max="14106" width="4.5703125" style="24" bestFit="1" customWidth="1"/>
    <col min="14107" max="14107" width="4.42578125" style="24" bestFit="1" customWidth="1"/>
    <col min="14108" max="14108" width="4" style="24" customWidth="1"/>
    <col min="14109" max="14336" width="11.42578125" style="24"/>
    <col min="14337" max="14337" width="14.85546875" style="24" bestFit="1" customWidth="1"/>
    <col min="14338" max="14338" width="28" style="24" bestFit="1" customWidth="1"/>
    <col min="14339" max="14339" width="4.42578125" style="24" bestFit="1" customWidth="1"/>
    <col min="14340" max="14340" width="8" style="24" bestFit="1" customWidth="1"/>
    <col min="14341" max="14341" width="11.42578125" style="24"/>
    <col min="14342" max="14342" width="22.85546875" style="24" bestFit="1" customWidth="1"/>
    <col min="14343" max="14343" width="7" style="24" customWidth="1"/>
    <col min="14344" max="14344" width="6.28515625" style="24" customWidth="1"/>
    <col min="14345" max="14345" width="5.7109375" style="24" customWidth="1"/>
    <col min="14346" max="14346" width="5.7109375" style="24" bestFit="1" customWidth="1"/>
    <col min="14347" max="14347" width="5.85546875" style="24" bestFit="1" customWidth="1"/>
    <col min="14348" max="14348" width="9.42578125" style="24" customWidth="1"/>
    <col min="14349" max="14349" width="5.140625" style="24" customWidth="1"/>
    <col min="14350" max="14350" width="9.7109375" style="24" customWidth="1"/>
    <col min="14351" max="14351" width="6.7109375" style="24" bestFit="1" customWidth="1"/>
    <col min="14352" max="14352" width="4.85546875" style="24" customWidth="1"/>
    <col min="14353" max="14353" width="5.28515625" style="24" customWidth="1"/>
    <col min="14354" max="14355" width="4.42578125" style="24" bestFit="1" customWidth="1"/>
    <col min="14356" max="14356" width="13.28515625" style="24" bestFit="1" customWidth="1"/>
    <col min="14357" max="14357" width="3.140625" style="24" customWidth="1"/>
    <col min="14358" max="14358" width="5.42578125" style="24" bestFit="1" customWidth="1"/>
    <col min="14359" max="14359" width="4.42578125" style="24" bestFit="1" customWidth="1"/>
    <col min="14360" max="14360" width="6.42578125" style="24" customWidth="1"/>
    <col min="14361" max="14361" width="5" style="24" bestFit="1" customWidth="1"/>
    <col min="14362" max="14362" width="4.5703125" style="24" bestFit="1" customWidth="1"/>
    <col min="14363" max="14363" width="4.42578125" style="24" bestFit="1" customWidth="1"/>
    <col min="14364" max="14364" width="4" style="24" customWidth="1"/>
    <col min="14365" max="14592" width="11.42578125" style="24"/>
    <col min="14593" max="14593" width="14.85546875" style="24" bestFit="1" customWidth="1"/>
    <col min="14594" max="14594" width="28" style="24" bestFit="1" customWidth="1"/>
    <col min="14595" max="14595" width="4.42578125" style="24" bestFit="1" customWidth="1"/>
    <col min="14596" max="14596" width="8" style="24" bestFit="1" customWidth="1"/>
    <col min="14597" max="14597" width="11.42578125" style="24"/>
    <col min="14598" max="14598" width="22.85546875" style="24" bestFit="1" customWidth="1"/>
    <col min="14599" max="14599" width="7" style="24" customWidth="1"/>
    <col min="14600" max="14600" width="6.28515625" style="24" customWidth="1"/>
    <col min="14601" max="14601" width="5.7109375" style="24" customWidth="1"/>
    <col min="14602" max="14602" width="5.7109375" style="24" bestFit="1" customWidth="1"/>
    <col min="14603" max="14603" width="5.85546875" style="24" bestFit="1" customWidth="1"/>
    <col min="14604" max="14604" width="9.42578125" style="24" customWidth="1"/>
    <col min="14605" max="14605" width="5.140625" style="24" customWidth="1"/>
    <col min="14606" max="14606" width="9.7109375" style="24" customWidth="1"/>
    <col min="14607" max="14607" width="6.7109375" style="24" bestFit="1" customWidth="1"/>
    <col min="14608" max="14608" width="4.85546875" style="24" customWidth="1"/>
    <col min="14609" max="14609" width="5.28515625" style="24" customWidth="1"/>
    <col min="14610" max="14611" width="4.42578125" style="24" bestFit="1" customWidth="1"/>
    <col min="14612" max="14612" width="13.28515625" style="24" bestFit="1" customWidth="1"/>
    <col min="14613" max="14613" width="3.140625" style="24" customWidth="1"/>
    <col min="14614" max="14614" width="5.42578125" style="24" bestFit="1" customWidth="1"/>
    <col min="14615" max="14615" width="4.42578125" style="24" bestFit="1" customWidth="1"/>
    <col min="14616" max="14616" width="6.42578125" style="24" customWidth="1"/>
    <col min="14617" max="14617" width="5" style="24" bestFit="1" customWidth="1"/>
    <col min="14618" max="14618" width="4.5703125" style="24" bestFit="1" customWidth="1"/>
    <col min="14619" max="14619" width="4.42578125" style="24" bestFit="1" customWidth="1"/>
    <col min="14620" max="14620" width="4" style="24" customWidth="1"/>
    <col min="14621" max="14848" width="11.42578125" style="24"/>
    <col min="14849" max="14849" width="14.85546875" style="24" bestFit="1" customWidth="1"/>
    <col min="14850" max="14850" width="28" style="24" bestFit="1" customWidth="1"/>
    <col min="14851" max="14851" width="4.42578125" style="24" bestFit="1" customWidth="1"/>
    <col min="14852" max="14852" width="8" style="24" bestFit="1" customWidth="1"/>
    <col min="14853" max="14853" width="11.42578125" style="24"/>
    <col min="14854" max="14854" width="22.85546875" style="24" bestFit="1" customWidth="1"/>
    <col min="14855" max="14855" width="7" style="24" customWidth="1"/>
    <col min="14856" max="14856" width="6.28515625" style="24" customWidth="1"/>
    <col min="14857" max="14857" width="5.7109375" style="24" customWidth="1"/>
    <col min="14858" max="14858" width="5.7109375" style="24" bestFit="1" customWidth="1"/>
    <col min="14859" max="14859" width="5.85546875" style="24" bestFit="1" customWidth="1"/>
    <col min="14860" max="14860" width="9.42578125" style="24" customWidth="1"/>
    <col min="14861" max="14861" width="5.140625" style="24" customWidth="1"/>
    <col min="14862" max="14862" width="9.7109375" style="24" customWidth="1"/>
    <col min="14863" max="14863" width="6.7109375" style="24" bestFit="1" customWidth="1"/>
    <col min="14864" max="14864" width="4.85546875" style="24" customWidth="1"/>
    <col min="14865" max="14865" width="5.28515625" style="24" customWidth="1"/>
    <col min="14866" max="14867" width="4.42578125" style="24" bestFit="1" customWidth="1"/>
    <col min="14868" max="14868" width="13.28515625" style="24" bestFit="1" customWidth="1"/>
    <col min="14869" max="14869" width="3.140625" style="24" customWidth="1"/>
    <col min="14870" max="14870" width="5.42578125" style="24" bestFit="1" customWidth="1"/>
    <col min="14871" max="14871" width="4.42578125" style="24" bestFit="1" customWidth="1"/>
    <col min="14872" max="14872" width="6.42578125" style="24" customWidth="1"/>
    <col min="14873" max="14873" width="5" style="24" bestFit="1" customWidth="1"/>
    <col min="14874" max="14874" width="4.5703125" style="24" bestFit="1" customWidth="1"/>
    <col min="14875" max="14875" width="4.42578125" style="24" bestFit="1" customWidth="1"/>
    <col min="14876" max="14876" width="4" style="24" customWidth="1"/>
    <col min="14877" max="15104" width="11.42578125" style="24"/>
    <col min="15105" max="15105" width="14.85546875" style="24" bestFit="1" customWidth="1"/>
    <col min="15106" max="15106" width="28" style="24" bestFit="1" customWidth="1"/>
    <col min="15107" max="15107" width="4.42578125" style="24" bestFit="1" customWidth="1"/>
    <col min="15108" max="15108" width="8" style="24" bestFit="1" customWidth="1"/>
    <col min="15109" max="15109" width="11.42578125" style="24"/>
    <col min="15110" max="15110" width="22.85546875" style="24" bestFit="1" customWidth="1"/>
    <col min="15111" max="15111" width="7" style="24" customWidth="1"/>
    <col min="15112" max="15112" width="6.28515625" style="24" customWidth="1"/>
    <col min="15113" max="15113" width="5.7109375" style="24" customWidth="1"/>
    <col min="15114" max="15114" width="5.7109375" style="24" bestFit="1" customWidth="1"/>
    <col min="15115" max="15115" width="5.85546875" style="24" bestFit="1" customWidth="1"/>
    <col min="15116" max="15116" width="9.42578125" style="24" customWidth="1"/>
    <col min="15117" max="15117" width="5.140625" style="24" customWidth="1"/>
    <col min="15118" max="15118" width="9.7109375" style="24" customWidth="1"/>
    <col min="15119" max="15119" width="6.7109375" style="24" bestFit="1" customWidth="1"/>
    <col min="15120" max="15120" width="4.85546875" style="24" customWidth="1"/>
    <col min="15121" max="15121" width="5.28515625" style="24" customWidth="1"/>
    <col min="15122" max="15123" width="4.42578125" style="24" bestFit="1" customWidth="1"/>
    <col min="15124" max="15124" width="13.28515625" style="24" bestFit="1" customWidth="1"/>
    <col min="15125" max="15125" width="3.140625" style="24" customWidth="1"/>
    <col min="15126" max="15126" width="5.42578125" style="24" bestFit="1" customWidth="1"/>
    <col min="15127" max="15127" width="4.42578125" style="24" bestFit="1" customWidth="1"/>
    <col min="15128" max="15128" width="6.42578125" style="24" customWidth="1"/>
    <col min="15129" max="15129" width="5" style="24" bestFit="1" customWidth="1"/>
    <col min="15130" max="15130" width="4.5703125" style="24" bestFit="1" customWidth="1"/>
    <col min="15131" max="15131" width="4.42578125" style="24" bestFit="1" customWidth="1"/>
    <col min="15132" max="15132" width="4" style="24" customWidth="1"/>
    <col min="15133" max="15360" width="11.42578125" style="24"/>
    <col min="15361" max="15361" width="14.85546875" style="24" bestFit="1" customWidth="1"/>
    <col min="15362" max="15362" width="28" style="24" bestFit="1" customWidth="1"/>
    <col min="15363" max="15363" width="4.42578125" style="24" bestFit="1" customWidth="1"/>
    <col min="15364" max="15364" width="8" style="24" bestFit="1" customWidth="1"/>
    <col min="15365" max="15365" width="11.42578125" style="24"/>
    <col min="15366" max="15366" width="22.85546875" style="24" bestFit="1" customWidth="1"/>
    <col min="15367" max="15367" width="7" style="24" customWidth="1"/>
    <col min="15368" max="15368" width="6.28515625" style="24" customWidth="1"/>
    <col min="15369" max="15369" width="5.7109375" style="24" customWidth="1"/>
    <col min="15370" max="15370" width="5.7109375" style="24" bestFit="1" customWidth="1"/>
    <col min="15371" max="15371" width="5.85546875" style="24" bestFit="1" customWidth="1"/>
    <col min="15372" max="15372" width="9.42578125" style="24" customWidth="1"/>
    <col min="15373" max="15373" width="5.140625" style="24" customWidth="1"/>
    <col min="15374" max="15374" width="9.7109375" style="24" customWidth="1"/>
    <col min="15375" max="15375" width="6.7109375" style="24" bestFit="1" customWidth="1"/>
    <col min="15376" max="15376" width="4.85546875" style="24" customWidth="1"/>
    <col min="15377" max="15377" width="5.28515625" style="24" customWidth="1"/>
    <col min="15378" max="15379" width="4.42578125" style="24" bestFit="1" customWidth="1"/>
    <col min="15380" max="15380" width="13.28515625" style="24" bestFit="1" customWidth="1"/>
    <col min="15381" max="15381" width="3.140625" style="24" customWidth="1"/>
    <col min="15382" max="15382" width="5.42578125" style="24" bestFit="1" customWidth="1"/>
    <col min="15383" max="15383" width="4.42578125" style="24" bestFit="1" customWidth="1"/>
    <col min="15384" max="15384" width="6.42578125" style="24" customWidth="1"/>
    <col min="15385" max="15385" width="5" style="24" bestFit="1" customWidth="1"/>
    <col min="15386" max="15386" width="4.5703125" style="24" bestFit="1" customWidth="1"/>
    <col min="15387" max="15387" width="4.42578125" style="24" bestFit="1" customWidth="1"/>
    <col min="15388" max="15388" width="4" style="24" customWidth="1"/>
    <col min="15389" max="15616" width="11.42578125" style="24"/>
    <col min="15617" max="15617" width="14.85546875" style="24" bestFit="1" customWidth="1"/>
    <col min="15618" max="15618" width="28" style="24" bestFit="1" customWidth="1"/>
    <col min="15619" max="15619" width="4.42578125" style="24" bestFit="1" customWidth="1"/>
    <col min="15620" max="15620" width="8" style="24" bestFit="1" customWidth="1"/>
    <col min="15621" max="15621" width="11.42578125" style="24"/>
    <col min="15622" max="15622" width="22.85546875" style="24" bestFit="1" customWidth="1"/>
    <col min="15623" max="15623" width="7" style="24" customWidth="1"/>
    <col min="15624" max="15624" width="6.28515625" style="24" customWidth="1"/>
    <col min="15625" max="15625" width="5.7109375" style="24" customWidth="1"/>
    <col min="15626" max="15626" width="5.7109375" style="24" bestFit="1" customWidth="1"/>
    <col min="15627" max="15627" width="5.85546875" style="24" bestFit="1" customWidth="1"/>
    <col min="15628" max="15628" width="9.42578125" style="24" customWidth="1"/>
    <col min="15629" max="15629" width="5.140625" style="24" customWidth="1"/>
    <col min="15630" max="15630" width="9.7109375" style="24" customWidth="1"/>
    <col min="15631" max="15631" width="6.7109375" style="24" bestFit="1" customWidth="1"/>
    <col min="15632" max="15632" width="4.85546875" style="24" customWidth="1"/>
    <col min="15633" max="15633" width="5.28515625" style="24" customWidth="1"/>
    <col min="15634" max="15635" width="4.42578125" style="24" bestFit="1" customWidth="1"/>
    <col min="15636" max="15636" width="13.28515625" style="24" bestFit="1" customWidth="1"/>
    <col min="15637" max="15637" width="3.140625" style="24" customWidth="1"/>
    <col min="15638" max="15638" width="5.42578125" style="24" bestFit="1" customWidth="1"/>
    <col min="15639" max="15639" width="4.42578125" style="24" bestFit="1" customWidth="1"/>
    <col min="15640" max="15640" width="6.42578125" style="24" customWidth="1"/>
    <col min="15641" max="15641" width="5" style="24" bestFit="1" customWidth="1"/>
    <col min="15642" max="15642" width="4.5703125" style="24" bestFit="1" customWidth="1"/>
    <col min="15643" max="15643" width="4.42578125" style="24" bestFit="1" customWidth="1"/>
    <col min="15644" max="15644" width="4" style="24" customWidth="1"/>
    <col min="15645" max="15872" width="11.42578125" style="24"/>
    <col min="15873" max="15873" width="14.85546875" style="24" bestFit="1" customWidth="1"/>
    <col min="15874" max="15874" width="28" style="24" bestFit="1" customWidth="1"/>
    <col min="15875" max="15875" width="4.42578125" style="24" bestFit="1" customWidth="1"/>
    <col min="15876" max="15876" width="8" style="24" bestFit="1" customWidth="1"/>
    <col min="15877" max="15877" width="11.42578125" style="24"/>
    <col min="15878" max="15878" width="22.85546875" style="24" bestFit="1" customWidth="1"/>
    <col min="15879" max="15879" width="7" style="24" customWidth="1"/>
    <col min="15880" max="15880" width="6.28515625" style="24" customWidth="1"/>
    <col min="15881" max="15881" width="5.7109375" style="24" customWidth="1"/>
    <col min="15882" max="15882" width="5.7109375" style="24" bestFit="1" customWidth="1"/>
    <col min="15883" max="15883" width="5.85546875" style="24" bestFit="1" customWidth="1"/>
    <col min="15884" max="15884" width="9.42578125" style="24" customWidth="1"/>
    <col min="15885" max="15885" width="5.140625" style="24" customWidth="1"/>
    <col min="15886" max="15886" width="9.7109375" style="24" customWidth="1"/>
    <col min="15887" max="15887" width="6.7109375" style="24" bestFit="1" customWidth="1"/>
    <col min="15888" max="15888" width="4.85546875" style="24" customWidth="1"/>
    <col min="15889" max="15889" width="5.28515625" style="24" customWidth="1"/>
    <col min="15890" max="15891" width="4.42578125" style="24" bestFit="1" customWidth="1"/>
    <col min="15892" max="15892" width="13.28515625" style="24" bestFit="1" customWidth="1"/>
    <col min="15893" max="15893" width="3.140625" style="24" customWidth="1"/>
    <col min="15894" max="15894" width="5.42578125" style="24" bestFit="1" customWidth="1"/>
    <col min="15895" max="15895" width="4.42578125" style="24" bestFit="1" customWidth="1"/>
    <col min="15896" max="15896" width="6.42578125" style="24" customWidth="1"/>
    <col min="15897" max="15897" width="5" style="24" bestFit="1" customWidth="1"/>
    <col min="15898" max="15898" width="4.5703125" style="24" bestFit="1" customWidth="1"/>
    <col min="15899" max="15899" width="4.42578125" style="24" bestFit="1" customWidth="1"/>
    <col min="15900" max="15900" width="4" style="24" customWidth="1"/>
    <col min="15901" max="16128" width="11.42578125" style="24"/>
    <col min="16129" max="16129" width="14.85546875" style="24" bestFit="1" customWidth="1"/>
    <col min="16130" max="16130" width="28" style="24" bestFit="1" customWidth="1"/>
    <col min="16131" max="16131" width="4.42578125" style="24" bestFit="1" customWidth="1"/>
    <col min="16132" max="16132" width="8" style="24" bestFit="1" customWidth="1"/>
    <col min="16133" max="16133" width="11.42578125" style="24"/>
    <col min="16134" max="16134" width="22.85546875" style="24" bestFit="1" customWidth="1"/>
    <col min="16135" max="16135" width="7" style="24" customWidth="1"/>
    <col min="16136" max="16136" width="6.28515625" style="24" customWidth="1"/>
    <col min="16137" max="16137" width="5.7109375" style="24" customWidth="1"/>
    <col min="16138" max="16138" width="5.7109375" style="24" bestFit="1" customWidth="1"/>
    <col min="16139" max="16139" width="5.85546875" style="24" bestFit="1" customWidth="1"/>
    <col min="16140" max="16140" width="9.42578125" style="24" customWidth="1"/>
    <col min="16141" max="16141" width="5.140625" style="24" customWidth="1"/>
    <col min="16142" max="16142" width="9.7109375" style="24" customWidth="1"/>
    <col min="16143" max="16143" width="6.7109375" style="24" bestFit="1" customWidth="1"/>
    <col min="16144" max="16144" width="4.85546875" style="24" customWidth="1"/>
    <col min="16145" max="16145" width="5.28515625" style="24" customWidth="1"/>
    <col min="16146" max="16147" width="4.42578125" style="24" bestFit="1" customWidth="1"/>
    <col min="16148" max="16148" width="13.28515625" style="24" bestFit="1" customWidth="1"/>
    <col min="16149" max="16149" width="3.140625" style="24" customWidth="1"/>
    <col min="16150" max="16150" width="5.42578125" style="24" bestFit="1" customWidth="1"/>
    <col min="16151" max="16151" width="4.42578125" style="24" bestFit="1" customWidth="1"/>
    <col min="16152" max="16152" width="6.42578125" style="24" customWidth="1"/>
    <col min="16153" max="16153" width="5" style="24" bestFit="1" customWidth="1"/>
    <col min="16154" max="16154" width="4.5703125" style="24" bestFit="1" customWidth="1"/>
    <col min="16155" max="16155" width="4.42578125" style="24" bestFit="1" customWidth="1"/>
    <col min="16156" max="16156" width="4" style="24" customWidth="1"/>
    <col min="16157" max="16384" width="11.42578125" style="24"/>
  </cols>
  <sheetData>
    <row r="1" spans="1:42">
      <c r="E1" s="1"/>
      <c r="F1" s="1"/>
      <c r="G1" s="748" t="s">
        <v>0</v>
      </c>
      <c r="H1" s="749"/>
      <c r="I1" s="749"/>
      <c r="J1" s="749"/>
      <c r="K1" s="749"/>
      <c r="L1" s="750"/>
      <c r="M1" s="342"/>
      <c r="N1" s="749" t="s">
        <v>1</v>
      </c>
      <c r="O1" s="749"/>
      <c r="P1" s="749"/>
      <c r="Q1" s="749"/>
      <c r="R1" s="749"/>
      <c r="S1" s="749"/>
      <c r="T1" s="749"/>
      <c r="U1" s="1"/>
      <c r="V1" s="749" t="s">
        <v>2</v>
      </c>
      <c r="W1" s="749"/>
      <c r="X1" s="749"/>
      <c r="Y1" s="749"/>
      <c r="Z1" s="749"/>
      <c r="AA1" s="749"/>
      <c r="AB1" s="28"/>
    </row>
    <row r="2" spans="1:42" ht="15" customHeight="1">
      <c r="E2" s="1"/>
      <c r="F2" s="1"/>
      <c r="G2" s="751" t="s">
        <v>43</v>
      </c>
      <c r="H2" s="752"/>
      <c r="I2" s="753" t="s">
        <v>3</v>
      </c>
      <c r="J2" s="752"/>
      <c r="K2" s="752"/>
      <c r="L2" s="752"/>
      <c r="M2" s="143"/>
      <c r="N2" s="754" t="s">
        <v>4</v>
      </c>
      <c r="O2" s="756" t="s">
        <v>5</v>
      </c>
      <c r="P2" s="757"/>
      <c r="Q2" s="757"/>
      <c r="R2" s="757"/>
      <c r="S2" s="757"/>
      <c r="T2" s="758"/>
      <c r="U2" s="1"/>
      <c r="V2" s="760" t="s">
        <v>508</v>
      </c>
      <c r="W2" s="757"/>
      <c r="X2" s="757"/>
      <c r="Y2" s="757"/>
      <c r="Z2" s="757"/>
      <c r="AA2" s="758"/>
      <c r="AB2" s="29"/>
      <c r="AJ2" s="331"/>
      <c r="AK2" s="324"/>
      <c r="AL2" s="331"/>
      <c r="AM2" s="323" t="s">
        <v>507</v>
      </c>
      <c r="AN2" s="324"/>
      <c r="AO2" s="325"/>
    </row>
    <row r="3" spans="1:42" s="25" customFormat="1" ht="38.25">
      <c r="E3" s="4"/>
      <c r="F3" s="4"/>
      <c r="G3" s="30"/>
      <c r="H3" s="30"/>
      <c r="I3" s="761" t="s">
        <v>6</v>
      </c>
      <c r="J3" s="752"/>
      <c r="K3" s="761" t="s">
        <v>52</v>
      </c>
      <c r="L3" s="752"/>
      <c r="M3" s="144" t="s">
        <v>467</v>
      </c>
      <c r="N3" s="755"/>
      <c r="O3" s="759"/>
      <c r="P3" s="757"/>
      <c r="Q3" s="757"/>
      <c r="R3" s="757"/>
      <c r="S3" s="757"/>
      <c r="T3" s="758"/>
      <c r="U3" s="4"/>
      <c r="V3" s="759"/>
      <c r="W3" s="750"/>
      <c r="X3" s="750"/>
      <c r="Y3" s="750"/>
      <c r="Z3" s="750"/>
      <c r="AA3" s="758"/>
      <c r="AB3" s="31"/>
      <c r="AD3" s="332"/>
      <c r="AE3" s="332" t="s">
        <v>492</v>
      </c>
      <c r="AF3" s="332"/>
      <c r="AG3" s="332" t="s">
        <v>509</v>
      </c>
      <c r="AH3" s="332"/>
      <c r="AI3" s="332" t="s">
        <v>452</v>
      </c>
      <c r="AJ3" s="326"/>
      <c r="AK3" s="327"/>
      <c r="AL3" s="327"/>
      <c r="AM3" s="327"/>
      <c r="AN3" s="327"/>
      <c r="AO3" s="325"/>
    </row>
    <row r="4" spans="1:42" ht="15">
      <c r="A4" s="765" t="s">
        <v>44</v>
      </c>
      <c r="B4" s="766"/>
      <c r="C4" s="766"/>
      <c r="E4" s="22" t="s">
        <v>7</v>
      </c>
      <c r="F4" s="22" t="s">
        <v>8</v>
      </c>
      <c r="G4" s="32"/>
      <c r="H4" s="33" t="s">
        <v>9</v>
      </c>
      <c r="I4" s="21"/>
      <c r="J4" s="51" t="s">
        <v>9</v>
      </c>
      <c r="K4" s="21"/>
      <c r="L4" s="51" t="s">
        <v>9</v>
      </c>
      <c r="M4" s="33"/>
      <c r="N4" s="755"/>
      <c r="O4" s="14" t="s">
        <v>10</v>
      </c>
      <c r="P4" s="14" t="s">
        <v>11</v>
      </c>
      <c r="Q4" s="14" t="s">
        <v>12</v>
      </c>
      <c r="R4" s="13" t="s">
        <v>13</v>
      </c>
      <c r="S4" s="12" t="s">
        <v>14</v>
      </c>
      <c r="T4" s="12" t="s">
        <v>15</v>
      </c>
      <c r="U4" s="10"/>
      <c r="V4" s="20" t="s">
        <v>9</v>
      </c>
      <c r="W4" s="14" t="s">
        <v>16</v>
      </c>
      <c r="X4" s="14" t="s">
        <v>17</v>
      </c>
      <c r="Y4" s="13" t="s">
        <v>18</v>
      </c>
      <c r="Z4" s="12" t="s">
        <v>19</v>
      </c>
      <c r="AA4" s="12" t="s">
        <v>20</v>
      </c>
      <c r="AB4" s="24" t="s">
        <v>510</v>
      </c>
      <c r="AD4" s="14" t="s">
        <v>16</v>
      </c>
      <c r="AE4" s="14" t="s">
        <v>17</v>
      </c>
      <c r="AF4" s="13" t="s">
        <v>18</v>
      </c>
      <c r="AG4" s="12" t="s">
        <v>19</v>
      </c>
      <c r="AH4" s="12" t="s">
        <v>20</v>
      </c>
      <c r="AI4" s="347" t="s">
        <v>452</v>
      </c>
      <c r="AJ4" s="328" t="s">
        <v>9</v>
      </c>
      <c r="AK4" s="328" t="s">
        <v>16</v>
      </c>
      <c r="AL4" s="328" t="s">
        <v>17</v>
      </c>
      <c r="AM4" s="329" t="s">
        <v>18</v>
      </c>
      <c r="AN4" s="330" t="s">
        <v>19</v>
      </c>
      <c r="AO4" s="330" t="s">
        <v>20</v>
      </c>
    </row>
    <row r="5" spans="1:42" ht="15">
      <c r="A5" s="24" t="s">
        <v>9</v>
      </c>
      <c r="C5" s="26">
        <f>SUM(C7:C25)</f>
        <v>199.53071878524753</v>
      </c>
      <c r="E5" s="2"/>
      <c r="F5" s="19"/>
      <c r="G5" s="34">
        <f>SUM(G7:G44)-R23-S23</f>
        <v>200.21831626777654</v>
      </c>
      <c r="H5" s="19"/>
      <c r="I5" s="18"/>
      <c r="J5" s="17"/>
      <c r="L5" s="8"/>
      <c r="N5" s="16"/>
      <c r="O5" s="15"/>
      <c r="P5" s="14"/>
      <c r="Q5" s="14"/>
      <c r="R5" s="13"/>
      <c r="S5" s="12"/>
      <c r="T5" s="11">
        <f>T7+T23+T26+T39</f>
        <v>121.42462193792038</v>
      </c>
      <c r="U5" s="10"/>
      <c r="V5" s="9">
        <f>SUM(V7,V21,V26:V32,V34)</f>
        <v>109.02195098321843</v>
      </c>
      <c r="W5" s="9">
        <f>SUM(W7:W44)</f>
        <v>3.1348322114560001</v>
      </c>
      <c r="X5" s="9">
        <f t="shared" ref="X5:Z5" si="0">SUM(X7:X44)</f>
        <v>29.872236472153954</v>
      </c>
      <c r="Y5" s="9">
        <f t="shared" si="0"/>
        <v>26.132146589531086</v>
      </c>
      <c r="Z5" s="9">
        <f t="shared" si="0"/>
        <v>18.309352599264969</v>
      </c>
      <c r="AA5" s="9">
        <f>SUM(AA7:AA44)</f>
        <v>31.573383110812411</v>
      </c>
      <c r="AB5" s="27"/>
      <c r="AJ5" s="9">
        <f>SUM(AJ13,AJ23,AJ26:AJ32,AJ40)</f>
        <v>121.37651704017337</v>
      </c>
      <c r="AK5" s="9">
        <f>SUM(AK7:AK44)</f>
        <v>3.1128405665249841</v>
      </c>
      <c r="AL5" s="9">
        <f t="shared" ref="AL5:AO5" si="1">SUM(AL7:AL44)</f>
        <v>29.493534586836486</v>
      </c>
      <c r="AM5" s="9">
        <f t="shared" si="1"/>
        <v>29.386077904330808</v>
      </c>
      <c r="AN5" s="9">
        <f t="shared" si="1"/>
        <v>18.764053634275676</v>
      </c>
      <c r="AO5" s="9">
        <f t="shared" si="1"/>
        <v>40.620010348205419</v>
      </c>
      <c r="AP5" s="27"/>
    </row>
    <row r="6" spans="1:42">
      <c r="E6" s="1"/>
      <c r="F6" s="1"/>
      <c r="G6" s="360">
        <f>G5-'bilan complet'!K218-I40-I41</f>
        <v>0.13638584559202327</v>
      </c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2">
        <f>T5-'bilan complet'!K212+(SUM(AD7:AH19)-T7)</f>
        <v>0</v>
      </c>
      <c r="U6" s="263"/>
      <c r="V6" s="264">
        <f>V5-'scenario demande'!G368</f>
        <v>0</v>
      </c>
      <c r="W6" s="1"/>
      <c r="X6" s="1"/>
      <c r="Y6" s="1"/>
      <c r="Z6" s="1"/>
      <c r="AA6" s="1"/>
      <c r="AB6" s="35"/>
      <c r="AJ6" s="333">
        <f>AJ5-'bilan complet'!K212</f>
        <v>0</v>
      </c>
      <c r="AK6" s="1"/>
      <c r="AL6" s="1"/>
      <c r="AM6" s="1"/>
      <c r="AN6" s="1"/>
      <c r="AO6" s="1"/>
    </row>
    <row r="7" spans="1:42">
      <c r="A7" s="24" t="s">
        <v>45</v>
      </c>
      <c r="B7" s="24" t="s">
        <v>46</v>
      </c>
      <c r="C7" s="27">
        <f>G29+G35+G13</f>
        <v>19.484114863880425</v>
      </c>
      <c r="E7" s="767" t="s">
        <v>14</v>
      </c>
      <c r="F7" s="1" t="s">
        <v>21</v>
      </c>
      <c r="G7" s="2">
        <f>électricité!G27*0.086</f>
        <v>7.4110822499999998</v>
      </c>
      <c r="H7" s="768">
        <f>SUM(G7:G20)</f>
        <v>94.433212654767132</v>
      </c>
      <c r="I7" s="3"/>
      <c r="J7" s="769">
        <f>SUM(I7:I19)</f>
        <v>53.06108972359997</v>
      </c>
      <c r="K7" s="2">
        <f>G7-I7</f>
        <v>7.4110822499999998</v>
      </c>
      <c r="L7" s="769">
        <f>SUM(K6:K19)</f>
        <v>43.404487541503904</v>
      </c>
      <c r="N7" s="768">
        <f>L7-M13</f>
        <v>38.956842266522472</v>
      </c>
      <c r="O7" s="46"/>
      <c r="P7" s="46"/>
      <c r="Q7" s="46"/>
      <c r="R7" s="45"/>
      <c r="S7" s="341"/>
      <c r="T7" s="783">
        <f>N7-O12-P12-Q12</f>
        <v>34.460825254803723</v>
      </c>
      <c r="U7" s="23"/>
      <c r="V7" s="772">
        <f>SUM(W7:AA19)</f>
        <v>33.286283045478442</v>
      </c>
      <c r="W7" s="256"/>
      <c r="X7" s="259"/>
      <c r="Y7" s="256"/>
      <c r="Z7" s="259"/>
      <c r="AA7" s="256"/>
      <c r="AB7" s="36"/>
      <c r="AC7" s="267"/>
      <c r="AD7" s="762">
        <f>'bilan complet'!$I$210</f>
        <v>0.4925996940177888</v>
      </c>
      <c r="AE7" s="762">
        <f>'bilan complet'!$I$207</f>
        <v>9.2075448742798969</v>
      </c>
      <c r="AF7" s="762">
        <f>'bilan complet'!$I$208</f>
        <v>11.154028267497784</v>
      </c>
      <c r="AG7" s="762">
        <f>'bilan complet'!$I$209</f>
        <v>11.095059270432483</v>
      </c>
      <c r="AH7" s="772">
        <f>'bilan complet'!$I$211</f>
        <v>2.4634882508287639</v>
      </c>
      <c r="AJ7" s="307"/>
      <c r="AK7" s="308"/>
      <c r="AL7" s="259"/>
      <c r="AM7" s="256"/>
      <c r="AN7" s="259"/>
      <c r="AO7" s="256"/>
    </row>
    <row r="8" spans="1:42">
      <c r="B8" s="24" t="s">
        <v>21</v>
      </c>
      <c r="C8" s="27">
        <f>G7</f>
        <v>7.4110822499999998</v>
      </c>
      <c r="D8" s="27"/>
      <c r="E8" s="767"/>
      <c r="F8" s="1" t="s">
        <v>22</v>
      </c>
      <c r="G8" s="2">
        <f>électricité!G25*0.086</f>
        <v>5.8295120156249993</v>
      </c>
      <c r="H8" s="768"/>
      <c r="I8" s="3"/>
      <c r="J8" s="769"/>
      <c r="K8" s="2">
        <f t="shared" ref="K8:K44" si="2">G8-I8</f>
        <v>5.8295120156249993</v>
      </c>
      <c r="L8" s="769"/>
      <c r="N8" s="768"/>
      <c r="O8" s="46"/>
      <c r="P8" s="46"/>
      <c r="Q8" s="46"/>
      <c r="R8" s="45"/>
      <c r="S8" s="341"/>
      <c r="T8" s="783"/>
      <c r="U8" s="23"/>
      <c r="V8" s="773"/>
      <c r="W8" s="257"/>
      <c r="X8" s="260"/>
      <c r="Y8" s="257"/>
      <c r="Z8" s="260"/>
      <c r="AA8" s="257"/>
      <c r="AB8" s="36"/>
      <c r="AC8" s="38"/>
      <c r="AD8" s="763"/>
      <c r="AE8" s="763"/>
      <c r="AF8" s="763"/>
      <c r="AG8" s="763"/>
      <c r="AH8" s="773"/>
      <c r="AJ8" s="344"/>
      <c r="AK8" s="309"/>
      <c r="AL8" s="260"/>
      <c r="AM8" s="257"/>
      <c r="AN8" s="260"/>
      <c r="AO8" s="257"/>
    </row>
    <row r="9" spans="1:42">
      <c r="B9" s="24" t="s">
        <v>47</v>
      </c>
      <c r="C9" s="27">
        <f>G11+G21+G22+G26+G34</f>
        <v>0</v>
      </c>
      <c r="E9" s="767"/>
      <c r="F9" s="1" t="s">
        <v>23</v>
      </c>
      <c r="G9" s="2">
        <f>électricité!G26*0.086</f>
        <v>2.6294948476562499</v>
      </c>
      <c r="H9" s="768"/>
      <c r="I9" s="3"/>
      <c r="J9" s="769"/>
      <c r="K9" s="2">
        <f t="shared" si="2"/>
        <v>2.6294948476562499</v>
      </c>
      <c r="L9" s="769"/>
      <c r="N9" s="768"/>
      <c r="O9" s="46"/>
      <c r="P9" s="46"/>
      <c r="Q9" s="46"/>
      <c r="R9" s="45"/>
      <c r="S9" s="341"/>
      <c r="T9" s="783"/>
      <c r="U9" s="23"/>
      <c r="V9" s="773"/>
      <c r="W9" s="257"/>
      <c r="X9" s="260"/>
      <c r="Y9" s="257"/>
      <c r="Z9" s="260"/>
      <c r="AA9" s="257"/>
      <c r="AB9" s="36"/>
      <c r="AC9" s="38"/>
      <c r="AD9" s="763"/>
      <c r="AE9" s="763"/>
      <c r="AF9" s="763"/>
      <c r="AG9" s="763"/>
      <c r="AH9" s="773"/>
      <c r="AJ9" s="344"/>
      <c r="AK9" s="309"/>
      <c r="AL9" s="260"/>
      <c r="AM9" s="257"/>
      <c r="AN9" s="260"/>
      <c r="AO9" s="257"/>
    </row>
    <row r="10" spans="1:42">
      <c r="B10" s="24" t="s">
        <v>28</v>
      </c>
      <c r="C10" s="27">
        <f>G14+G30+G37</f>
        <v>0.21689519541615604</v>
      </c>
      <c r="E10" s="767"/>
      <c r="F10" s="1" t="s">
        <v>24</v>
      </c>
      <c r="G10" s="2">
        <f>66.09+'bilan complet'!H190</f>
        <v>64.37</v>
      </c>
      <c r="H10" s="768"/>
      <c r="I10" s="3">
        <f>K10/0.33-K10</f>
        <v>44.279801980942224</v>
      </c>
      <c r="J10" s="769"/>
      <c r="K10" s="3">
        <f>électricité!G22*0.086</f>
        <v>21.809454707031247</v>
      </c>
      <c r="L10" s="769"/>
      <c r="N10" s="768"/>
      <c r="O10" s="46"/>
      <c r="P10" s="46"/>
      <c r="Q10" s="46"/>
      <c r="R10" s="45"/>
      <c r="S10" s="341"/>
      <c r="T10" s="783"/>
      <c r="U10" s="23"/>
      <c r="V10" s="773"/>
      <c r="W10" s="257"/>
      <c r="X10" s="260"/>
      <c r="Y10" s="257"/>
      <c r="Z10" s="260"/>
      <c r="AA10" s="257"/>
      <c r="AB10" s="36"/>
      <c r="AC10" s="38"/>
      <c r="AD10" s="763"/>
      <c r="AE10" s="763"/>
      <c r="AF10" s="763"/>
      <c r="AG10" s="763"/>
      <c r="AH10" s="773"/>
      <c r="AJ10" s="344"/>
      <c r="AK10" s="309"/>
      <c r="AL10" s="260"/>
      <c r="AM10" s="257"/>
      <c r="AN10" s="260"/>
      <c r="AO10" s="257"/>
    </row>
    <row r="11" spans="1:42">
      <c r="B11" s="24" t="s">
        <v>22</v>
      </c>
      <c r="C11" s="27">
        <f>G8</f>
        <v>5.8295120156249993</v>
      </c>
      <c r="E11" s="767"/>
      <c r="F11" s="1" t="s">
        <v>25</v>
      </c>
      <c r="G11" s="2"/>
      <c r="H11" s="768"/>
      <c r="I11" s="3"/>
      <c r="J11" s="769"/>
      <c r="K11" s="2">
        <f t="shared" si="2"/>
        <v>0</v>
      </c>
      <c r="L11" s="769"/>
      <c r="N11" s="768"/>
      <c r="O11" s="46"/>
      <c r="P11" s="46"/>
      <c r="Q11" s="46"/>
      <c r="R11" s="45"/>
      <c r="S11" s="341"/>
      <c r="T11" s="783"/>
      <c r="U11" s="23"/>
      <c r="V11" s="773"/>
      <c r="W11" s="257"/>
      <c r="X11" s="260"/>
      <c r="Y11" s="257"/>
      <c r="Z11" s="260"/>
      <c r="AA11" s="257"/>
      <c r="AB11" s="36"/>
      <c r="AC11" s="38"/>
      <c r="AD11" s="763"/>
      <c r="AE11" s="763"/>
      <c r="AF11" s="763"/>
      <c r="AG11" s="763"/>
      <c r="AH11" s="773"/>
      <c r="AJ11" s="344"/>
      <c r="AK11" s="309"/>
      <c r="AL11" s="260"/>
      <c r="AM11" s="257"/>
      <c r="AN11" s="260"/>
      <c r="AO11" s="257"/>
    </row>
    <row r="12" spans="1:42">
      <c r="B12" s="24" t="s">
        <v>23</v>
      </c>
      <c r="C12" s="27">
        <f>G9</f>
        <v>2.6294948476562499</v>
      </c>
      <c r="D12" s="27"/>
      <c r="E12" s="767"/>
      <c r="F12" s="1" t="s">
        <v>26</v>
      </c>
      <c r="G12" s="2">
        <f>'bilan complet'!J204</f>
        <v>5.6455966025073376</v>
      </c>
      <c r="H12" s="768"/>
      <c r="I12" s="3">
        <f>G12-K12</f>
        <v>3.7712262665698377</v>
      </c>
      <c r="J12" s="769"/>
      <c r="K12" s="2">
        <f>électricité!G21*0.086</f>
        <v>1.8743703359374997</v>
      </c>
      <c r="L12" s="769"/>
      <c r="N12" s="768"/>
      <c r="O12" s="46">
        <f>(électricité!G32)*0.086</f>
        <v>2.7760170117187499</v>
      </c>
      <c r="P12" s="46">
        <f>électricité!G36*0.086</f>
        <v>1.7199999999999998</v>
      </c>
      <c r="Q12" s="46"/>
      <c r="R12" s="45"/>
      <c r="S12" s="341"/>
      <c r="T12" s="783"/>
      <c r="U12" s="7"/>
      <c r="V12" s="773"/>
      <c r="W12" s="257"/>
      <c r="X12" s="260"/>
      <c r="Y12" s="257"/>
      <c r="Z12" s="260"/>
      <c r="AA12" s="257"/>
      <c r="AB12" s="36"/>
      <c r="AC12" s="38" t="s">
        <v>490</v>
      </c>
      <c r="AD12" s="763"/>
      <c r="AE12" s="763"/>
      <c r="AF12" s="763"/>
      <c r="AG12" s="763"/>
      <c r="AH12" s="773"/>
      <c r="AJ12" s="344"/>
      <c r="AK12" s="309"/>
      <c r="AL12" s="260"/>
      <c r="AM12" s="257"/>
      <c r="AN12" s="260"/>
      <c r="AO12" s="257"/>
    </row>
    <row r="13" spans="1:42">
      <c r="B13" s="24" t="s">
        <v>62</v>
      </c>
      <c r="C13" s="27">
        <f>G39</f>
        <v>6.9845124203673823</v>
      </c>
      <c r="E13" s="767"/>
      <c r="F13" s="1" t="s">
        <v>27</v>
      </c>
      <c r="G13" s="2"/>
      <c r="H13" s="768"/>
      <c r="I13" s="3"/>
      <c r="J13" s="769"/>
      <c r="K13" s="2">
        <f t="shared" si="2"/>
        <v>0</v>
      </c>
      <c r="L13" s="769"/>
      <c r="M13" s="37">
        <f>électricité!G34*0.086</f>
        <v>4.4476452749814337</v>
      </c>
      <c r="N13" s="768"/>
      <c r="O13" s="46"/>
      <c r="P13" s="46"/>
      <c r="Q13" s="46"/>
      <c r="R13" s="45"/>
      <c r="S13" s="341"/>
      <c r="T13" s="783"/>
      <c r="U13" s="1"/>
      <c r="V13" s="773"/>
      <c r="W13" s="257">
        <f>'scenario demande'!$G$339</f>
        <v>0.48760247801778878</v>
      </c>
      <c r="X13" s="260">
        <f>'scenario demande'!$G$12</f>
        <v>9.1863911497701825</v>
      </c>
      <c r="Y13" s="257">
        <f>'scenario demande'!$G$113</f>
        <v>10.210006666072111</v>
      </c>
      <c r="Z13" s="260">
        <f>'scenario demande'!$G$188</f>
        <v>10.936878571730727</v>
      </c>
      <c r="AA13" s="257">
        <f>'scenario demande'!$G$278</f>
        <v>2.4654041798876345</v>
      </c>
      <c r="AB13" s="36"/>
      <c r="AC13" s="38"/>
      <c r="AD13" s="763"/>
      <c r="AE13" s="763"/>
      <c r="AF13" s="763"/>
      <c r="AG13" s="763"/>
      <c r="AH13" s="773"/>
      <c r="AI13" s="27">
        <f>SUM(AD7:AH19)</f>
        <v>34.412720357056713</v>
      </c>
      <c r="AJ13" s="344">
        <f>SUM(AK7:AO19)</f>
        <v>34.412720357056713</v>
      </c>
      <c r="AK13" s="310">
        <f>AD7</f>
        <v>0.4925996940177888</v>
      </c>
      <c r="AL13" s="260">
        <f>AE7</f>
        <v>9.2075448742798969</v>
      </c>
      <c r="AM13" s="260">
        <f>AF7</f>
        <v>11.154028267497784</v>
      </c>
      <c r="AN13" s="260">
        <f>AG7</f>
        <v>11.095059270432483</v>
      </c>
      <c r="AO13" s="260">
        <f>AH7</f>
        <v>2.4634882508287639</v>
      </c>
    </row>
    <row r="14" spans="1:42">
      <c r="B14" s="24" t="s">
        <v>48</v>
      </c>
      <c r="C14" s="27">
        <f>G38</f>
        <v>2.81</v>
      </c>
      <c r="E14" s="767"/>
      <c r="F14" s="1" t="s">
        <v>28</v>
      </c>
      <c r="G14" s="2"/>
      <c r="H14" s="768"/>
      <c r="I14" s="3"/>
      <c r="J14" s="769"/>
      <c r="K14" s="2">
        <f t="shared" si="2"/>
        <v>0</v>
      </c>
      <c r="L14" s="769"/>
      <c r="N14" s="768"/>
      <c r="O14" s="46"/>
      <c r="P14" s="46"/>
      <c r="Q14" s="46"/>
      <c r="R14" s="45"/>
      <c r="S14" s="341"/>
      <c r="T14" s="783"/>
      <c r="U14" s="1"/>
      <c r="V14" s="773"/>
      <c r="W14" s="257"/>
      <c r="X14" s="260"/>
      <c r="Y14" s="257"/>
      <c r="Z14" s="260"/>
      <c r="AA14" s="257"/>
      <c r="AB14" s="36"/>
      <c r="AC14" s="38"/>
      <c r="AD14" s="763"/>
      <c r="AE14" s="763"/>
      <c r="AF14" s="763"/>
      <c r="AG14" s="763"/>
      <c r="AH14" s="773"/>
      <c r="AJ14" s="344"/>
      <c r="AK14" s="309"/>
      <c r="AL14" s="260"/>
      <c r="AM14" s="257"/>
      <c r="AN14" s="260"/>
      <c r="AO14" s="257"/>
    </row>
    <row r="15" spans="1:42">
      <c r="B15" s="24" t="s">
        <v>35</v>
      </c>
      <c r="C15" s="27">
        <f>G36+G31</f>
        <v>0.63747455904261341</v>
      </c>
      <c r="E15" s="767"/>
      <c r="F15" s="1" t="s">
        <v>29</v>
      </c>
      <c r="G15" s="2">
        <f>électricité!G30*0.086</f>
        <v>0.49018202734374999</v>
      </c>
      <c r="H15" s="768"/>
      <c r="I15" s="3"/>
      <c r="J15" s="769"/>
      <c r="K15" s="2">
        <f t="shared" si="2"/>
        <v>0.49018202734374999</v>
      </c>
      <c r="L15" s="769"/>
      <c r="N15" s="768"/>
      <c r="O15" s="46"/>
      <c r="P15" s="46"/>
      <c r="Q15" s="46"/>
      <c r="R15" s="45"/>
      <c r="S15" s="341"/>
      <c r="T15" s="783"/>
      <c r="U15" s="1"/>
      <c r="V15" s="773"/>
      <c r="W15" s="257"/>
      <c r="X15" s="260"/>
      <c r="Y15" s="257"/>
      <c r="Z15" s="260"/>
      <c r="AA15" s="257"/>
      <c r="AB15" s="36"/>
      <c r="AC15" s="38"/>
      <c r="AD15" s="763"/>
      <c r="AE15" s="763"/>
      <c r="AF15" s="763"/>
      <c r="AG15" s="763"/>
      <c r="AH15" s="773"/>
      <c r="AJ15" s="344"/>
      <c r="AK15" s="309"/>
      <c r="AL15" s="260"/>
      <c r="AM15" s="257"/>
      <c r="AN15" s="260"/>
      <c r="AO15" s="257"/>
    </row>
    <row r="16" spans="1:42">
      <c r="B16" s="24" t="s">
        <v>39</v>
      </c>
      <c r="C16" s="27">
        <f>G12+G16+G27+G28</f>
        <v>6.4558876681708171</v>
      </c>
      <c r="E16" s="767"/>
      <c r="F16" s="1" t="s">
        <v>30</v>
      </c>
      <c r="G16" s="2">
        <v>0</v>
      </c>
      <c r="H16" s="768"/>
      <c r="I16" s="3"/>
      <c r="J16" s="769"/>
      <c r="K16" s="2">
        <f>électricité!G20*0.086</f>
        <v>0.31310792236328122</v>
      </c>
      <c r="L16" s="769"/>
      <c r="N16" s="768"/>
      <c r="O16" s="46"/>
      <c r="P16" s="46"/>
      <c r="Q16" s="46"/>
      <c r="R16" s="45"/>
      <c r="S16" s="341"/>
      <c r="T16" s="783"/>
      <c r="U16" s="1"/>
      <c r="V16" s="773"/>
      <c r="W16" s="257"/>
      <c r="X16" s="260"/>
      <c r="Y16" s="257"/>
      <c r="Z16" s="260"/>
      <c r="AA16" s="257"/>
      <c r="AB16" s="36"/>
      <c r="AC16" s="38"/>
      <c r="AD16" s="763"/>
      <c r="AE16" s="763"/>
      <c r="AF16" s="763"/>
      <c r="AG16" s="763"/>
      <c r="AH16" s="773"/>
      <c r="AJ16" s="344"/>
      <c r="AK16" s="309"/>
      <c r="AL16" s="260"/>
      <c r="AM16" s="257"/>
      <c r="AN16" s="260"/>
      <c r="AO16" s="257"/>
    </row>
    <row r="17" spans="1:41">
      <c r="C17" s="27"/>
      <c r="E17" s="767"/>
      <c r="F17" s="1" t="s">
        <v>466</v>
      </c>
      <c r="G17" s="2">
        <f>électricité!G6</f>
        <v>4.3051635742187497E-2</v>
      </c>
      <c r="H17" s="768"/>
      <c r="I17" s="3">
        <f>G17-K17</f>
        <v>2.5851635742187497E-2</v>
      </c>
      <c r="J17" s="769"/>
      <c r="K17" s="5">
        <f>électricité!G17*0.086</f>
        <v>1.72E-2</v>
      </c>
      <c r="L17" s="769"/>
      <c r="N17" s="768"/>
      <c r="O17" s="46"/>
      <c r="P17" s="46"/>
      <c r="Q17" s="46"/>
      <c r="R17" s="45"/>
      <c r="S17" s="341"/>
      <c r="T17" s="783"/>
      <c r="U17" s="1"/>
      <c r="V17" s="773"/>
      <c r="W17" s="257"/>
      <c r="X17" s="260"/>
      <c r="Y17" s="257"/>
      <c r="Z17" s="260"/>
      <c r="AA17" s="257"/>
      <c r="AB17" s="36"/>
      <c r="AC17" s="38"/>
      <c r="AD17" s="763"/>
      <c r="AE17" s="763"/>
      <c r="AF17" s="763"/>
      <c r="AG17" s="763"/>
      <c r="AH17" s="773"/>
      <c r="AJ17" s="344"/>
      <c r="AK17" s="309"/>
      <c r="AL17" s="260"/>
      <c r="AM17" s="257"/>
      <c r="AN17" s="260"/>
      <c r="AO17" s="257"/>
    </row>
    <row r="18" spans="1:41">
      <c r="C18" s="27"/>
      <c r="E18" s="767"/>
      <c r="F18" s="1" t="s">
        <v>181</v>
      </c>
      <c r="G18" s="2">
        <f>électricité!G4</f>
        <v>2.9010854492187499</v>
      </c>
      <c r="H18" s="768"/>
      <c r="I18" s="3">
        <f>G18-K18</f>
        <v>1.911212599609375</v>
      </c>
      <c r="J18" s="769"/>
      <c r="K18" s="2">
        <f>électricité!G10*0.086</f>
        <v>0.98987284960937494</v>
      </c>
      <c r="L18" s="769"/>
      <c r="N18" s="768"/>
      <c r="O18" s="46"/>
      <c r="P18" s="46"/>
      <c r="Q18" s="46"/>
      <c r="R18" s="45"/>
      <c r="S18" s="341"/>
      <c r="T18" s="783"/>
      <c r="U18" s="1"/>
      <c r="V18" s="773"/>
      <c r="W18" s="257"/>
      <c r="X18" s="260"/>
      <c r="Y18" s="257"/>
      <c r="Z18" s="260"/>
      <c r="AA18" s="257"/>
      <c r="AB18" s="36"/>
      <c r="AC18" s="38"/>
      <c r="AD18" s="763"/>
      <c r="AE18" s="763"/>
      <c r="AF18" s="763"/>
      <c r="AG18" s="763"/>
      <c r="AH18" s="773"/>
      <c r="AJ18" s="344"/>
      <c r="AK18" s="309"/>
      <c r="AL18" s="260"/>
      <c r="AM18" s="257"/>
      <c r="AN18" s="260"/>
      <c r="AO18" s="257"/>
    </row>
    <row r="19" spans="1:41">
      <c r="B19" s="24" t="s">
        <v>49</v>
      </c>
      <c r="C19" s="27">
        <f>G15</f>
        <v>0.49018202734374999</v>
      </c>
      <c r="D19" s="27"/>
      <c r="E19" s="767"/>
      <c r="F19" s="1" t="s">
        <v>31</v>
      </c>
      <c r="G19" s="2">
        <f>'bilan complet'!F204-I32-I29</f>
        <v>5.1132078266738441</v>
      </c>
      <c r="H19" s="768"/>
      <c r="I19" s="3">
        <f>G19-K19</f>
        <v>3.0729972407363442</v>
      </c>
      <c r="J19" s="769"/>
      <c r="K19" s="2">
        <f>électricité!G12*0.086</f>
        <v>2.0402105859374999</v>
      </c>
      <c r="L19" s="769"/>
      <c r="N19" s="768"/>
      <c r="O19" s="46"/>
      <c r="P19" s="46"/>
      <c r="Q19" s="46"/>
      <c r="R19" s="45"/>
      <c r="S19" s="341"/>
      <c r="T19" s="783"/>
      <c r="U19" s="1"/>
      <c r="V19" s="774"/>
      <c r="W19" s="258"/>
      <c r="X19" s="261"/>
      <c r="Y19" s="258"/>
      <c r="Z19" s="261"/>
      <c r="AA19" s="258"/>
      <c r="AB19" s="36"/>
      <c r="AC19" s="269"/>
      <c r="AD19" s="764"/>
      <c r="AE19" s="764"/>
      <c r="AF19" s="764"/>
      <c r="AG19" s="764"/>
      <c r="AH19" s="774"/>
      <c r="AJ19" s="345"/>
      <c r="AK19" s="311"/>
      <c r="AL19" s="261"/>
      <c r="AM19" s="258"/>
      <c r="AN19" s="261"/>
      <c r="AO19" s="258"/>
    </row>
    <row r="20" spans="1:41">
      <c r="E20" s="1"/>
      <c r="F20" s="1"/>
      <c r="G20" s="1"/>
      <c r="H20" s="1"/>
      <c r="I20" s="2"/>
      <c r="J20" s="2"/>
      <c r="K20" s="2"/>
      <c r="L20" s="1"/>
      <c r="M20" s="1"/>
      <c r="N20" s="1"/>
      <c r="O20" s="1"/>
      <c r="P20" s="1"/>
      <c r="Q20" s="1"/>
      <c r="R20" s="1"/>
      <c r="S20" s="1"/>
      <c r="T20" s="363">
        <f>T7-électricité!G38*0.086</f>
        <v>0</v>
      </c>
      <c r="U20" s="265">
        <f>T7-électricité!G38*0.086</f>
        <v>0</v>
      </c>
      <c r="V20" s="2"/>
      <c r="W20" s="1"/>
      <c r="X20" s="2"/>
      <c r="Y20" s="1"/>
      <c r="Z20" s="2"/>
      <c r="AA20" s="1"/>
      <c r="AJ20" s="2"/>
      <c r="AK20" s="1"/>
      <c r="AL20" s="2"/>
      <c r="AM20" s="1"/>
      <c r="AN20" s="2"/>
      <c r="AO20" s="1"/>
    </row>
    <row r="21" spans="1:41">
      <c r="A21" s="24" t="s">
        <v>50</v>
      </c>
      <c r="B21" s="24" t="s">
        <v>24</v>
      </c>
      <c r="C21" s="27">
        <f>G10</f>
        <v>64.37</v>
      </c>
      <c r="E21" s="775" t="s">
        <v>12</v>
      </c>
      <c r="F21" s="1" t="s">
        <v>25</v>
      </c>
      <c r="G21" s="2"/>
      <c r="H21" s="776">
        <f>SUM(G21:G24)</f>
        <v>24.187548033555046</v>
      </c>
      <c r="J21" s="776"/>
      <c r="K21" s="2">
        <f t="shared" si="2"/>
        <v>0</v>
      </c>
      <c r="L21" s="777">
        <f>SUM(K21:K24)</f>
        <v>24.187548033555046</v>
      </c>
      <c r="M21" s="2"/>
      <c r="N21" s="777">
        <f>L21</f>
        <v>24.187548033555046</v>
      </c>
      <c r="O21" s="779"/>
      <c r="P21" s="779"/>
      <c r="Q21" s="779"/>
      <c r="R21" s="322"/>
      <c r="S21" s="322"/>
      <c r="T21" s="322"/>
      <c r="U21" s="1"/>
      <c r="V21" s="780">
        <f>SUM(W23:AA23)</f>
        <v>19.766328081922406</v>
      </c>
      <c r="W21" s="230"/>
      <c r="X21" s="230"/>
      <c r="Y21" s="230"/>
      <c r="Z21" s="230"/>
      <c r="AA21" s="231"/>
      <c r="AC21" s="267"/>
      <c r="AD21" s="277"/>
      <c r="AE21" s="277"/>
      <c r="AF21" s="277"/>
      <c r="AG21" s="277"/>
      <c r="AH21" s="270"/>
      <c r="AJ21" s="304"/>
      <c r="AK21" s="231"/>
      <c r="AL21" s="230"/>
      <c r="AM21" s="230"/>
      <c r="AN21" s="230"/>
      <c r="AO21" s="231"/>
    </row>
    <row r="22" spans="1:41">
      <c r="B22" s="24" t="s">
        <v>34</v>
      </c>
      <c r="C22" s="27">
        <f>G24+G32</f>
        <v>25.195552876018208</v>
      </c>
      <c r="E22" s="775"/>
      <c r="F22" s="1" t="s">
        <v>32</v>
      </c>
      <c r="G22" s="2"/>
      <c r="H22" s="758"/>
      <c r="J22" s="758"/>
      <c r="K22" s="2">
        <f t="shared" si="2"/>
        <v>0</v>
      </c>
      <c r="L22" s="778"/>
      <c r="M22" s="2"/>
      <c r="N22" s="777"/>
      <c r="O22" s="779"/>
      <c r="P22" s="779"/>
      <c r="Q22" s="779"/>
      <c r="R22" s="334"/>
      <c r="S22" s="340"/>
      <c r="T22" s="340"/>
      <c r="U22" s="1"/>
      <c r="V22" s="781"/>
      <c r="W22" s="334"/>
      <c r="X22" s="334"/>
      <c r="Y22" s="334"/>
      <c r="Z22" s="334"/>
      <c r="AA22" s="340"/>
      <c r="AC22" s="268"/>
      <c r="AD22" s="278"/>
      <c r="AE22" s="278"/>
      <c r="AF22" s="278"/>
      <c r="AG22" s="278"/>
      <c r="AH22" s="271"/>
      <c r="AJ22" s="305"/>
      <c r="AK22" s="340"/>
      <c r="AL22" s="334"/>
      <c r="AM22" s="334"/>
      <c r="AN22" s="334"/>
      <c r="AO22" s="340"/>
    </row>
    <row r="23" spans="1:41">
      <c r="B23" s="24" t="s">
        <v>51</v>
      </c>
      <c r="C23" s="27">
        <f>G40+G41</f>
        <v>49.618115888166024</v>
      </c>
      <c r="E23" s="775"/>
      <c r="F23" s="1" t="s">
        <v>33</v>
      </c>
      <c r="G23" s="2"/>
      <c r="H23" s="758"/>
      <c r="I23" s="27"/>
      <c r="J23" s="758"/>
      <c r="K23" s="2">
        <f t="shared" si="2"/>
        <v>0</v>
      </c>
      <c r="L23" s="778"/>
      <c r="M23" s="2"/>
      <c r="N23" s="777"/>
      <c r="O23" s="779"/>
      <c r="P23" s="779"/>
      <c r="Q23" s="779"/>
      <c r="R23" s="334">
        <f>G32</f>
        <v>1.0080048424631614</v>
      </c>
      <c r="S23" s="340">
        <f>G19</f>
        <v>5.1132078266738441</v>
      </c>
      <c r="T23" s="340">
        <f>N21-R23-S23</f>
        <v>18.066335364418041</v>
      </c>
      <c r="U23" s="1"/>
      <c r="V23" s="781"/>
      <c r="W23" s="235">
        <f>'scenario demande'!G337</f>
        <v>0.34868953135035208</v>
      </c>
      <c r="X23" s="244">
        <f>'scenario demande'!G10</f>
        <v>7.1593905867926795</v>
      </c>
      <c r="Y23" s="244">
        <f>'scenario demande'!G110</f>
        <v>7.5765309520207342</v>
      </c>
      <c r="Z23" s="244">
        <f>'scenario demande'!G186</f>
        <v>4.1774792573265609</v>
      </c>
      <c r="AA23" s="232">
        <f>'scenario demande'!G277+'scenario demande'!G279</f>
        <v>0.50423775443207952</v>
      </c>
      <c r="AC23" s="38"/>
      <c r="AD23" s="278"/>
      <c r="AE23" s="278"/>
      <c r="AF23" s="278"/>
      <c r="AG23" s="278"/>
      <c r="AH23" s="271"/>
      <c r="AJ23" s="305">
        <f>SUM(AK23:AO23)</f>
        <v>18.066335364418041</v>
      </c>
      <c r="AK23" s="312">
        <f>$T$23*W23/$V$21</f>
        <v>0.31870067041933603</v>
      </c>
      <c r="AL23" s="312">
        <f t="shared" ref="AL23:AO23" si="3">$T$23*X23/$V$21</f>
        <v>6.543650940618944</v>
      </c>
      <c r="AM23" s="312">
        <f t="shared" si="3"/>
        <v>6.9249153667183077</v>
      </c>
      <c r="AN23" s="312">
        <f t="shared" si="3"/>
        <v>3.8181973368025535</v>
      </c>
      <c r="AO23" s="312">
        <f t="shared" si="3"/>
        <v>0.4608710498588991</v>
      </c>
    </row>
    <row r="24" spans="1:41">
      <c r="B24" s="24" t="s">
        <v>40</v>
      </c>
      <c r="C24" s="27">
        <f>G44+G18</f>
        <v>7.397894173560891</v>
      </c>
      <c r="E24" s="775"/>
      <c r="F24" s="1" t="s">
        <v>34</v>
      </c>
      <c r="G24" s="2">
        <f>'bilan complet'!F218-'bilan complet'!F215</f>
        <v>24.187548033555046</v>
      </c>
      <c r="H24" s="758"/>
      <c r="J24" s="758"/>
      <c r="K24" s="2">
        <f t="shared" si="2"/>
        <v>24.187548033555046</v>
      </c>
      <c r="L24" s="778"/>
      <c r="M24" s="6"/>
      <c r="N24" s="777"/>
      <c r="O24" s="779"/>
      <c r="P24" s="779"/>
      <c r="Q24" s="779"/>
      <c r="R24" s="334"/>
      <c r="S24" s="340"/>
      <c r="T24" s="340"/>
      <c r="U24" s="1"/>
      <c r="V24" s="782"/>
      <c r="W24" s="233"/>
      <c r="X24" s="233"/>
      <c r="Y24" s="233"/>
      <c r="Z24" s="233"/>
      <c r="AA24" s="234"/>
      <c r="AC24" s="38"/>
      <c r="AD24" s="278"/>
      <c r="AE24" s="278"/>
      <c r="AF24" s="278"/>
      <c r="AG24" s="278"/>
      <c r="AH24" s="271"/>
      <c r="AJ24" s="306"/>
      <c r="AK24" s="234"/>
      <c r="AL24" s="233"/>
      <c r="AM24" s="233"/>
      <c r="AN24" s="233"/>
      <c r="AO24" s="234"/>
    </row>
    <row r="25" spans="1:41">
      <c r="B25" s="24" t="s">
        <v>39</v>
      </c>
      <c r="C25" s="27">
        <f>G42</f>
        <v>0</v>
      </c>
      <c r="E25" s="1"/>
      <c r="F25" s="1"/>
      <c r="G25" s="1"/>
      <c r="H25" s="1"/>
      <c r="I25" s="1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W25" s="217"/>
      <c r="X25" s="248"/>
      <c r="Y25" s="248"/>
      <c r="Z25" s="248"/>
      <c r="AA25" s="217"/>
      <c r="AC25" s="273" t="s">
        <v>465</v>
      </c>
      <c r="AD25" s="279">
        <f>'bilan complet'!$F$210+'bilan complet'!$J$210</f>
        <v>0.3354514204323204</v>
      </c>
      <c r="AE25" s="279">
        <f>'bilan complet'!$F$207+'bilan complet'!$J$207</f>
        <v>13.467957291532056</v>
      </c>
      <c r="AF25" s="279">
        <f>'bilan complet'!$F$208+'bilan complet'!$J$208</f>
        <v>18.271454167215719</v>
      </c>
      <c r="AG25" s="279">
        <f>'bilan complet'!$F$209+'bilan complet'!$J$209</f>
        <v>5.8842652860735498</v>
      </c>
      <c r="AH25" s="274">
        <f>'bilan complet'!$F$211+'bilan complet'!$J$211</f>
        <v>4.5417966301153818</v>
      </c>
      <c r="AI25" s="27">
        <f>SUM(AD25:AH25)</f>
        <v>42.500924795369031</v>
      </c>
      <c r="AK25" s="217"/>
      <c r="AL25" s="248"/>
      <c r="AM25" s="248"/>
      <c r="AN25" s="248"/>
      <c r="AO25" s="217"/>
    </row>
    <row r="26" spans="1:41">
      <c r="E26" s="788" t="s">
        <v>13</v>
      </c>
      <c r="F26" s="1" t="s">
        <v>25</v>
      </c>
      <c r="G26" s="142">
        <v>0</v>
      </c>
      <c r="H26" s="770">
        <f>SUM(G26:G32)</f>
        <v>4.2789366598367771</v>
      </c>
      <c r="I26" s="142">
        <f>G26-K26</f>
        <v>0</v>
      </c>
      <c r="J26" s="789"/>
      <c r="K26" s="27">
        <f>$L$26*J49</f>
        <v>0</v>
      </c>
      <c r="L26" s="789">
        <f>V29</f>
        <v>3.7467455643219258</v>
      </c>
      <c r="M26" s="1"/>
      <c r="N26" s="770">
        <f>L26</f>
        <v>3.7467455643219258</v>
      </c>
      <c r="O26" s="771"/>
      <c r="P26" s="771"/>
      <c r="Q26" s="771"/>
      <c r="R26" s="790"/>
      <c r="S26" s="791"/>
      <c r="T26" s="791">
        <f>N26-O26-Q26</f>
        <v>3.7467455643219258</v>
      </c>
      <c r="U26" s="1"/>
      <c r="V26" s="236"/>
      <c r="W26" s="236"/>
      <c r="X26" s="236"/>
      <c r="Y26" s="236"/>
      <c r="Z26" s="249"/>
      <c r="AA26" s="236"/>
      <c r="AC26" s="275" t="s">
        <v>491</v>
      </c>
      <c r="AD26" s="280"/>
      <c r="AE26" s="280"/>
      <c r="AF26" s="280"/>
      <c r="AG26" s="280"/>
      <c r="AH26" s="276"/>
      <c r="AI26" s="27"/>
      <c r="AJ26" s="236"/>
      <c r="AK26" s="236"/>
      <c r="AL26" s="236"/>
      <c r="AM26" s="236"/>
      <c r="AN26" s="249"/>
      <c r="AO26" s="236"/>
    </row>
    <row r="27" spans="1:41">
      <c r="E27" s="788"/>
      <c r="F27" s="1" t="s">
        <v>26</v>
      </c>
      <c r="G27" s="142">
        <f>$K$27/'Réseaux de chaleur'!$G$63</f>
        <v>0.81029106566347953</v>
      </c>
      <c r="H27" s="770"/>
      <c r="I27" s="142">
        <f t="shared" ref="I27:I31" si="4">G27-K27</f>
        <v>0</v>
      </c>
      <c r="J27" s="789"/>
      <c r="K27" s="27">
        <f t="shared" ref="K27:K31" si="5">$L$26*J50</f>
        <v>0.81029106566347953</v>
      </c>
      <c r="L27" s="789"/>
      <c r="M27" s="1"/>
      <c r="N27" s="770"/>
      <c r="O27" s="771"/>
      <c r="P27" s="771"/>
      <c r="Q27" s="771"/>
      <c r="R27" s="790"/>
      <c r="S27" s="791"/>
      <c r="T27" s="791"/>
      <c r="U27" s="1"/>
      <c r="V27" s="238"/>
      <c r="W27" s="338"/>
      <c r="X27" s="338"/>
      <c r="Y27" s="338"/>
      <c r="Z27" s="339"/>
      <c r="AA27" s="338"/>
      <c r="AC27" s="38"/>
      <c r="AD27" s="278"/>
      <c r="AE27" s="278"/>
      <c r="AF27" s="278"/>
      <c r="AG27" s="278"/>
      <c r="AH27" s="271"/>
      <c r="AJ27" s="238"/>
      <c r="AK27" s="338"/>
      <c r="AL27" s="338"/>
      <c r="AM27" s="338"/>
      <c r="AN27" s="339"/>
      <c r="AO27" s="338"/>
    </row>
    <row r="28" spans="1:41">
      <c r="E28" s="788"/>
      <c r="F28" s="1" t="s">
        <v>30</v>
      </c>
      <c r="G28" s="142">
        <v>0</v>
      </c>
      <c r="H28" s="770"/>
      <c r="I28" s="142">
        <f t="shared" si="4"/>
        <v>0</v>
      </c>
      <c r="J28" s="789"/>
      <c r="K28" s="27">
        <f>$L$26*J51</f>
        <v>0</v>
      </c>
      <c r="L28" s="789"/>
      <c r="M28" s="1"/>
      <c r="N28" s="770"/>
      <c r="O28" s="771"/>
      <c r="P28" s="771" t="e">
        <v>#REF!</v>
      </c>
      <c r="Q28" s="771"/>
      <c r="R28" s="790" t="e">
        <v>#REF!</v>
      </c>
      <c r="S28" s="791" t="e">
        <v>#REF!</v>
      </c>
      <c r="T28" s="791"/>
      <c r="U28" s="1"/>
      <c r="V28" s="238"/>
      <c r="W28" s="338"/>
      <c r="X28" s="338"/>
      <c r="Y28" s="338"/>
      <c r="Z28" s="339"/>
      <c r="AA28" s="338"/>
      <c r="AC28" s="38"/>
      <c r="AD28" s="278"/>
      <c r="AE28" s="278"/>
      <c r="AF28" s="278"/>
      <c r="AG28" s="278"/>
      <c r="AH28" s="271"/>
      <c r="AJ28" s="238"/>
      <c r="AK28" s="338"/>
      <c r="AL28" s="338"/>
      <c r="AM28" s="338"/>
      <c r="AN28" s="339"/>
      <c r="AO28" s="338"/>
    </row>
    <row r="29" spans="1:41">
      <c r="E29" s="788"/>
      <c r="F29" s="1" t="s">
        <v>27</v>
      </c>
      <c r="G29" s="142">
        <f>$K$29/'Réseaux de chaleur'!$G$62</f>
        <v>1.9057356931346683</v>
      </c>
      <c r="H29" s="770"/>
      <c r="I29" s="142">
        <f>G29-K29</f>
        <v>0.35003308649412279</v>
      </c>
      <c r="J29" s="789"/>
      <c r="K29" s="27">
        <f t="shared" si="5"/>
        <v>1.5557026066405455</v>
      </c>
      <c r="L29" s="789"/>
      <c r="M29" s="1"/>
      <c r="N29" s="770"/>
      <c r="O29" s="771"/>
      <c r="P29" s="771" t="e">
        <v>#REF!</v>
      </c>
      <c r="Q29" s="771"/>
      <c r="R29" s="790" t="e">
        <v>#REF!</v>
      </c>
      <c r="S29" s="791" t="e">
        <v>#REF!</v>
      </c>
      <c r="T29" s="791"/>
      <c r="U29" s="1"/>
      <c r="V29" s="242">
        <f>SUM(W29:AA29)</f>
        <v>3.7467455643219258</v>
      </c>
      <c r="W29" s="243">
        <f>'scenario demande'!G340</f>
        <v>0</v>
      </c>
      <c r="X29" s="243">
        <f>'scenario demande'!G13</f>
        <v>1.2977024369696735</v>
      </c>
      <c r="Y29" s="243">
        <f>'scenario demande'!G114</f>
        <v>1.5003439947620478</v>
      </c>
      <c r="Z29" s="241">
        <f>'scenario demande'!G189</f>
        <v>0.94869913259020455</v>
      </c>
      <c r="AA29" s="338"/>
      <c r="AC29" s="38"/>
      <c r="AD29" s="278"/>
      <c r="AE29" s="278"/>
      <c r="AF29" s="278"/>
      <c r="AG29" s="278"/>
      <c r="AH29" s="271"/>
      <c r="AJ29" s="242">
        <f>SUM(AK29:AO29)</f>
        <v>3.7467455643219258</v>
      </c>
      <c r="AK29" s="243">
        <f>W29</f>
        <v>0</v>
      </c>
      <c r="AL29" s="243">
        <f>X29</f>
        <v>1.2977024369696735</v>
      </c>
      <c r="AM29" s="243">
        <f>Y29</f>
        <v>1.5003439947620478</v>
      </c>
      <c r="AN29" s="243">
        <f>Z29</f>
        <v>0.94869913259020455</v>
      </c>
      <c r="AO29" s="243">
        <f>AA29</f>
        <v>0</v>
      </c>
    </row>
    <row r="30" spans="1:41">
      <c r="E30" s="788"/>
      <c r="F30" s="1" t="s">
        <v>28</v>
      </c>
      <c r="G30" s="142">
        <f>$K$30/'Réseaux de chaleur'!$G$64</f>
        <v>0.21689519541615604</v>
      </c>
      <c r="H30" s="770"/>
      <c r="I30" s="142">
        <f t="shared" si="4"/>
        <v>0</v>
      </c>
      <c r="J30" s="789"/>
      <c r="K30" s="27">
        <f t="shared" si="5"/>
        <v>0.21689519541615604</v>
      </c>
      <c r="L30" s="789"/>
      <c r="M30" s="1"/>
      <c r="N30" s="770"/>
      <c r="O30" s="771"/>
      <c r="P30" s="771"/>
      <c r="Q30" s="771"/>
      <c r="R30" s="790"/>
      <c r="S30" s="791"/>
      <c r="T30" s="791"/>
      <c r="U30" s="1"/>
      <c r="V30" s="238"/>
      <c r="W30" s="338"/>
      <c r="X30" s="338"/>
      <c r="Y30" s="338"/>
      <c r="Z30" s="339"/>
      <c r="AA30" s="338"/>
      <c r="AC30" s="38"/>
      <c r="AD30" s="278"/>
      <c r="AE30" s="278"/>
      <c r="AF30" s="278"/>
      <c r="AG30" s="278"/>
      <c r="AH30" s="271"/>
      <c r="AJ30" s="238"/>
      <c r="AK30" s="338"/>
      <c r="AL30" s="338"/>
      <c r="AM30" s="338"/>
      <c r="AN30" s="339"/>
      <c r="AO30" s="338"/>
    </row>
    <row r="31" spans="1:41">
      <c r="E31" s="788"/>
      <c r="F31" s="1" t="s">
        <v>35</v>
      </c>
      <c r="G31" s="142">
        <f>$K$31/'Réseaux de chaleur'!$G$65</f>
        <v>0.33800986315931197</v>
      </c>
      <c r="H31" s="770"/>
      <c r="I31" s="142">
        <f t="shared" si="4"/>
        <v>0</v>
      </c>
      <c r="J31" s="789"/>
      <c r="K31" s="27">
        <f t="shared" si="5"/>
        <v>0.33800986315931197</v>
      </c>
      <c r="L31" s="789"/>
      <c r="M31" s="1"/>
      <c r="N31" s="770"/>
      <c r="O31" s="771"/>
      <c r="P31" s="771"/>
      <c r="Q31" s="771"/>
      <c r="R31" s="790"/>
      <c r="S31" s="791"/>
      <c r="T31" s="791"/>
      <c r="U31" s="1"/>
      <c r="V31" s="238"/>
      <c r="W31" s="338"/>
      <c r="X31" s="338"/>
      <c r="Y31" s="338"/>
      <c r="Z31" s="339"/>
      <c r="AA31" s="338"/>
      <c r="AC31" s="38"/>
      <c r="AD31" s="278"/>
      <c r="AE31" s="278"/>
      <c r="AF31" s="278"/>
      <c r="AG31" s="278"/>
      <c r="AH31" s="271"/>
      <c r="AJ31" s="238"/>
      <c r="AK31" s="338"/>
      <c r="AL31" s="338"/>
      <c r="AM31" s="338"/>
      <c r="AN31" s="339"/>
      <c r="AO31" s="338"/>
    </row>
    <row r="32" spans="1:41">
      <c r="E32" s="788"/>
      <c r="F32" s="1" t="s">
        <v>31</v>
      </c>
      <c r="G32" s="142">
        <f>$K$32/'Réseaux de chaleur'!$G$61</f>
        <v>1.0080048424631614</v>
      </c>
      <c r="H32" s="770"/>
      <c r="I32" s="142">
        <f>G32-K32</f>
        <v>0.18215800902072865</v>
      </c>
      <c r="J32" s="789"/>
      <c r="K32" s="27">
        <f>$L$26*J55</f>
        <v>0.8258468334424327</v>
      </c>
      <c r="L32" s="789"/>
      <c r="M32" s="1"/>
      <c r="N32" s="770"/>
      <c r="O32" s="771"/>
      <c r="P32" s="771"/>
      <c r="Q32" s="771"/>
      <c r="R32" s="790"/>
      <c r="S32" s="791"/>
      <c r="T32" s="791"/>
      <c r="U32" s="1"/>
      <c r="V32" s="239"/>
      <c r="W32" s="237"/>
      <c r="X32" s="237"/>
      <c r="Y32" s="237"/>
      <c r="Z32" s="240"/>
      <c r="AA32" s="237"/>
      <c r="AC32" s="38"/>
      <c r="AD32" s="278"/>
      <c r="AE32" s="278"/>
      <c r="AF32" s="278"/>
      <c r="AG32" s="278"/>
      <c r="AH32" s="271"/>
      <c r="AJ32" s="239"/>
      <c r="AK32" s="237"/>
      <c r="AL32" s="237"/>
      <c r="AM32" s="237"/>
      <c r="AN32" s="240"/>
      <c r="AO32" s="237"/>
    </row>
    <row r="33" spans="5:41">
      <c r="E33" s="4"/>
      <c r="F33" s="1"/>
      <c r="H33" s="145">
        <f>SUM(G49:G55)-'Réseaux de chaleur'!H78</f>
        <v>-3.7490634454768745E-3</v>
      </c>
      <c r="I33" s="1"/>
      <c r="J33" s="1"/>
      <c r="K33" s="2"/>
      <c r="L33" s="214">
        <f>SUM(H49:H55)-'Réseaux de chaleur'!H54</f>
        <v>-3.4179818177246801E-3</v>
      </c>
      <c r="M33" s="1"/>
      <c r="N33" s="1"/>
      <c r="O33" s="1"/>
      <c r="P33" s="1"/>
      <c r="Q33" s="1"/>
      <c r="R33" s="1"/>
      <c r="S33" s="1"/>
      <c r="T33" s="361">
        <f>T23+T26+G35+G36+G38-('bilan complet'!F212+'bilan complet'!G212+'bilan complet'!J212)</f>
        <v>0</v>
      </c>
      <c r="U33" s="1"/>
      <c r="X33" s="27"/>
      <c r="Y33" s="27"/>
      <c r="Z33" s="27"/>
      <c r="AC33" s="38"/>
      <c r="AD33" s="278"/>
      <c r="AE33" s="278"/>
      <c r="AF33" s="278"/>
      <c r="AG33" s="278"/>
      <c r="AH33" s="271"/>
      <c r="AL33" s="27"/>
      <c r="AM33" s="27"/>
      <c r="AN33" s="27"/>
    </row>
    <row r="34" spans="5:41">
      <c r="E34" s="784" t="s">
        <v>36</v>
      </c>
      <c r="F34" s="1" t="s">
        <v>25</v>
      </c>
      <c r="H34" s="784">
        <f>SUM(G34:G44)</f>
        <v>83.4398315887546</v>
      </c>
      <c r="I34" s="343"/>
      <c r="J34" s="786"/>
      <c r="K34" s="2">
        <f t="shared" si="2"/>
        <v>0</v>
      </c>
      <c r="L34" s="784">
        <f>SUM(K34:K44)</f>
        <v>79.764415597038592</v>
      </c>
      <c r="M34" s="337"/>
      <c r="N34" s="337"/>
      <c r="O34" s="337"/>
      <c r="P34" s="337"/>
      <c r="Q34" s="337"/>
      <c r="R34" s="337"/>
      <c r="S34" s="337"/>
      <c r="T34" s="252"/>
      <c r="V34" s="784">
        <f>SUM(W34:AA44)</f>
        <v>52.222594291495653</v>
      </c>
      <c r="W34" s="134"/>
      <c r="X34" s="133"/>
      <c r="Y34" s="134"/>
      <c r="Z34" s="135"/>
      <c r="AA34" s="132"/>
      <c r="AC34" s="38"/>
      <c r="AD34" s="278"/>
      <c r="AE34" s="278"/>
      <c r="AF34" s="278"/>
      <c r="AG34" s="278"/>
      <c r="AH34" s="271"/>
      <c r="AJ34" s="132"/>
      <c r="AK34" s="134"/>
      <c r="AL34" s="133"/>
      <c r="AM34" s="134"/>
      <c r="AN34" s="135"/>
      <c r="AO34" s="132"/>
    </row>
    <row r="35" spans="5:41">
      <c r="E35" s="784"/>
      <c r="F35" s="1" t="s">
        <v>27</v>
      </c>
      <c r="G35" s="27">
        <f>'bilan complet'!J218-G12-G27-G29-G30-G31-G36-G38</f>
        <v>17.578379170745755</v>
      </c>
      <c r="H35" s="784"/>
      <c r="I35" s="343">
        <v>0</v>
      </c>
      <c r="J35" s="786"/>
      <c r="K35" s="2">
        <f>G35-I35</f>
        <v>17.578379170745755</v>
      </c>
      <c r="L35" s="784"/>
      <c r="M35" s="337"/>
      <c r="N35" s="337"/>
      <c r="O35" s="337"/>
      <c r="P35" s="337"/>
      <c r="Q35" s="337"/>
      <c r="R35" s="337"/>
      <c r="S35" s="337"/>
      <c r="T35" s="253"/>
      <c r="V35" s="784"/>
      <c r="W35" s="351">
        <f>'scenario demande'!G341</f>
        <v>6.7645769081968302E-2</v>
      </c>
      <c r="X35" s="352">
        <f>'scenario demande'!G14</f>
        <v>5.6921735919573102</v>
      </c>
      <c r="Y35" s="351">
        <f>'scenario demande'!G115-'scenario demande'!G166</f>
        <v>5.7450445769184348</v>
      </c>
      <c r="Z35" s="353">
        <f>'scenario demande'!G190-'scenario demande'!G236</f>
        <v>1.6632358256132513</v>
      </c>
      <c r="AA35" s="146"/>
      <c r="AB35" s="24">
        <f>SUM(W35:AA35)</f>
        <v>13.168099763570964</v>
      </c>
      <c r="AC35" s="38"/>
      <c r="AD35" s="278"/>
      <c r="AE35" s="278"/>
      <c r="AF35" s="278"/>
      <c r="AG35" s="278"/>
      <c r="AH35" s="271"/>
      <c r="AJ35" s="335"/>
      <c r="AK35" s="136">
        <f>W35</f>
        <v>6.7645769081968302E-2</v>
      </c>
      <c r="AL35" s="136">
        <f t="shared" ref="AL35:AN35" si="6">X35</f>
        <v>5.6921735919573102</v>
      </c>
      <c r="AM35" s="148">
        <f>Y35+K35-SUM(W35:AA35)-AO35</f>
        <v>6.0656759706784031</v>
      </c>
      <c r="AN35" s="136">
        <f t="shared" si="6"/>
        <v>1.6632358256132513</v>
      </c>
      <c r="AO35" s="136">
        <f>'bilan complet'!J211</f>
        <v>4.0896480134148225</v>
      </c>
    </row>
    <row r="36" spans="5:41">
      <c r="E36" s="784"/>
      <c r="F36" s="1" t="s">
        <v>35</v>
      </c>
      <c r="G36" s="27">
        <f>'scenario demande'!G166</f>
        <v>0.29946469588330143</v>
      </c>
      <c r="H36" s="784"/>
      <c r="I36" s="343"/>
      <c r="J36" s="786"/>
      <c r="K36" s="2">
        <f t="shared" si="2"/>
        <v>0.29946469588330143</v>
      </c>
      <c r="L36" s="784"/>
      <c r="M36" s="337"/>
      <c r="N36" s="337"/>
      <c r="O36" s="337"/>
      <c r="P36" s="337"/>
      <c r="Q36" s="337"/>
      <c r="R36" s="337"/>
      <c r="S36" s="337"/>
      <c r="T36" s="253"/>
      <c r="V36" s="784"/>
      <c r="W36" s="354"/>
      <c r="X36" s="352"/>
      <c r="Y36" s="351">
        <f>'scenario demande'!G166</f>
        <v>0.29946469588330143</v>
      </c>
      <c r="Z36" s="353">
        <f>'scenario demande'!G236</f>
        <v>0.12331535969385979</v>
      </c>
      <c r="AA36" s="346"/>
      <c r="AB36" s="24">
        <f>SUM(W36:AA36)</f>
        <v>0.42278005557716125</v>
      </c>
      <c r="AC36" s="269"/>
      <c r="AD36" s="281"/>
      <c r="AE36" s="281"/>
      <c r="AF36" s="281"/>
      <c r="AG36" s="281"/>
      <c r="AH36" s="272"/>
      <c r="AJ36" s="335"/>
      <c r="AK36" s="134"/>
      <c r="AL36" s="133"/>
      <c r="AM36" s="148">
        <f>K36</f>
        <v>0.29946469588330143</v>
      </c>
      <c r="AN36" s="137">
        <f>'scenario demande'!V237</f>
        <v>0</v>
      </c>
      <c r="AO36" s="132"/>
    </row>
    <row r="37" spans="5:41">
      <c r="E37" s="784"/>
      <c r="F37" s="1" t="s">
        <v>41</v>
      </c>
      <c r="G37" s="27"/>
      <c r="H37" s="784"/>
      <c r="I37" s="343"/>
      <c r="J37" s="786"/>
      <c r="K37" s="2">
        <f t="shared" si="2"/>
        <v>0</v>
      </c>
      <c r="L37" s="784"/>
      <c r="M37" s="337"/>
      <c r="N37" s="337"/>
      <c r="O37" s="337"/>
      <c r="P37" s="337"/>
      <c r="Q37" s="337"/>
      <c r="R37" s="337"/>
      <c r="S37" s="337"/>
      <c r="T37" s="253"/>
      <c r="V37" s="784"/>
      <c r="W37" s="134"/>
      <c r="X37" s="133"/>
      <c r="Y37" s="136"/>
      <c r="Z37" s="137"/>
      <c r="AA37" s="132"/>
      <c r="AJ37" s="335"/>
      <c r="AK37" s="355"/>
      <c r="AL37" s="133"/>
      <c r="AM37" s="147">
        <f>K38</f>
        <v>2.81</v>
      </c>
      <c r="AN37" s="136"/>
      <c r="AO37" s="132"/>
    </row>
    <row r="38" spans="5:41">
      <c r="E38" s="784"/>
      <c r="F38" s="1" t="s">
        <v>42</v>
      </c>
      <c r="G38" s="27">
        <f>'indicateurs ams2'!G91</f>
        <v>2.81</v>
      </c>
      <c r="H38" s="784"/>
      <c r="I38" s="343"/>
      <c r="J38" s="786"/>
      <c r="K38" s="2">
        <f t="shared" si="2"/>
        <v>2.81</v>
      </c>
      <c r="L38" s="784"/>
      <c r="M38" s="337"/>
      <c r="N38" s="337"/>
      <c r="O38" s="337"/>
      <c r="P38" s="337"/>
      <c r="Q38" s="337"/>
      <c r="R38" s="337"/>
      <c r="S38" s="337"/>
      <c r="T38" s="253"/>
      <c r="V38" s="784"/>
      <c r="W38" s="134"/>
      <c r="X38" s="133"/>
      <c r="Y38" s="136"/>
      <c r="Z38" s="137"/>
      <c r="AA38" s="132"/>
      <c r="AJ38" s="335"/>
      <c r="AK38" s="355"/>
      <c r="AL38" s="133"/>
      <c r="AM38" s="355"/>
      <c r="AN38" s="133"/>
      <c r="AO38" s="355"/>
    </row>
    <row r="39" spans="5:41">
      <c r="E39" s="784"/>
      <c r="F39" s="1" t="s">
        <v>63</v>
      </c>
      <c r="G39" s="27">
        <f>K39</f>
        <v>6.9845124203673823</v>
      </c>
      <c r="H39" s="784"/>
      <c r="I39" s="40"/>
      <c r="J39" s="786"/>
      <c r="K39" s="2">
        <f>'bilan complet'!E212*'indicateurs ams2'!G67</f>
        <v>6.9845124203673823</v>
      </c>
      <c r="L39" s="784"/>
      <c r="M39" s="337"/>
      <c r="N39" s="337"/>
      <c r="O39" s="337"/>
      <c r="P39" s="337"/>
      <c r="Q39" s="337"/>
      <c r="R39" s="337"/>
      <c r="S39" s="337"/>
      <c r="T39" s="255">
        <f>L34-K41-K43</f>
        <v>65.150715754376691</v>
      </c>
      <c r="V39" s="784"/>
      <c r="W39" s="136"/>
      <c r="X39" s="133"/>
      <c r="Y39" s="136"/>
      <c r="Z39" s="137"/>
      <c r="AA39" s="138"/>
      <c r="AC39" s="282" t="s">
        <v>511</v>
      </c>
      <c r="AD39" s="286">
        <f>'bilan complet'!$E$210</f>
        <v>2.233894433005891</v>
      </c>
      <c r="AE39" s="286">
        <f>'bilan complet'!E207</f>
        <v>2.2556540186685186</v>
      </c>
      <c r="AF39" s="286">
        <f>'bilan complet'!$E$208</f>
        <v>0.63164960879096388</v>
      </c>
      <c r="AG39" s="286">
        <f>'bilan complet'!$E$209</f>
        <v>1.2388620688371836</v>
      </c>
      <c r="AH39" s="283">
        <f>'bilan complet'!$E$211</f>
        <v>33.606003034102933</v>
      </c>
      <c r="AJ39" s="132"/>
      <c r="AK39" s="133">
        <f>AD39</f>
        <v>2.233894433005891</v>
      </c>
      <c r="AL39" s="133">
        <f>AE39</f>
        <v>2.2556540186685186</v>
      </c>
      <c r="AM39" s="133">
        <f>AF39</f>
        <v>0.63164960879096388</v>
      </c>
      <c r="AN39" s="133">
        <f>AG39</f>
        <v>1.2388620688371836</v>
      </c>
      <c r="AO39" s="136">
        <f>AH39</f>
        <v>33.606003034102933</v>
      </c>
    </row>
    <row r="40" spans="5:41">
      <c r="E40" s="784"/>
      <c r="F40" s="1" t="s">
        <v>37</v>
      </c>
      <c r="G40" s="27">
        <f>K40+I40</f>
        <v>35.620074802481163</v>
      </c>
      <c r="H40" s="784"/>
      <c r="I40" s="40">
        <f>0.08*K40</f>
        <v>2.638524059443049</v>
      </c>
      <c r="J40" s="786"/>
      <c r="K40" s="2">
        <f>'bilan complet'!E212-K39</f>
        <v>32.981550743038113</v>
      </c>
      <c r="L40" s="784"/>
      <c r="M40" s="337"/>
      <c r="N40" s="337"/>
      <c r="O40" s="337"/>
      <c r="P40" s="337"/>
      <c r="Q40" s="337"/>
      <c r="R40" s="337"/>
      <c r="S40" s="337"/>
      <c r="T40" s="253"/>
      <c r="V40" s="784"/>
      <c r="W40" s="348">
        <f>'scenario demande'!G336</f>
        <v>2.2308944330058909</v>
      </c>
      <c r="X40" s="133">
        <f>'scenario demande'!G9</f>
        <v>2.2446096261631769</v>
      </c>
      <c r="Y40" s="136">
        <f>'scenario demande'!G109+'scenario demande'!G112</f>
        <v>0.79871140173661437</v>
      </c>
      <c r="Z40" s="137">
        <f>'scenario demande'!G185</f>
        <v>0.44334820406525266</v>
      </c>
      <c r="AA40" s="138">
        <f>'scenario demande'!G273+'scenario demande'!G274+'scenario demande'!G275+'scenario demande'!G276</f>
        <v>28.603741176492697</v>
      </c>
      <c r="AB40" s="27">
        <f>SUM(W40:AA40)</f>
        <v>34.321304841463629</v>
      </c>
      <c r="AC40" s="284" t="s">
        <v>181</v>
      </c>
      <c r="AD40" s="362">
        <f>'bilan complet'!$B$210</f>
        <v>0</v>
      </c>
      <c r="AE40" s="288">
        <f>'bilan complet'!$B$207</f>
        <v>4.4968087243421406</v>
      </c>
      <c r="AF40" s="362">
        <f>'bilan complet'!$B$208</f>
        <v>0</v>
      </c>
      <c r="AG40" s="362">
        <f>'bilan complet'!$B$209</f>
        <v>0</v>
      </c>
      <c r="AH40" s="362">
        <f>'bilan complet'!$B$211</f>
        <v>0</v>
      </c>
      <c r="AI40" s="27">
        <f>SUM(AD39:AH40)</f>
        <v>44.462871887747632</v>
      </c>
      <c r="AJ40" s="335">
        <f>SUM(AK34:AO44)</f>
        <v>65.150715754376691</v>
      </c>
      <c r="AK40" s="355"/>
      <c r="AL40" s="355"/>
      <c r="AM40" s="355"/>
      <c r="AN40" s="355"/>
      <c r="AO40" s="355"/>
    </row>
    <row r="41" spans="5:41">
      <c r="E41" s="784"/>
      <c r="F41" s="1" t="s">
        <v>38</v>
      </c>
      <c r="G41" s="27">
        <f>K41+I41</f>
        <v>13.998041085684859</v>
      </c>
      <c r="H41" s="784"/>
      <c r="I41" s="40">
        <f>0.08*K41</f>
        <v>1.0368919322729524</v>
      </c>
      <c r="J41" s="786"/>
      <c r="K41" s="2">
        <f>'bilan complet'!E215</f>
        <v>12.961149153411906</v>
      </c>
      <c r="L41" s="784"/>
      <c r="M41" s="337"/>
      <c r="N41" s="337"/>
      <c r="O41" s="337"/>
      <c r="P41" s="337"/>
      <c r="Q41" s="337"/>
      <c r="R41" s="337"/>
      <c r="S41" s="337"/>
      <c r="T41" s="253"/>
      <c r="V41" s="784"/>
      <c r="W41" s="136"/>
      <c r="X41" s="133"/>
      <c r="Y41" s="136"/>
      <c r="Z41" s="137"/>
      <c r="AA41" s="138"/>
      <c r="AJ41" s="335"/>
      <c r="AK41" s="133"/>
      <c r="AL41" s="133"/>
      <c r="AM41" s="133"/>
      <c r="AN41" s="133"/>
      <c r="AO41" s="133"/>
    </row>
    <row r="42" spans="5:41">
      <c r="E42" s="784"/>
      <c r="F42" s="1" t="s">
        <v>39</v>
      </c>
      <c r="G42" s="27"/>
      <c r="H42" s="784"/>
      <c r="I42" s="40"/>
      <c r="J42" s="786"/>
      <c r="K42" s="2">
        <f t="shared" si="2"/>
        <v>0</v>
      </c>
      <c r="L42" s="784"/>
      <c r="M42" s="337"/>
      <c r="N42" s="337"/>
      <c r="O42" s="337"/>
      <c r="P42" s="337"/>
      <c r="Q42" s="337"/>
      <c r="R42" s="337"/>
      <c r="S42" s="337"/>
      <c r="T42" s="253"/>
      <c r="V42" s="784"/>
      <c r="W42" s="136"/>
      <c r="X42" s="133"/>
      <c r="Y42" s="136"/>
      <c r="Z42" s="137"/>
      <c r="AA42" s="138"/>
      <c r="AJ42" s="335"/>
      <c r="AK42" s="133"/>
      <c r="AL42" s="133"/>
      <c r="AM42" s="133"/>
      <c r="AN42" s="133"/>
      <c r="AO42" s="133"/>
    </row>
    <row r="43" spans="5:41">
      <c r="E43" s="784"/>
      <c r="F43" s="1" t="s">
        <v>465</v>
      </c>
      <c r="G43" s="27">
        <f>'bilan complet'!F215</f>
        <v>1.6525506892499897</v>
      </c>
      <c r="H43" s="784"/>
      <c r="I43" s="40"/>
      <c r="J43" s="786"/>
      <c r="K43" s="2">
        <f t="shared" si="2"/>
        <v>1.6525506892499897</v>
      </c>
      <c r="L43" s="784"/>
      <c r="M43" s="337"/>
      <c r="N43" s="337"/>
      <c r="O43" s="337"/>
      <c r="P43" s="337"/>
      <c r="Q43" s="337"/>
      <c r="R43" s="337"/>
      <c r="S43" s="337"/>
      <c r="T43" s="253"/>
      <c r="V43" s="784"/>
      <c r="W43" s="136"/>
      <c r="X43" s="133"/>
      <c r="Y43" s="136"/>
      <c r="Z43" s="137"/>
      <c r="AA43" s="138"/>
      <c r="AJ43" s="335"/>
      <c r="AK43" s="136"/>
      <c r="AL43" s="133"/>
      <c r="AM43" s="136"/>
      <c r="AN43" s="138"/>
      <c r="AO43" s="133"/>
    </row>
    <row r="44" spans="5:41">
      <c r="E44" s="785"/>
      <c r="F44" s="1" t="s">
        <v>40</v>
      </c>
      <c r="G44" s="27">
        <f>'bilan complet'!B212</f>
        <v>4.4968087243421406</v>
      </c>
      <c r="H44" s="785"/>
      <c r="I44" s="343"/>
      <c r="J44" s="787"/>
      <c r="K44" s="2">
        <f t="shared" si="2"/>
        <v>4.4968087243421406</v>
      </c>
      <c r="L44" s="785"/>
      <c r="M44" s="337"/>
      <c r="N44" s="337"/>
      <c r="O44" s="337"/>
      <c r="P44" s="337"/>
      <c r="Q44" s="337"/>
      <c r="R44" s="337"/>
      <c r="S44" s="337"/>
      <c r="T44" s="254"/>
      <c r="V44" s="785"/>
      <c r="W44" s="250">
        <f>'scenario demande'!G338</f>
        <v>0</v>
      </c>
      <c r="X44" s="349">
        <f>'scenario demande'!G11</f>
        <v>4.2919690805009303</v>
      </c>
      <c r="Y44" s="141">
        <f>'scenario demande'!G111</f>
        <v>2.044302137843592E-3</v>
      </c>
      <c r="Z44" s="350">
        <f>'scenario demande'!G187</f>
        <v>1.6396248245116728E-2</v>
      </c>
      <c r="AA44" s="139"/>
      <c r="AB44" s="24">
        <f>SUM(W44:AA44)</f>
        <v>4.31040963088389</v>
      </c>
      <c r="AI44" s="479">
        <f>AI13+AI25+AI40-'bilan complet'!K212</f>
        <v>0</v>
      </c>
      <c r="AJ44" s="336"/>
      <c r="AK44" s="250"/>
      <c r="AL44" s="140">
        <f>AE40</f>
        <v>4.4968087243421406</v>
      </c>
      <c r="AM44" s="141"/>
      <c r="AN44" s="357"/>
      <c r="AO44" s="358"/>
    </row>
    <row r="45" spans="5:41">
      <c r="E45" s="1"/>
      <c r="F45" s="1"/>
      <c r="G45" s="149"/>
      <c r="H45" s="1"/>
      <c r="I45" s="1"/>
      <c r="J45" s="1"/>
      <c r="K45" s="2"/>
      <c r="L45" s="1"/>
      <c r="M45" s="1"/>
      <c r="N45" s="1"/>
      <c r="O45" s="1"/>
      <c r="P45" s="1"/>
      <c r="Q45" s="1"/>
      <c r="R45" s="1"/>
      <c r="S45" s="1"/>
      <c r="T45" s="289">
        <f>T39-K35-K36-K38-SUM(AD39:AH40)</f>
        <v>0</v>
      </c>
      <c r="U45" s="1"/>
      <c r="W45" s="27"/>
      <c r="X45" s="27"/>
      <c r="Y45" s="27"/>
      <c r="Z45" s="27"/>
      <c r="AA45" s="27"/>
    </row>
    <row r="46" spans="5:41">
      <c r="F46" s="1"/>
      <c r="G46" s="219"/>
      <c r="H46" s="215"/>
      <c r="I46" s="215"/>
      <c r="J46" s="215"/>
      <c r="K46" s="215"/>
      <c r="L46" s="215"/>
      <c r="M46" s="216"/>
      <c r="N46" s="216"/>
      <c r="O46" s="216"/>
      <c r="P46" s="217"/>
      <c r="Q46" s="215"/>
      <c r="R46" s="215"/>
      <c r="S46" s="215"/>
      <c r="T46" s="1"/>
      <c r="U46" s="1"/>
      <c r="V46" s="6"/>
      <c r="W46" s="2"/>
      <c r="X46" s="2"/>
      <c r="Y46" s="2"/>
      <c r="Z46" s="2"/>
      <c r="AA46" s="2"/>
    </row>
    <row r="47" spans="5:41">
      <c r="G47" s="218"/>
      <c r="H47" s="215"/>
      <c r="I47" s="215"/>
      <c r="J47" s="215"/>
      <c r="K47" s="215"/>
      <c r="L47" s="215"/>
      <c r="M47" s="219"/>
      <c r="N47" s="219"/>
      <c r="O47" s="219"/>
      <c r="P47" s="218"/>
      <c r="Q47" s="215"/>
      <c r="R47" s="219"/>
      <c r="S47" s="219"/>
      <c r="T47" s="1"/>
      <c r="U47" s="1"/>
    </row>
    <row r="48" spans="5:41">
      <c r="F48" s="223" t="s">
        <v>488</v>
      </c>
      <c r="G48" s="224" t="s">
        <v>173</v>
      </c>
      <c r="H48" s="225" t="s">
        <v>487</v>
      </c>
      <c r="I48" s="224" t="s">
        <v>173</v>
      </c>
      <c r="J48" s="225" t="s">
        <v>487</v>
      </c>
      <c r="K48" s="215"/>
      <c r="L48" s="215"/>
      <c r="M48" s="142"/>
      <c r="N48" s="220"/>
      <c r="O48" s="220"/>
      <c r="P48" s="217"/>
      <c r="Q48" s="215"/>
      <c r="R48" s="220"/>
      <c r="S48" s="220"/>
      <c r="T48" s="1"/>
      <c r="U48" s="1"/>
      <c r="V48" s="2"/>
      <c r="W48" s="2"/>
      <c r="X48" s="2"/>
      <c r="Y48" s="2"/>
      <c r="Z48" s="2"/>
      <c r="AA48" s="2"/>
    </row>
    <row r="49" spans="6:27">
      <c r="F49" s="223" t="s">
        <v>25</v>
      </c>
      <c r="G49" s="226">
        <v>0</v>
      </c>
      <c r="H49" s="227">
        <v>0</v>
      </c>
      <c r="I49" s="229">
        <f>G49/$G$56</f>
        <v>0</v>
      </c>
      <c r="J49" s="229">
        <f>H49/$H$56</f>
        <v>0</v>
      </c>
      <c r="K49" s="215"/>
      <c r="L49" s="215"/>
      <c r="M49" s="142"/>
      <c r="N49" s="220"/>
      <c r="O49" s="220"/>
      <c r="P49" s="217"/>
      <c r="Q49" s="215"/>
      <c r="R49" s="220"/>
      <c r="S49" s="220"/>
      <c r="T49" s="1"/>
      <c r="U49" s="1"/>
      <c r="V49" s="251"/>
      <c r="W49" s="1"/>
      <c r="X49" s="1"/>
      <c r="Y49" s="1"/>
      <c r="Z49" s="1"/>
      <c r="AA49" s="1"/>
    </row>
    <row r="50" spans="6:27">
      <c r="F50" s="223" t="s">
        <v>26</v>
      </c>
      <c r="G50" s="226">
        <f>'Réseaux de chaleur'!$G$75</f>
        <v>0.49605472888061164</v>
      </c>
      <c r="H50" s="227">
        <f>'Réseaux de chaleur'!$G$51</f>
        <v>0.49605472888061164</v>
      </c>
      <c r="I50" s="229">
        <f t="shared" ref="I50:I55" si="7">G50/$G$56</f>
        <v>0.18943031155549997</v>
      </c>
      <c r="J50" s="229">
        <f t="shared" ref="J50:J55" si="8">H50/$H$56</f>
        <v>0.21626530324861368</v>
      </c>
      <c r="K50" s="215"/>
      <c r="L50" s="215"/>
      <c r="M50" s="142"/>
      <c r="N50" s="220"/>
      <c r="O50" s="220"/>
      <c r="P50" s="217"/>
      <c r="Q50" s="215"/>
      <c r="R50" s="220"/>
      <c r="S50" s="220"/>
      <c r="T50" s="1"/>
      <c r="U50" s="1"/>
      <c r="V50" s="2"/>
      <c r="W50" s="1"/>
      <c r="X50" s="1"/>
      <c r="Y50" s="1"/>
      <c r="Z50" s="1"/>
      <c r="AA50" s="1"/>
    </row>
    <row r="51" spans="6:27">
      <c r="F51" s="223" t="s">
        <v>30</v>
      </c>
      <c r="G51" s="226">
        <v>0</v>
      </c>
      <c r="H51" s="227"/>
      <c r="I51" s="229">
        <f t="shared" si="7"/>
        <v>0</v>
      </c>
      <c r="J51" s="229">
        <f t="shared" si="8"/>
        <v>0</v>
      </c>
      <c r="K51" s="215"/>
      <c r="L51" s="215"/>
      <c r="M51" s="142"/>
      <c r="N51" s="220"/>
      <c r="O51" s="220"/>
      <c r="P51" s="217"/>
      <c r="Q51" s="217"/>
      <c r="R51" s="220"/>
      <c r="S51" s="220"/>
      <c r="T51" s="1"/>
      <c r="U51" s="1"/>
      <c r="V51" s="1"/>
      <c r="W51" s="1"/>
      <c r="X51" s="1"/>
      <c r="Y51" s="1"/>
      <c r="Z51" s="1"/>
      <c r="AA51" s="1"/>
    </row>
    <row r="52" spans="6:27">
      <c r="F52" s="223" t="s">
        <v>27</v>
      </c>
      <c r="G52" s="226">
        <f>'Réseaux de chaleur'!$G$74</f>
        <v>1.1666785463097202</v>
      </c>
      <c r="H52" s="227">
        <f>'Réseaux de chaleur'!$G$50</f>
        <v>0.95239065004875123</v>
      </c>
      <c r="I52" s="229">
        <f t="shared" si="7"/>
        <v>0.4455239868618579</v>
      </c>
      <c r="J52" s="229">
        <f t="shared" si="8"/>
        <v>0.41521437202851313</v>
      </c>
      <c r="K52" s="215"/>
      <c r="L52" s="215"/>
      <c r="M52" s="142"/>
      <c r="N52" s="220"/>
      <c r="O52" s="220"/>
      <c r="P52" s="217"/>
      <c r="Q52" s="215"/>
      <c r="R52" s="220"/>
      <c r="S52" s="220"/>
      <c r="T52" s="1"/>
      <c r="U52" s="1"/>
      <c r="V52" s="1"/>
      <c r="W52" s="1"/>
      <c r="X52" s="1"/>
      <c r="Y52" s="1"/>
      <c r="Z52" s="1"/>
      <c r="AA52" s="1"/>
    </row>
    <row r="53" spans="6:27">
      <c r="F53" s="223" t="s">
        <v>28</v>
      </c>
      <c r="G53" s="226">
        <f>'Réseaux de chaleur'!$G$76</f>
        <v>0.13278177671818531</v>
      </c>
      <c r="H53" s="227">
        <f>'Réseaux de chaleur'!$G$52</f>
        <v>0.13278177671818531</v>
      </c>
      <c r="I53" s="229">
        <f t="shared" si="7"/>
        <v>5.0705883581390811E-2</v>
      </c>
      <c r="J53" s="229">
        <f t="shared" si="8"/>
        <v>5.7888957681440277E-2</v>
      </c>
      <c r="K53" s="215"/>
      <c r="L53" s="215"/>
      <c r="M53" s="142"/>
      <c r="N53" s="220"/>
      <c r="O53" s="220"/>
      <c r="P53" s="218"/>
      <c r="Q53" s="215"/>
      <c r="R53" s="219"/>
      <c r="S53" s="219"/>
      <c r="T53" s="1"/>
      <c r="U53" s="1"/>
      <c r="V53" s="1"/>
      <c r="W53" s="1"/>
      <c r="X53" s="1"/>
      <c r="Y53" s="1"/>
      <c r="Z53" s="1"/>
      <c r="AA53" s="1"/>
    </row>
    <row r="54" spans="6:27">
      <c r="F54" s="223" t="s">
        <v>35</v>
      </c>
      <c r="G54" s="226">
        <f>'Réseaux de chaleur'!$G$77</f>
        <v>0.2069273599742496</v>
      </c>
      <c r="H54" s="227">
        <f>'Réseaux de chaleur'!$G$53</f>
        <v>0.2069273599742496</v>
      </c>
      <c r="I54" s="229">
        <f t="shared" si="7"/>
        <v>7.9020140293256394E-2</v>
      </c>
      <c r="J54" s="229">
        <f t="shared" si="8"/>
        <v>9.0214255907308707E-2</v>
      </c>
      <c r="K54" s="215"/>
      <c r="L54" s="215"/>
      <c r="M54" s="142"/>
      <c r="N54" s="220"/>
      <c r="O54" s="220"/>
      <c r="P54" s="217"/>
      <c r="Q54" s="215"/>
      <c r="R54" s="220"/>
      <c r="S54" s="220"/>
      <c r="T54" s="1"/>
      <c r="U54" s="1"/>
      <c r="V54" s="1"/>
      <c r="W54" s="1"/>
      <c r="X54" s="1"/>
      <c r="Y54" s="1"/>
      <c r="Z54" s="1"/>
      <c r="AA54" s="1"/>
    </row>
    <row r="55" spans="6:27">
      <c r="F55" s="223" t="s">
        <v>31</v>
      </c>
      <c r="G55" s="226">
        <f>'Réseaux de chaleur'!$G$73+'Réseaux de chaleur'!$G$72+'Réseaux de chaleur'!$G$71</f>
        <v>0.61622365484793018</v>
      </c>
      <c r="H55" s="227">
        <f>'Réseaux de chaleur'!$G$49+'Réseaux de chaleur'!$G$48+'Réseaux de chaleur'!$G$47</f>
        <v>0.505577865066002</v>
      </c>
      <c r="I55" s="229">
        <f t="shared" si="7"/>
        <v>0.23531967770799486</v>
      </c>
      <c r="J55" s="229">
        <f t="shared" si="8"/>
        <v>0.22041711113412418</v>
      </c>
      <c r="K55" s="215"/>
      <c r="L55" s="215"/>
      <c r="M55" s="220"/>
      <c r="N55" s="220"/>
      <c r="O55" s="220"/>
      <c r="P55" s="217"/>
      <c r="Q55" s="215"/>
      <c r="R55" s="220"/>
      <c r="S55" s="220"/>
      <c r="T55" s="1"/>
      <c r="U55" s="1"/>
      <c r="V55" s="1"/>
      <c r="W55" s="1"/>
      <c r="X55" s="1"/>
      <c r="Y55" s="1"/>
      <c r="Z55" s="1"/>
      <c r="AA55" s="1"/>
    </row>
    <row r="56" spans="6:27">
      <c r="F56" s="223" t="s">
        <v>489</v>
      </c>
      <c r="G56" s="228">
        <f>SUM(G49:G55)</f>
        <v>2.6186660667306971</v>
      </c>
      <c r="H56" s="228">
        <f>SUM(H49:H55)</f>
        <v>2.2937323806877998</v>
      </c>
      <c r="I56" s="228">
        <f>SUM(I49:I55)</f>
        <v>1</v>
      </c>
      <c r="J56" s="228">
        <f>SUM(J49:J55)</f>
        <v>1</v>
      </c>
      <c r="K56" s="215"/>
      <c r="L56" s="215"/>
      <c r="M56" s="220"/>
      <c r="N56" s="220"/>
      <c r="O56" s="220"/>
      <c r="P56" s="217"/>
      <c r="Q56" s="217"/>
      <c r="R56" s="217"/>
      <c r="S56" s="217"/>
      <c r="T56" s="1"/>
      <c r="U56" s="1"/>
      <c r="V56" s="1"/>
      <c r="W56" s="1"/>
      <c r="X56" s="1"/>
      <c r="Y56" s="1"/>
      <c r="Z56" s="1"/>
      <c r="AA56" s="1"/>
    </row>
    <row r="57" spans="6:27">
      <c r="F57" s="1"/>
      <c r="G57" s="215"/>
      <c r="H57" s="215"/>
      <c r="I57" s="215"/>
      <c r="J57" s="215"/>
      <c r="K57" s="215"/>
      <c r="L57" s="215"/>
      <c r="M57" s="220"/>
      <c r="N57" s="220"/>
      <c r="O57" s="220"/>
      <c r="P57" s="217"/>
      <c r="Q57" s="221"/>
      <c r="R57" s="222"/>
      <c r="S57" s="222"/>
      <c r="T57" s="1"/>
      <c r="U57" s="1"/>
      <c r="V57" s="1"/>
      <c r="W57" s="1"/>
      <c r="X57" s="1"/>
      <c r="Y57" s="1"/>
      <c r="Z57" s="1"/>
      <c r="AA57" s="1"/>
    </row>
    <row r="58" spans="6:27">
      <c r="F58" s="1"/>
      <c r="G58" s="215"/>
      <c r="H58" s="215"/>
      <c r="I58" s="215"/>
      <c r="J58" s="215"/>
      <c r="K58" s="215"/>
      <c r="L58" s="215"/>
      <c r="M58" s="220"/>
      <c r="N58" s="220"/>
      <c r="O58" s="220"/>
      <c r="P58" s="217"/>
      <c r="Q58" s="221"/>
      <c r="R58" s="222"/>
      <c r="S58" s="222"/>
      <c r="T58" s="1"/>
      <c r="U58" s="1"/>
      <c r="V58" s="1"/>
      <c r="W58" s="1"/>
      <c r="X58" s="1"/>
      <c r="Y58" s="1"/>
      <c r="Z58" s="1"/>
      <c r="AA58" s="1"/>
    </row>
    <row r="62" spans="6:27">
      <c r="G62" s="245"/>
    </row>
    <row r="63" spans="6:27">
      <c r="G63" s="246"/>
    </row>
    <row r="64" spans="6:27">
      <c r="G64" s="245"/>
    </row>
    <row r="65" spans="7:7">
      <c r="G65" s="245"/>
    </row>
    <row r="66" spans="7:7">
      <c r="G66" s="247"/>
    </row>
  </sheetData>
  <mergeCells count="48">
    <mergeCell ref="V34:V44"/>
    <mergeCell ref="P26:P32"/>
    <mergeCell ref="Q26:Q32"/>
    <mergeCell ref="R26:R32"/>
    <mergeCell ref="S26:S32"/>
    <mergeCell ref="T26:T32"/>
    <mergeCell ref="E34:E44"/>
    <mergeCell ref="H34:H44"/>
    <mergeCell ref="J34:J44"/>
    <mergeCell ref="L34:L44"/>
    <mergeCell ref="E26:E32"/>
    <mergeCell ref="H26:H32"/>
    <mergeCell ref="J26:J32"/>
    <mergeCell ref="L26:L32"/>
    <mergeCell ref="N26:N32"/>
    <mergeCell ref="O26:O32"/>
    <mergeCell ref="AH7:AH19"/>
    <mergeCell ref="E21:E24"/>
    <mergeCell ref="H21:H24"/>
    <mergeCell ref="J21:J24"/>
    <mergeCell ref="L21:L24"/>
    <mergeCell ref="N21:N24"/>
    <mergeCell ref="O21:O24"/>
    <mergeCell ref="P21:P24"/>
    <mergeCell ref="Q21:Q24"/>
    <mergeCell ref="V21:V24"/>
    <mergeCell ref="T7:T19"/>
    <mergeCell ref="V7:V19"/>
    <mergeCell ref="AD7:AD19"/>
    <mergeCell ref="AE7:AE19"/>
    <mergeCell ref="AF7:AF19"/>
    <mergeCell ref="AG7:AG19"/>
    <mergeCell ref="A4:C4"/>
    <mergeCell ref="E7:E19"/>
    <mergeCell ref="H7:H19"/>
    <mergeCell ref="J7:J19"/>
    <mergeCell ref="L7:L19"/>
    <mergeCell ref="N7:N19"/>
    <mergeCell ref="G1:L1"/>
    <mergeCell ref="N1:T1"/>
    <mergeCell ref="V1:AA1"/>
    <mergeCell ref="G2:H2"/>
    <mergeCell ref="I2:L2"/>
    <mergeCell ref="N2:N4"/>
    <mergeCell ref="O2:T3"/>
    <mergeCell ref="V2:AA3"/>
    <mergeCell ref="I3:J3"/>
    <mergeCell ref="K3:L3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6"/>
  <sheetViews>
    <sheetView topLeftCell="E1" workbookViewId="0">
      <pane xSplit="1" ySplit="5" topLeftCell="X6" activePane="bottomRight" state="frozen"/>
      <selection activeCell="E1" sqref="E1"/>
      <selection pane="topRight" activeCell="F1" sqref="F1"/>
      <selection pane="bottomLeft" activeCell="E6" sqref="E6"/>
      <selection pane="bottomRight" activeCell="AO35" sqref="AO35"/>
    </sheetView>
  </sheetViews>
  <sheetFormatPr baseColWidth="10" defaultRowHeight="12.75"/>
  <cols>
    <col min="1" max="1" width="14.85546875" style="24" bestFit="1" customWidth="1"/>
    <col min="2" max="2" width="28" style="24" bestFit="1" customWidth="1"/>
    <col min="3" max="3" width="5.5703125" style="24" customWidth="1"/>
    <col min="4" max="4" width="8" style="24" bestFit="1" customWidth="1"/>
    <col min="5" max="5" width="11.42578125" style="24"/>
    <col min="6" max="6" width="22.85546875" style="24" bestFit="1" customWidth="1"/>
    <col min="7" max="7" width="7" style="24" customWidth="1"/>
    <col min="8" max="8" width="6.28515625" style="24" customWidth="1"/>
    <col min="9" max="9" width="5.7109375" style="24" customWidth="1"/>
    <col min="10" max="10" width="5.7109375" style="24" bestFit="1" customWidth="1"/>
    <col min="11" max="11" width="5.85546875" style="24" bestFit="1" customWidth="1"/>
    <col min="12" max="12" width="9.42578125" style="24" customWidth="1"/>
    <col min="13" max="13" width="9.28515625" style="24" customWidth="1"/>
    <col min="14" max="14" width="9.7109375" style="24" customWidth="1"/>
    <col min="15" max="15" width="6.7109375" style="24" bestFit="1" customWidth="1"/>
    <col min="16" max="16" width="4.85546875" style="24" customWidth="1"/>
    <col min="17" max="17" width="5.28515625" style="24" customWidth="1"/>
    <col min="18" max="19" width="4.42578125" style="24" bestFit="1" customWidth="1"/>
    <col min="20" max="20" width="18.140625" style="24" bestFit="1" customWidth="1"/>
    <col min="21" max="21" width="6" style="24" customWidth="1"/>
    <col min="22" max="22" width="5.85546875" style="24" bestFit="1" customWidth="1"/>
    <col min="23" max="23" width="4.42578125" style="24" bestFit="1" customWidth="1"/>
    <col min="24" max="24" width="6.42578125" style="24" customWidth="1"/>
    <col min="25" max="26" width="5.42578125" style="24" bestFit="1" customWidth="1"/>
    <col min="27" max="27" width="4.42578125" style="24" bestFit="1" customWidth="1"/>
    <col min="28" max="28" width="7.28515625" style="24" customWidth="1"/>
    <col min="29" max="29" width="12.7109375" style="24" customWidth="1"/>
    <col min="30" max="34" width="11.42578125" style="24"/>
    <col min="35" max="35" width="18" style="24" customWidth="1"/>
    <col min="36" max="256" width="11.42578125" style="24"/>
    <col min="257" max="257" width="14.85546875" style="24" bestFit="1" customWidth="1"/>
    <col min="258" max="258" width="28" style="24" bestFit="1" customWidth="1"/>
    <col min="259" max="259" width="4.42578125" style="24" bestFit="1" customWidth="1"/>
    <col min="260" max="260" width="8" style="24" bestFit="1" customWidth="1"/>
    <col min="261" max="261" width="11.42578125" style="24"/>
    <col min="262" max="262" width="22.85546875" style="24" bestFit="1" customWidth="1"/>
    <col min="263" max="263" width="7" style="24" customWidth="1"/>
    <col min="264" max="264" width="6.28515625" style="24" customWidth="1"/>
    <col min="265" max="265" width="5.7109375" style="24" customWidth="1"/>
    <col min="266" max="266" width="5.7109375" style="24" bestFit="1" customWidth="1"/>
    <col min="267" max="267" width="5.85546875" style="24" bestFit="1" customWidth="1"/>
    <col min="268" max="268" width="9.42578125" style="24" customWidth="1"/>
    <col min="269" max="269" width="5.140625" style="24" customWidth="1"/>
    <col min="270" max="270" width="9.7109375" style="24" customWidth="1"/>
    <col min="271" max="271" width="6.7109375" style="24" bestFit="1" customWidth="1"/>
    <col min="272" max="272" width="4.85546875" style="24" customWidth="1"/>
    <col min="273" max="273" width="5.28515625" style="24" customWidth="1"/>
    <col min="274" max="275" width="4.42578125" style="24" bestFit="1" customWidth="1"/>
    <col min="276" max="276" width="13.28515625" style="24" bestFit="1" customWidth="1"/>
    <col min="277" max="277" width="3.140625" style="24" customWidth="1"/>
    <col min="278" max="278" width="5.42578125" style="24" bestFit="1" customWidth="1"/>
    <col min="279" max="279" width="4.42578125" style="24" bestFit="1" customWidth="1"/>
    <col min="280" max="280" width="6.42578125" style="24" customWidth="1"/>
    <col min="281" max="281" width="5" style="24" bestFit="1" customWidth="1"/>
    <col min="282" max="282" width="4.5703125" style="24" bestFit="1" customWidth="1"/>
    <col min="283" max="283" width="4.42578125" style="24" bestFit="1" customWidth="1"/>
    <col min="284" max="284" width="4" style="24" customWidth="1"/>
    <col min="285" max="512" width="11.42578125" style="24"/>
    <col min="513" max="513" width="14.85546875" style="24" bestFit="1" customWidth="1"/>
    <col min="514" max="514" width="28" style="24" bestFit="1" customWidth="1"/>
    <col min="515" max="515" width="4.42578125" style="24" bestFit="1" customWidth="1"/>
    <col min="516" max="516" width="8" style="24" bestFit="1" customWidth="1"/>
    <col min="517" max="517" width="11.42578125" style="24"/>
    <col min="518" max="518" width="22.85546875" style="24" bestFit="1" customWidth="1"/>
    <col min="519" max="519" width="7" style="24" customWidth="1"/>
    <col min="520" max="520" width="6.28515625" style="24" customWidth="1"/>
    <col min="521" max="521" width="5.7109375" style="24" customWidth="1"/>
    <col min="522" max="522" width="5.7109375" style="24" bestFit="1" customWidth="1"/>
    <col min="523" max="523" width="5.85546875" style="24" bestFit="1" customWidth="1"/>
    <col min="524" max="524" width="9.42578125" style="24" customWidth="1"/>
    <col min="525" max="525" width="5.140625" style="24" customWidth="1"/>
    <col min="526" max="526" width="9.7109375" style="24" customWidth="1"/>
    <col min="527" max="527" width="6.7109375" style="24" bestFit="1" customWidth="1"/>
    <col min="528" max="528" width="4.85546875" style="24" customWidth="1"/>
    <col min="529" max="529" width="5.28515625" style="24" customWidth="1"/>
    <col min="530" max="531" width="4.42578125" style="24" bestFit="1" customWidth="1"/>
    <col min="532" max="532" width="13.28515625" style="24" bestFit="1" customWidth="1"/>
    <col min="533" max="533" width="3.140625" style="24" customWidth="1"/>
    <col min="534" max="534" width="5.42578125" style="24" bestFit="1" customWidth="1"/>
    <col min="535" max="535" width="4.42578125" style="24" bestFit="1" customWidth="1"/>
    <col min="536" max="536" width="6.42578125" style="24" customWidth="1"/>
    <col min="537" max="537" width="5" style="24" bestFit="1" customWidth="1"/>
    <col min="538" max="538" width="4.5703125" style="24" bestFit="1" customWidth="1"/>
    <col min="539" max="539" width="4.42578125" style="24" bestFit="1" customWidth="1"/>
    <col min="540" max="540" width="4" style="24" customWidth="1"/>
    <col min="541" max="768" width="11.42578125" style="24"/>
    <col min="769" max="769" width="14.85546875" style="24" bestFit="1" customWidth="1"/>
    <col min="770" max="770" width="28" style="24" bestFit="1" customWidth="1"/>
    <col min="771" max="771" width="4.42578125" style="24" bestFit="1" customWidth="1"/>
    <col min="772" max="772" width="8" style="24" bestFit="1" customWidth="1"/>
    <col min="773" max="773" width="11.42578125" style="24"/>
    <col min="774" max="774" width="22.85546875" style="24" bestFit="1" customWidth="1"/>
    <col min="775" max="775" width="7" style="24" customWidth="1"/>
    <col min="776" max="776" width="6.28515625" style="24" customWidth="1"/>
    <col min="777" max="777" width="5.7109375" style="24" customWidth="1"/>
    <col min="778" max="778" width="5.7109375" style="24" bestFit="1" customWidth="1"/>
    <col min="779" max="779" width="5.85546875" style="24" bestFit="1" customWidth="1"/>
    <col min="780" max="780" width="9.42578125" style="24" customWidth="1"/>
    <col min="781" max="781" width="5.140625" style="24" customWidth="1"/>
    <col min="782" max="782" width="9.7109375" style="24" customWidth="1"/>
    <col min="783" max="783" width="6.7109375" style="24" bestFit="1" customWidth="1"/>
    <col min="784" max="784" width="4.85546875" style="24" customWidth="1"/>
    <col min="785" max="785" width="5.28515625" style="24" customWidth="1"/>
    <col min="786" max="787" width="4.42578125" style="24" bestFit="1" customWidth="1"/>
    <col min="788" max="788" width="13.28515625" style="24" bestFit="1" customWidth="1"/>
    <col min="789" max="789" width="3.140625" style="24" customWidth="1"/>
    <col min="790" max="790" width="5.42578125" style="24" bestFit="1" customWidth="1"/>
    <col min="791" max="791" width="4.42578125" style="24" bestFit="1" customWidth="1"/>
    <col min="792" max="792" width="6.42578125" style="24" customWidth="1"/>
    <col min="793" max="793" width="5" style="24" bestFit="1" customWidth="1"/>
    <col min="794" max="794" width="4.5703125" style="24" bestFit="1" customWidth="1"/>
    <col min="795" max="795" width="4.42578125" style="24" bestFit="1" customWidth="1"/>
    <col min="796" max="796" width="4" style="24" customWidth="1"/>
    <col min="797" max="1024" width="11.42578125" style="24"/>
    <col min="1025" max="1025" width="14.85546875" style="24" bestFit="1" customWidth="1"/>
    <col min="1026" max="1026" width="28" style="24" bestFit="1" customWidth="1"/>
    <col min="1027" max="1027" width="4.42578125" style="24" bestFit="1" customWidth="1"/>
    <col min="1028" max="1028" width="8" style="24" bestFit="1" customWidth="1"/>
    <col min="1029" max="1029" width="11.42578125" style="24"/>
    <col min="1030" max="1030" width="22.85546875" style="24" bestFit="1" customWidth="1"/>
    <col min="1031" max="1031" width="7" style="24" customWidth="1"/>
    <col min="1032" max="1032" width="6.28515625" style="24" customWidth="1"/>
    <col min="1033" max="1033" width="5.7109375" style="24" customWidth="1"/>
    <col min="1034" max="1034" width="5.7109375" style="24" bestFit="1" customWidth="1"/>
    <col min="1035" max="1035" width="5.85546875" style="24" bestFit="1" customWidth="1"/>
    <col min="1036" max="1036" width="9.42578125" style="24" customWidth="1"/>
    <col min="1037" max="1037" width="5.140625" style="24" customWidth="1"/>
    <col min="1038" max="1038" width="9.7109375" style="24" customWidth="1"/>
    <col min="1039" max="1039" width="6.7109375" style="24" bestFit="1" customWidth="1"/>
    <col min="1040" max="1040" width="4.85546875" style="24" customWidth="1"/>
    <col min="1041" max="1041" width="5.28515625" style="24" customWidth="1"/>
    <col min="1042" max="1043" width="4.42578125" style="24" bestFit="1" customWidth="1"/>
    <col min="1044" max="1044" width="13.28515625" style="24" bestFit="1" customWidth="1"/>
    <col min="1045" max="1045" width="3.140625" style="24" customWidth="1"/>
    <col min="1046" max="1046" width="5.42578125" style="24" bestFit="1" customWidth="1"/>
    <col min="1047" max="1047" width="4.42578125" style="24" bestFit="1" customWidth="1"/>
    <col min="1048" max="1048" width="6.42578125" style="24" customWidth="1"/>
    <col min="1049" max="1049" width="5" style="24" bestFit="1" customWidth="1"/>
    <col min="1050" max="1050" width="4.5703125" style="24" bestFit="1" customWidth="1"/>
    <col min="1051" max="1051" width="4.42578125" style="24" bestFit="1" customWidth="1"/>
    <col min="1052" max="1052" width="4" style="24" customWidth="1"/>
    <col min="1053" max="1280" width="11.42578125" style="24"/>
    <col min="1281" max="1281" width="14.85546875" style="24" bestFit="1" customWidth="1"/>
    <col min="1282" max="1282" width="28" style="24" bestFit="1" customWidth="1"/>
    <col min="1283" max="1283" width="4.42578125" style="24" bestFit="1" customWidth="1"/>
    <col min="1284" max="1284" width="8" style="24" bestFit="1" customWidth="1"/>
    <col min="1285" max="1285" width="11.42578125" style="24"/>
    <col min="1286" max="1286" width="22.85546875" style="24" bestFit="1" customWidth="1"/>
    <col min="1287" max="1287" width="7" style="24" customWidth="1"/>
    <col min="1288" max="1288" width="6.28515625" style="24" customWidth="1"/>
    <col min="1289" max="1289" width="5.7109375" style="24" customWidth="1"/>
    <col min="1290" max="1290" width="5.7109375" style="24" bestFit="1" customWidth="1"/>
    <col min="1291" max="1291" width="5.85546875" style="24" bestFit="1" customWidth="1"/>
    <col min="1292" max="1292" width="9.42578125" style="24" customWidth="1"/>
    <col min="1293" max="1293" width="5.140625" style="24" customWidth="1"/>
    <col min="1294" max="1294" width="9.7109375" style="24" customWidth="1"/>
    <col min="1295" max="1295" width="6.7109375" style="24" bestFit="1" customWidth="1"/>
    <col min="1296" max="1296" width="4.85546875" style="24" customWidth="1"/>
    <col min="1297" max="1297" width="5.28515625" style="24" customWidth="1"/>
    <col min="1298" max="1299" width="4.42578125" style="24" bestFit="1" customWidth="1"/>
    <col min="1300" max="1300" width="13.28515625" style="24" bestFit="1" customWidth="1"/>
    <col min="1301" max="1301" width="3.140625" style="24" customWidth="1"/>
    <col min="1302" max="1302" width="5.42578125" style="24" bestFit="1" customWidth="1"/>
    <col min="1303" max="1303" width="4.42578125" style="24" bestFit="1" customWidth="1"/>
    <col min="1304" max="1304" width="6.42578125" style="24" customWidth="1"/>
    <col min="1305" max="1305" width="5" style="24" bestFit="1" customWidth="1"/>
    <col min="1306" max="1306" width="4.5703125" style="24" bestFit="1" customWidth="1"/>
    <col min="1307" max="1307" width="4.42578125" style="24" bestFit="1" customWidth="1"/>
    <col min="1308" max="1308" width="4" style="24" customWidth="1"/>
    <col min="1309" max="1536" width="11.42578125" style="24"/>
    <col min="1537" max="1537" width="14.85546875" style="24" bestFit="1" customWidth="1"/>
    <col min="1538" max="1538" width="28" style="24" bestFit="1" customWidth="1"/>
    <col min="1539" max="1539" width="4.42578125" style="24" bestFit="1" customWidth="1"/>
    <col min="1540" max="1540" width="8" style="24" bestFit="1" customWidth="1"/>
    <col min="1541" max="1541" width="11.42578125" style="24"/>
    <col min="1542" max="1542" width="22.85546875" style="24" bestFit="1" customWidth="1"/>
    <col min="1543" max="1543" width="7" style="24" customWidth="1"/>
    <col min="1544" max="1544" width="6.28515625" style="24" customWidth="1"/>
    <col min="1545" max="1545" width="5.7109375" style="24" customWidth="1"/>
    <col min="1546" max="1546" width="5.7109375" style="24" bestFit="1" customWidth="1"/>
    <col min="1547" max="1547" width="5.85546875" style="24" bestFit="1" customWidth="1"/>
    <col min="1548" max="1548" width="9.42578125" style="24" customWidth="1"/>
    <col min="1549" max="1549" width="5.140625" style="24" customWidth="1"/>
    <col min="1550" max="1550" width="9.7109375" style="24" customWidth="1"/>
    <col min="1551" max="1551" width="6.7109375" style="24" bestFit="1" customWidth="1"/>
    <col min="1552" max="1552" width="4.85546875" style="24" customWidth="1"/>
    <col min="1553" max="1553" width="5.28515625" style="24" customWidth="1"/>
    <col min="1554" max="1555" width="4.42578125" style="24" bestFit="1" customWidth="1"/>
    <col min="1556" max="1556" width="13.28515625" style="24" bestFit="1" customWidth="1"/>
    <col min="1557" max="1557" width="3.140625" style="24" customWidth="1"/>
    <col min="1558" max="1558" width="5.42578125" style="24" bestFit="1" customWidth="1"/>
    <col min="1559" max="1559" width="4.42578125" style="24" bestFit="1" customWidth="1"/>
    <col min="1560" max="1560" width="6.42578125" style="24" customWidth="1"/>
    <col min="1561" max="1561" width="5" style="24" bestFit="1" customWidth="1"/>
    <col min="1562" max="1562" width="4.5703125" style="24" bestFit="1" customWidth="1"/>
    <col min="1563" max="1563" width="4.42578125" style="24" bestFit="1" customWidth="1"/>
    <col min="1564" max="1564" width="4" style="24" customWidth="1"/>
    <col min="1565" max="1792" width="11.42578125" style="24"/>
    <col min="1793" max="1793" width="14.85546875" style="24" bestFit="1" customWidth="1"/>
    <col min="1794" max="1794" width="28" style="24" bestFit="1" customWidth="1"/>
    <col min="1795" max="1795" width="4.42578125" style="24" bestFit="1" customWidth="1"/>
    <col min="1796" max="1796" width="8" style="24" bestFit="1" customWidth="1"/>
    <col min="1797" max="1797" width="11.42578125" style="24"/>
    <col min="1798" max="1798" width="22.85546875" style="24" bestFit="1" customWidth="1"/>
    <col min="1799" max="1799" width="7" style="24" customWidth="1"/>
    <col min="1800" max="1800" width="6.28515625" style="24" customWidth="1"/>
    <col min="1801" max="1801" width="5.7109375" style="24" customWidth="1"/>
    <col min="1802" max="1802" width="5.7109375" style="24" bestFit="1" customWidth="1"/>
    <col min="1803" max="1803" width="5.85546875" style="24" bestFit="1" customWidth="1"/>
    <col min="1804" max="1804" width="9.42578125" style="24" customWidth="1"/>
    <col min="1805" max="1805" width="5.140625" style="24" customWidth="1"/>
    <col min="1806" max="1806" width="9.7109375" style="24" customWidth="1"/>
    <col min="1807" max="1807" width="6.7109375" style="24" bestFit="1" customWidth="1"/>
    <col min="1808" max="1808" width="4.85546875" style="24" customWidth="1"/>
    <col min="1809" max="1809" width="5.28515625" style="24" customWidth="1"/>
    <col min="1810" max="1811" width="4.42578125" style="24" bestFit="1" customWidth="1"/>
    <col min="1812" max="1812" width="13.28515625" style="24" bestFit="1" customWidth="1"/>
    <col min="1813" max="1813" width="3.140625" style="24" customWidth="1"/>
    <col min="1814" max="1814" width="5.42578125" style="24" bestFit="1" customWidth="1"/>
    <col min="1815" max="1815" width="4.42578125" style="24" bestFit="1" customWidth="1"/>
    <col min="1816" max="1816" width="6.42578125" style="24" customWidth="1"/>
    <col min="1817" max="1817" width="5" style="24" bestFit="1" customWidth="1"/>
    <col min="1818" max="1818" width="4.5703125" style="24" bestFit="1" customWidth="1"/>
    <col min="1819" max="1819" width="4.42578125" style="24" bestFit="1" customWidth="1"/>
    <col min="1820" max="1820" width="4" style="24" customWidth="1"/>
    <col min="1821" max="2048" width="11.42578125" style="24"/>
    <col min="2049" max="2049" width="14.85546875" style="24" bestFit="1" customWidth="1"/>
    <col min="2050" max="2050" width="28" style="24" bestFit="1" customWidth="1"/>
    <col min="2051" max="2051" width="4.42578125" style="24" bestFit="1" customWidth="1"/>
    <col min="2052" max="2052" width="8" style="24" bestFit="1" customWidth="1"/>
    <col min="2053" max="2053" width="11.42578125" style="24"/>
    <col min="2054" max="2054" width="22.85546875" style="24" bestFit="1" customWidth="1"/>
    <col min="2055" max="2055" width="7" style="24" customWidth="1"/>
    <col min="2056" max="2056" width="6.28515625" style="24" customWidth="1"/>
    <col min="2057" max="2057" width="5.7109375" style="24" customWidth="1"/>
    <col min="2058" max="2058" width="5.7109375" style="24" bestFit="1" customWidth="1"/>
    <col min="2059" max="2059" width="5.85546875" style="24" bestFit="1" customWidth="1"/>
    <col min="2060" max="2060" width="9.42578125" style="24" customWidth="1"/>
    <col min="2061" max="2061" width="5.140625" style="24" customWidth="1"/>
    <col min="2062" max="2062" width="9.7109375" style="24" customWidth="1"/>
    <col min="2063" max="2063" width="6.7109375" style="24" bestFit="1" customWidth="1"/>
    <col min="2064" max="2064" width="4.85546875" style="24" customWidth="1"/>
    <col min="2065" max="2065" width="5.28515625" style="24" customWidth="1"/>
    <col min="2066" max="2067" width="4.42578125" style="24" bestFit="1" customWidth="1"/>
    <col min="2068" max="2068" width="13.28515625" style="24" bestFit="1" customWidth="1"/>
    <col min="2069" max="2069" width="3.140625" style="24" customWidth="1"/>
    <col min="2070" max="2070" width="5.42578125" style="24" bestFit="1" customWidth="1"/>
    <col min="2071" max="2071" width="4.42578125" style="24" bestFit="1" customWidth="1"/>
    <col min="2072" max="2072" width="6.42578125" style="24" customWidth="1"/>
    <col min="2073" max="2073" width="5" style="24" bestFit="1" customWidth="1"/>
    <col min="2074" max="2074" width="4.5703125" style="24" bestFit="1" customWidth="1"/>
    <col min="2075" max="2075" width="4.42578125" style="24" bestFit="1" customWidth="1"/>
    <col min="2076" max="2076" width="4" style="24" customWidth="1"/>
    <col min="2077" max="2304" width="11.42578125" style="24"/>
    <col min="2305" max="2305" width="14.85546875" style="24" bestFit="1" customWidth="1"/>
    <col min="2306" max="2306" width="28" style="24" bestFit="1" customWidth="1"/>
    <col min="2307" max="2307" width="4.42578125" style="24" bestFit="1" customWidth="1"/>
    <col min="2308" max="2308" width="8" style="24" bestFit="1" customWidth="1"/>
    <col min="2309" max="2309" width="11.42578125" style="24"/>
    <col min="2310" max="2310" width="22.85546875" style="24" bestFit="1" customWidth="1"/>
    <col min="2311" max="2311" width="7" style="24" customWidth="1"/>
    <col min="2312" max="2312" width="6.28515625" style="24" customWidth="1"/>
    <col min="2313" max="2313" width="5.7109375" style="24" customWidth="1"/>
    <col min="2314" max="2314" width="5.7109375" style="24" bestFit="1" customWidth="1"/>
    <col min="2315" max="2315" width="5.85546875" style="24" bestFit="1" customWidth="1"/>
    <col min="2316" max="2316" width="9.42578125" style="24" customWidth="1"/>
    <col min="2317" max="2317" width="5.140625" style="24" customWidth="1"/>
    <col min="2318" max="2318" width="9.7109375" style="24" customWidth="1"/>
    <col min="2319" max="2319" width="6.7109375" style="24" bestFit="1" customWidth="1"/>
    <col min="2320" max="2320" width="4.85546875" style="24" customWidth="1"/>
    <col min="2321" max="2321" width="5.28515625" style="24" customWidth="1"/>
    <col min="2322" max="2323" width="4.42578125" style="24" bestFit="1" customWidth="1"/>
    <col min="2324" max="2324" width="13.28515625" style="24" bestFit="1" customWidth="1"/>
    <col min="2325" max="2325" width="3.140625" style="24" customWidth="1"/>
    <col min="2326" max="2326" width="5.42578125" style="24" bestFit="1" customWidth="1"/>
    <col min="2327" max="2327" width="4.42578125" style="24" bestFit="1" customWidth="1"/>
    <col min="2328" max="2328" width="6.42578125" style="24" customWidth="1"/>
    <col min="2329" max="2329" width="5" style="24" bestFit="1" customWidth="1"/>
    <col min="2330" max="2330" width="4.5703125" style="24" bestFit="1" customWidth="1"/>
    <col min="2331" max="2331" width="4.42578125" style="24" bestFit="1" customWidth="1"/>
    <col min="2332" max="2332" width="4" style="24" customWidth="1"/>
    <col min="2333" max="2560" width="11.42578125" style="24"/>
    <col min="2561" max="2561" width="14.85546875" style="24" bestFit="1" customWidth="1"/>
    <col min="2562" max="2562" width="28" style="24" bestFit="1" customWidth="1"/>
    <col min="2563" max="2563" width="4.42578125" style="24" bestFit="1" customWidth="1"/>
    <col min="2564" max="2564" width="8" style="24" bestFit="1" customWidth="1"/>
    <col min="2565" max="2565" width="11.42578125" style="24"/>
    <col min="2566" max="2566" width="22.85546875" style="24" bestFit="1" customWidth="1"/>
    <col min="2567" max="2567" width="7" style="24" customWidth="1"/>
    <col min="2568" max="2568" width="6.28515625" style="24" customWidth="1"/>
    <col min="2569" max="2569" width="5.7109375" style="24" customWidth="1"/>
    <col min="2570" max="2570" width="5.7109375" style="24" bestFit="1" customWidth="1"/>
    <col min="2571" max="2571" width="5.85546875" style="24" bestFit="1" customWidth="1"/>
    <col min="2572" max="2572" width="9.42578125" style="24" customWidth="1"/>
    <col min="2573" max="2573" width="5.140625" style="24" customWidth="1"/>
    <col min="2574" max="2574" width="9.7109375" style="24" customWidth="1"/>
    <col min="2575" max="2575" width="6.7109375" style="24" bestFit="1" customWidth="1"/>
    <col min="2576" max="2576" width="4.85546875" style="24" customWidth="1"/>
    <col min="2577" max="2577" width="5.28515625" style="24" customWidth="1"/>
    <col min="2578" max="2579" width="4.42578125" style="24" bestFit="1" customWidth="1"/>
    <col min="2580" max="2580" width="13.28515625" style="24" bestFit="1" customWidth="1"/>
    <col min="2581" max="2581" width="3.140625" style="24" customWidth="1"/>
    <col min="2582" max="2582" width="5.42578125" style="24" bestFit="1" customWidth="1"/>
    <col min="2583" max="2583" width="4.42578125" style="24" bestFit="1" customWidth="1"/>
    <col min="2584" max="2584" width="6.42578125" style="24" customWidth="1"/>
    <col min="2585" max="2585" width="5" style="24" bestFit="1" customWidth="1"/>
    <col min="2586" max="2586" width="4.5703125" style="24" bestFit="1" customWidth="1"/>
    <col min="2587" max="2587" width="4.42578125" style="24" bestFit="1" customWidth="1"/>
    <col min="2588" max="2588" width="4" style="24" customWidth="1"/>
    <col min="2589" max="2816" width="11.42578125" style="24"/>
    <col min="2817" max="2817" width="14.85546875" style="24" bestFit="1" customWidth="1"/>
    <col min="2818" max="2818" width="28" style="24" bestFit="1" customWidth="1"/>
    <col min="2819" max="2819" width="4.42578125" style="24" bestFit="1" customWidth="1"/>
    <col min="2820" max="2820" width="8" style="24" bestFit="1" customWidth="1"/>
    <col min="2821" max="2821" width="11.42578125" style="24"/>
    <col min="2822" max="2822" width="22.85546875" style="24" bestFit="1" customWidth="1"/>
    <col min="2823" max="2823" width="7" style="24" customWidth="1"/>
    <col min="2824" max="2824" width="6.28515625" style="24" customWidth="1"/>
    <col min="2825" max="2825" width="5.7109375" style="24" customWidth="1"/>
    <col min="2826" max="2826" width="5.7109375" style="24" bestFit="1" customWidth="1"/>
    <col min="2827" max="2827" width="5.85546875" style="24" bestFit="1" customWidth="1"/>
    <col min="2828" max="2828" width="9.42578125" style="24" customWidth="1"/>
    <col min="2829" max="2829" width="5.140625" style="24" customWidth="1"/>
    <col min="2830" max="2830" width="9.7109375" style="24" customWidth="1"/>
    <col min="2831" max="2831" width="6.7109375" style="24" bestFit="1" customWidth="1"/>
    <col min="2832" max="2832" width="4.85546875" style="24" customWidth="1"/>
    <col min="2833" max="2833" width="5.28515625" style="24" customWidth="1"/>
    <col min="2834" max="2835" width="4.42578125" style="24" bestFit="1" customWidth="1"/>
    <col min="2836" max="2836" width="13.28515625" style="24" bestFit="1" customWidth="1"/>
    <col min="2837" max="2837" width="3.140625" style="24" customWidth="1"/>
    <col min="2838" max="2838" width="5.42578125" style="24" bestFit="1" customWidth="1"/>
    <col min="2839" max="2839" width="4.42578125" style="24" bestFit="1" customWidth="1"/>
    <col min="2840" max="2840" width="6.42578125" style="24" customWidth="1"/>
    <col min="2841" max="2841" width="5" style="24" bestFit="1" customWidth="1"/>
    <col min="2842" max="2842" width="4.5703125" style="24" bestFit="1" customWidth="1"/>
    <col min="2843" max="2843" width="4.42578125" style="24" bestFit="1" customWidth="1"/>
    <col min="2844" max="2844" width="4" style="24" customWidth="1"/>
    <col min="2845" max="3072" width="11.42578125" style="24"/>
    <col min="3073" max="3073" width="14.85546875" style="24" bestFit="1" customWidth="1"/>
    <col min="3074" max="3074" width="28" style="24" bestFit="1" customWidth="1"/>
    <col min="3075" max="3075" width="4.42578125" style="24" bestFit="1" customWidth="1"/>
    <col min="3076" max="3076" width="8" style="24" bestFit="1" customWidth="1"/>
    <col min="3077" max="3077" width="11.42578125" style="24"/>
    <col min="3078" max="3078" width="22.85546875" style="24" bestFit="1" customWidth="1"/>
    <col min="3079" max="3079" width="7" style="24" customWidth="1"/>
    <col min="3080" max="3080" width="6.28515625" style="24" customWidth="1"/>
    <col min="3081" max="3081" width="5.7109375" style="24" customWidth="1"/>
    <col min="3082" max="3082" width="5.7109375" style="24" bestFit="1" customWidth="1"/>
    <col min="3083" max="3083" width="5.85546875" style="24" bestFit="1" customWidth="1"/>
    <col min="3084" max="3084" width="9.42578125" style="24" customWidth="1"/>
    <col min="3085" max="3085" width="5.140625" style="24" customWidth="1"/>
    <col min="3086" max="3086" width="9.7109375" style="24" customWidth="1"/>
    <col min="3087" max="3087" width="6.7109375" style="24" bestFit="1" customWidth="1"/>
    <col min="3088" max="3088" width="4.85546875" style="24" customWidth="1"/>
    <col min="3089" max="3089" width="5.28515625" style="24" customWidth="1"/>
    <col min="3090" max="3091" width="4.42578125" style="24" bestFit="1" customWidth="1"/>
    <col min="3092" max="3092" width="13.28515625" style="24" bestFit="1" customWidth="1"/>
    <col min="3093" max="3093" width="3.140625" style="24" customWidth="1"/>
    <col min="3094" max="3094" width="5.42578125" style="24" bestFit="1" customWidth="1"/>
    <col min="3095" max="3095" width="4.42578125" style="24" bestFit="1" customWidth="1"/>
    <col min="3096" max="3096" width="6.42578125" style="24" customWidth="1"/>
    <col min="3097" max="3097" width="5" style="24" bestFit="1" customWidth="1"/>
    <col min="3098" max="3098" width="4.5703125" style="24" bestFit="1" customWidth="1"/>
    <col min="3099" max="3099" width="4.42578125" style="24" bestFit="1" customWidth="1"/>
    <col min="3100" max="3100" width="4" style="24" customWidth="1"/>
    <col min="3101" max="3328" width="11.42578125" style="24"/>
    <col min="3329" max="3329" width="14.85546875" style="24" bestFit="1" customWidth="1"/>
    <col min="3330" max="3330" width="28" style="24" bestFit="1" customWidth="1"/>
    <col min="3331" max="3331" width="4.42578125" style="24" bestFit="1" customWidth="1"/>
    <col min="3332" max="3332" width="8" style="24" bestFit="1" customWidth="1"/>
    <col min="3333" max="3333" width="11.42578125" style="24"/>
    <col min="3334" max="3334" width="22.85546875" style="24" bestFit="1" customWidth="1"/>
    <col min="3335" max="3335" width="7" style="24" customWidth="1"/>
    <col min="3336" max="3336" width="6.28515625" style="24" customWidth="1"/>
    <col min="3337" max="3337" width="5.7109375" style="24" customWidth="1"/>
    <col min="3338" max="3338" width="5.7109375" style="24" bestFit="1" customWidth="1"/>
    <col min="3339" max="3339" width="5.85546875" style="24" bestFit="1" customWidth="1"/>
    <col min="3340" max="3340" width="9.42578125" style="24" customWidth="1"/>
    <col min="3341" max="3341" width="5.140625" style="24" customWidth="1"/>
    <col min="3342" max="3342" width="9.7109375" style="24" customWidth="1"/>
    <col min="3343" max="3343" width="6.7109375" style="24" bestFit="1" customWidth="1"/>
    <col min="3344" max="3344" width="4.85546875" style="24" customWidth="1"/>
    <col min="3345" max="3345" width="5.28515625" style="24" customWidth="1"/>
    <col min="3346" max="3347" width="4.42578125" style="24" bestFit="1" customWidth="1"/>
    <col min="3348" max="3348" width="13.28515625" style="24" bestFit="1" customWidth="1"/>
    <col min="3349" max="3349" width="3.140625" style="24" customWidth="1"/>
    <col min="3350" max="3350" width="5.42578125" style="24" bestFit="1" customWidth="1"/>
    <col min="3351" max="3351" width="4.42578125" style="24" bestFit="1" customWidth="1"/>
    <col min="3352" max="3352" width="6.42578125" style="24" customWidth="1"/>
    <col min="3353" max="3353" width="5" style="24" bestFit="1" customWidth="1"/>
    <col min="3354" max="3354" width="4.5703125" style="24" bestFit="1" customWidth="1"/>
    <col min="3355" max="3355" width="4.42578125" style="24" bestFit="1" customWidth="1"/>
    <col min="3356" max="3356" width="4" style="24" customWidth="1"/>
    <col min="3357" max="3584" width="11.42578125" style="24"/>
    <col min="3585" max="3585" width="14.85546875" style="24" bestFit="1" customWidth="1"/>
    <col min="3586" max="3586" width="28" style="24" bestFit="1" customWidth="1"/>
    <col min="3587" max="3587" width="4.42578125" style="24" bestFit="1" customWidth="1"/>
    <col min="3588" max="3588" width="8" style="24" bestFit="1" customWidth="1"/>
    <col min="3589" max="3589" width="11.42578125" style="24"/>
    <col min="3590" max="3590" width="22.85546875" style="24" bestFit="1" customWidth="1"/>
    <col min="3591" max="3591" width="7" style="24" customWidth="1"/>
    <col min="3592" max="3592" width="6.28515625" style="24" customWidth="1"/>
    <col min="3593" max="3593" width="5.7109375" style="24" customWidth="1"/>
    <col min="3594" max="3594" width="5.7109375" style="24" bestFit="1" customWidth="1"/>
    <col min="3595" max="3595" width="5.85546875" style="24" bestFit="1" customWidth="1"/>
    <col min="3596" max="3596" width="9.42578125" style="24" customWidth="1"/>
    <col min="3597" max="3597" width="5.140625" style="24" customWidth="1"/>
    <col min="3598" max="3598" width="9.7109375" style="24" customWidth="1"/>
    <col min="3599" max="3599" width="6.7109375" style="24" bestFit="1" customWidth="1"/>
    <col min="3600" max="3600" width="4.85546875" style="24" customWidth="1"/>
    <col min="3601" max="3601" width="5.28515625" style="24" customWidth="1"/>
    <col min="3602" max="3603" width="4.42578125" style="24" bestFit="1" customWidth="1"/>
    <col min="3604" max="3604" width="13.28515625" style="24" bestFit="1" customWidth="1"/>
    <col min="3605" max="3605" width="3.140625" style="24" customWidth="1"/>
    <col min="3606" max="3606" width="5.42578125" style="24" bestFit="1" customWidth="1"/>
    <col min="3607" max="3607" width="4.42578125" style="24" bestFit="1" customWidth="1"/>
    <col min="3608" max="3608" width="6.42578125" style="24" customWidth="1"/>
    <col min="3609" max="3609" width="5" style="24" bestFit="1" customWidth="1"/>
    <col min="3610" max="3610" width="4.5703125" style="24" bestFit="1" customWidth="1"/>
    <col min="3611" max="3611" width="4.42578125" style="24" bestFit="1" customWidth="1"/>
    <col min="3612" max="3612" width="4" style="24" customWidth="1"/>
    <col min="3613" max="3840" width="11.42578125" style="24"/>
    <col min="3841" max="3841" width="14.85546875" style="24" bestFit="1" customWidth="1"/>
    <col min="3842" max="3842" width="28" style="24" bestFit="1" customWidth="1"/>
    <col min="3843" max="3843" width="4.42578125" style="24" bestFit="1" customWidth="1"/>
    <col min="3844" max="3844" width="8" style="24" bestFit="1" customWidth="1"/>
    <col min="3845" max="3845" width="11.42578125" style="24"/>
    <col min="3846" max="3846" width="22.85546875" style="24" bestFit="1" customWidth="1"/>
    <col min="3847" max="3847" width="7" style="24" customWidth="1"/>
    <col min="3848" max="3848" width="6.28515625" style="24" customWidth="1"/>
    <col min="3849" max="3849" width="5.7109375" style="24" customWidth="1"/>
    <col min="3850" max="3850" width="5.7109375" style="24" bestFit="1" customWidth="1"/>
    <col min="3851" max="3851" width="5.85546875" style="24" bestFit="1" customWidth="1"/>
    <col min="3852" max="3852" width="9.42578125" style="24" customWidth="1"/>
    <col min="3853" max="3853" width="5.140625" style="24" customWidth="1"/>
    <col min="3854" max="3854" width="9.7109375" style="24" customWidth="1"/>
    <col min="3855" max="3855" width="6.7109375" style="24" bestFit="1" customWidth="1"/>
    <col min="3856" max="3856" width="4.85546875" style="24" customWidth="1"/>
    <col min="3857" max="3857" width="5.28515625" style="24" customWidth="1"/>
    <col min="3858" max="3859" width="4.42578125" style="24" bestFit="1" customWidth="1"/>
    <col min="3860" max="3860" width="13.28515625" style="24" bestFit="1" customWidth="1"/>
    <col min="3861" max="3861" width="3.140625" style="24" customWidth="1"/>
    <col min="3862" max="3862" width="5.42578125" style="24" bestFit="1" customWidth="1"/>
    <col min="3863" max="3863" width="4.42578125" style="24" bestFit="1" customWidth="1"/>
    <col min="3864" max="3864" width="6.42578125" style="24" customWidth="1"/>
    <col min="3865" max="3865" width="5" style="24" bestFit="1" customWidth="1"/>
    <col min="3866" max="3866" width="4.5703125" style="24" bestFit="1" customWidth="1"/>
    <col min="3867" max="3867" width="4.42578125" style="24" bestFit="1" customWidth="1"/>
    <col min="3868" max="3868" width="4" style="24" customWidth="1"/>
    <col min="3869" max="4096" width="11.42578125" style="24"/>
    <col min="4097" max="4097" width="14.85546875" style="24" bestFit="1" customWidth="1"/>
    <col min="4098" max="4098" width="28" style="24" bestFit="1" customWidth="1"/>
    <col min="4099" max="4099" width="4.42578125" style="24" bestFit="1" customWidth="1"/>
    <col min="4100" max="4100" width="8" style="24" bestFit="1" customWidth="1"/>
    <col min="4101" max="4101" width="11.42578125" style="24"/>
    <col min="4102" max="4102" width="22.85546875" style="24" bestFit="1" customWidth="1"/>
    <col min="4103" max="4103" width="7" style="24" customWidth="1"/>
    <col min="4104" max="4104" width="6.28515625" style="24" customWidth="1"/>
    <col min="4105" max="4105" width="5.7109375" style="24" customWidth="1"/>
    <col min="4106" max="4106" width="5.7109375" style="24" bestFit="1" customWidth="1"/>
    <col min="4107" max="4107" width="5.85546875" style="24" bestFit="1" customWidth="1"/>
    <col min="4108" max="4108" width="9.42578125" style="24" customWidth="1"/>
    <col min="4109" max="4109" width="5.140625" style="24" customWidth="1"/>
    <col min="4110" max="4110" width="9.7109375" style="24" customWidth="1"/>
    <col min="4111" max="4111" width="6.7109375" style="24" bestFit="1" customWidth="1"/>
    <col min="4112" max="4112" width="4.85546875" style="24" customWidth="1"/>
    <col min="4113" max="4113" width="5.28515625" style="24" customWidth="1"/>
    <col min="4114" max="4115" width="4.42578125" style="24" bestFit="1" customWidth="1"/>
    <col min="4116" max="4116" width="13.28515625" style="24" bestFit="1" customWidth="1"/>
    <col min="4117" max="4117" width="3.140625" style="24" customWidth="1"/>
    <col min="4118" max="4118" width="5.42578125" style="24" bestFit="1" customWidth="1"/>
    <col min="4119" max="4119" width="4.42578125" style="24" bestFit="1" customWidth="1"/>
    <col min="4120" max="4120" width="6.42578125" style="24" customWidth="1"/>
    <col min="4121" max="4121" width="5" style="24" bestFit="1" customWidth="1"/>
    <col min="4122" max="4122" width="4.5703125" style="24" bestFit="1" customWidth="1"/>
    <col min="4123" max="4123" width="4.42578125" style="24" bestFit="1" customWidth="1"/>
    <col min="4124" max="4124" width="4" style="24" customWidth="1"/>
    <col min="4125" max="4352" width="11.42578125" style="24"/>
    <col min="4353" max="4353" width="14.85546875" style="24" bestFit="1" customWidth="1"/>
    <col min="4354" max="4354" width="28" style="24" bestFit="1" customWidth="1"/>
    <col min="4355" max="4355" width="4.42578125" style="24" bestFit="1" customWidth="1"/>
    <col min="4356" max="4356" width="8" style="24" bestFit="1" customWidth="1"/>
    <col min="4357" max="4357" width="11.42578125" style="24"/>
    <col min="4358" max="4358" width="22.85546875" style="24" bestFit="1" customWidth="1"/>
    <col min="4359" max="4359" width="7" style="24" customWidth="1"/>
    <col min="4360" max="4360" width="6.28515625" style="24" customWidth="1"/>
    <col min="4361" max="4361" width="5.7109375" style="24" customWidth="1"/>
    <col min="4362" max="4362" width="5.7109375" style="24" bestFit="1" customWidth="1"/>
    <col min="4363" max="4363" width="5.85546875" style="24" bestFit="1" customWidth="1"/>
    <col min="4364" max="4364" width="9.42578125" style="24" customWidth="1"/>
    <col min="4365" max="4365" width="5.140625" style="24" customWidth="1"/>
    <col min="4366" max="4366" width="9.7109375" style="24" customWidth="1"/>
    <col min="4367" max="4367" width="6.7109375" style="24" bestFit="1" customWidth="1"/>
    <col min="4368" max="4368" width="4.85546875" style="24" customWidth="1"/>
    <col min="4369" max="4369" width="5.28515625" style="24" customWidth="1"/>
    <col min="4370" max="4371" width="4.42578125" style="24" bestFit="1" customWidth="1"/>
    <col min="4372" max="4372" width="13.28515625" style="24" bestFit="1" customWidth="1"/>
    <col min="4373" max="4373" width="3.140625" style="24" customWidth="1"/>
    <col min="4374" max="4374" width="5.42578125" style="24" bestFit="1" customWidth="1"/>
    <col min="4375" max="4375" width="4.42578125" style="24" bestFit="1" customWidth="1"/>
    <col min="4376" max="4376" width="6.42578125" style="24" customWidth="1"/>
    <col min="4377" max="4377" width="5" style="24" bestFit="1" customWidth="1"/>
    <col min="4378" max="4378" width="4.5703125" style="24" bestFit="1" customWidth="1"/>
    <col min="4379" max="4379" width="4.42578125" style="24" bestFit="1" customWidth="1"/>
    <col min="4380" max="4380" width="4" style="24" customWidth="1"/>
    <col min="4381" max="4608" width="11.42578125" style="24"/>
    <col min="4609" max="4609" width="14.85546875" style="24" bestFit="1" customWidth="1"/>
    <col min="4610" max="4610" width="28" style="24" bestFit="1" customWidth="1"/>
    <col min="4611" max="4611" width="4.42578125" style="24" bestFit="1" customWidth="1"/>
    <col min="4612" max="4612" width="8" style="24" bestFit="1" customWidth="1"/>
    <col min="4613" max="4613" width="11.42578125" style="24"/>
    <col min="4614" max="4614" width="22.85546875" style="24" bestFit="1" customWidth="1"/>
    <col min="4615" max="4615" width="7" style="24" customWidth="1"/>
    <col min="4616" max="4616" width="6.28515625" style="24" customWidth="1"/>
    <col min="4617" max="4617" width="5.7109375" style="24" customWidth="1"/>
    <col min="4618" max="4618" width="5.7109375" style="24" bestFit="1" customWidth="1"/>
    <col min="4619" max="4619" width="5.85546875" style="24" bestFit="1" customWidth="1"/>
    <col min="4620" max="4620" width="9.42578125" style="24" customWidth="1"/>
    <col min="4621" max="4621" width="5.140625" style="24" customWidth="1"/>
    <col min="4622" max="4622" width="9.7109375" style="24" customWidth="1"/>
    <col min="4623" max="4623" width="6.7109375" style="24" bestFit="1" customWidth="1"/>
    <col min="4624" max="4624" width="4.85546875" style="24" customWidth="1"/>
    <col min="4625" max="4625" width="5.28515625" style="24" customWidth="1"/>
    <col min="4626" max="4627" width="4.42578125" style="24" bestFit="1" customWidth="1"/>
    <col min="4628" max="4628" width="13.28515625" style="24" bestFit="1" customWidth="1"/>
    <col min="4629" max="4629" width="3.140625" style="24" customWidth="1"/>
    <col min="4630" max="4630" width="5.42578125" style="24" bestFit="1" customWidth="1"/>
    <col min="4631" max="4631" width="4.42578125" style="24" bestFit="1" customWidth="1"/>
    <col min="4632" max="4632" width="6.42578125" style="24" customWidth="1"/>
    <col min="4633" max="4633" width="5" style="24" bestFit="1" customWidth="1"/>
    <col min="4634" max="4634" width="4.5703125" style="24" bestFit="1" customWidth="1"/>
    <col min="4635" max="4635" width="4.42578125" style="24" bestFit="1" customWidth="1"/>
    <col min="4636" max="4636" width="4" style="24" customWidth="1"/>
    <col min="4637" max="4864" width="11.42578125" style="24"/>
    <col min="4865" max="4865" width="14.85546875" style="24" bestFit="1" customWidth="1"/>
    <col min="4866" max="4866" width="28" style="24" bestFit="1" customWidth="1"/>
    <col min="4867" max="4867" width="4.42578125" style="24" bestFit="1" customWidth="1"/>
    <col min="4868" max="4868" width="8" style="24" bestFit="1" customWidth="1"/>
    <col min="4869" max="4869" width="11.42578125" style="24"/>
    <col min="4870" max="4870" width="22.85546875" style="24" bestFit="1" customWidth="1"/>
    <col min="4871" max="4871" width="7" style="24" customWidth="1"/>
    <col min="4872" max="4872" width="6.28515625" style="24" customWidth="1"/>
    <col min="4873" max="4873" width="5.7109375" style="24" customWidth="1"/>
    <col min="4874" max="4874" width="5.7109375" style="24" bestFit="1" customWidth="1"/>
    <col min="4875" max="4875" width="5.85546875" style="24" bestFit="1" customWidth="1"/>
    <col min="4876" max="4876" width="9.42578125" style="24" customWidth="1"/>
    <col min="4877" max="4877" width="5.140625" style="24" customWidth="1"/>
    <col min="4878" max="4878" width="9.7109375" style="24" customWidth="1"/>
    <col min="4879" max="4879" width="6.7109375" style="24" bestFit="1" customWidth="1"/>
    <col min="4880" max="4880" width="4.85546875" style="24" customWidth="1"/>
    <col min="4881" max="4881" width="5.28515625" style="24" customWidth="1"/>
    <col min="4882" max="4883" width="4.42578125" style="24" bestFit="1" customWidth="1"/>
    <col min="4884" max="4884" width="13.28515625" style="24" bestFit="1" customWidth="1"/>
    <col min="4885" max="4885" width="3.140625" style="24" customWidth="1"/>
    <col min="4886" max="4886" width="5.42578125" style="24" bestFit="1" customWidth="1"/>
    <col min="4887" max="4887" width="4.42578125" style="24" bestFit="1" customWidth="1"/>
    <col min="4888" max="4888" width="6.42578125" style="24" customWidth="1"/>
    <col min="4889" max="4889" width="5" style="24" bestFit="1" customWidth="1"/>
    <col min="4890" max="4890" width="4.5703125" style="24" bestFit="1" customWidth="1"/>
    <col min="4891" max="4891" width="4.42578125" style="24" bestFit="1" customWidth="1"/>
    <col min="4892" max="4892" width="4" style="24" customWidth="1"/>
    <col min="4893" max="5120" width="11.42578125" style="24"/>
    <col min="5121" max="5121" width="14.85546875" style="24" bestFit="1" customWidth="1"/>
    <col min="5122" max="5122" width="28" style="24" bestFit="1" customWidth="1"/>
    <col min="5123" max="5123" width="4.42578125" style="24" bestFit="1" customWidth="1"/>
    <col min="5124" max="5124" width="8" style="24" bestFit="1" customWidth="1"/>
    <col min="5125" max="5125" width="11.42578125" style="24"/>
    <col min="5126" max="5126" width="22.85546875" style="24" bestFit="1" customWidth="1"/>
    <col min="5127" max="5127" width="7" style="24" customWidth="1"/>
    <col min="5128" max="5128" width="6.28515625" style="24" customWidth="1"/>
    <col min="5129" max="5129" width="5.7109375" style="24" customWidth="1"/>
    <col min="5130" max="5130" width="5.7109375" style="24" bestFit="1" customWidth="1"/>
    <col min="5131" max="5131" width="5.85546875" style="24" bestFit="1" customWidth="1"/>
    <col min="5132" max="5132" width="9.42578125" style="24" customWidth="1"/>
    <col min="5133" max="5133" width="5.140625" style="24" customWidth="1"/>
    <col min="5134" max="5134" width="9.7109375" style="24" customWidth="1"/>
    <col min="5135" max="5135" width="6.7109375" style="24" bestFit="1" customWidth="1"/>
    <col min="5136" max="5136" width="4.85546875" style="24" customWidth="1"/>
    <col min="5137" max="5137" width="5.28515625" style="24" customWidth="1"/>
    <col min="5138" max="5139" width="4.42578125" style="24" bestFit="1" customWidth="1"/>
    <col min="5140" max="5140" width="13.28515625" style="24" bestFit="1" customWidth="1"/>
    <col min="5141" max="5141" width="3.140625" style="24" customWidth="1"/>
    <col min="5142" max="5142" width="5.42578125" style="24" bestFit="1" customWidth="1"/>
    <col min="5143" max="5143" width="4.42578125" style="24" bestFit="1" customWidth="1"/>
    <col min="5144" max="5144" width="6.42578125" style="24" customWidth="1"/>
    <col min="5145" max="5145" width="5" style="24" bestFit="1" customWidth="1"/>
    <col min="5146" max="5146" width="4.5703125" style="24" bestFit="1" customWidth="1"/>
    <col min="5147" max="5147" width="4.42578125" style="24" bestFit="1" customWidth="1"/>
    <col min="5148" max="5148" width="4" style="24" customWidth="1"/>
    <col min="5149" max="5376" width="11.42578125" style="24"/>
    <col min="5377" max="5377" width="14.85546875" style="24" bestFit="1" customWidth="1"/>
    <col min="5378" max="5378" width="28" style="24" bestFit="1" customWidth="1"/>
    <col min="5379" max="5379" width="4.42578125" style="24" bestFit="1" customWidth="1"/>
    <col min="5380" max="5380" width="8" style="24" bestFit="1" customWidth="1"/>
    <col min="5381" max="5381" width="11.42578125" style="24"/>
    <col min="5382" max="5382" width="22.85546875" style="24" bestFit="1" customWidth="1"/>
    <col min="5383" max="5383" width="7" style="24" customWidth="1"/>
    <col min="5384" max="5384" width="6.28515625" style="24" customWidth="1"/>
    <col min="5385" max="5385" width="5.7109375" style="24" customWidth="1"/>
    <col min="5386" max="5386" width="5.7109375" style="24" bestFit="1" customWidth="1"/>
    <col min="5387" max="5387" width="5.85546875" style="24" bestFit="1" customWidth="1"/>
    <col min="5388" max="5388" width="9.42578125" style="24" customWidth="1"/>
    <col min="5389" max="5389" width="5.140625" style="24" customWidth="1"/>
    <col min="5390" max="5390" width="9.7109375" style="24" customWidth="1"/>
    <col min="5391" max="5391" width="6.7109375" style="24" bestFit="1" customWidth="1"/>
    <col min="5392" max="5392" width="4.85546875" style="24" customWidth="1"/>
    <col min="5393" max="5393" width="5.28515625" style="24" customWidth="1"/>
    <col min="5394" max="5395" width="4.42578125" style="24" bestFit="1" customWidth="1"/>
    <col min="5396" max="5396" width="13.28515625" style="24" bestFit="1" customWidth="1"/>
    <col min="5397" max="5397" width="3.140625" style="24" customWidth="1"/>
    <col min="5398" max="5398" width="5.42578125" style="24" bestFit="1" customWidth="1"/>
    <col min="5399" max="5399" width="4.42578125" style="24" bestFit="1" customWidth="1"/>
    <col min="5400" max="5400" width="6.42578125" style="24" customWidth="1"/>
    <col min="5401" max="5401" width="5" style="24" bestFit="1" customWidth="1"/>
    <col min="5402" max="5402" width="4.5703125" style="24" bestFit="1" customWidth="1"/>
    <col min="5403" max="5403" width="4.42578125" style="24" bestFit="1" customWidth="1"/>
    <col min="5404" max="5404" width="4" style="24" customWidth="1"/>
    <col min="5405" max="5632" width="11.42578125" style="24"/>
    <col min="5633" max="5633" width="14.85546875" style="24" bestFit="1" customWidth="1"/>
    <col min="5634" max="5634" width="28" style="24" bestFit="1" customWidth="1"/>
    <col min="5635" max="5635" width="4.42578125" style="24" bestFit="1" customWidth="1"/>
    <col min="5636" max="5636" width="8" style="24" bestFit="1" customWidth="1"/>
    <col min="5637" max="5637" width="11.42578125" style="24"/>
    <col min="5638" max="5638" width="22.85546875" style="24" bestFit="1" customWidth="1"/>
    <col min="5639" max="5639" width="7" style="24" customWidth="1"/>
    <col min="5640" max="5640" width="6.28515625" style="24" customWidth="1"/>
    <col min="5641" max="5641" width="5.7109375" style="24" customWidth="1"/>
    <col min="5642" max="5642" width="5.7109375" style="24" bestFit="1" customWidth="1"/>
    <col min="5643" max="5643" width="5.85546875" style="24" bestFit="1" customWidth="1"/>
    <col min="5644" max="5644" width="9.42578125" style="24" customWidth="1"/>
    <col min="5645" max="5645" width="5.140625" style="24" customWidth="1"/>
    <col min="5646" max="5646" width="9.7109375" style="24" customWidth="1"/>
    <col min="5647" max="5647" width="6.7109375" style="24" bestFit="1" customWidth="1"/>
    <col min="5648" max="5648" width="4.85546875" style="24" customWidth="1"/>
    <col min="5649" max="5649" width="5.28515625" style="24" customWidth="1"/>
    <col min="5650" max="5651" width="4.42578125" style="24" bestFit="1" customWidth="1"/>
    <col min="5652" max="5652" width="13.28515625" style="24" bestFit="1" customWidth="1"/>
    <col min="5653" max="5653" width="3.140625" style="24" customWidth="1"/>
    <col min="5654" max="5654" width="5.42578125" style="24" bestFit="1" customWidth="1"/>
    <col min="5655" max="5655" width="4.42578125" style="24" bestFit="1" customWidth="1"/>
    <col min="5656" max="5656" width="6.42578125" style="24" customWidth="1"/>
    <col min="5657" max="5657" width="5" style="24" bestFit="1" customWidth="1"/>
    <col min="5658" max="5658" width="4.5703125" style="24" bestFit="1" customWidth="1"/>
    <col min="5659" max="5659" width="4.42578125" style="24" bestFit="1" customWidth="1"/>
    <col min="5660" max="5660" width="4" style="24" customWidth="1"/>
    <col min="5661" max="5888" width="11.42578125" style="24"/>
    <col min="5889" max="5889" width="14.85546875" style="24" bestFit="1" customWidth="1"/>
    <col min="5890" max="5890" width="28" style="24" bestFit="1" customWidth="1"/>
    <col min="5891" max="5891" width="4.42578125" style="24" bestFit="1" customWidth="1"/>
    <col min="5892" max="5892" width="8" style="24" bestFit="1" customWidth="1"/>
    <col min="5893" max="5893" width="11.42578125" style="24"/>
    <col min="5894" max="5894" width="22.85546875" style="24" bestFit="1" customWidth="1"/>
    <col min="5895" max="5895" width="7" style="24" customWidth="1"/>
    <col min="5896" max="5896" width="6.28515625" style="24" customWidth="1"/>
    <col min="5897" max="5897" width="5.7109375" style="24" customWidth="1"/>
    <col min="5898" max="5898" width="5.7109375" style="24" bestFit="1" customWidth="1"/>
    <col min="5899" max="5899" width="5.85546875" style="24" bestFit="1" customWidth="1"/>
    <col min="5900" max="5900" width="9.42578125" style="24" customWidth="1"/>
    <col min="5901" max="5901" width="5.140625" style="24" customWidth="1"/>
    <col min="5902" max="5902" width="9.7109375" style="24" customWidth="1"/>
    <col min="5903" max="5903" width="6.7109375" style="24" bestFit="1" customWidth="1"/>
    <col min="5904" max="5904" width="4.85546875" style="24" customWidth="1"/>
    <col min="5905" max="5905" width="5.28515625" style="24" customWidth="1"/>
    <col min="5906" max="5907" width="4.42578125" style="24" bestFit="1" customWidth="1"/>
    <col min="5908" max="5908" width="13.28515625" style="24" bestFit="1" customWidth="1"/>
    <col min="5909" max="5909" width="3.140625" style="24" customWidth="1"/>
    <col min="5910" max="5910" width="5.42578125" style="24" bestFit="1" customWidth="1"/>
    <col min="5911" max="5911" width="4.42578125" style="24" bestFit="1" customWidth="1"/>
    <col min="5912" max="5912" width="6.42578125" style="24" customWidth="1"/>
    <col min="5913" max="5913" width="5" style="24" bestFit="1" customWidth="1"/>
    <col min="5914" max="5914" width="4.5703125" style="24" bestFit="1" customWidth="1"/>
    <col min="5915" max="5915" width="4.42578125" style="24" bestFit="1" customWidth="1"/>
    <col min="5916" max="5916" width="4" style="24" customWidth="1"/>
    <col min="5917" max="6144" width="11.42578125" style="24"/>
    <col min="6145" max="6145" width="14.85546875" style="24" bestFit="1" customWidth="1"/>
    <col min="6146" max="6146" width="28" style="24" bestFit="1" customWidth="1"/>
    <col min="6147" max="6147" width="4.42578125" style="24" bestFit="1" customWidth="1"/>
    <col min="6148" max="6148" width="8" style="24" bestFit="1" customWidth="1"/>
    <col min="6149" max="6149" width="11.42578125" style="24"/>
    <col min="6150" max="6150" width="22.85546875" style="24" bestFit="1" customWidth="1"/>
    <col min="6151" max="6151" width="7" style="24" customWidth="1"/>
    <col min="6152" max="6152" width="6.28515625" style="24" customWidth="1"/>
    <col min="6153" max="6153" width="5.7109375" style="24" customWidth="1"/>
    <col min="6154" max="6154" width="5.7109375" style="24" bestFit="1" customWidth="1"/>
    <col min="6155" max="6155" width="5.85546875" style="24" bestFit="1" customWidth="1"/>
    <col min="6156" max="6156" width="9.42578125" style="24" customWidth="1"/>
    <col min="6157" max="6157" width="5.140625" style="24" customWidth="1"/>
    <col min="6158" max="6158" width="9.7109375" style="24" customWidth="1"/>
    <col min="6159" max="6159" width="6.7109375" style="24" bestFit="1" customWidth="1"/>
    <col min="6160" max="6160" width="4.85546875" style="24" customWidth="1"/>
    <col min="6161" max="6161" width="5.28515625" style="24" customWidth="1"/>
    <col min="6162" max="6163" width="4.42578125" style="24" bestFit="1" customWidth="1"/>
    <col min="6164" max="6164" width="13.28515625" style="24" bestFit="1" customWidth="1"/>
    <col min="6165" max="6165" width="3.140625" style="24" customWidth="1"/>
    <col min="6166" max="6166" width="5.42578125" style="24" bestFit="1" customWidth="1"/>
    <col min="6167" max="6167" width="4.42578125" style="24" bestFit="1" customWidth="1"/>
    <col min="6168" max="6168" width="6.42578125" style="24" customWidth="1"/>
    <col min="6169" max="6169" width="5" style="24" bestFit="1" customWidth="1"/>
    <col min="6170" max="6170" width="4.5703125" style="24" bestFit="1" customWidth="1"/>
    <col min="6171" max="6171" width="4.42578125" style="24" bestFit="1" customWidth="1"/>
    <col min="6172" max="6172" width="4" style="24" customWidth="1"/>
    <col min="6173" max="6400" width="11.42578125" style="24"/>
    <col min="6401" max="6401" width="14.85546875" style="24" bestFit="1" customWidth="1"/>
    <col min="6402" max="6402" width="28" style="24" bestFit="1" customWidth="1"/>
    <col min="6403" max="6403" width="4.42578125" style="24" bestFit="1" customWidth="1"/>
    <col min="6404" max="6404" width="8" style="24" bestFit="1" customWidth="1"/>
    <col min="6405" max="6405" width="11.42578125" style="24"/>
    <col min="6406" max="6406" width="22.85546875" style="24" bestFit="1" customWidth="1"/>
    <col min="6407" max="6407" width="7" style="24" customWidth="1"/>
    <col min="6408" max="6408" width="6.28515625" style="24" customWidth="1"/>
    <col min="6409" max="6409" width="5.7109375" style="24" customWidth="1"/>
    <col min="6410" max="6410" width="5.7109375" style="24" bestFit="1" customWidth="1"/>
    <col min="6411" max="6411" width="5.85546875" style="24" bestFit="1" customWidth="1"/>
    <col min="6412" max="6412" width="9.42578125" style="24" customWidth="1"/>
    <col min="6413" max="6413" width="5.140625" style="24" customWidth="1"/>
    <col min="6414" max="6414" width="9.7109375" style="24" customWidth="1"/>
    <col min="6415" max="6415" width="6.7109375" style="24" bestFit="1" customWidth="1"/>
    <col min="6416" max="6416" width="4.85546875" style="24" customWidth="1"/>
    <col min="6417" max="6417" width="5.28515625" style="24" customWidth="1"/>
    <col min="6418" max="6419" width="4.42578125" style="24" bestFit="1" customWidth="1"/>
    <col min="6420" max="6420" width="13.28515625" style="24" bestFit="1" customWidth="1"/>
    <col min="6421" max="6421" width="3.140625" style="24" customWidth="1"/>
    <col min="6422" max="6422" width="5.42578125" style="24" bestFit="1" customWidth="1"/>
    <col min="6423" max="6423" width="4.42578125" style="24" bestFit="1" customWidth="1"/>
    <col min="6424" max="6424" width="6.42578125" style="24" customWidth="1"/>
    <col min="6425" max="6425" width="5" style="24" bestFit="1" customWidth="1"/>
    <col min="6426" max="6426" width="4.5703125" style="24" bestFit="1" customWidth="1"/>
    <col min="6427" max="6427" width="4.42578125" style="24" bestFit="1" customWidth="1"/>
    <col min="6428" max="6428" width="4" style="24" customWidth="1"/>
    <col min="6429" max="6656" width="11.42578125" style="24"/>
    <col min="6657" max="6657" width="14.85546875" style="24" bestFit="1" customWidth="1"/>
    <col min="6658" max="6658" width="28" style="24" bestFit="1" customWidth="1"/>
    <col min="6659" max="6659" width="4.42578125" style="24" bestFit="1" customWidth="1"/>
    <col min="6660" max="6660" width="8" style="24" bestFit="1" customWidth="1"/>
    <col min="6661" max="6661" width="11.42578125" style="24"/>
    <col min="6662" max="6662" width="22.85546875" style="24" bestFit="1" customWidth="1"/>
    <col min="6663" max="6663" width="7" style="24" customWidth="1"/>
    <col min="6664" max="6664" width="6.28515625" style="24" customWidth="1"/>
    <col min="6665" max="6665" width="5.7109375" style="24" customWidth="1"/>
    <col min="6666" max="6666" width="5.7109375" style="24" bestFit="1" customWidth="1"/>
    <col min="6667" max="6667" width="5.85546875" style="24" bestFit="1" customWidth="1"/>
    <col min="6668" max="6668" width="9.42578125" style="24" customWidth="1"/>
    <col min="6669" max="6669" width="5.140625" style="24" customWidth="1"/>
    <col min="6670" max="6670" width="9.7109375" style="24" customWidth="1"/>
    <col min="6671" max="6671" width="6.7109375" style="24" bestFit="1" customWidth="1"/>
    <col min="6672" max="6672" width="4.85546875" style="24" customWidth="1"/>
    <col min="6673" max="6673" width="5.28515625" style="24" customWidth="1"/>
    <col min="6674" max="6675" width="4.42578125" style="24" bestFit="1" customWidth="1"/>
    <col min="6676" max="6676" width="13.28515625" style="24" bestFit="1" customWidth="1"/>
    <col min="6677" max="6677" width="3.140625" style="24" customWidth="1"/>
    <col min="6678" max="6678" width="5.42578125" style="24" bestFit="1" customWidth="1"/>
    <col min="6679" max="6679" width="4.42578125" style="24" bestFit="1" customWidth="1"/>
    <col min="6680" max="6680" width="6.42578125" style="24" customWidth="1"/>
    <col min="6681" max="6681" width="5" style="24" bestFit="1" customWidth="1"/>
    <col min="6682" max="6682" width="4.5703125" style="24" bestFit="1" customWidth="1"/>
    <col min="6683" max="6683" width="4.42578125" style="24" bestFit="1" customWidth="1"/>
    <col min="6684" max="6684" width="4" style="24" customWidth="1"/>
    <col min="6685" max="6912" width="11.42578125" style="24"/>
    <col min="6913" max="6913" width="14.85546875" style="24" bestFit="1" customWidth="1"/>
    <col min="6914" max="6914" width="28" style="24" bestFit="1" customWidth="1"/>
    <col min="6915" max="6915" width="4.42578125" style="24" bestFit="1" customWidth="1"/>
    <col min="6916" max="6916" width="8" style="24" bestFit="1" customWidth="1"/>
    <col min="6917" max="6917" width="11.42578125" style="24"/>
    <col min="6918" max="6918" width="22.85546875" style="24" bestFit="1" customWidth="1"/>
    <col min="6919" max="6919" width="7" style="24" customWidth="1"/>
    <col min="6920" max="6920" width="6.28515625" style="24" customWidth="1"/>
    <col min="6921" max="6921" width="5.7109375" style="24" customWidth="1"/>
    <col min="6922" max="6922" width="5.7109375" style="24" bestFit="1" customWidth="1"/>
    <col min="6923" max="6923" width="5.85546875" style="24" bestFit="1" customWidth="1"/>
    <col min="6924" max="6924" width="9.42578125" style="24" customWidth="1"/>
    <col min="6925" max="6925" width="5.140625" style="24" customWidth="1"/>
    <col min="6926" max="6926" width="9.7109375" style="24" customWidth="1"/>
    <col min="6927" max="6927" width="6.7109375" style="24" bestFit="1" customWidth="1"/>
    <col min="6928" max="6928" width="4.85546875" style="24" customWidth="1"/>
    <col min="6929" max="6929" width="5.28515625" style="24" customWidth="1"/>
    <col min="6930" max="6931" width="4.42578125" style="24" bestFit="1" customWidth="1"/>
    <col min="6932" max="6932" width="13.28515625" style="24" bestFit="1" customWidth="1"/>
    <col min="6933" max="6933" width="3.140625" style="24" customWidth="1"/>
    <col min="6934" max="6934" width="5.42578125" style="24" bestFit="1" customWidth="1"/>
    <col min="6935" max="6935" width="4.42578125" style="24" bestFit="1" customWidth="1"/>
    <col min="6936" max="6936" width="6.42578125" style="24" customWidth="1"/>
    <col min="6937" max="6937" width="5" style="24" bestFit="1" customWidth="1"/>
    <col min="6938" max="6938" width="4.5703125" style="24" bestFit="1" customWidth="1"/>
    <col min="6939" max="6939" width="4.42578125" style="24" bestFit="1" customWidth="1"/>
    <col min="6940" max="6940" width="4" style="24" customWidth="1"/>
    <col min="6941" max="7168" width="11.42578125" style="24"/>
    <col min="7169" max="7169" width="14.85546875" style="24" bestFit="1" customWidth="1"/>
    <col min="7170" max="7170" width="28" style="24" bestFit="1" customWidth="1"/>
    <col min="7171" max="7171" width="4.42578125" style="24" bestFit="1" customWidth="1"/>
    <col min="7172" max="7172" width="8" style="24" bestFit="1" customWidth="1"/>
    <col min="7173" max="7173" width="11.42578125" style="24"/>
    <col min="7174" max="7174" width="22.85546875" style="24" bestFit="1" customWidth="1"/>
    <col min="7175" max="7175" width="7" style="24" customWidth="1"/>
    <col min="7176" max="7176" width="6.28515625" style="24" customWidth="1"/>
    <col min="7177" max="7177" width="5.7109375" style="24" customWidth="1"/>
    <col min="7178" max="7178" width="5.7109375" style="24" bestFit="1" customWidth="1"/>
    <col min="7179" max="7179" width="5.85546875" style="24" bestFit="1" customWidth="1"/>
    <col min="7180" max="7180" width="9.42578125" style="24" customWidth="1"/>
    <col min="7181" max="7181" width="5.140625" style="24" customWidth="1"/>
    <col min="7182" max="7182" width="9.7109375" style="24" customWidth="1"/>
    <col min="7183" max="7183" width="6.7109375" style="24" bestFit="1" customWidth="1"/>
    <col min="7184" max="7184" width="4.85546875" style="24" customWidth="1"/>
    <col min="7185" max="7185" width="5.28515625" style="24" customWidth="1"/>
    <col min="7186" max="7187" width="4.42578125" style="24" bestFit="1" customWidth="1"/>
    <col min="7188" max="7188" width="13.28515625" style="24" bestFit="1" customWidth="1"/>
    <col min="7189" max="7189" width="3.140625" style="24" customWidth="1"/>
    <col min="7190" max="7190" width="5.42578125" style="24" bestFit="1" customWidth="1"/>
    <col min="7191" max="7191" width="4.42578125" style="24" bestFit="1" customWidth="1"/>
    <col min="7192" max="7192" width="6.42578125" style="24" customWidth="1"/>
    <col min="7193" max="7193" width="5" style="24" bestFit="1" customWidth="1"/>
    <col min="7194" max="7194" width="4.5703125" style="24" bestFit="1" customWidth="1"/>
    <col min="7195" max="7195" width="4.42578125" style="24" bestFit="1" customWidth="1"/>
    <col min="7196" max="7196" width="4" style="24" customWidth="1"/>
    <col min="7197" max="7424" width="11.42578125" style="24"/>
    <col min="7425" max="7425" width="14.85546875" style="24" bestFit="1" customWidth="1"/>
    <col min="7426" max="7426" width="28" style="24" bestFit="1" customWidth="1"/>
    <col min="7427" max="7427" width="4.42578125" style="24" bestFit="1" customWidth="1"/>
    <col min="7428" max="7428" width="8" style="24" bestFit="1" customWidth="1"/>
    <col min="7429" max="7429" width="11.42578125" style="24"/>
    <col min="7430" max="7430" width="22.85546875" style="24" bestFit="1" customWidth="1"/>
    <col min="7431" max="7431" width="7" style="24" customWidth="1"/>
    <col min="7432" max="7432" width="6.28515625" style="24" customWidth="1"/>
    <col min="7433" max="7433" width="5.7109375" style="24" customWidth="1"/>
    <col min="7434" max="7434" width="5.7109375" style="24" bestFit="1" customWidth="1"/>
    <col min="7435" max="7435" width="5.85546875" style="24" bestFit="1" customWidth="1"/>
    <col min="7436" max="7436" width="9.42578125" style="24" customWidth="1"/>
    <col min="7437" max="7437" width="5.140625" style="24" customWidth="1"/>
    <col min="7438" max="7438" width="9.7109375" style="24" customWidth="1"/>
    <col min="7439" max="7439" width="6.7109375" style="24" bestFit="1" customWidth="1"/>
    <col min="7440" max="7440" width="4.85546875" style="24" customWidth="1"/>
    <col min="7441" max="7441" width="5.28515625" style="24" customWidth="1"/>
    <col min="7442" max="7443" width="4.42578125" style="24" bestFit="1" customWidth="1"/>
    <col min="7444" max="7444" width="13.28515625" style="24" bestFit="1" customWidth="1"/>
    <col min="7445" max="7445" width="3.140625" style="24" customWidth="1"/>
    <col min="7446" max="7446" width="5.42578125" style="24" bestFit="1" customWidth="1"/>
    <col min="7447" max="7447" width="4.42578125" style="24" bestFit="1" customWidth="1"/>
    <col min="7448" max="7448" width="6.42578125" style="24" customWidth="1"/>
    <col min="7449" max="7449" width="5" style="24" bestFit="1" customWidth="1"/>
    <col min="7450" max="7450" width="4.5703125" style="24" bestFit="1" customWidth="1"/>
    <col min="7451" max="7451" width="4.42578125" style="24" bestFit="1" customWidth="1"/>
    <col min="7452" max="7452" width="4" style="24" customWidth="1"/>
    <col min="7453" max="7680" width="11.42578125" style="24"/>
    <col min="7681" max="7681" width="14.85546875" style="24" bestFit="1" customWidth="1"/>
    <col min="7682" max="7682" width="28" style="24" bestFit="1" customWidth="1"/>
    <col min="7683" max="7683" width="4.42578125" style="24" bestFit="1" customWidth="1"/>
    <col min="7684" max="7684" width="8" style="24" bestFit="1" customWidth="1"/>
    <col min="7685" max="7685" width="11.42578125" style="24"/>
    <col min="7686" max="7686" width="22.85546875" style="24" bestFit="1" customWidth="1"/>
    <col min="7687" max="7687" width="7" style="24" customWidth="1"/>
    <col min="7688" max="7688" width="6.28515625" style="24" customWidth="1"/>
    <col min="7689" max="7689" width="5.7109375" style="24" customWidth="1"/>
    <col min="7690" max="7690" width="5.7109375" style="24" bestFit="1" customWidth="1"/>
    <col min="7691" max="7691" width="5.85546875" style="24" bestFit="1" customWidth="1"/>
    <col min="7692" max="7692" width="9.42578125" style="24" customWidth="1"/>
    <col min="7693" max="7693" width="5.140625" style="24" customWidth="1"/>
    <col min="7694" max="7694" width="9.7109375" style="24" customWidth="1"/>
    <col min="7695" max="7695" width="6.7109375" style="24" bestFit="1" customWidth="1"/>
    <col min="7696" max="7696" width="4.85546875" style="24" customWidth="1"/>
    <col min="7697" max="7697" width="5.28515625" style="24" customWidth="1"/>
    <col min="7698" max="7699" width="4.42578125" style="24" bestFit="1" customWidth="1"/>
    <col min="7700" max="7700" width="13.28515625" style="24" bestFit="1" customWidth="1"/>
    <col min="7701" max="7701" width="3.140625" style="24" customWidth="1"/>
    <col min="7702" max="7702" width="5.42578125" style="24" bestFit="1" customWidth="1"/>
    <col min="7703" max="7703" width="4.42578125" style="24" bestFit="1" customWidth="1"/>
    <col min="7704" max="7704" width="6.42578125" style="24" customWidth="1"/>
    <col min="7705" max="7705" width="5" style="24" bestFit="1" customWidth="1"/>
    <col min="7706" max="7706" width="4.5703125" style="24" bestFit="1" customWidth="1"/>
    <col min="7707" max="7707" width="4.42578125" style="24" bestFit="1" customWidth="1"/>
    <col min="7708" max="7708" width="4" style="24" customWidth="1"/>
    <col min="7709" max="7936" width="11.42578125" style="24"/>
    <col min="7937" max="7937" width="14.85546875" style="24" bestFit="1" customWidth="1"/>
    <col min="7938" max="7938" width="28" style="24" bestFit="1" customWidth="1"/>
    <col min="7939" max="7939" width="4.42578125" style="24" bestFit="1" customWidth="1"/>
    <col min="7940" max="7940" width="8" style="24" bestFit="1" customWidth="1"/>
    <col min="7941" max="7941" width="11.42578125" style="24"/>
    <col min="7942" max="7942" width="22.85546875" style="24" bestFit="1" customWidth="1"/>
    <col min="7943" max="7943" width="7" style="24" customWidth="1"/>
    <col min="7944" max="7944" width="6.28515625" style="24" customWidth="1"/>
    <col min="7945" max="7945" width="5.7109375" style="24" customWidth="1"/>
    <col min="7946" max="7946" width="5.7109375" style="24" bestFit="1" customWidth="1"/>
    <col min="7947" max="7947" width="5.85546875" style="24" bestFit="1" customWidth="1"/>
    <col min="7948" max="7948" width="9.42578125" style="24" customWidth="1"/>
    <col min="7949" max="7949" width="5.140625" style="24" customWidth="1"/>
    <col min="7950" max="7950" width="9.7109375" style="24" customWidth="1"/>
    <col min="7951" max="7951" width="6.7109375" style="24" bestFit="1" customWidth="1"/>
    <col min="7952" max="7952" width="4.85546875" style="24" customWidth="1"/>
    <col min="7953" max="7953" width="5.28515625" style="24" customWidth="1"/>
    <col min="7954" max="7955" width="4.42578125" style="24" bestFit="1" customWidth="1"/>
    <col min="7956" max="7956" width="13.28515625" style="24" bestFit="1" customWidth="1"/>
    <col min="7957" max="7957" width="3.140625" style="24" customWidth="1"/>
    <col min="7958" max="7958" width="5.42578125" style="24" bestFit="1" customWidth="1"/>
    <col min="7959" max="7959" width="4.42578125" style="24" bestFit="1" customWidth="1"/>
    <col min="7960" max="7960" width="6.42578125" style="24" customWidth="1"/>
    <col min="7961" max="7961" width="5" style="24" bestFit="1" customWidth="1"/>
    <col min="7962" max="7962" width="4.5703125" style="24" bestFit="1" customWidth="1"/>
    <col min="7963" max="7963" width="4.42578125" style="24" bestFit="1" customWidth="1"/>
    <col min="7964" max="7964" width="4" style="24" customWidth="1"/>
    <col min="7965" max="8192" width="11.42578125" style="24"/>
    <col min="8193" max="8193" width="14.85546875" style="24" bestFit="1" customWidth="1"/>
    <col min="8194" max="8194" width="28" style="24" bestFit="1" customWidth="1"/>
    <col min="8195" max="8195" width="4.42578125" style="24" bestFit="1" customWidth="1"/>
    <col min="8196" max="8196" width="8" style="24" bestFit="1" customWidth="1"/>
    <col min="8197" max="8197" width="11.42578125" style="24"/>
    <col min="8198" max="8198" width="22.85546875" style="24" bestFit="1" customWidth="1"/>
    <col min="8199" max="8199" width="7" style="24" customWidth="1"/>
    <col min="8200" max="8200" width="6.28515625" style="24" customWidth="1"/>
    <col min="8201" max="8201" width="5.7109375" style="24" customWidth="1"/>
    <col min="8202" max="8202" width="5.7109375" style="24" bestFit="1" customWidth="1"/>
    <col min="8203" max="8203" width="5.85546875" style="24" bestFit="1" customWidth="1"/>
    <col min="8204" max="8204" width="9.42578125" style="24" customWidth="1"/>
    <col min="8205" max="8205" width="5.140625" style="24" customWidth="1"/>
    <col min="8206" max="8206" width="9.7109375" style="24" customWidth="1"/>
    <col min="8207" max="8207" width="6.7109375" style="24" bestFit="1" customWidth="1"/>
    <col min="8208" max="8208" width="4.85546875" style="24" customWidth="1"/>
    <col min="8209" max="8209" width="5.28515625" style="24" customWidth="1"/>
    <col min="8210" max="8211" width="4.42578125" style="24" bestFit="1" customWidth="1"/>
    <col min="8212" max="8212" width="13.28515625" style="24" bestFit="1" customWidth="1"/>
    <col min="8213" max="8213" width="3.140625" style="24" customWidth="1"/>
    <col min="8214" max="8214" width="5.42578125" style="24" bestFit="1" customWidth="1"/>
    <col min="8215" max="8215" width="4.42578125" style="24" bestFit="1" customWidth="1"/>
    <col min="8216" max="8216" width="6.42578125" style="24" customWidth="1"/>
    <col min="8217" max="8217" width="5" style="24" bestFit="1" customWidth="1"/>
    <col min="8218" max="8218" width="4.5703125" style="24" bestFit="1" customWidth="1"/>
    <col min="8219" max="8219" width="4.42578125" style="24" bestFit="1" customWidth="1"/>
    <col min="8220" max="8220" width="4" style="24" customWidth="1"/>
    <col min="8221" max="8448" width="11.42578125" style="24"/>
    <col min="8449" max="8449" width="14.85546875" style="24" bestFit="1" customWidth="1"/>
    <col min="8450" max="8450" width="28" style="24" bestFit="1" customWidth="1"/>
    <col min="8451" max="8451" width="4.42578125" style="24" bestFit="1" customWidth="1"/>
    <col min="8452" max="8452" width="8" style="24" bestFit="1" customWidth="1"/>
    <col min="8453" max="8453" width="11.42578125" style="24"/>
    <col min="8454" max="8454" width="22.85546875" style="24" bestFit="1" customWidth="1"/>
    <col min="8455" max="8455" width="7" style="24" customWidth="1"/>
    <col min="8456" max="8456" width="6.28515625" style="24" customWidth="1"/>
    <col min="8457" max="8457" width="5.7109375" style="24" customWidth="1"/>
    <col min="8458" max="8458" width="5.7109375" style="24" bestFit="1" customWidth="1"/>
    <col min="8459" max="8459" width="5.85546875" style="24" bestFit="1" customWidth="1"/>
    <col min="8460" max="8460" width="9.42578125" style="24" customWidth="1"/>
    <col min="8461" max="8461" width="5.140625" style="24" customWidth="1"/>
    <col min="8462" max="8462" width="9.7109375" style="24" customWidth="1"/>
    <col min="8463" max="8463" width="6.7109375" style="24" bestFit="1" customWidth="1"/>
    <col min="8464" max="8464" width="4.85546875" style="24" customWidth="1"/>
    <col min="8465" max="8465" width="5.28515625" style="24" customWidth="1"/>
    <col min="8466" max="8467" width="4.42578125" style="24" bestFit="1" customWidth="1"/>
    <col min="8468" max="8468" width="13.28515625" style="24" bestFit="1" customWidth="1"/>
    <col min="8469" max="8469" width="3.140625" style="24" customWidth="1"/>
    <col min="8470" max="8470" width="5.42578125" style="24" bestFit="1" customWidth="1"/>
    <col min="8471" max="8471" width="4.42578125" style="24" bestFit="1" customWidth="1"/>
    <col min="8472" max="8472" width="6.42578125" style="24" customWidth="1"/>
    <col min="8473" max="8473" width="5" style="24" bestFit="1" customWidth="1"/>
    <col min="8474" max="8474" width="4.5703125" style="24" bestFit="1" customWidth="1"/>
    <col min="8475" max="8475" width="4.42578125" style="24" bestFit="1" customWidth="1"/>
    <col min="8476" max="8476" width="4" style="24" customWidth="1"/>
    <col min="8477" max="8704" width="11.42578125" style="24"/>
    <col min="8705" max="8705" width="14.85546875" style="24" bestFit="1" customWidth="1"/>
    <col min="8706" max="8706" width="28" style="24" bestFit="1" customWidth="1"/>
    <col min="8707" max="8707" width="4.42578125" style="24" bestFit="1" customWidth="1"/>
    <col min="8708" max="8708" width="8" style="24" bestFit="1" customWidth="1"/>
    <col min="8709" max="8709" width="11.42578125" style="24"/>
    <col min="8710" max="8710" width="22.85546875" style="24" bestFit="1" customWidth="1"/>
    <col min="8711" max="8711" width="7" style="24" customWidth="1"/>
    <col min="8712" max="8712" width="6.28515625" style="24" customWidth="1"/>
    <col min="8713" max="8713" width="5.7109375" style="24" customWidth="1"/>
    <col min="8714" max="8714" width="5.7109375" style="24" bestFit="1" customWidth="1"/>
    <col min="8715" max="8715" width="5.85546875" style="24" bestFit="1" customWidth="1"/>
    <col min="8716" max="8716" width="9.42578125" style="24" customWidth="1"/>
    <col min="8717" max="8717" width="5.140625" style="24" customWidth="1"/>
    <col min="8718" max="8718" width="9.7109375" style="24" customWidth="1"/>
    <col min="8719" max="8719" width="6.7109375" style="24" bestFit="1" customWidth="1"/>
    <col min="8720" max="8720" width="4.85546875" style="24" customWidth="1"/>
    <col min="8721" max="8721" width="5.28515625" style="24" customWidth="1"/>
    <col min="8722" max="8723" width="4.42578125" style="24" bestFit="1" customWidth="1"/>
    <col min="8724" max="8724" width="13.28515625" style="24" bestFit="1" customWidth="1"/>
    <col min="8725" max="8725" width="3.140625" style="24" customWidth="1"/>
    <col min="8726" max="8726" width="5.42578125" style="24" bestFit="1" customWidth="1"/>
    <col min="8727" max="8727" width="4.42578125" style="24" bestFit="1" customWidth="1"/>
    <col min="8728" max="8728" width="6.42578125" style="24" customWidth="1"/>
    <col min="8729" max="8729" width="5" style="24" bestFit="1" customWidth="1"/>
    <col min="8730" max="8730" width="4.5703125" style="24" bestFit="1" customWidth="1"/>
    <col min="8731" max="8731" width="4.42578125" style="24" bestFit="1" customWidth="1"/>
    <col min="8732" max="8732" width="4" style="24" customWidth="1"/>
    <col min="8733" max="8960" width="11.42578125" style="24"/>
    <col min="8961" max="8961" width="14.85546875" style="24" bestFit="1" customWidth="1"/>
    <col min="8962" max="8962" width="28" style="24" bestFit="1" customWidth="1"/>
    <col min="8963" max="8963" width="4.42578125" style="24" bestFit="1" customWidth="1"/>
    <col min="8964" max="8964" width="8" style="24" bestFit="1" customWidth="1"/>
    <col min="8965" max="8965" width="11.42578125" style="24"/>
    <col min="8966" max="8966" width="22.85546875" style="24" bestFit="1" customWidth="1"/>
    <col min="8967" max="8967" width="7" style="24" customWidth="1"/>
    <col min="8968" max="8968" width="6.28515625" style="24" customWidth="1"/>
    <col min="8969" max="8969" width="5.7109375" style="24" customWidth="1"/>
    <col min="8970" max="8970" width="5.7109375" style="24" bestFit="1" customWidth="1"/>
    <col min="8971" max="8971" width="5.85546875" style="24" bestFit="1" customWidth="1"/>
    <col min="8972" max="8972" width="9.42578125" style="24" customWidth="1"/>
    <col min="8973" max="8973" width="5.140625" style="24" customWidth="1"/>
    <col min="8974" max="8974" width="9.7109375" style="24" customWidth="1"/>
    <col min="8975" max="8975" width="6.7109375" style="24" bestFit="1" customWidth="1"/>
    <col min="8976" max="8976" width="4.85546875" style="24" customWidth="1"/>
    <col min="8977" max="8977" width="5.28515625" style="24" customWidth="1"/>
    <col min="8978" max="8979" width="4.42578125" style="24" bestFit="1" customWidth="1"/>
    <col min="8980" max="8980" width="13.28515625" style="24" bestFit="1" customWidth="1"/>
    <col min="8981" max="8981" width="3.140625" style="24" customWidth="1"/>
    <col min="8982" max="8982" width="5.42578125" style="24" bestFit="1" customWidth="1"/>
    <col min="8983" max="8983" width="4.42578125" style="24" bestFit="1" customWidth="1"/>
    <col min="8984" max="8984" width="6.42578125" style="24" customWidth="1"/>
    <col min="8985" max="8985" width="5" style="24" bestFit="1" customWidth="1"/>
    <col min="8986" max="8986" width="4.5703125" style="24" bestFit="1" customWidth="1"/>
    <col min="8987" max="8987" width="4.42578125" style="24" bestFit="1" customWidth="1"/>
    <col min="8988" max="8988" width="4" style="24" customWidth="1"/>
    <col min="8989" max="9216" width="11.42578125" style="24"/>
    <col min="9217" max="9217" width="14.85546875" style="24" bestFit="1" customWidth="1"/>
    <col min="9218" max="9218" width="28" style="24" bestFit="1" customWidth="1"/>
    <col min="9219" max="9219" width="4.42578125" style="24" bestFit="1" customWidth="1"/>
    <col min="9220" max="9220" width="8" style="24" bestFit="1" customWidth="1"/>
    <col min="9221" max="9221" width="11.42578125" style="24"/>
    <col min="9222" max="9222" width="22.85546875" style="24" bestFit="1" customWidth="1"/>
    <col min="9223" max="9223" width="7" style="24" customWidth="1"/>
    <col min="9224" max="9224" width="6.28515625" style="24" customWidth="1"/>
    <col min="9225" max="9225" width="5.7109375" style="24" customWidth="1"/>
    <col min="9226" max="9226" width="5.7109375" style="24" bestFit="1" customWidth="1"/>
    <col min="9227" max="9227" width="5.85546875" style="24" bestFit="1" customWidth="1"/>
    <col min="9228" max="9228" width="9.42578125" style="24" customWidth="1"/>
    <col min="9229" max="9229" width="5.140625" style="24" customWidth="1"/>
    <col min="9230" max="9230" width="9.7109375" style="24" customWidth="1"/>
    <col min="9231" max="9231" width="6.7109375" style="24" bestFit="1" customWidth="1"/>
    <col min="9232" max="9232" width="4.85546875" style="24" customWidth="1"/>
    <col min="9233" max="9233" width="5.28515625" style="24" customWidth="1"/>
    <col min="9234" max="9235" width="4.42578125" style="24" bestFit="1" customWidth="1"/>
    <col min="9236" max="9236" width="13.28515625" style="24" bestFit="1" customWidth="1"/>
    <col min="9237" max="9237" width="3.140625" style="24" customWidth="1"/>
    <col min="9238" max="9238" width="5.42578125" style="24" bestFit="1" customWidth="1"/>
    <col min="9239" max="9239" width="4.42578125" style="24" bestFit="1" customWidth="1"/>
    <col min="9240" max="9240" width="6.42578125" style="24" customWidth="1"/>
    <col min="9241" max="9241" width="5" style="24" bestFit="1" customWidth="1"/>
    <col min="9242" max="9242" width="4.5703125" style="24" bestFit="1" customWidth="1"/>
    <col min="9243" max="9243" width="4.42578125" style="24" bestFit="1" customWidth="1"/>
    <col min="9244" max="9244" width="4" style="24" customWidth="1"/>
    <col min="9245" max="9472" width="11.42578125" style="24"/>
    <col min="9473" max="9473" width="14.85546875" style="24" bestFit="1" customWidth="1"/>
    <col min="9474" max="9474" width="28" style="24" bestFit="1" customWidth="1"/>
    <col min="9475" max="9475" width="4.42578125" style="24" bestFit="1" customWidth="1"/>
    <col min="9476" max="9476" width="8" style="24" bestFit="1" customWidth="1"/>
    <col min="9477" max="9477" width="11.42578125" style="24"/>
    <col min="9478" max="9478" width="22.85546875" style="24" bestFit="1" customWidth="1"/>
    <col min="9479" max="9479" width="7" style="24" customWidth="1"/>
    <col min="9480" max="9480" width="6.28515625" style="24" customWidth="1"/>
    <col min="9481" max="9481" width="5.7109375" style="24" customWidth="1"/>
    <col min="9482" max="9482" width="5.7109375" style="24" bestFit="1" customWidth="1"/>
    <col min="9483" max="9483" width="5.85546875" style="24" bestFit="1" customWidth="1"/>
    <col min="9484" max="9484" width="9.42578125" style="24" customWidth="1"/>
    <col min="9485" max="9485" width="5.140625" style="24" customWidth="1"/>
    <col min="9486" max="9486" width="9.7109375" style="24" customWidth="1"/>
    <col min="9487" max="9487" width="6.7109375" style="24" bestFit="1" customWidth="1"/>
    <col min="9488" max="9488" width="4.85546875" style="24" customWidth="1"/>
    <col min="9489" max="9489" width="5.28515625" style="24" customWidth="1"/>
    <col min="9490" max="9491" width="4.42578125" style="24" bestFit="1" customWidth="1"/>
    <col min="9492" max="9492" width="13.28515625" style="24" bestFit="1" customWidth="1"/>
    <col min="9493" max="9493" width="3.140625" style="24" customWidth="1"/>
    <col min="9494" max="9494" width="5.42578125" style="24" bestFit="1" customWidth="1"/>
    <col min="9495" max="9495" width="4.42578125" style="24" bestFit="1" customWidth="1"/>
    <col min="9496" max="9496" width="6.42578125" style="24" customWidth="1"/>
    <col min="9497" max="9497" width="5" style="24" bestFit="1" customWidth="1"/>
    <col min="9498" max="9498" width="4.5703125" style="24" bestFit="1" customWidth="1"/>
    <col min="9499" max="9499" width="4.42578125" style="24" bestFit="1" customWidth="1"/>
    <col min="9500" max="9500" width="4" style="24" customWidth="1"/>
    <col min="9501" max="9728" width="11.42578125" style="24"/>
    <col min="9729" max="9729" width="14.85546875" style="24" bestFit="1" customWidth="1"/>
    <col min="9730" max="9730" width="28" style="24" bestFit="1" customWidth="1"/>
    <col min="9731" max="9731" width="4.42578125" style="24" bestFit="1" customWidth="1"/>
    <col min="9732" max="9732" width="8" style="24" bestFit="1" customWidth="1"/>
    <col min="9733" max="9733" width="11.42578125" style="24"/>
    <col min="9734" max="9734" width="22.85546875" style="24" bestFit="1" customWidth="1"/>
    <col min="9735" max="9735" width="7" style="24" customWidth="1"/>
    <col min="9736" max="9736" width="6.28515625" style="24" customWidth="1"/>
    <col min="9737" max="9737" width="5.7109375" style="24" customWidth="1"/>
    <col min="9738" max="9738" width="5.7109375" style="24" bestFit="1" customWidth="1"/>
    <col min="9739" max="9739" width="5.85546875" style="24" bestFit="1" customWidth="1"/>
    <col min="9740" max="9740" width="9.42578125" style="24" customWidth="1"/>
    <col min="9741" max="9741" width="5.140625" style="24" customWidth="1"/>
    <col min="9742" max="9742" width="9.7109375" style="24" customWidth="1"/>
    <col min="9743" max="9743" width="6.7109375" style="24" bestFit="1" customWidth="1"/>
    <col min="9744" max="9744" width="4.85546875" style="24" customWidth="1"/>
    <col min="9745" max="9745" width="5.28515625" style="24" customWidth="1"/>
    <col min="9746" max="9747" width="4.42578125" style="24" bestFit="1" customWidth="1"/>
    <col min="9748" max="9748" width="13.28515625" style="24" bestFit="1" customWidth="1"/>
    <col min="9749" max="9749" width="3.140625" style="24" customWidth="1"/>
    <col min="9750" max="9750" width="5.42578125" style="24" bestFit="1" customWidth="1"/>
    <col min="9751" max="9751" width="4.42578125" style="24" bestFit="1" customWidth="1"/>
    <col min="9752" max="9752" width="6.42578125" style="24" customWidth="1"/>
    <col min="9753" max="9753" width="5" style="24" bestFit="1" customWidth="1"/>
    <col min="9754" max="9754" width="4.5703125" style="24" bestFit="1" customWidth="1"/>
    <col min="9755" max="9755" width="4.42578125" style="24" bestFit="1" customWidth="1"/>
    <col min="9756" max="9756" width="4" style="24" customWidth="1"/>
    <col min="9757" max="9984" width="11.42578125" style="24"/>
    <col min="9985" max="9985" width="14.85546875" style="24" bestFit="1" customWidth="1"/>
    <col min="9986" max="9986" width="28" style="24" bestFit="1" customWidth="1"/>
    <col min="9987" max="9987" width="4.42578125" style="24" bestFit="1" customWidth="1"/>
    <col min="9988" max="9988" width="8" style="24" bestFit="1" customWidth="1"/>
    <col min="9989" max="9989" width="11.42578125" style="24"/>
    <col min="9990" max="9990" width="22.85546875" style="24" bestFit="1" customWidth="1"/>
    <col min="9991" max="9991" width="7" style="24" customWidth="1"/>
    <col min="9992" max="9992" width="6.28515625" style="24" customWidth="1"/>
    <col min="9993" max="9993" width="5.7109375" style="24" customWidth="1"/>
    <col min="9994" max="9994" width="5.7109375" style="24" bestFit="1" customWidth="1"/>
    <col min="9995" max="9995" width="5.85546875" style="24" bestFit="1" customWidth="1"/>
    <col min="9996" max="9996" width="9.42578125" style="24" customWidth="1"/>
    <col min="9997" max="9997" width="5.140625" style="24" customWidth="1"/>
    <col min="9998" max="9998" width="9.7109375" style="24" customWidth="1"/>
    <col min="9999" max="9999" width="6.7109375" style="24" bestFit="1" customWidth="1"/>
    <col min="10000" max="10000" width="4.85546875" style="24" customWidth="1"/>
    <col min="10001" max="10001" width="5.28515625" style="24" customWidth="1"/>
    <col min="10002" max="10003" width="4.42578125" style="24" bestFit="1" customWidth="1"/>
    <col min="10004" max="10004" width="13.28515625" style="24" bestFit="1" customWidth="1"/>
    <col min="10005" max="10005" width="3.140625" style="24" customWidth="1"/>
    <col min="10006" max="10006" width="5.42578125" style="24" bestFit="1" customWidth="1"/>
    <col min="10007" max="10007" width="4.42578125" style="24" bestFit="1" customWidth="1"/>
    <col min="10008" max="10008" width="6.42578125" style="24" customWidth="1"/>
    <col min="10009" max="10009" width="5" style="24" bestFit="1" customWidth="1"/>
    <col min="10010" max="10010" width="4.5703125" style="24" bestFit="1" customWidth="1"/>
    <col min="10011" max="10011" width="4.42578125" style="24" bestFit="1" customWidth="1"/>
    <col min="10012" max="10012" width="4" style="24" customWidth="1"/>
    <col min="10013" max="10240" width="11.42578125" style="24"/>
    <col min="10241" max="10241" width="14.85546875" style="24" bestFit="1" customWidth="1"/>
    <col min="10242" max="10242" width="28" style="24" bestFit="1" customWidth="1"/>
    <col min="10243" max="10243" width="4.42578125" style="24" bestFit="1" customWidth="1"/>
    <col min="10244" max="10244" width="8" style="24" bestFit="1" customWidth="1"/>
    <col min="10245" max="10245" width="11.42578125" style="24"/>
    <col min="10246" max="10246" width="22.85546875" style="24" bestFit="1" customWidth="1"/>
    <col min="10247" max="10247" width="7" style="24" customWidth="1"/>
    <col min="10248" max="10248" width="6.28515625" style="24" customWidth="1"/>
    <col min="10249" max="10249" width="5.7109375" style="24" customWidth="1"/>
    <col min="10250" max="10250" width="5.7109375" style="24" bestFit="1" customWidth="1"/>
    <col min="10251" max="10251" width="5.85546875" style="24" bestFit="1" customWidth="1"/>
    <col min="10252" max="10252" width="9.42578125" style="24" customWidth="1"/>
    <col min="10253" max="10253" width="5.140625" style="24" customWidth="1"/>
    <col min="10254" max="10254" width="9.7109375" style="24" customWidth="1"/>
    <col min="10255" max="10255" width="6.7109375" style="24" bestFit="1" customWidth="1"/>
    <col min="10256" max="10256" width="4.85546875" style="24" customWidth="1"/>
    <col min="10257" max="10257" width="5.28515625" style="24" customWidth="1"/>
    <col min="10258" max="10259" width="4.42578125" style="24" bestFit="1" customWidth="1"/>
    <col min="10260" max="10260" width="13.28515625" style="24" bestFit="1" customWidth="1"/>
    <col min="10261" max="10261" width="3.140625" style="24" customWidth="1"/>
    <col min="10262" max="10262" width="5.42578125" style="24" bestFit="1" customWidth="1"/>
    <col min="10263" max="10263" width="4.42578125" style="24" bestFit="1" customWidth="1"/>
    <col min="10264" max="10264" width="6.42578125" style="24" customWidth="1"/>
    <col min="10265" max="10265" width="5" style="24" bestFit="1" customWidth="1"/>
    <col min="10266" max="10266" width="4.5703125" style="24" bestFit="1" customWidth="1"/>
    <col min="10267" max="10267" width="4.42578125" style="24" bestFit="1" customWidth="1"/>
    <col min="10268" max="10268" width="4" style="24" customWidth="1"/>
    <col min="10269" max="10496" width="11.42578125" style="24"/>
    <col min="10497" max="10497" width="14.85546875" style="24" bestFit="1" customWidth="1"/>
    <col min="10498" max="10498" width="28" style="24" bestFit="1" customWidth="1"/>
    <col min="10499" max="10499" width="4.42578125" style="24" bestFit="1" customWidth="1"/>
    <col min="10500" max="10500" width="8" style="24" bestFit="1" customWidth="1"/>
    <col min="10501" max="10501" width="11.42578125" style="24"/>
    <col min="10502" max="10502" width="22.85546875" style="24" bestFit="1" customWidth="1"/>
    <col min="10503" max="10503" width="7" style="24" customWidth="1"/>
    <col min="10504" max="10504" width="6.28515625" style="24" customWidth="1"/>
    <col min="10505" max="10505" width="5.7109375" style="24" customWidth="1"/>
    <col min="10506" max="10506" width="5.7109375" style="24" bestFit="1" customWidth="1"/>
    <col min="10507" max="10507" width="5.85546875" style="24" bestFit="1" customWidth="1"/>
    <col min="10508" max="10508" width="9.42578125" style="24" customWidth="1"/>
    <col min="10509" max="10509" width="5.140625" style="24" customWidth="1"/>
    <col min="10510" max="10510" width="9.7109375" style="24" customWidth="1"/>
    <col min="10511" max="10511" width="6.7109375" style="24" bestFit="1" customWidth="1"/>
    <col min="10512" max="10512" width="4.85546875" style="24" customWidth="1"/>
    <col min="10513" max="10513" width="5.28515625" style="24" customWidth="1"/>
    <col min="10514" max="10515" width="4.42578125" style="24" bestFit="1" customWidth="1"/>
    <col min="10516" max="10516" width="13.28515625" style="24" bestFit="1" customWidth="1"/>
    <col min="10517" max="10517" width="3.140625" style="24" customWidth="1"/>
    <col min="10518" max="10518" width="5.42578125" style="24" bestFit="1" customWidth="1"/>
    <col min="10519" max="10519" width="4.42578125" style="24" bestFit="1" customWidth="1"/>
    <col min="10520" max="10520" width="6.42578125" style="24" customWidth="1"/>
    <col min="10521" max="10521" width="5" style="24" bestFit="1" customWidth="1"/>
    <col min="10522" max="10522" width="4.5703125" style="24" bestFit="1" customWidth="1"/>
    <col min="10523" max="10523" width="4.42578125" style="24" bestFit="1" customWidth="1"/>
    <col min="10524" max="10524" width="4" style="24" customWidth="1"/>
    <col min="10525" max="10752" width="11.42578125" style="24"/>
    <col min="10753" max="10753" width="14.85546875" style="24" bestFit="1" customWidth="1"/>
    <col min="10754" max="10754" width="28" style="24" bestFit="1" customWidth="1"/>
    <col min="10755" max="10755" width="4.42578125" style="24" bestFit="1" customWidth="1"/>
    <col min="10756" max="10756" width="8" style="24" bestFit="1" customWidth="1"/>
    <col min="10757" max="10757" width="11.42578125" style="24"/>
    <col min="10758" max="10758" width="22.85546875" style="24" bestFit="1" customWidth="1"/>
    <col min="10759" max="10759" width="7" style="24" customWidth="1"/>
    <col min="10760" max="10760" width="6.28515625" style="24" customWidth="1"/>
    <col min="10761" max="10761" width="5.7109375" style="24" customWidth="1"/>
    <col min="10762" max="10762" width="5.7109375" style="24" bestFit="1" customWidth="1"/>
    <col min="10763" max="10763" width="5.85546875" style="24" bestFit="1" customWidth="1"/>
    <col min="10764" max="10764" width="9.42578125" style="24" customWidth="1"/>
    <col min="10765" max="10765" width="5.140625" style="24" customWidth="1"/>
    <col min="10766" max="10766" width="9.7109375" style="24" customWidth="1"/>
    <col min="10767" max="10767" width="6.7109375" style="24" bestFit="1" customWidth="1"/>
    <col min="10768" max="10768" width="4.85546875" style="24" customWidth="1"/>
    <col min="10769" max="10769" width="5.28515625" style="24" customWidth="1"/>
    <col min="10770" max="10771" width="4.42578125" style="24" bestFit="1" customWidth="1"/>
    <col min="10772" max="10772" width="13.28515625" style="24" bestFit="1" customWidth="1"/>
    <col min="10773" max="10773" width="3.140625" style="24" customWidth="1"/>
    <col min="10774" max="10774" width="5.42578125" style="24" bestFit="1" customWidth="1"/>
    <col min="10775" max="10775" width="4.42578125" style="24" bestFit="1" customWidth="1"/>
    <col min="10776" max="10776" width="6.42578125" style="24" customWidth="1"/>
    <col min="10777" max="10777" width="5" style="24" bestFit="1" customWidth="1"/>
    <col min="10778" max="10778" width="4.5703125" style="24" bestFit="1" customWidth="1"/>
    <col min="10779" max="10779" width="4.42578125" style="24" bestFit="1" customWidth="1"/>
    <col min="10780" max="10780" width="4" style="24" customWidth="1"/>
    <col min="10781" max="11008" width="11.42578125" style="24"/>
    <col min="11009" max="11009" width="14.85546875" style="24" bestFit="1" customWidth="1"/>
    <col min="11010" max="11010" width="28" style="24" bestFit="1" customWidth="1"/>
    <col min="11011" max="11011" width="4.42578125" style="24" bestFit="1" customWidth="1"/>
    <col min="11012" max="11012" width="8" style="24" bestFit="1" customWidth="1"/>
    <col min="11013" max="11013" width="11.42578125" style="24"/>
    <col min="11014" max="11014" width="22.85546875" style="24" bestFit="1" customWidth="1"/>
    <col min="11015" max="11015" width="7" style="24" customWidth="1"/>
    <col min="11016" max="11016" width="6.28515625" style="24" customWidth="1"/>
    <col min="11017" max="11017" width="5.7109375" style="24" customWidth="1"/>
    <col min="11018" max="11018" width="5.7109375" style="24" bestFit="1" customWidth="1"/>
    <col min="11019" max="11019" width="5.85546875" style="24" bestFit="1" customWidth="1"/>
    <col min="11020" max="11020" width="9.42578125" style="24" customWidth="1"/>
    <col min="11021" max="11021" width="5.140625" style="24" customWidth="1"/>
    <col min="11022" max="11022" width="9.7109375" style="24" customWidth="1"/>
    <col min="11023" max="11023" width="6.7109375" style="24" bestFit="1" customWidth="1"/>
    <col min="11024" max="11024" width="4.85546875" style="24" customWidth="1"/>
    <col min="11025" max="11025" width="5.28515625" style="24" customWidth="1"/>
    <col min="11026" max="11027" width="4.42578125" style="24" bestFit="1" customWidth="1"/>
    <col min="11028" max="11028" width="13.28515625" style="24" bestFit="1" customWidth="1"/>
    <col min="11029" max="11029" width="3.140625" style="24" customWidth="1"/>
    <col min="11030" max="11030" width="5.42578125" style="24" bestFit="1" customWidth="1"/>
    <col min="11031" max="11031" width="4.42578125" style="24" bestFit="1" customWidth="1"/>
    <col min="11032" max="11032" width="6.42578125" style="24" customWidth="1"/>
    <col min="11033" max="11033" width="5" style="24" bestFit="1" customWidth="1"/>
    <col min="11034" max="11034" width="4.5703125" style="24" bestFit="1" customWidth="1"/>
    <col min="11035" max="11035" width="4.42578125" style="24" bestFit="1" customWidth="1"/>
    <col min="11036" max="11036" width="4" style="24" customWidth="1"/>
    <col min="11037" max="11264" width="11.42578125" style="24"/>
    <col min="11265" max="11265" width="14.85546875" style="24" bestFit="1" customWidth="1"/>
    <col min="11266" max="11266" width="28" style="24" bestFit="1" customWidth="1"/>
    <col min="11267" max="11267" width="4.42578125" style="24" bestFit="1" customWidth="1"/>
    <col min="11268" max="11268" width="8" style="24" bestFit="1" customWidth="1"/>
    <col min="11269" max="11269" width="11.42578125" style="24"/>
    <col min="11270" max="11270" width="22.85546875" style="24" bestFit="1" customWidth="1"/>
    <col min="11271" max="11271" width="7" style="24" customWidth="1"/>
    <col min="11272" max="11272" width="6.28515625" style="24" customWidth="1"/>
    <col min="11273" max="11273" width="5.7109375" style="24" customWidth="1"/>
    <col min="11274" max="11274" width="5.7109375" style="24" bestFit="1" customWidth="1"/>
    <col min="11275" max="11275" width="5.85546875" style="24" bestFit="1" customWidth="1"/>
    <col min="11276" max="11276" width="9.42578125" style="24" customWidth="1"/>
    <col min="11277" max="11277" width="5.140625" style="24" customWidth="1"/>
    <col min="11278" max="11278" width="9.7109375" style="24" customWidth="1"/>
    <col min="11279" max="11279" width="6.7109375" style="24" bestFit="1" customWidth="1"/>
    <col min="11280" max="11280" width="4.85546875" style="24" customWidth="1"/>
    <col min="11281" max="11281" width="5.28515625" style="24" customWidth="1"/>
    <col min="11282" max="11283" width="4.42578125" style="24" bestFit="1" customWidth="1"/>
    <col min="11284" max="11284" width="13.28515625" style="24" bestFit="1" customWidth="1"/>
    <col min="11285" max="11285" width="3.140625" style="24" customWidth="1"/>
    <col min="11286" max="11286" width="5.42578125" style="24" bestFit="1" customWidth="1"/>
    <col min="11287" max="11287" width="4.42578125" style="24" bestFit="1" customWidth="1"/>
    <col min="11288" max="11288" width="6.42578125" style="24" customWidth="1"/>
    <col min="11289" max="11289" width="5" style="24" bestFit="1" customWidth="1"/>
    <col min="11290" max="11290" width="4.5703125" style="24" bestFit="1" customWidth="1"/>
    <col min="11291" max="11291" width="4.42578125" style="24" bestFit="1" customWidth="1"/>
    <col min="11292" max="11292" width="4" style="24" customWidth="1"/>
    <col min="11293" max="11520" width="11.42578125" style="24"/>
    <col min="11521" max="11521" width="14.85546875" style="24" bestFit="1" customWidth="1"/>
    <col min="11522" max="11522" width="28" style="24" bestFit="1" customWidth="1"/>
    <col min="11523" max="11523" width="4.42578125" style="24" bestFit="1" customWidth="1"/>
    <col min="11524" max="11524" width="8" style="24" bestFit="1" customWidth="1"/>
    <col min="11525" max="11525" width="11.42578125" style="24"/>
    <col min="11526" max="11526" width="22.85546875" style="24" bestFit="1" customWidth="1"/>
    <col min="11527" max="11527" width="7" style="24" customWidth="1"/>
    <col min="11528" max="11528" width="6.28515625" style="24" customWidth="1"/>
    <col min="11529" max="11529" width="5.7109375" style="24" customWidth="1"/>
    <col min="11530" max="11530" width="5.7109375" style="24" bestFit="1" customWidth="1"/>
    <col min="11531" max="11531" width="5.85546875" style="24" bestFit="1" customWidth="1"/>
    <col min="11532" max="11532" width="9.42578125" style="24" customWidth="1"/>
    <col min="11533" max="11533" width="5.140625" style="24" customWidth="1"/>
    <col min="11534" max="11534" width="9.7109375" style="24" customWidth="1"/>
    <col min="11535" max="11535" width="6.7109375" style="24" bestFit="1" customWidth="1"/>
    <col min="11536" max="11536" width="4.85546875" style="24" customWidth="1"/>
    <col min="11537" max="11537" width="5.28515625" style="24" customWidth="1"/>
    <col min="11538" max="11539" width="4.42578125" style="24" bestFit="1" customWidth="1"/>
    <col min="11540" max="11540" width="13.28515625" style="24" bestFit="1" customWidth="1"/>
    <col min="11541" max="11541" width="3.140625" style="24" customWidth="1"/>
    <col min="11542" max="11542" width="5.42578125" style="24" bestFit="1" customWidth="1"/>
    <col min="11543" max="11543" width="4.42578125" style="24" bestFit="1" customWidth="1"/>
    <col min="11544" max="11544" width="6.42578125" style="24" customWidth="1"/>
    <col min="11545" max="11545" width="5" style="24" bestFit="1" customWidth="1"/>
    <col min="11546" max="11546" width="4.5703125" style="24" bestFit="1" customWidth="1"/>
    <col min="11547" max="11547" width="4.42578125" style="24" bestFit="1" customWidth="1"/>
    <col min="11548" max="11548" width="4" style="24" customWidth="1"/>
    <col min="11549" max="11776" width="11.42578125" style="24"/>
    <col min="11777" max="11777" width="14.85546875" style="24" bestFit="1" customWidth="1"/>
    <col min="11778" max="11778" width="28" style="24" bestFit="1" customWidth="1"/>
    <col min="11779" max="11779" width="4.42578125" style="24" bestFit="1" customWidth="1"/>
    <col min="11780" max="11780" width="8" style="24" bestFit="1" customWidth="1"/>
    <col min="11781" max="11781" width="11.42578125" style="24"/>
    <col min="11782" max="11782" width="22.85546875" style="24" bestFit="1" customWidth="1"/>
    <col min="11783" max="11783" width="7" style="24" customWidth="1"/>
    <col min="11784" max="11784" width="6.28515625" style="24" customWidth="1"/>
    <col min="11785" max="11785" width="5.7109375" style="24" customWidth="1"/>
    <col min="11786" max="11786" width="5.7109375" style="24" bestFit="1" customWidth="1"/>
    <col min="11787" max="11787" width="5.85546875" style="24" bestFit="1" customWidth="1"/>
    <col min="11788" max="11788" width="9.42578125" style="24" customWidth="1"/>
    <col min="11789" max="11789" width="5.140625" style="24" customWidth="1"/>
    <col min="11790" max="11790" width="9.7109375" style="24" customWidth="1"/>
    <col min="11791" max="11791" width="6.7109375" style="24" bestFit="1" customWidth="1"/>
    <col min="11792" max="11792" width="4.85546875" style="24" customWidth="1"/>
    <col min="11793" max="11793" width="5.28515625" style="24" customWidth="1"/>
    <col min="11794" max="11795" width="4.42578125" style="24" bestFit="1" customWidth="1"/>
    <col min="11796" max="11796" width="13.28515625" style="24" bestFit="1" customWidth="1"/>
    <col min="11797" max="11797" width="3.140625" style="24" customWidth="1"/>
    <col min="11798" max="11798" width="5.42578125" style="24" bestFit="1" customWidth="1"/>
    <col min="11799" max="11799" width="4.42578125" style="24" bestFit="1" customWidth="1"/>
    <col min="11800" max="11800" width="6.42578125" style="24" customWidth="1"/>
    <col min="11801" max="11801" width="5" style="24" bestFit="1" customWidth="1"/>
    <col min="11802" max="11802" width="4.5703125" style="24" bestFit="1" customWidth="1"/>
    <col min="11803" max="11803" width="4.42578125" style="24" bestFit="1" customWidth="1"/>
    <col min="11804" max="11804" width="4" style="24" customWidth="1"/>
    <col min="11805" max="12032" width="11.42578125" style="24"/>
    <col min="12033" max="12033" width="14.85546875" style="24" bestFit="1" customWidth="1"/>
    <col min="12034" max="12034" width="28" style="24" bestFit="1" customWidth="1"/>
    <col min="12035" max="12035" width="4.42578125" style="24" bestFit="1" customWidth="1"/>
    <col min="12036" max="12036" width="8" style="24" bestFit="1" customWidth="1"/>
    <col min="12037" max="12037" width="11.42578125" style="24"/>
    <col min="12038" max="12038" width="22.85546875" style="24" bestFit="1" customWidth="1"/>
    <col min="12039" max="12039" width="7" style="24" customWidth="1"/>
    <col min="12040" max="12040" width="6.28515625" style="24" customWidth="1"/>
    <col min="12041" max="12041" width="5.7109375" style="24" customWidth="1"/>
    <col min="12042" max="12042" width="5.7109375" style="24" bestFit="1" customWidth="1"/>
    <col min="12043" max="12043" width="5.85546875" style="24" bestFit="1" customWidth="1"/>
    <col min="12044" max="12044" width="9.42578125" style="24" customWidth="1"/>
    <col min="12045" max="12045" width="5.140625" style="24" customWidth="1"/>
    <col min="12046" max="12046" width="9.7109375" style="24" customWidth="1"/>
    <col min="12047" max="12047" width="6.7109375" style="24" bestFit="1" customWidth="1"/>
    <col min="12048" max="12048" width="4.85546875" style="24" customWidth="1"/>
    <col min="12049" max="12049" width="5.28515625" style="24" customWidth="1"/>
    <col min="12050" max="12051" width="4.42578125" style="24" bestFit="1" customWidth="1"/>
    <col min="12052" max="12052" width="13.28515625" style="24" bestFit="1" customWidth="1"/>
    <col min="12053" max="12053" width="3.140625" style="24" customWidth="1"/>
    <col min="12054" max="12054" width="5.42578125" style="24" bestFit="1" customWidth="1"/>
    <col min="12055" max="12055" width="4.42578125" style="24" bestFit="1" customWidth="1"/>
    <col min="12056" max="12056" width="6.42578125" style="24" customWidth="1"/>
    <col min="12057" max="12057" width="5" style="24" bestFit="1" customWidth="1"/>
    <col min="12058" max="12058" width="4.5703125" style="24" bestFit="1" customWidth="1"/>
    <col min="12059" max="12059" width="4.42578125" style="24" bestFit="1" customWidth="1"/>
    <col min="12060" max="12060" width="4" style="24" customWidth="1"/>
    <col min="12061" max="12288" width="11.42578125" style="24"/>
    <col min="12289" max="12289" width="14.85546875" style="24" bestFit="1" customWidth="1"/>
    <col min="12290" max="12290" width="28" style="24" bestFit="1" customWidth="1"/>
    <col min="12291" max="12291" width="4.42578125" style="24" bestFit="1" customWidth="1"/>
    <col min="12292" max="12292" width="8" style="24" bestFit="1" customWidth="1"/>
    <col min="12293" max="12293" width="11.42578125" style="24"/>
    <col min="12294" max="12294" width="22.85546875" style="24" bestFit="1" customWidth="1"/>
    <col min="12295" max="12295" width="7" style="24" customWidth="1"/>
    <col min="12296" max="12296" width="6.28515625" style="24" customWidth="1"/>
    <col min="12297" max="12297" width="5.7109375" style="24" customWidth="1"/>
    <col min="12298" max="12298" width="5.7109375" style="24" bestFit="1" customWidth="1"/>
    <col min="12299" max="12299" width="5.85546875" style="24" bestFit="1" customWidth="1"/>
    <col min="12300" max="12300" width="9.42578125" style="24" customWidth="1"/>
    <col min="12301" max="12301" width="5.140625" style="24" customWidth="1"/>
    <col min="12302" max="12302" width="9.7109375" style="24" customWidth="1"/>
    <col min="12303" max="12303" width="6.7109375" style="24" bestFit="1" customWidth="1"/>
    <col min="12304" max="12304" width="4.85546875" style="24" customWidth="1"/>
    <col min="12305" max="12305" width="5.28515625" style="24" customWidth="1"/>
    <col min="12306" max="12307" width="4.42578125" style="24" bestFit="1" customWidth="1"/>
    <col min="12308" max="12308" width="13.28515625" style="24" bestFit="1" customWidth="1"/>
    <col min="12309" max="12309" width="3.140625" style="24" customWidth="1"/>
    <col min="12310" max="12310" width="5.42578125" style="24" bestFit="1" customWidth="1"/>
    <col min="12311" max="12311" width="4.42578125" style="24" bestFit="1" customWidth="1"/>
    <col min="12312" max="12312" width="6.42578125" style="24" customWidth="1"/>
    <col min="12313" max="12313" width="5" style="24" bestFit="1" customWidth="1"/>
    <col min="12314" max="12314" width="4.5703125" style="24" bestFit="1" customWidth="1"/>
    <col min="12315" max="12315" width="4.42578125" style="24" bestFit="1" customWidth="1"/>
    <col min="12316" max="12316" width="4" style="24" customWidth="1"/>
    <col min="12317" max="12544" width="11.42578125" style="24"/>
    <col min="12545" max="12545" width="14.85546875" style="24" bestFit="1" customWidth="1"/>
    <col min="12546" max="12546" width="28" style="24" bestFit="1" customWidth="1"/>
    <col min="12547" max="12547" width="4.42578125" style="24" bestFit="1" customWidth="1"/>
    <col min="12548" max="12548" width="8" style="24" bestFit="1" customWidth="1"/>
    <col min="12549" max="12549" width="11.42578125" style="24"/>
    <col min="12550" max="12550" width="22.85546875" style="24" bestFit="1" customWidth="1"/>
    <col min="12551" max="12551" width="7" style="24" customWidth="1"/>
    <col min="12552" max="12552" width="6.28515625" style="24" customWidth="1"/>
    <col min="12553" max="12553" width="5.7109375" style="24" customWidth="1"/>
    <col min="12554" max="12554" width="5.7109375" style="24" bestFit="1" customWidth="1"/>
    <col min="12555" max="12555" width="5.85546875" style="24" bestFit="1" customWidth="1"/>
    <col min="12556" max="12556" width="9.42578125" style="24" customWidth="1"/>
    <col min="12557" max="12557" width="5.140625" style="24" customWidth="1"/>
    <col min="12558" max="12558" width="9.7109375" style="24" customWidth="1"/>
    <col min="12559" max="12559" width="6.7109375" style="24" bestFit="1" customWidth="1"/>
    <col min="12560" max="12560" width="4.85546875" style="24" customWidth="1"/>
    <col min="12561" max="12561" width="5.28515625" style="24" customWidth="1"/>
    <col min="12562" max="12563" width="4.42578125" style="24" bestFit="1" customWidth="1"/>
    <col min="12564" max="12564" width="13.28515625" style="24" bestFit="1" customWidth="1"/>
    <col min="12565" max="12565" width="3.140625" style="24" customWidth="1"/>
    <col min="12566" max="12566" width="5.42578125" style="24" bestFit="1" customWidth="1"/>
    <col min="12567" max="12567" width="4.42578125" style="24" bestFit="1" customWidth="1"/>
    <col min="12568" max="12568" width="6.42578125" style="24" customWidth="1"/>
    <col min="12569" max="12569" width="5" style="24" bestFit="1" customWidth="1"/>
    <col min="12570" max="12570" width="4.5703125" style="24" bestFit="1" customWidth="1"/>
    <col min="12571" max="12571" width="4.42578125" style="24" bestFit="1" customWidth="1"/>
    <col min="12572" max="12572" width="4" style="24" customWidth="1"/>
    <col min="12573" max="12800" width="11.42578125" style="24"/>
    <col min="12801" max="12801" width="14.85546875" style="24" bestFit="1" customWidth="1"/>
    <col min="12802" max="12802" width="28" style="24" bestFit="1" customWidth="1"/>
    <col min="12803" max="12803" width="4.42578125" style="24" bestFit="1" customWidth="1"/>
    <col min="12804" max="12804" width="8" style="24" bestFit="1" customWidth="1"/>
    <col min="12805" max="12805" width="11.42578125" style="24"/>
    <col min="12806" max="12806" width="22.85546875" style="24" bestFit="1" customWidth="1"/>
    <col min="12807" max="12807" width="7" style="24" customWidth="1"/>
    <col min="12808" max="12808" width="6.28515625" style="24" customWidth="1"/>
    <col min="12809" max="12809" width="5.7109375" style="24" customWidth="1"/>
    <col min="12810" max="12810" width="5.7109375" style="24" bestFit="1" customWidth="1"/>
    <col min="12811" max="12811" width="5.85546875" style="24" bestFit="1" customWidth="1"/>
    <col min="12812" max="12812" width="9.42578125" style="24" customWidth="1"/>
    <col min="12813" max="12813" width="5.140625" style="24" customWidth="1"/>
    <col min="12814" max="12814" width="9.7109375" style="24" customWidth="1"/>
    <col min="12815" max="12815" width="6.7109375" style="24" bestFit="1" customWidth="1"/>
    <col min="12816" max="12816" width="4.85546875" style="24" customWidth="1"/>
    <col min="12817" max="12817" width="5.28515625" style="24" customWidth="1"/>
    <col min="12818" max="12819" width="4.42578125" style="24" bestFit="1" customWidth="1"/>
    <col min="12820" max="12820" width="13.28515625" style="24" bestFit="1" customWidth="1"/>
    <col min="12821" max="12821" width="3.140625" style="24" customWidth="1"/>
    <col min="12822" max="12822" width="5.42578125" style="24" bestFit="1" customWidth="1"/>
    <col min="12823" max="12823" width="4.42578125" style="24" bestFit="1" customWidth="1"/>
    <col min="12824" max="12824" width="6.42578125" style="24" customWidth="1"/>
    <col min="12825" max="12825" width="5" style="24" bestFit="1" customWidth="1"/>
    <col min="12826" max="12826" width="4.5703125" style="24" bestFit="1" customWidth="1"/>
    <col min="12827" max="12827" width="4.42578125" style="24" bestFit="1" customWidth="1"/>
    <col min="12828" max="12828" width="4" style="24" customWidth="1"/>
    <col min="12829" max="13056" width="11.42578125" style="24"/>
    <col min="13057" max="13057" width="14.85546875" style="24" bestFit="1" customWidth="1"/>
    <col min="13058" max="13058" width="28" style="24" bestFit="1" customWidth="1"/>
    <col min="13059" max="13059" width="4.42578125" style="24" bestFit="1" customWidth="1"/>
    <col min="13060" max="13060" width="8" style="24" bestFit="1" customWidth="1"/>
    <col min="13061" max="13061" width="11.42578125" style="24"/>
    <col min="13062" max="13062" width="22.85546875" style="24" bestFit="1" customWidth="1"/>
    <col min="13063" max="13063" width="7" style="24" customWidth="1"/>
    <col min="13064" max="13064" width="6.28515625" style="24" customWidth="1"/>
    <col min="13065" max="13065" width="5.7109375" style="24" customWidth="1"/>
    <col min="13066" max="13066" width="5.7109375" style="24" bestFit="1" customWidth="1"/>
    <col min="13067" max="13067" width="5.85546875" style="24" bestFit="1" customWidth="1"/>
    <col min="13068" max="13068" width="9.42578125" style="24" customWidth="1"/>
    <col min="13069" max="13069" width="5.140625" style="24" customWidth="1"/>
    <col min="13070" max="13070" width="9.7109375" style="24" customWidth="1"/>
    <col min="13071" max="13071" width="6.7109375" style="24" bestFit="1" customWidth="1"/>
    <col min="13072" max="13072" width="4.85546875" style="24" customWidth="1"/>
    <col min="13073" max="13073" width="5.28515625" style="24" customWidth="1"/>
    <col min="13074" max="13075" width="4.42578125" style="24" bestFit="1" customWidth="1"/>
    <col min="13076" max="13076" width="13.28515625" style="24" bestFit="1" customWidth="1"/>
    <col min="13077" max="13077" width="3.140625" style="24" customWidth="1"/>
    <col min="13078" max="13078" width="5.42578125" style="24" bestFit="1" customWidth="1"/>
    <col min="13079" max="13079" width="4.42578125" style="24" bestFit="1" customWidth="1"/>
    <col min="13080" max="13080" width="6.42578125" style="24" customWidth="1"/>
    <col min="13081" max="13081" width="5" style="24" bestFit="1" customWidth="1"/>
    <col min="13082" max="13082" width="4.5703125" style="24" bestFit="1" customWidth="1"/>
    <col min="13083" max="13083" width="4.42578125" style="24" bestFit="1" customWidth="1"/>
    <col min="13084" max="13084" width="4" style="24" customWidth="1"/>
    <col min="13085" max="13312" width="11.42578125" style="24"/>
    <col min="13313" max="13313" width="14.85546875" style="24" bestFit="1" customWidth="1"/>
    <col min="13314" max="13314" width="28" style="24" bestFit="1" customWidth="1"/>
    <col min="13315" max="13315" width="4.42578125" style="24" bestFit="1" customWidth="1"/>
    <col min="13316" max="13316" width="8" style="24" bestFit="1" customWidth="1"/>
    <col min="13317" max="13317" width="11.42578125" style="24"/>
    <col min="13318" max="13318" width="22.85546875" style="24" bestFit="1" customWidth="1"/>
    <col min="13319" max="13319" width="7" style="24" customWidth="1"/>
    <col min="13320" max="13320" width="6.28515625" style="24" customWidth="1"/>
    <col min="13321" max="13321" width="5.7109375" style="24" customWidth="1"/>
    <col min="13322" max="13322" width="5.7109375" style="24" bestFit="1" customWidth="1"/>
    <col min="13323" max="13323" width="5.85546875" style="24" bestFit="1" customWidth="1"/>
    <col min="13324" max="13324" width="9.42578125" style="24" customWidth="1"/>
    <col min="13325" max="13325" width="5.140625" style="24" customWidth="1"/>
    <col min="13326" max="13326" width="9.7109375" style="24" customWidth="1"/>
    <col min="13327" max="13327" width="6.7109375" style="24" bestFit="1" customWidth="1"/>
    <col min="13328" max="13328" width="4.85546875" style="24" customWidth="1"/>
    <col min="13329" max="13329" width="5.28515625" style="24" customWidth="1"/>
    <col min="13330" max="13331" width="4.42578125" style="24" bestFit="1" customWidth="1"/>
    <col min="13332" max="13332" width="13.28515625" style="24" bestFit="1" customWidth="1"/>
    <col min="13333" max="13333" width="3.140625" style="24" customWidth="1"/>
    <col min="13334" max="13334" width="5.42578125" style="24" bestFit="1" customWidth="1"/>
    <col min="13335" max="13335" width="4.42578125" style="24" bestFit="1" customWidth="1"/>
    <col min="13336" max="13336" width="6.42578125" style="24" customWidth="1"/>
    <col min="13337" max="13337" width="5" style="24" bestFit="1" customWidth="1"/>
    <col min="13338" max="13338" width="4.5703125" style="24" bestFit="1" customWidth="1"/>
    <col min="13339" max="13339" width="4.42578125" style="24" bestFit="1" customWidth="1"/>
    <col min="13340" max="13340" width="4" style="24" customWidth="1"/>
    <col min="13341" max="13568" width="11.42578125" style="24"/>
    <col min="13569" max="13569" width="14.85546875" style="24" bestFit="1" customWidth="1"/>
    <col min="13570" max="13570" width="28" style="24" bestFit="1" customWidth="1"/>
    <col min="13571" max="13571" width="4.42578125" style="24" bestFit="1" customWidth="1"/>
    <col min="13572" max="13572" width="8" style="24" bestFit="1" customWidth="1"/>
    <col min="13573" max="13573" width="11.42578125" style="24"/>
    <col min="13574" max="13574" width="22.85546875" style="24" bestFit="1" customWidth="1"/>
    <col min="13575" max="13575" width="7" style="24" customWidth="1"/>
    <col min="13576" max="13576" width="6.28515625" style="24" customWidth="1"/>
    <col min="13577" max="13577" width="5.7109375" style="24" customWidth="1"/>
    <col min="13578" max="13578" width="5.7109375" style="24" bestFit="1" customWidth="1"/>
    <col min="13579" max="13579" width="5.85546875" style="24" bestFit="1" customWidth="1"/>
    <col min="13580" max="13580" width="9.42578125" style="24" customWidth="1"/>
    <col min="13581" max="13581" width="5.140625" style="24" customWidth="1"/>
    <col min="13582" max="13582" width="9.7109375" style="24" customWidth="1"/>
    <col min="13583" max="13583" width="6.7109375" style="24" bestFit="1" customWidth="1"/>
    <col min="13584" max="13584" width="4.85546875" style="24" customWidth="1"/>
    <col min="13585" max="13585" width="5.28515625" style="24" customWidth="1"/>
    <col min="13586" max="13587" width="4.42578125" style="24" bestFit="1" customWidth="1"/>
    <col min="13588" max="13588" width="13.28515625" style="24" bestFit="1" customWidth="1"/>
    <col min="13589" max="13589" width="3.140625" style="24" customWidth="1"/>
    <col min="13590" max="13590" width="5.42578125" style="24" bestFit="1" customWidth="1"/>
    <col min="13591" max="13591" width="4.42578125" style="24" bestFit="1" customWidth="1"/>
    <col min="13592" max="13592" width="6.42578125" style="24" customWidth="1"/>
    <col min="13593" max="13593" width="5" style="24" bestFit="1" customWidth="1"/>
    <col min="13594" max="13594" width="4.5703125" style="24" bestFit="1" customWidth="1"/>
    <col min="13595" max="13595" width="4.42578125" style="24" bestFit="1" customWidth="1"/>
    <col min="13596" max="13596" width="4" style="24" customWidth="1"/>
    <col min="13597" max="13824" width="11.42578125" style="24"/>
    <col min="13825" max="13825" width="14.85546875" style="24" bestFit="1" customWidth="1"/>
    <col min="13826" max="13826" width="28" style="24" bestFit="1" customWidth="1"/>
    <col min="13827" max="13827" width="4.42578125" style="24" bestFit="1" customWidth="1"/>
    <col min="13828" max="13828" width="8" style="24" bestFit="1" customWidth="1"/>
    <col min="13829" max="13829" width="11.42578125" style="24"/>
    <col min="13830" max="13830" width="22.85546875" style="24" bestFit="1" customWidth="1"/>
    <col min="13831" max="13831" width="7" style="24" customWidth="1"/>
    <col min="13832" max="13832" width="6.28515625" style="24" customWidth="1"/>
    <col min="13833" max="13833" width="5.7109375" style="24" customWidth="1"/>
    <col min="13834" max="13834" width="5.7109375" style="24" bestFit="1" customWidth="1"/>
    <col min="13835" max="13835" width="5.85546875" style="24" bestFit="1" customWidth="1"/>
    <col min="13836" max="13836" width="9.42578125" style="24" customWidth="1"/>
    <col min="13837" max="13837" width="5.140625" style="24" customWidth="1"/>
    <col min="13838" max="13838" width="9.7109375" style="24" customWidth="1"/>
    <col min="13839" max="13839" width="6.7109375" style="24" bestFit="1" customWidth="1"/>
    <col min="13840" max="13840" width="4.85546875" style="24" customWidth="1"/>
    <col min="13841" max="13841" width="5.28515625" style="24" customWidth="1"/>
    <col min="13842" max="13843" width="4.42578125" style="24" bestFit="1" customWidth="1"/>
    <col min="13844" max="13844" width="13.28515625" style="24" bestFit="1" customWidth="1"/>
    <col min="13845" max="13845" width="3.140625" style="24" customWidth="1"/>
    <col min="13846" max="13846" width="5.42578125" style="24" bestFit="1" customWidth="1"/>
    <col min="13847" max="13847" width="4.42578125" style="24" bestFit="1" customWidth="1"/>
    <col min="13848" max="13848" width="6.42578125" style="24" customWidth="1"/>
    <col min="13849" max="13849" width="5" style="24" bestFit="1" customWidth="1"/>
    <col min="13850" max="13850" width="4.5703125" style="24" bestFit="1" customWidth="1"/>
    <col min="13851" max="13851" width="4.42578125" style="24" bestFit="1" customWidth="1"/>
    <col min="13852" max="13852" width="4" style="24" customWidth="1"/>
    <col min="13853" max="14080" width="11.42578125" style="24"/>
    <col min="14081" max="14081" width="14.85546875" style="24" bestFit="1" customWidth="1"/>
    <col min="14082" max="14082" width="28" style="24" bestFit="1" customWidth="1"/>
    <col min="14083" max="14083" width="4.42578125" style="24" bestFit="1" customWidth="1"/>
    <col min="14084" max="14084" width="8" style="24" bestFit="1" customWidth="1"/>
    <col min="14085" max="14085" width="11.42578125" style="24"/>
    <col min="14086" max="14086" width="22.85546875" style="24" bestFit="1" customWidth="1"/>
    <col min="14087" max="14087" width="7" style="24" customWidth="1"/>
    <col min="14088" max="14088" width="6.28515625" style="24" customWidth="1"/>
    <col min="14089" max="14089" width="5.7109375" style="24" customWidth="1"/>
    <col min="14090" max="14090" width="5.7109375" style="24" bestFit="1" customWidth="1"/>
    <col min="14091" max="14091" width="5.85546875" style="24" bestFit="1" customWidth="1"/>
    <col min="14092" max="14092" width="9.42578125" style="24" customWidth="1"/>
    <col min="14093" max="14093" width="5.140625" style="24" customWidth="1"/>
    <col min="14094" max="14094" width="9.7109375" style="24" customWidth="1"/>
    <col min="14095" max="14095" width="6.7109375" style="24" bestFit="1" customWidth="1"/>
    <col min="14096" max="14096" width="4.85546875" style="24" customWidth="1"/>
    <col min="14097" max="14097" width="5.28515625" style="24" customWidth="1"/>
    <col min="14098" max="14099" width="4.42578125" style="24" bestFit="1" customWidth="1"/>
    <col min="14100" max="14100" width="13.28515625" style="24" bestFit="1" customWidth="1"/>
    <col min="14101" max="14101" width="3.140625" style="24" customWidth="1"/>
    <col min="14102" max="14102" width="5.42578125" style="24" bestFit="1" customWidth="1"/>
    <col min="14103" max="14103" width="4.42578125" style="24" bestFit="1" customWidth="1"/>
    <col min="14104" max="14104" width="6.42578125" style="24" customWidth="1"/>
    <col min="14105" max="14105" width="5" style="24" bestFit="1" customWidth="1"/>
    <col min="14106" max="14106" width="4.5703125" style="24" bestFit="1" customWidth="1"/>
    <col min="14107" max="14107" width="4.42578125" style="24" bestFit="1" customWidth="1"/>
    <col min="14108" max="14108" width="4" style="24" customWidth="1"/>
    <col min="14109" max="14336" width="11.42578125" style="24"/>
    <col min="14337" max="14337" width="14.85546875" style="24" bestFit="1" customWidth="1"/>
    <col min="14338" max="14338" width="28" style="24" bestFit="1" customWidth="1"/>
    <col min="14339" max="14339" width="4.42578125" style="24" bestFit="1" customWidth="1"/>
    <col min="14340" max="14340" width="8" style="24" bestFit="1" customWidth="1"/>
    <col min="14341" max="14341" width="11.42578125" style="24"/>
    <col min="14342" max="14342" width="22.85546875" style="24" bestFit="1" customWidth="1"/>
    <col min="14343" max="14343" width="7" style="24" customWidth="1"/>
    <col min="14344" max="14344" width="6.28515625" style="24" customWidth="1"/>
    <col min="14345" max="14345" width="5.7109375" style="24" customWidth="1"/>
    <col min="14346" max="14346" width="5.7109375" style="24" bestFit="1" customWidth="1"/>
    <col min="14347" max="14347" width="5.85546875" style="24" bestFit="1" customWidth="1"/>
    <col min="14348" max="14348" width="9.42578125" style="24" customWidth="1"/>
    <col min="14349" max="14349" width="5.140625" style="24" customWidth="1"/>
    <col min="14350" max="14350" width="9.7109375" style="24" customWidth="1"/>
    <col min="14351" max="14351" width="6.7109375" style="24" bestFit="1" customWidth="1"/>
    <col min="14352" max="14352" width="4.85546875" style="24" customWidth="1"/>
    <col min="14353" max="14353" width="5.28515625" style="24" customWidth="1"/>
    <col min="14354" max="14355" width="4.42578125" style="24" bestFit="1" customWidth="1"/>
    <col min="14356" max="14356" width="13.28515625" style="24" bestFit="1" customWidth="1"/>
    <col min="14357" max="14357" width="3.140625" style="24" customWidth="1"/>
    <col min="14358" max="14358" width="5.42578125" style="24" bestFit="1" customWidth="1"/>
    <col min="14359" max="14359" width="4.42578125" style="24" bestFit="1" customWidth="1"/>
    <col min="14360" max="14360" width="6.42578125" style="24" customWidth="1"/>
    <col min="14361" max="14361" width="5" style="24" bestFit="1" customWidth="1"/>
    <col min="14362" max="14362" width="4.5703125" style="24" bestFit="1" customWidth="1"/>
    <col min="14363" max="14363" width="4.42578125" style="24" bestFit="1" customWidth="1"/>
    <col min="14364" max="14364" width="4" style="24" customWidth="1"/>
    <col min="14365" max="14592" width="11.42578125" style="24"/>
    <col min="14593" max="14593" width="14.85546875" style="24" bestFit="1" customWidth="1"/>
    <col min="14594" max="14594" width="28" style="24" bestFit="1" customWidth="1"/>
    <col min="14595" max="14595" width="4.42578125" style="24" bestFit="1" customWidth="1"/>
    <col min="14596" max="14596" width="8" style="24" bestFit="1" customWidth="1"/>
    <col min="14597" max="14597" width="11.42578125" style="24"/>
    <col min="14598" max="14598" width="22.85546875" style="24" bestFit="1" customWidth="1"/>
    <col min="14599" max="14599" width="7" style="24" customWidth="1"/>
    <col min="14600" max="14600" width="6.28515625" style="24" customWidth="1"/>
    <col min="14601" max="14601" width="5.7109375" style="24" customWidth="1"/>
    <col min="14602" max="14602" width="5.7109375" style="24" bestFit="1" customWidth="1"/>
    <col min="14603" max="14603" width="5.85546875" style="24" bestFit="1" customWidth="1"/>
    <col min="14604" max="14604" width="9.42578125" style="24" customWidth="1"/>
    <col min="14605" max="14605" width="5.140625" style="24" customWidth="1"/>
    <col min="14606" max="14606" width="9.7109375" style="24" customWidth="1"/>
    <col min="14607" max="14607" width="6.7109375" style="24" bestFit="1" customWidth="1"/>
    <col min="14608" max="14608" width="4.85546875" style="24" customWidth="1"/>
    <col min="14609" max="14609" width="5.28515625" style="24" customWidth="1"/>
    <col min="14610" max="14611" width="4.42578125" style="24" bestFit="1" customWidth="1"/>
    <col min="14612" max="14612" width="13.28515625" style="24" bestFit="1" customWidth="1"/>
    <col min="14613" max="14613" width="3.140625" style="24" customWidth="1"/>
    <col min="14614" max="14614" width="5.42578125" style="24" bestFit="1" customWidth="1"/>
    <col min="14615" max="14615" width="4.42578125" style="24" bestFit="1" customWidth="1"/>
    <col min="14616" max="14616" width="6.42578125" style="24" customWidth="1"/>
    <col min="14617" max="14617" width="5" style="24" bestFit="1" customWidth="1"/>
    <col min="14618" max="14618" width="4.5703125" style="24" bestFit="1" customWidth="1"/>
    <col min="14619" max="14619" width="4.42578125" style="24" bestFit="1" customWidth="1"/>
    <col min="14620" max="14620" width="4" style="24" customWidth="1"/>
    <col min="14621" max="14848" width="11.42578125" style="24"/>
    <col min="14849" max="14849" width="14.85546875" style="24" bestFit="1" customWidth="1"/>
    <col min="14850" max="14850" width="28" style="24" bestFit="1" customWidth="1"/>
    <col min="14851" max="14851" width="4.42578125" style="24" bestFit="1" customWidth="1"/>
    <col min="14852" max="14852" width="8" style="24" bestFit="1" customWidth="1"/>
    <col min="14853" max="14853" width="11.42578125" style="24"/>
    <col min="14854" max="14854" width="22.85546875" style="24" bestFit="1" customWidth="1"/>
    <col min="14855" max="14855" width="7" style="24" customWidth="1"/>
    <col min="14856" max="14856" width="6.28515625" style="24" customWidth="1"/>
    <col min="14857" max="14857" width="5.7109375" style="24" customWidth="1"/>
    <col min="14858" max="14858" width="5.7109375" style="24" bestFit="1" customWidth="1"/>
    <col min="14859" max="14859" width="5.85546875" style="24" bestFit="1" customWidth="1"/>
    <col min="14860" max="14860" width="9.42578125" style="24" customWidth="1"/>
    <col min="14861" max="14861" width="5.140625" style="24" customWidth="1"/>
    <col min="14862" max="14862" width="9.7109375" style="24" customWidth="1"/>
    <col min="14863" max="14863" width="6.7109375" style="24" bestFit="1" customWidth="1"/>
    <col min="14864" max="14864" width="4.85546875" style="24" customWidth="1"/>
    <col min="14865" max="14865" width="5.28515625" style="24" customWidth="1"/>
    <col min="14866" max="14867" width="4.42578125" style="24" bestFit="1" customWidth="1"/>
    <col min="14868" max="14868" width="13.28515625" style="24" bestFit="1" customWidth="1"/>
    <col min="14869" max="14869" width="3.140625" style="24" customWidth="1"/>
    <col min="14870" max="14870" width="5.42578125" style="24" bestFit="1" customWidth="1"/>
    <col min="14871" max="14871" width="4.42578125" style="24" bestFit="1" customWidth="1"/>
    <col min="14872" max="14872" width="6.42578125" style="24" customWidth="1"/>
    <col min="14873" max="14873" width="5" style="24" bestFit="1" customWidth="1"/>
    <col min="14874" max="14874" width="4.5703125" style="24" bestFit="1" customWidth="1"/>
    <col min="14875" max="14875" width="4.42578125" style="24" bestFit="1" customWidth="1"/>
    <col min="14876" max="14876" width="4" style="24" customWidth="1"/>
    <col min="14877" max="15104" width="11.42578125" style="24"/>
    <col min="15105" max="15105" width="14.85546875" style="24" bestFit="1" customWidth="1"/>
    <col min="15106" max="15106" width="28" style="24" bestFit="1" customWidth="1"/>
    <col min="15107" max="15107" width="4.42578125" style="24" bestFit="1" customWidth="1"/>
    <col min="15108" max="15108" width="8" style="24" bestFit="1" customWidth="1"/>
    <col min="15109" max="15109" width="11.42578125" style="24"/>
    <col min="15110" max="15110" width="22.85546875" style="24" bestFit="1" customWidth="1"/>
    <col min="15111" max="15111" width="7" style="24" customWidth="1"/>
    <col min="15112" max="15112" width="6.28515625" style="24" customWidth="1"/>
    <col min="15113" max="15113" width="5.7109375" style="24" customWidth="1"/>
    <col min="15114" max="15114" width="5.7109375" style="24" bestFit="1" customWidth="1"/>
    <col min="15115" max="15115" width="5.85546875" style="24" bestFit="1" customWidth="1"/>
    <col min="15116" max="15116" width="9.42578125" style="24" customWidth="1"/>
    <col min="15117" max="15117" width="5.140625" style="24" customWidth="1"/>
    <col min="15118" max="15118" width="9.7109375" style="24" customWidth="1"/>
    <col min="15119" max="15119" width="6.7109375" style="24" bestFit="1" customWidth="1"/>
    <col min="15120" max="15120" width="4.85546875" style="24" customWidth="1"/>
    <col min="15121" max="15121" width="5.28515625" style="24" customWidth="1"/>
    <col min="15122" max="15123" width="4.42578125" style="24" bestFit="1" customWidth="1"/>
    <col min="15124" max="15124" width="13.28515625" style="24" bestFit="1" customWidth="1"/>
    <col min="15125" max="15125" width="3.140625" style="24" customWidth="1"/>
    <col min="15126" max="15126" width="5.42578125" style="24" bestFit="1" customWidth="1"/>
    <col min="15127" max="15127" width="4.42578125" style="24" bestFit="1" customWidth="1"/>
    <col min="15128" max="15128" width="6.42578125" style="24" customWidth="1"/>
    <col min="15129" max="15129" width="5" style="24" bestFit="1" customWidth="1"/>
    <col min="15130" max="15130" width="4.5703125" style="24" bestFit="1" customWidth="1"/>
    <col min="15131" max="15131" width="4.42578125" style="24" bestFit="1" customWidth="1"/>
    <col min="15132" max="15132" width="4" style="24" customWidth="1"/>
    <col min="15133" max="15360" width="11.42578125" style="24"/>
    <col min="15361" max="15361" width="14.85546875" style="24" bestFit="1" customWidth="1"/>
    <col min="15362" max="15362" width="28" style="24" bestFit="1" customWidth="1"/>
    <col min="15363" max="15363" width="4.42578125" style="24" bestFit="1" customWidth="1"/>
    <col min="15364" max="15364" width="8" style="24" bestFit="1" customWidth="1"/>
    <col min="15365" max="15365" width="11.42578125" style="24"/>
    <col min="15366" max="15366" width="22.85546875" style="24" bestFit="1" customWidth="1"/>
    <col min="15367" max="15367" width="7" style="24" customWidth="1"/>
    <col min="15368" max="15368" width="6.28515625" style="24" customWidth="1"/>
    <col min="15369" max="15369" width="5.7109375" style="24" customWidth="1"/>
    <col min="15370" max="15370" width="5.7109375" style="24" bestFit="1" customWidth="1"/>
    <col min="15371" max="15371" width="5.85546875" style="24" bestFit="1" customWidth="1"/>
    <col min="15372" max="15372" width="9.42578125" style="24" customWidth="1"/>
    <col min="15373" max="15373" width="5.140625" style="24" customWidth="1"/>
    <col min="15374" max="15374" width="9.7109375" style="24" customWidth="1"/>
    <col min="15375" max="15375" width="6.7109375" style="24" bestFit="1" customWidth="1"/>
    <col min="15376" max="15376" width="4.85546875" style="24" customWidth="1"/>
    <col min="15377" max="15377" width="5.28515625" style="24" customWidth="1"/>
    <col min="15378" max="15379" width="4.42578125" style="24" bestFit="1" customWidth="1"/>
    <col min="15380" max="15380" width="13.28515625" style="24" bestFit="1" customWidth="1"/>
    <col min="15381" max="15381" width="3.140625" style="24" customWidth="1"/>
    <col min="15382" max="15382" width="5.42578125" style="24" bestFit="1" customWidth="1"/>
    <col min="15383" max="15383" width="4.42578125" style="24" bestFit="1" customWidth="1"/>
    <col min="15384" max="15384" width="6.42578125" style="24" customWidth="1"/>
    <col min="15385" max="15385" width="5" style="24" bestFit="1" customWidth="1"/>
    <col min="15386" max="15386" width="4.5703125" style="24" bestFit="1" customWidth="1"/>
    <col min="15387" max="15387" width="4.42578125" style="24" bestFit="1" customWidth="1"/>
    <col min="15388" max="15388" width="4" style="24" customWidth="1"/>
    <col min="15389" max="15616" width="11.42578125" style="24"/>
    <col min="15617" max="15617" width="14.85546875" style="24" bestFit="1" customWidth="1"/>
    <col min="15618" max="15618" width="28" style="24" bestFit="1" customWidth="1"/>
    <col min="15619" max="15619" width="4.42578125" style="24" bestFit="1" customWidth="1"/>
    <col min="15620" max="15620" width="8" style="24" bestFit="1" customWidth="1"/>
    <col min="15621" max="15621" width="11.42578125" style="24"/>
    <col min="15622" max="15622" width="22.85546875" style="24" bestFit="1" customWidth="1"/>
    <col min="15623" max="15623" width="7" style="24" customWidth="1"/>
    <col min="15624" max="15624" width="6.28515625" style="24" customWidth="1"/>
    <col min="15625" max="15625" width="5.7109375" style="24" customWidth="1"/>
    <col min="15626" max="15626" width="5.7109375" style="24" bestFit="1" customWidth="1"/>
    <col min="15627" max="15627" width="5.85546875" style="24" bestFit="1" customWidth="1"/>
    <col min="15628" max="15628" width="9.42578125" style="24" customWidth="1"/>
    <col min="15629" max="15629" width="5.140625" style="24" customWidth="1"/>
    <col min="15630" max="15630" width="9.7109375" style="24" customWidth="1"/>
    <col min="15631" max="15631" width="6.7109375" style="24" bestFit="1" customWidth="1"/>
    <col min="15632" max="15632" width="4.85546875" style="24" customWidth="1"/>
    <col min="15633" max="15633" width="5.28515625" style="24" customWidth="1"/>
    <col min="15634" max="15635" width="4.42578125" style="24" bestFit="1" customWidth="1"/>
    <col min="15636" max="15636" width="13.28515625" style="24" bestFit="1" customWidth="1"/>
    <col min="15637" max="15637" width="3.140625" style="24" customWidth="1"/>
    <col min="15638" max="15638" width="5.42578125" style="24" bestFit="1" customWidth="1"/>
    <col min="15639" max="15639" width="4.42578125" style="24" bestFit="1" customWidth="1"/>
    <col min="15640" max="15640" width="6.42578125" style="24" customWidth="1"/>
    <col min="15641" max="15641" width="5" style="24" bestFit="1" customWidth="1"/>
    <col min="15642" max="15642" width="4.5703125" style="24" bestFit="1" customWidth="1"/>
    <col min="15643" max="15643" width="4.42578125" style="24" bestFit="1" customWidth="1"/>
    <col min="15644" max="15644" width="4" style="24" customWidth="1"/>
    <col min="15645" max="15872" width="11.42578125" style="24"/>
    <col min="15873" max="15873" width="14.85546875" style="24" bestFit="1" customWidth="1"/>
    <col min="15874" max="15874" width="28" style="24" bestFit="1" customWidth="1"/>
    <col min="15875" max="15875" width="4.42578125" style="24" bestFit="1" customWidth="1"/>
    <col min="15876" max="15876" width="8" style="24" bestFit="1" customWidth="1"/>
    <col min="15877" max="15877" width="11.42578125" style="24"/>
    <col min="15878" max="15878" width="22.85546875" style="24" bestFit="1" customWidth="1"/>
    <col min="15879" max="15879" width="7" style="24" customWidth="1"/>
    <col min="15880" max="15880" width="6.28515625" style="24" customWidth="1"/>
    <col min="15881" max="15881" width="5.7109375" style="24" customWidth="1"/>
    <col min="15882" max="15882" width="5.7109375" style="24" bestFit="1" customWidth="1"/>
    <col min="15883" max="15883" width="5.85546875" style="24" bestFit="1" customWidth="1"/>
    <col min="15884" max="15884" width="9.42578125" style="24" customWidth="1"/>
    <col min="15885" max="15885" width="5.140625" style="24" customWidth="1"/>
    <col min="15886" max="15886" width="9.7109375" style="24" customWidth="1"/>
    <col min="15887" max="15887" width="6.7109375" style="24" bestFit="1" customWidth="1"/>
    <col min="15888" max="15888" width="4.85546875" style="24" customWidth="1"/>
    <col min="15889" max="15889" width="5.28515625" style="24" customWidth="1"/>
    <col min="15890" max="15891" width="4.42578125" style="24" bestFit="1" customWidth="1"/>
    <col min="15892" max="15892" width="13.28515625" style="24" bestFit="1" customWidth="1"/>
    <col min="15893" max="15893" width="3.140625" style="24" customWidth="1"/>
    <col min="15894" max="15894" width="5.42578125" style="24" bestFit="1" customWidth="1"/>
    <col min="15895" max="15895" width="4.42578125" style="24" bestFit="1" customWidth="1"/>
    <col min="15896" max="15896" width="6.42578125" style="24" customWidth="1"/>
    <col min="15897" max="15897" width="5" style="24" bestFit="1" customWidth="1"/>
    <col min="15898" max="15898" width="4.5703125" style="24" bestFit="1" customWidth="1"/>
    <col min="15899" max="15899" width="4.42578125" style="24" bestFit="1" customWidth="1"/>
    <col min="15900" max="15900" width="4" style="24" customWidth="1"/>
    <col min="15901" max="16128" width="11.42578125" style="24"/>
    <col min="16129" max="16129" width="14.85546875" style="24" bestFit="1" customWidth="1"/>
    <col min="16130" max="16130" width="28" style="24" bestFit="1" customWidth="1"/>
    <col min="16131" max="16131" width="4.42578125" style="24" bestFit="1" customWidth="1"/>
    <col min="16132" max="16132" width="8" style="24" bestFit="1" customWidth="1"/>
    <col min="16133" max="16133" width="11.42578125" style="24"/>
    <col min="16134" max="16134" width="22.85546875" style="24" bestFit="1" customWidth="1"/>
    <col min="16135" max="16135" width="7" style="24" customWidth="1"/>
    <col min="16136" max="16136" width="6.28515625" style="24" customWidth="1"/>
    <col min="16137" max="16137" width="5.7109375" style="24" customWidth="1"/>
    <col min="16138" max="16138" width="5.7109375" style="24" bestFit="1" customWidth="1"/>
    <col min="16139" max="16139" width="5.85546875" style="24" bestFit="1" customWidth="1"/>
    <col min="16140" max="16140" width="9.42578125" style="24" customWidth="1"/>
    <col min="16141" max="16141" width="5.140625" style="24" customWidth="1"/>
    <col min="16142" max="16142" width="9.7109375" style="24" customWidth="1"/>
    <col min="16143" max="16143" width="6.7109375" style="24" bestFit="1" customWidth="1"/>
    <col min="16144" max="16144" width="4.85546875" style="24" customWidth="1"/>
    <col min="16145" max="16145" width="5.28515625" style="24" customWidth="1"/>
    <col min="16146" max="16147" width="4.42578125" style="24" bestFit="1" customWidth="1"/>
    <col min="16148" max="16148" width="13.28515625" style="24" bestFit="1" customWidth="1"/>
    <col min="16149" max="16149" width="3.140625" style="24" customWidth="1"/>
    <col min="16150" max="16150" width="5.42578125" style="24" bestFit="1" customWidth="1"/>
    <col min="16151" max="16151" width="4.42578125" style="24" bestFit="1" customWidth="1"/>
    <col min="16152" max="16152" width="6.42578125" style="24" customWidth="1"/>
    <col min="16153" max="16153" width="5" style="24" bestFit="1" customWidth="1"/>
    <col min="16154" max="16154" width="4.5703125" style="24" bestFit="1" customWidth="1"/>
    <col min="16155" max="16155" width="4.42578125" style="24" bestFit="1" customWidth="1"/>
    <col min="16156" max="16156" width="4" style="24" customWidth="1"/>
    <col min="16157" max="16384" width="11.42578125" style="24"/>
  </cols>
  <sheetData>
    <row r="1" spans="1:42">
      <c r="E1" s="1"/>
      <c r="F1" s="1"/>
      <c r="G1" s="748" t="s">
        <v>0</v>
      </c>
      <c r="H1" s="749"/>
      <c r="I1" s="749"/>
      <c r="J1" s="749"/>
      <c r="K1" s="749"/>
      <c r="L1" s="750"/>
      <c r="M1" s="342"/>
      <c r="N1" s="749" t="s">
        <v>1</v>
      </c>
      <c r="O1" s="749"/>
      <c r="P1" s="749"/>
      <c r="Q1" s="749"/>
      <c r="R1" s="749"/>
      <c r="S1" s="749"/>
      <c r="T1" s="749"/>
      <c r="U1" s="1"/>
      <c r="V1" s="749" t="s">
        <v>2</v>
      </c>
      <c r="W1" s="749"/>
      <c r="X1" s="749"/>
      <c r="Y1" s="749"/>
      <c r="Z1" s="749"/>
      <c r="AA1" s="749"/>
      <c r="AB1" s="28"/>
    </row>
    <row r="2" spans="1:42" ht="15" customHeight="1">
      <c r="E2" s="1"/>
      <c r="F2" s="1"/>
      <c r="G2" s="792" t="s">
        <v>43</v>
      </c>
      <c r="H2" s="752"/>
      <c r="I2" s="753" t="s">
        <v>3</v>
      </c>
      <c r="J2" s="752"/>
      <c r="K2" s="752"/>
      <c r="L2" s="752"/>
      <c r="M2" s="143"/>
      <c r="N2" s="754" t="s">
        <v>4</v>
      </c>
      <c r="O2" s="756" t="s">
        <v>5</v>
      </c>
      <c r="P2" s="757"/>
      <c r="Q2" s="757"/>
      <c r="R2" s="757"/>
      <c r="S2" s="757"/>
      <c r="T2" s="758"/>
      <c r="U2" s="1"/>
      <c r="V2" s="760" t="s">
        <v>508</v>
      </c>
      <c r="W2" s="757"/>
      <c r="X2" s="757"/>
      <c r="Y2" s="757"/>
      <c r="Z2" s="757"/>
      <c r="AA2" s="758"/>
      <c r="AB2" s="29"/>
      <c r="AJ2" s="331"/>
      <c r="AK2" s="324"/>
      <c r="AL2" s="331"/>
      <c r="AM2" s="323" t="s">
        <v>507</v>
      </c>
      <c r="AN2" s="324"/>
      <c r="AO2" s="325"/>
    </row>
    <row r="3" spans="1:42" s="25" customFormat="1" ht="38.25">
      <c r="E3" s="4"/>
      <c r="F3" s="4"/>
      <c r="G3" s="30"/>
      <c r="H3" s="30"/>
      <c r="I3" s="761" t="s">
        <v>6</v>
      </c>
      <c r="J3" s="752"/>
      <c r="K3" s="761" t="s">
        <v>52</v>
      </c>
      <c r="L3" s="752"/>
      <c r="M3" s="144" t="s">
        <v>467</v>
      </c>
      <c r="N3" s="755"/>
      <c r="O3" s="759"/>
      <c r="P3" s="757"/>
      <c r="Q3" s="757"/>
      <c r="R3" s="757"/>
      <c r="S3" s="757"/>
      <c r="T3" s="758"/>
      <c r="U3" s="4"/>
      <c r="V3" s="759"/>
      <c r="W3" s="750"/>
      <c r="X3" s="750"/>
      <c r="Y3" s="750"/>
      <c r="Z3" s="750"/>
      <c r="AA3" s="758"/>
      <c r="AB3" s="31"/>
      <c r="AD3" s="332"/>
      <c r="AE3" s="332" t="s">
        <v>492</v>
      </c>
      <c r="AF3" s="332"/>
      <c r="AG3" s="332" t="s">
        <v>509</v>
      </c>
      <c r="AH3" s="332"/>
      <c r="AI3" s="332" t="s">
        <v>452</v>
      </c>
      <c r="AJ3" s="326"/>
      <c r="AK3" s="327"/>
      <c r="AL3" s="327"/>
      <c r="AM3" s="327"/>
      <c r="AN3" s="327"/>
      <c r="AO3" s="325"/>
    </row>
    <row r="4" spans="1:42" ht="15">
      <c r="A4" s="765" t="s">
        <v>44</v>
      </c>
      <c r="B4" s="766"/>
      <c r="C4" s="766"/>
      <c r="E4" s="22" t="s">
        <v>7</v>
      </c>
      <c r="F4" s="22" t="s">
        <v>8</v>
      </c>
      <c r="G4" s="32"/>
      <c r="H4" s="33" t="s">
        <v>9</v>
      </c>
      <c r="I4" s="21"/>
      <c r="J4" s="359" t="s">
        <v>9</v>
      </c>
      <c r="K4" s="21"/>
      <c r="L4" s="359" t="s">
        <v>9</v>
      </c>
      <c r="M4" s="33"/>
      <c r="N4" s="755"/>
      <c r="O4" s="14" t="s">
        <v>10</v>
      </c>
      <c r="P4" s="14" t="s">
        <v>11</v>
      </c>
      <c r="Q4" s="14" t="s">
        <v>12</v>
      </c>
      <c r="R4" s="13" t="s">
        <v>13</v>
      </c>
      <c r="S4" s="12" t="s">
        <v>14</v>
      </c>
      <c r="T4" s="12" t="s">
        <v>15</v>
      </c>
      <c r="U4" s="10"/>
      <c r="V4" s="20" t="s">
        <v>9</v>
      </c>
      <c r="W4" s="14" t="s">
        <v>16</v>
      </c>
      <c r="X4" s="14" t="s">
        <v>17</v>
      </c>
      <c r="Y4" s="13" t="s">
        <v>18</v>
      </c>
      <c r="Z4" s="12" t="s">
        <v>19</v>
      </c>
      <c r="AA4" s="12" t="s">
        <v>20</v>
      </c>
      <c r="AB4" s="24" t="s">
        <v>510</v>
      </c>
      <c r="AD4" s="14" t="s">
        <v>16</v>
      </c>
      <c r="AE4" s="14" t="s">
        <v>17</v>
      </c>
      <c r="AF4" s="13" t="s">
        <v>18</v>
      </c>
      <c r="AG4" s="12" t="s">
        <v>19</v>
      </c>
      <c r="AH4" s="12" t="s">
        <v>20</v>
      </c>
      <c r="AI4" s="347" t="s">
        <v>452</v>
      </c>
      <c r="AJ4" s="328" t="s">
        <v>9</v>
      </c>
      <c r="AK4" s="328" t="s">
        <v>16</v>
      </c>
      <c r="AL4" s="328" t="s">
        <v>17</v>
      </c>
      <c r="AM4" s="329" t="s">
        <v>18</v>
      </c>
      <c r="AN4" s="330" t="s">
        <v>19</v>
      </c>
      <c r="AO4" s="330" t="s">
        <v>20</v>
      </c>
    </row>
    <row r="5" spans="1:42" ht="15">
      <c r="A5" s="24" t="s">
        <v>9</v>
      </c>
      <c r="C5" s="26">
        <f>SUM(C7:C25)</f>
        <v>195.33907701787814</v>
      </c>
      <c r="E5" s="2"/>
      <c r="F5" s="19"/>
      <c r="G5" s="34">
        <f>SUM(G7:G44)-R23-S23</f>
        <v>195.33907701787817</v>
      </c>
      <c r="H5" s="19"/>
      <c r="I5" s="18"/>
      <c r="J5" s="17"/>
      <c r="L5" s="8"/>
      <c r="N5" s="16"/>
      <c r="O5" s="15"/>
      <c r="P5" s="14"/>
      <c r="Q5" s="14"/>
      <c r="R5" s="13"/>
      <c r="S5" s="12"/>
      <c r="T5" s="11">
        <f>SUM(T7:T32)+T39</f>
        <v>118.01175116485844</v>
      </c>
      <c r="U5" s="10"/>
      <c r="V5" s="9">
        <f>SUM(V7,V21,V26:V32,V34)</f>
        <v>104.53143333783106</v>
      </c>
      <c r="W5" s="9">
        <f>SUM(W7:W44)</f>
        <v>2.8366605101092852</v>
      </c>
      <c r="X5" s="9">
        <f>SUM(X7:X44)</f>
        <v>30.162640682063707</v>
      </c>
      <c r="Y5" s="9">
        <f>SUM(Y7:Y44)</f>
        <v>24.07602258467109</v>
      </c>
      <c r="Z5" s="9">
        <f>SUM(Z7:Z44)</f>
        <v>17.713273884134786</v>
      </c>
      <c r="AA5" s="9">
        <f>SUM(AA7:AA44)</f>
        <v>29.742835676852192</v>
      </c>
      <c r="AB5" s="27"/>
      <c r="AJ5" s="9">
        <f>SUM(AJ13,AJ23,AJ26:AJ32,AJ40)</f>
        <v>117.90042512298211</v>
      </c>
      <c r="AK5" s="9">
        <f>SUM(AK7:AK44)</f>
        <v>2.7926641778484691</v>
      </c>
      <c r="AL5" s="9">
        <f>SUM(AL7:AL44)</f>
        <v>29.364826605686375</v>
      </c>
      <c r="AM5" s="9">
        <f>SUM(AM7:AM44)</f>
        <v>27.49249768442888</v>
      </c>
      <c r="AN5" s="9">
        <f>SUM(AN7:AN44)</f>
        <v>17.928008368807305</v>
      </c>
      <c r="AO5" s="9">
        <f>SUM(AO7:AO44)</f>
        <v>40.322428286211071</v>
      </c>
      <c r="AP5" s="27"/>
    </row>
    <row r="6" spans="1:42">
      <c r="E6" s="1"/>
      <c r="F6" s="1"/>
      <c r="G6" s="360">
        <f>G5-'bilan complet'!K261-I40-I41</f>
        <v>0.31596591286585007</v>
      </c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2">
        <f>T5-'bilan complet'!K255+(SUM(AD7:AH19)-T7)</f>
        <v>7.1054273576010019E-15</v>
      </c>
      <c r="U6" s="263"/>
      <c r="V6" s="264">
        <f>V5-'scenario demande'!H368</f>
        <v>0</v>
      </c>
      <c r="W6" s="1"/>
      <c r="X6" s="1"/>
      <c r="Y6" s="1"/>
      <c r="Z6" s="1"/>
      <c r="AA6" s="1"/>
      <c r="AB6" s="35"/>
      <c r="AJ6" s="480">
        <f>AJ5-'bilan complet'!K255</f>
        <v>0</v>
      </c>
      <c r="AK6" s="1"/>
      <c r="AL6" s="1"/>
      <c r="AM6" s="1"/>
      <c r="AN6" s="1"/>
      <c r="AO6" s="1"/>
    </row>
    <row r="7" spans="1:42">
      <c r="A7" s="24" t="s">
        <v>45</v>
      </c>
      <c r="B7" s="24" t="s">
        <v>46</v>
      </c>
      <c r="C7" s="27">
        <f>G29+G35+G13</f>
        <v>21.158273713569407</v>
      </c>
      <c r="E7" s="767" t="s">
        <v>14</v>
      </c>
      <c r="F7" s="1" t="s">
        <v>21</v>
      </c>
      <c r="G7" s="2">
        <f>électricité!H27*0.086</f>
        <v>7.498974921874999</v>
      </c>
      <c r="H7" s="768">
        <f>SUM(G7:G20)</f>
        <v>92.787481569093316</v>
      </c>
      <c r="I7" s="3"/>
      <c r="J7" s="769">
        <f>SUM(I7:I19)</f>
        <v>51.204167157013529</v>
      </c>
      <c r="K7" s="2">
        <f>G7-I7</f>
        <v>7.498974921874999</v>
      </c>
      <c r="L7" s="769">
        <f>SUM(K6:K19)</f>
        <v>43.676513792968741</v>
      </c>
      <c r="N7" s="768">
        <f>L7-M13</f>
        <v>39.200994066737501</v>
      </c>
      <c r="O7" s="46"/>
      <c r="P7" s="46"/>
      <c r="Q7" s="46"/>
      <c r="R7" s="45"/>
      <c r="S7" s="341"/>
      <c r="T7" s="783">
        <f>N7-O12-P12-Q12</f>
        <v>34.700639597987504</v>
      </c>
      <c r="U7" s="23"/>
      <c r="V7" s="772">
        <f>SUM(W7:AA19)</f>
        <v>33.462876244532886</v>
      </c>
      <c r="W7" s="256"/>
      <c r="X7" s="259"/>
      <c r="Y7" s="256"/>
      <c r="Z7" s="259"/>
      <c r="AA7" s="256"/>
      <c r="AB7" s="36"/>
      <c r="AC7" s="267"/>
      <c r="AD7" s="762">
        <f>'bilan complet'!$I$253</f>
        <v>0.45934924038346103</v>
      </c>
      <c r="AE7" s="762">
        <f>'bilan complet'!$I$250</f>
        <v>9.4467870268593757</v>
      </c>
      <c r="AF7" s="762">
        <f>'bilan complet'!$I$251</f>
        <v>10.809247245284739</v>
      </c>
      <c r="AG7" s="762">
        <f>'bilan complet'!$I$252</f>
        <v>11.140289493572306</v>
      </c>
      <c r="AH7" s="772">
        <f>'bilan complet'!$I$254</f>
        <v>2.7336405500112795</v>
      </c>
      <c r="AJ7" s="307"/>
      <c r="AK7" s="308"/>
      <c r="AL7" s="259"/>
      <c r="AM7" s="256"/>
      <c r="AN7" s="259"/>
      <c r="AO7" s="256"/>
    </row>
    <row r="8" spans="1:42">
      <c r="B8" s="24" t="s">
        <v>21</v>
      </c>
      <c r="C8" s="27">
        <f>G7</f>
        <v>7.498974921874999</v>
      </c>
      <c r="D8" s="27"/>
      <c r="E8" s="767"/>
      <c r="F8" s="1" t="s">
        <v>22</v>
      </c>
      <c r="G8" s="2">
        <f>électricité!H25*0.086</f>
        <v>5.8722378906249997</v>
      </c>
      <c r="H8" s="768"/>
      <c r="I8" s="3"/>
      <c r="J8" s="769"/>
      <c r="K8" s="2">
        <f>G8-I8</f>
        <v>5.8722378906249997</v>
      </c>
      <c r="L8" s="769"/>
      <c r="N8" s="768"/>
      <c r="O8" s="46"/>
      <c r="P8" s="46"/>
      <c r="Q8" s="46"/>
      <c r="R8" s="45"/>
      <c r="S8" s="341"/>
      <c r="T8" s="783"/>
      <c r="U8" s="23"/>
      <c r="V8" s="773"/>
      <c r="W8" s="257"/>
      <c r="X8" s="260"/>
      <c r="Y8" s="257"/>
      <c r="Z8" s="260"/>
      <c r="AA8" s="257"/>
      <c r="AB8" s="36"/>
      <c r="AC8" s="38"/>
      <c r="AD8" s="763"/>
      <c r="AE8" s="763"/>
      <c r="AF8" s="763"/>
      <c r="AG8" s="763"/>
      <c r="AH8" s="773"/>
      <c r="AJ8" s="344"/>
      <c r="AK8" s="309"/>
      <c r="AL8" s="260"/>
      <c r="AM8" s="257"/>
      <c r="AN8" s="260"/>
      <c r="AO8" s="257"/>
    </row>
    <row r="9" spans="1:42">
      <c r="B9" s="24" t="s">
        <v>47</v>
      </c>
      <c r="C9" s="27">
        <f>G11+G21+G22+G26+G34</f>
        <v>0</v>
      </c>
      <c r="E9" s="767"/>
      <c r="F9" s="1" t="s">
        <v>23</v>
      </c>
      <c r="G9" s="2">
        <f>électricité!H26*0.086</f>
        <v>3.7478238984374999</v>
      </c>
      <c r="H9" s="768"/>
      <c r="I9" s="3"/>
      <c r="J9" s="769"/>
      <c r="K9" s="2">
        <f>G9-I9</f>
        <v>3.7478238984374999</v>
      </c>
      <c r="L9" s="769"/>
      <c r="N9" s="768"/>
      <c r="O9" s="46"/>
      <c r="P9" s="46"/>
      <c r="Q9" s="46"/>
      <c r="R9" s="45"/>
      <c r="S9" s="341"/>
      <c r="T9" s="783"/>
      <c r="U9" s="23"/>
      <c r="V9" s="773"/>
      <c r="W9" s="257"/>
      <c r="X9" s="260"/>
      <c r="Y9" s="257"/>
      <c r="Z9" s="260"/>
      <c r="AA9" s="257"/>
      <c r="AB9" s="36"/>
      <c r="AC9" s="38"/>
      <c r="AD9" s="763"/>
      <c r="AE9" s="763"/>
      <c r="AF9" s="763"/>
      <c r="AG9" s="763"/>
      <c r="AH9" s="773"/>
      <c r="AJ9" s="344"/>
      <c r="AK9" s="309"/>
      <c r="AL9" s="260"/>
      <c r="AM9" s="257"/>
      <c r="AN9" s="260"/>
      <c r="AO9" s="257"/>
    </row>
    <row r="10" spans="1:42">
      <c r="B10" s="24" t="s">
        <v>28</v>
      </c>
      <c r="C10" s="27">
        <f>G14+G30+G37</f>
        <v>0.1997019839016457</v>
      </c>
      <c r="E10" s="767"/>
      <c r="F10" s="1" t="s">
        <v>24</v>
      </c>
      <c r="G10" s="2">
        <f>66.68+'bilan complet'!H233</f>
        <v>64.960000000000008</v>
      </c>
      <c r="H10" s="768"/>
      <c r="I10" s="3">
        <f>K10/0.33-K10</f>
        <v>44.677417834990521</v>
      </c>
      <c r="J10" s="769"/>
      <c r="K10" s="3">
        <f>électricité!H22*0.086</f>
        <v>22.005295351562495</v>
      </c>
      <c r="L10" s="769"/>
      <c r="N10" s="768"/>
      <c r="O10" s="46"/>
      <c r="P10" s="46"/>
      <c r="Q10" s="46"/>
      <c r="R10" s="45"/>
      <c r="S10" s="341"/>
      <c r="T10" s="783"/>
      <c r="U10" s="23"/>
      <c r="V10" s="773"/>
      <c r="W10" s="257"/>
      <c r="X10" s="260"/>
      <c r="Y10" s="257"/>
      <c r="Z10" s="260"/>
      <c r="AA10" s="257"/>
      <c r="AB10" s="36"/>
      <c r="AC10" s="38"/>
      <c r="AD10" s="763"/>
      <c r="AE10" s="763"/>
      <c r="AF10" s="763"/>
      <c r="AG10" s="763"/>
      <c r="AH10" s="773"/>
      <c r="AJ10" s="344"/>
      <c r="AK10" s="309"/>
      <c r="AL10" s="260"/>
      <c r="AM10" s="257"/>
      <c r="AN10" s="260"/>
      <c r="AO10" s="257"/>
    </row>
    <row r="11" spans="1:42">
      <c r="B11" s="24" t="s">
        <v>22</v>
      </c>
      <c r="C11" s="27">
        <f>G8</f>
        <v>5.8722378906249997</v>
      </c>
      <c r="E11" s="767"/>
      <c r="F11" s="1" t="s">
        <v>25</v>
      </c>
      <c r="G11" s="2"/>
      <c r="H11" s="768"/>
      <c r="I11" s="3"/>
      <c r="J11" s="769"/>
      <c r="K11" s="2">
        <f>G11-I11</f>
        <v>0</v>
      </c>
      <c r="L11" s="769"/>
      <c r="N11" s="768"/>
      <c r="O11" s="46"/>
      <c r="P11" s="46"/>
      <c r="Q11" s="46"/>
      <c r="R11" s="45"/>
      <c r="S11" s="341"/>
      <c r="T11" s="783"/>
      <c r="U11" s="23"/>
      <c r="V11" s="773"/>
      <c r="W11" s="257"/>
      <c r="X11" s="260"/>
      <c r="Y11" s="257"/>
      <c r="Z11" s="260"/>
      <c r="AA11" s="257"/>
      <c r="AB11" s="36"/>
      <c r="AC11" s="38"/>
      <c r="AD11" s="763"/>
      <c r="AE11" s="763"/>
      <c r="AF11" s="763"/>
      <c r="AG11" s="763"/>
      <c r="AH11" s="773"/>
      <c r="AJ11" s="344"/>
      <c r="AK11" s="309"/>
      <c r="AL11" s="260"/>
      <c r="AM11" s="257"/>
      <c r="AN11" s="260"/>
      <c r="AO11" s="257"/>
    </row>
    <row r="12" spans="1:42">
      <c r="B12" s="24" t="s">
        <v>23</v>
      </c>
      <c r="C12" s="27">
        <f>G9</f>
        <v>3.7478238984374999</v>
      </c>
      <c r="D12" s="27"/>
      <c r="E12" s="767"/>
      <c r="F12" s="1" t="s">
        <v>26</v>
      </c>
      <c r="G12" s="2">
        <f>'bilan complet'!J247</f>
        <v>5.9818908400740423</v>
      </c>
      <c r="H12" s="768"/>
      <c r="I12" s="3">
        <f>G12-K12</f>
        <v>3.9951907306990426</v>
      </c>
      <c r="J12" s="769"/>
      <c r="K12" s="2">
        <f>électricité!H21*0.086</f>
        <v>1.9867001093749999</v>
      </c>
      <c r="L12" s="769"/>
      <c r="N12" s="768"/>
      <c r="O12" s="46">
        <f>(électricité!H32)*0.086</f>
        <v>2.7803544687500001</v>
      </c>
      <c r="P12" s="46">
        <f>électricité!H36*0.086</f>
        <v>1.7199999999999998</v>
      </c>
      <c r="Q12" s="46"/>
      <c r="R12" s="45"/>
      <c r="S12" s="341"/>
      <c r="T12" s="783"/>
      <c r="U12" s="7"/>
      <c r="V12" s="773"/>
      <c r="W12" s="257"/>
      <c r="X12" s="260"/>
      <c r="Y12" s="257"/>
      <c r="Z12" s="260"/>
      <c r="AA12" s="257"/>
      <c r="AB12" s="36"/>
      <c r="AC12" s="38" t="s">
        <v>490</v>
      </c>
      <c r="AD12" s="763"/>
      <c r="AE12" s="763"/>
      <c r="AF12" s="763"/>
      <c r="AG12" s="763"/>
      <c r="AH12" s="773"/>
      <c r="AJ12" s="344"/>
      <c r="AK12" s="309"/>
      <c r="AL12" s="260"/>
      <c r="AM12" s="257"/>
      <c r="AN12" s="260"/>
      <c r="AO12" s="257"/>
    </row>
    <row r="13" spans="1:42">
      <c r="B13" s="24" t="s">
        <v>62</v>
      </c>
      <c r="C13" s="27">
        <f>G39</f>
        <v>7.171530966937218</v>
      </c>
      <c r="E13" s="767"/>
      <c r="F13" s="1" t="s">
        <v>27</v>
      </c>
      <c r="G13" s="2"/>
      <c r="H13" s="768"/>
      <c r="I13" s="3"/>
      <c r="J13" s="769"/>
      <c r="K13" s="2">
        <f>G13-I13</f>
        <v>0</v>
      </c>
      <c r="L13" s="769"/>
      <c r="M13" s="37">
        <f>électricité!H34*0.086</f>
        <v>4.4755197262312398</v>
      </c>
      <c r="N13" s="768"/>
      <c r="O13" s="46"/>
      <c r="P13" s="46"/>
      <c r="Q13" s="46"/>
      <c r="R13" s="45"/>
      <c r="S13" s="341"/>
      <c r="T13" s="783"/>
      <c r="U13" s="1"/>
      <c r="V13" s="773"/>
      <c r="W13" s="257">
        <f>'scenario demande'!$H$339</f>
        <v>0.45435202438346101</v>
      </c>
      <c r="X13" s="260">
        <f>'scenario demande'!$H$12</f>
        <v>9.4256333023496612</v>
      </c>
      <c r="Y13" s="257">
        <f>'scenario demande'!$H$113</f>
        <v>9.8652256438590662</v>
      </c>
      <c r="Z13" s="260">
        <f>'scenario demande'!$H$188</f>
        <v>10.98210879487055</v>
      </c>
      <c r="AA13" s="257">
        <f>'scenario demande'!$H$278</f>
        <v>2.7355564790701501</v>
      </c>
      <c r="AB13" s="36"/>
      <c r="AC13" s="38"/>
      <c r="AD13" s="763"/>
      <c r="AE13" s="763"/>
      <c r="AF13" s="763"/>
      <c r="AG13" s="763"/>
      <c r="AH13" s="773"/>
      <c r="AI13" s="27">
        <f>SUM(AD7:AH19)</f>
        <v>34.589313556111158</v>
      </c>
      <c r="AJ13" s="344">
        <f>SUM(AK7:AO19)</f>
        <v>34.589313556111158</v>
      </c>
      <c r="AK13" s="310">
        <f>AD7</f>
        <v>0.45934924038346103</v>
      </c>
      <c r="AL13" s="260">
        <f>AE7</f>
        <v>9.4467870268593757</v>
      </c>
      <c r="AM13" s="260">
        <f>AF7</f>
        <v>10.809247245284739</v>
      </c>
      <c r="AN13" s="260">
        <f>AG7</f>
        <v>11.140289493572306</v>
      </c>
      <c r="AO13" s="260">
        <f>AH7</f>
        <v>2.7336405500112795</v>
      </c>
    </row>
    <row r="14" spans="1:42">
      <c r="B14" s="24" t="s">
        <v>48</v>
      </c>
      <c r="C14" s="27">
        <f>G38</f>
        <v>2.57</v>
      </c>
      <c r="E14" s="767"/>
      <c r="F14" s="1" t="s">
        <v>28</v>
      </c>
      <c r="G14" s="2"/>
      <c r="H14" s="768"/>
      <c r="I14" s="3"/>
      <c r="J14" s="769"/>
      <c r="K14" s="2">
        <f>G14-I14</f>
        <v>0</v>
      </c>
      <c r="L14" s="769"/>
      <c r="N14" s="768"/>
      <c r="O14" s="46"/>
      <c r="P14" s="46"/>
      <c r="Q14" s="46"/>
      <c r="R14" s="45"/>
      <c r="S14" s="341"/>
      <c r="T14" s="783"/>
      <c r="U14" s="1"/>
      <c r="V14" s="773"/>
      <c r="W14" s="257"/>
      <c r="X14" s="260"/>
      <c r="Y14" s="257"/>
      <c r="Z14" s="260"/>
      <c r="AA14" s="257"/>
      <c r="AB14" s="36"/>
      <c r="AC14" s="38"/>
      <c r="AD14" s="763"/>
      <c r="AE14" s="763"/>
      <c r="AF14" s="763"/>
      <c r="AG14" s="763"/>
      <c r="AH14" s="773"/>
      <c r="AJ14" s="344"/>
      <c r="AK14" s="309"/>
      <c r="AL14" s="260"/>
      <c r="AM14" s="257"/>
      <c r="AN14" s="260"/>
      <c r="AO14" s="257"/>
    </row>
    <row r="15" spans="1:42">
      <c r="B15" s="24" t="s">
        <v>35</v>
      </c>
      <c r="C15" s="27">
        <f>G36+G31</f>
        <v>0.69296349659968226</v>
      </c>
      <c r="E15" s="767"/>
      <c r="F15" s="1" t="s">
        <v>29</v>
      </c>
      <c r="G15" s="2">
        <f>électricité!H30*0.086</f>
        <v>0.5843574443359375</v>
      </c>
      <c r="H15" s="768"/>
      <c r="I15" s="3"/>
      <c r="J15" s="769"/>
      <c r="K15" s="2">
        <f>G15-I15</f>
        <v>0.5843574443359375</v>
      </c>
      <c r="L15" s="769"/>
      <c r="N15" s="768"/>
      <c r="O15" s="46"/>
      <c r="P15" s="46"/>
      <c r="Q15" s="46"/>
      <c r="R15" s="45"/>
      <c r="S15" s="341"/>
      <c r="T15" s="783"/>
      <c r="U15" s="1"/>
      <c r="V15" s="773"/>
      <c r="W15" s="257"/>
      <c r="X15" s="260"/>
      <c r="Y15" s="257"/>
      <c r="Z15" s="260"/>
      <c r="AA15" s="257"/>
      <c r="AB15" s="36"/>
      <c r="AC15" s="38"/>
      <c r="AD15" s="763"/>
      <c r="AE15" s="763"/>
      <c r="AF15" s="763"/>
      <c r="AG15" s="763"/>
      <c r="AH15" s="773"/>
      <c r="AJ15" s="344"/>
      <c r="AK15" s="309"/>
      <c r="AL15" s="260"/>
      <c r="AM15" s="257"/>
      <c r="AN15" s="260"/>
      <c r="AO15" s="257"/>
    </row>
    <row r="16" spans="1:42">
      <c r="B16" s="24" t="s">
        <v>39</v>
      </c>
      <c r="C16" s="27">
        <f>G12+G16+G27+G28</f>
        <v>6.7116067677706486</v>
      </c>
      <c r="E16" s="767"/>
      <c r="F16" s="1" t="s">
        <v>30</v>
      </c>
      <c r="G16" s="2">
        <v>0</v>
      </c>
      <c r="H16" s="768"/>
      <c r="I16" s="3"/>
      <c r="J16" s="769"/>
      <c r="K16" s="2">
        <f>électricité!H20*0.086</f>
        <v>0.37048619433593749</v>
      </c>
      <c r="L16" s="769"/>
      <c r="N16" s="768"/>
      <c r="O16" s="46"/>
      <c r="P16" s="46"/>
      <c r="Q16" s="46"/>
      <c r="R16" s="45"/>
      <c r="S16" s="341"/>
      <c r="T16" s="783"/>
      <c r="U16" s="1"/>
      <c r="V16" s="773"/>
      <c r="W16" s="257"/>
      <c r="X16" s="260"/>
      <c r="Y16" s="257"/>
      <c r="Z16" s="260"/>
      <c r="AA16" s="257"/>
      <c r="AB16" s="36"/>
      <c r="AC16" s="38"/>
      <c r="AD16" s="763"/>
      <c r="AE16" s="763"/>
      <c r="AF16" s="763"/>
      <c r="AG16" s="763"/>
      <c r="AH16" s="773"/>
      <c r="AJ16" s="344"/>
      <c r="AK16" s="309"/>
      <c r="AL16" s="260"/>
      <c r="AM16" s="257"/>
      <c r="AN16" s="260"/>
      <c r="AO16" s="257"/>
    </row>
    <row r="17" spans="1:41">
      <c r="C17" s="27"/>
      <c r="E17" s="767"/>
      <c r="F17" s="1" t="s">
        <v>466</v>
      </c>
      <c r="G17" s="2">
        <f>électricité!H6</f>
        <v>4.2883472442626955E-2</v>
      </c>
      <c r="H17" s="768"/>
      <c r="I17" s="3">
        <f>G17-K17</f>
        <v>2.5683472442626955E-2</v>
      </c>
      <c r="J17" s="769"/>
      <c r="K17" s="5">
        <f>électricité!H17*0.086</f>
        <v>1.72E-2</v>
      </c>
      <c r="L17" s="769"/>
      <c r="N17" s="768"/>
      <c r="O17" s="46"/>
      <c r="P17" s="46"/>
      <c r="Q17" s="46"/>
      <c r="R17" s="45"/>
      <c r="S17" s="341"/>
      <c r="T17" s="783"/>
      <c r="U17" s="1"/>
      <c r="V17" s="773"/>
      <c r="W17" s="257"/>
      <c r="X17" s="260"/>
      <c r="Y17" s="257"/>
      <c r="Z17" s="260"/>
      <c r="AA17" s="257"/>
      <c r="AB17" s="36"/>
      <c r="AC17" s="38"/>
      <c r="AD17" s="763"/>
      <c r="AE17" s="763"/>
      <c r="AF17" s="763"/>
      <c r="AG17" s="763"/>
      <c r="AH17" s="773"/>
      <c r="AJ17" s="344"/>
      <c r="AK17" s="309"/>
      <c r="AL17" s="260"/>
      <c r="AM17" s="257"/>
      <c r="AN17" s="260"/>
      <c r="AO17" s="257"/>
    </row>
    <row r="18" spans="1:41">
      <c r="C18" s="27"/>
      <c r="E18" s="767"/>
      <c r="F18" s="1" t="s">
        <v>181</v>
      </c>
      <c r="G18" s="2">
        <f>électricité!H4</f>
        <v>1.3912541503906251</v>
      </c>
      <c r="H18" s="768"/>
      <c r="I18" s="3">
        <f>G18-K18</f>
        <v>0.91654741992187505</v>
      </c>
      <c r="J18" s="769"/>
      <c r="K18" s="2">
        <f>électricité!H10*0.086</f>
        <v>0.47470673046874995</v>
      </c>
      <c r="L18" s="769"/>
      <c r="N18" s="768"/>
      <c r="O18" s="46"/>
      <c r="P18" s="46"/>
      <c r="Q18" s="46"/>
      <c r="R18" s="45"/>
      <c r="S18" s="341"/>
      <c r="T18" s="783"/>
      <c r="U18" s="1"/>
      <c r="V18" s="773"/>
      <c r="W18" s="257"/>
      <c r="X18" s="260"/>
      <c r="Y18" s="257"/>
      <c r="Z18" s="260"/>
      <c r="AA18" s="257"/>
      <c r="AB18" s="36"/>
      <c r="AC18" s="38"/>
      <c r="AD18" s="763"/>
      <c r="AE18" s="763"/>
      <c r="AF18" s="763"/>
      <c r="AG18" s="763"/>
      <c r="AH18" s="773"/>
      <c r="AJ18" s="344"/>
      <c r="AK18" s="309"/>
      <c r="AL18" s="260"/>
      <c r="AM18" s="257"/>
      <c r="AN18" s="260"/>
      <c r="AO18" s="257"/>
    </row>
    <row r="19" spans="1:41">
      <c r="B19" s="24" t="s">
        <v>49</v>
      </c>
      <c r="C19" s="27">
        <f>G15</f>
        <v>0.5843574443359375</v>
      </c>
      <c r="D19" s="27"/>
      <c r="E19" s="767"/>
      <c r="F19" s="1" t="s">
        <v>31</v>
      </c>
      <c r="G19" s="2">
        <f>'bilan complet'!F247-I32-I29</f>
        <v>2.7080589509125863</v>
      </c>
      <c r="H19" s="768"/>
      <c r="I19" s="3">
        <f>G19-K19</f>
        <v>1.5893276989594614</v>
      </c>
      <c r="J19" s="769"/>
      <c r="K19" s="2">
        <f>électricité!H12*0.086</f>
        <v>1.1187312519531249</v>
      </c>
      <c r="L19" s="769"/>
      <c r="N19" s="768"/>
      <c r="O19" s="46"/>
      <c r="P19" s="46"/>
      <c r="Q19" s="46"/>
      <c r="R19" s="45"/>
      <c r="S19" s="341"/>
      <c r="T19" s="783"/>
      <c r="U19" s="1"/>
      <c r="V19" s="774"/>
      <c r="W19" s="258"/>
      <c r="X19" s="261"/>
      <c r="Y19" s="258"/>
      <c r="Z19" s="261"/>
      <c r="AA19" s="258"/>
      <c r="AB19" s="36"/>
      <c r="AC19" s="269"/>
      <c r="AD19" s="764"/>
      <c r="AE19" s="764"/>
      <c r="AF19" s="764"/>
      <c r="AG19" s="764"/>
      <c r="AH19" s="774"/>
      <c r="AJ19" s="345"/>
      <c r="AK19" s="311"/>
      <c r="AL19" s="261"/>
      <c r="AM19" s="258"/>
      <c r="AN19" s="261"/>
      <c r="AO19" s="258"/>
    </row>
    <row r="20" spans="1:41">
      <c r="E20" s="1"/>
      <c r="F20" s="1"/>
      <c r="G20" s="1"/>
      <c r="H20" s="1"/>
      <c r="I20" s="2"/>
      <c r="J20" s="2"/>
      <c r="K20" s="2"/>
      <c r="L20" s="1"/>
      <c r="M20" s="1">
        <f>(M13+O12)/(L7-O12-M13)</f>
        <v>0.19922423864797198</v>
      </c>
      <c r="N20" s="1"/>
      <c r="O20" s="1"/>
      <c r="P20" s="1"/>
      <c r="Q20" s="1"/>
      <c r="R20" s="1"/>
      <c r="S20" s="1"/>
      <c r="T20" s="262">
        <f>T7-électricité!H38*0.086</f>
        <v>0</v>
      </c>
      <c r="U20" s="265">
        <f>T7-électricité!H38*0.086</f>
        <v>0</v>
      </c>
      <c r="V20" s="2"/>
      <c r="W20" s="1"/>
      <c r="X20" s="2"/>
      <c r="Y20" s="1"/>
      <c r="Z20" s="2"/>
      <c r="AA20" s="1"/>
      <c r="AJ20" s="2"/>
      <c r="AK20" s="1"/>
      <c r="AL20" s="2"/>
      <c r="AM20" s="1"/>
      <c r="AN20" s="2"/>
      <c r="AO20" s="1"/>
    </row>
    <row r="21" spans="1:41">
      <c r="A21" s="24" t="s">
        <v>50</v>
      </c>
      <c r="B21" s="24" t="s">
        <v>24</v>
      </c>
      <c r="C21" s="27">
        <f>G10</f>
        <v>64.960000000000008</v>
      </c>
      <c r="E21" s="775" t="s">
        <v>12</v>
      </c>
      <c r="F21" s="1" t="s">
        <v>25</v>
      </c>
      <c r="G21" s="2"/>
      <c r="H21" s="776">
        <f>SUM(G21:G24)</f>
        <v>18.149276266333683</v>
      </c>
      <c r="J21" s="776"/>
      <c r="K21" s="2">
        <f>G21-I21</f>
        <v>0</v>
      </c>
      <c r="L21" s="777">
        <f>SUM(K21:K24)</f>
        <v>18.149276266333683</v>
      </c>
      <c r="M21" s="2"/>
      <c r="N21" s="777">
        <f>L21</f>
        <v>18.149276266333683</v>
      </c>
      <c r="O21" s="779"/>
      <c r="P21" s="779"/>
      <c r="Q21" s="779"/>
      <c r="R21" s="322"/>
      <c r="S21" s="322"/>
      <c r="T21" s="322"/>
      <c r="U21" s="1"/>
      <c r="V21" s="780">
        <f>SUM(W23:AA23)</f>
        <v>17.382561258136747</v>
      </c>
      <c r="W21" s="230"/>
      <c r="X21" s="230"/>
      <c r="Y21" s="230"/>
      <c r="Z21" s="230"/>
      <c r="AA21" s="231"/>
      <c r="AC21" s="267"/>
      <c r="AD21" s="277"/>
      <c r="AE21" s="277"/>
      <c r="AF21" s="277"/>
      <c r="AG21" s="277"/>
      <c r="AH21" s="270"/>
      <c r="AJ21" s="304"/>
      <c r="AK21" s="231"/>
      <c r="AL21" s="230"/>
      <c r="AM21" s="230"/>
      <c r="AN21" s="230"/>
      <c r="AO21" s="231"/>
    </row>
    <row r="22" spans="1:41">
      <c r="B22" s="24" t="s">
        <v>34</v>
      </c>
      <c r="C22" s="27">
        <f>G24+G43</f>
        <v>19.842815598357173</v>
      </c>
      <c r="E22" s="775"/>
      <c r="F22" s="1" t="s">
        <v>32</v>
      </c>
      <c r="G22" s="2"/>
      <c r="H22" s="758"/>
      <c r="J22" s="758"/>
      <c r="K22" s="2">
        <f>G22-I22</f>
        <v>0</v>
      </c>
      <c r="L22" s="778"/>
      <c r="M22" s="2"/>
      <c r="N22" s="777"/>
      <c r="O22" s="779"/>
      <c r="P22" s="779"/>
      <c r="Q22" s="779"/>
      <c r="R22" s="334"/>
      <c r="S22" s="340"/>
      <c r="T22" s="340"/>
      <c r="U22" s="1"/>
      <c r="V22" s="781"/>
      <c r="W22" s="334"/>
      <c r="X22" s="334"/>
      <c r="Y22" s="334"/>
      <c r="Z22" s="334"/>
      <c r="AA22" s="340"/>
      <c r="AC22" s="268"/>
      <c r="AD22" s="278"/>
      <c r="AE22" s="278"/>
      <c r="AF22" s="278"/>
      <c r="AG22" s="278"/>
      <c r="AH22" s="271"/>
      <c r="AJ22" s="305"/>
      <c r="AK22" s="340"/>
      <c r="AL22" s="334"/>
      <c r="AM22" s="334"/>
      <c r="AN22" s="334"/>
      <c r="AO22" s="340"/>
    </row>
    <row r="23" spans="1:41">
      <c r="B23" s="24" t="s">
        <v>51</v>
      </c>
      <c r="C23" s="27">
        <f>G17+G40+G41</f>
        <v>48.473981532351658</v>
      </c>
      <c r="E23" s="775"/>
      <c r="F23" s="1" t="s">
        <v>33</v>
      </c>
      <c r="G23" s="2"/>
      <c r="H23" s="758"/>
      <c r="I23" s="27"/>
      <c r="J23" s="758"/>
      <c r="K23" s="2">
        <f>G23-I23</f>
        <v>0</v>
      </c>
      <c r="L23" s="778"/>
      <c r="M23" s="2"/>
      <c r="N23" s="777"/>
      <c r="O23" s="779"/>
      <c r="P23" s="779"/>
      <c r="Q23" s="779"/>
      <c r="R23" s="334">
        <f>G32</f>
        <v>0.84027575402401788</v>
      </c>
      <c r="S23" s="340">
        <f>G19</f>
        <v>2.7080589509125863</v>
      </c>
      <c r="T23" s="340">
        <f>N21-R23-S23</f>
        <v>14.600941561397079</v>
      </c>
      <c r="U23" s="1"/>
      <c r="V23" s="781"/>
      <c r="W23" s="235">
        <f>'scenario demande'!H337</f>
        <v>0.32491179104420581</v>
      </c>
      <c r="X23" s="244">
        <f>'scenario demande'!H10</f>
        <v>6.2728623327071933</v>
      </c>
      <c r="Y23" s="244">
        <f>'scenario demande'!H110</f>
        <v>6.7853382783007818</v>
      </c>
      <c r="Z23" s="244">
        <f>'scenario demande'!H186</f>
        <v>3.4498050868139516</v>
      </c>
      <c r="AA23" s="232">
        <f>'scenario demande'!H277+'scenario demande'!H279</f>
        <v>0.54964376927061165</v>
      </c>
      <c r="AC23" s="38"/>
      <c r="AD23" s="278"/>
      <c r="AE23" s="278"/>
      <c r="AF23" s="278"/>
      <c r="AG23" s="278"/>
      <c r="AH23" s="271"/>
      <c r="AJ23" s="305">
        <f>SUM(AK23:AO23)</f>
        <v>14.600941561397077</v>
      </c>
      <c r="AK23" s="312">
        <f>$T$23*W23/$V$21</f>
        <v>0.27291824278338966</v>
      </c>
      <c r="AL23" s="312">
        <f>$T$23*X23/$V$21</f>
        <v>5.2690564400958868</v>
      </c>
      <c r="AM23" s="312">
        <f>$T$23*Y23/$V$21</f>
        <v>5.6995241497799869</v>
      </c>
      <c r="AN23" s="312">
        <f>$T$23*Z23/$V$21</f>
        <v>2.8977549236136064</v>
      </c>
      <c r="AO23" s="312">
        <f>$T$23*AA23/$V$21</f>
        <v>0.46168780512420654</v>
      </c>
    </row>
    <row r="24" spans="1:41">
      <c r="B24" s="24" t="s">
        <v>40</v>
      </c>
      <c r="C24" s="27">
        <f>G44+G18</f>
        <v>5.8548088031173071</v>
      </c>
      <c r="E24" s="775"/>
      <c r="F24" s="1" t="s">
        <v>34</v>
      </c>
      <c r="G24" s="2">
        <f>'bilan complet'!F261-'bilan complet'!F258</f>
        <v>18.149276266333683</v>
      </c>
      <c r="H24" s="758"/>
      <c r="J24" s="758"/>
      <c r="K24" s="2">
        <f>G24-I24</f>
        <v>18.149276266333683</v>
      </c>
      <c r="L24" s="778"/>
      <c r="M24" s="6"/>
      <c r="N24" s="777"/>
      <c r="O24" s="779"/>
      <c r="P24" s="779"/>
      <c r="Q24" s="779"/>
      <c r="R24" s="334"/>
      <c r="S24" s="340"/>
      <c r="T24" s="340"/>
      <c r="U24" s="1"/>
      <c r="V24" s="782"/>
      <c r="W24" s="233"/>
      <c r="X24" s="233"/>
      <c r="Y24" s="233"/>
      <c r="Z24" s="233"/>
      <c r="AA24" s="234"/>
      <c r="AC24" s="38"/>
      <c r="AD24" s="278"/>
      <c r="AE24" s="278"/>
      <c r="AF24" s="278"/>
      <c r="AG24" s="278"/>
      <c r="AH24" s="271"/>
      <c r="AJ24" s="306"/>
      <c r="AK24" s="234"/>
      <c r="AL24" s="233"/>
      <c r="AM24" s="233"/>
      <c r="AN24" s="233"/>
      <c r="AO24" s="234"/>
    </row>
    <row r="25" spans="1:41">
      <c r="B25" s="24" t="s">
        <v>39</v>
      </c>
      <c r="C25" s="27">
        <f>G42</f>
        <v>0</v>
      </c>
      <c r="E25" s="1"/>
      <c r="F25" s="1"/>
      <c r="G25" s="1"/>
      <c r="H25" s="1"/>
      <c r="I25" s="1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W25" s="217"/>
      <c r="X25" s="248"/>
      <c r="Y25" s="248"/>
      <c r="Z25" s="248"/>
      <c r="AA25" s="217"/>
      <c r="AC25" s="273" t="s">
        <v>465</v>
      </c>
      <c r="AD25" s="279">
        <f>'bilan complet'!$F$253+'bilan complet'!$J$253</f>
        <v>0.30706079850678181</v>
      </c>
      <c r="AE25" s="279">
        <f>'bilan complet'!$F$250+'bilan complet'!$J$250</f>
        <v>13.642227080977229</v>
      </c>
      <c r="AF25" s="279">
        <f>'bilan complet'!$F$251+'bilan complet'!$J$251</f>
        <v>16.583611010806312</v>
      </c>
      <c r="AG25" s="279">
        <f>'bilan complet'!$F$252+'bilan complet'!$J$252</f>
        <v>5.5311005739328269</v>
      </c>
      <c r="AH25" s="274">
        <f>'bilan complet'!$F$254+'bilan complet'!$J$254</f>
        <v>4.2482109579863652</v>
      </c>
      <c r="AI25" s="27">
        <f>SUM(AD25:AH25)</f>
        <v>40.312210422209517</v>
      </c>
      <c r="AK25" s="217"/>
      <c r="AL25" s="248"/>
      <c r="AM25" s="248"/>
      <c r="AN25" s="248"/>
      <c r="AO25" s="217"/>
    </row>
    <row r="26" spans="1:41">
      <c r="E26" s="788" t="s">
        <v>13</v>
      </c>
      <c r="F26" s="1" t="s">
        <v>25</v>
      </c>
      <c r="G26" s="142">
        <v>0</v>
      </c>
      <c r="H26" s="770">
        <f>SUM(G26:G32)</f>
        <v>3.8588601361558976</v>
      </c>
      <c r="I26" s="142">
        <f t="shared" ref="I26:I32" si="0">G26-K26</f>
        <v>0</v>
      </c>
      <c r="J26" s="789"/>
      <c r="K26" s="27">
        <f t="shared" ref="K26:K32" si="1">$L$26*J49</f>
        <v>0</v>
      </c>
      <c r="L26" s="789">
        <f>V29</f>
        <v>3.3791981211769695</v>
      </c>
      <c r="M26" s="1"/>
      <c r="N26" s="770">
        <f>L26</f>
        <v>3.3791981211769695</v>
      </c>
      <c r="O26" s="771"/>
      <c r="P26" s="771"/>
      <c r="Q26" s="771"/>
      <c r="R26" s="790"/>
      <c r="S26" s="791"/>
      <c r="T26" s="791">
        <f>N26-O26-Q26</f>
        <v>3.3791981211769695</v>
      </c>
      <c r="U26" s="1"/>
      <c r="V26" s="236"/>
      <c r="W26" s="236"/>
      <c r="X26" s="236"/>
      <c r="Y26" s="236"/>
      <c r="Z26" s="249"/>
      <c r="AA26" s="236"/>
      <c r="AC26" s="275" t="s">
        <v>491</v>
      </c>
      <c r="AD26" s="280"/>
      <c r="AE26" s="280"/>
      <c r="AF26" s="280"/>
      <c r="AG26" s="280"/>
      <c r="AH26" s="276"/>
      <c r="AI26" s="27"/>
      <c r="AJ26" s="236"/>
      <c r="AK26" s="236"/>
      <c r="AL26" s="236"/>
      <c r="AM26" s="236"/>
      <c r="AN26" s="249"/>
      <c r="AO26" s="236"/>
    </row>
    <row r="27" spans="1:41">
      <c r="E27" s="788"/>
      <c r="F27" s="1" t="s">
        <v>26</v>
      </c>
      <c r="G27" s="142">
        <f>$K$27/'Réseaux de chaleur'!$H$63</f>
        <v>0.72971592769660609</v>
      </c>
      <c r="H27" s="770"/>
      <c r="I27" s="142">
        <f t="shared" si="0"/>
        <v>0</v>
      </c>
      <c r="J27" s="789"/>
      <c r="K27" s="27">
        <f t="shared" si="1"/>
        <v>0.72971592769660609</v>
      </c>
      <c r="L27" s="789"/>
      <c r="M27" s="1"/>
      <c r="N27" s="770"/>
      <c r="O27" s="771"/>
      <c r="P27" s="771"/>
      <c r="Q27" s="771"/>
      <c r="R27" s="790"/>
      <c r="S27" s="791"/>
      <c r="T27" s="791"/>
      <c r="U27" s="1"/>
      <c r="V27" s="238"/>
      <c r="W27" s="338"/>
      <c r="X27" s="338"/>
      <c r="Y27" s="338"/>
      <c r="Z27" s="339"/>
      <c r="AA27" s="338"/>
      <c r="AC27" s="38"/>
      <c r="AD27" s="278"/>
      <c r="AE27" s="278"/>
      <c r="AF27" s="278"/>
      <c r="AG27" s="278"/>
      <c r="AH27" s="271"/>
      <c r="AJ27" s="238"/>
      <c r="AK27" s="338"/>
      <c r="AL27" s="338"/>
      <c r="AM27" s="338"/>
      <c r="AN27" s="339"/>
      <c r="AO27" s="338"/>
    </row>
    <row r="28" spans="1:41">
      <c r="E28" s="788"/>
      <c r="F28" s="1" t="s">
        <v>30</v>
      </c>
      <c r="G28" s="142">
        <v>0</v>
      </c>
      <c r="H28" s="770"/>
      <c r="I28" s="142">
        <f t="shared" si="0"/>
        <v>0</v>
      </c>
      <c r="J28" s="789"/>
      <c r="K28" s="27">
        <f>$L$26*J51</f>
        <v>0</v>
      </c>
      <c r="L28" s="789"/>
      <c r="M28" s="1"/>
      <c r="N28" s="770"/>
      <c r="O28" s="771"/>
      <c r="P28" s="771" t="e">
        <v>#REF!</v>
      </c>
      <c r="Q28" s="771"/>
      <c r="R28" s="790" t="e">
        <v>#REF!</v>
      </c>
      <c r="S28" s="791" t="e">
        <v>#REF!</v>
      </c>
      <c r="T28" s="791"/>
      <c r="U28" s="1"/>
      <c r="V28" s="238"/>
      <c r="W28" s="338"/>
      <c r="X28" s="338"/>
      <c r="Y28" s="338"/>
      <c r="Z28" s="339"/>
      <c r="AA28" s="338"/>
      <c r="AC28" s="38"/>
      <c r="AD28" s="278"/>
      <c r="AE28" s="278"/>
      <c r="AF28" s="278"/>
      <c r="AG28" s="278"/>
      <c r="AH28" s="271"/>
      <c r="AJ28" s="238"/>
      <c r="AK28" s="338"/>
      <c r="AL28" s="338"/>
      <c r="AM28" s="338"/>
      <c r="AN28" s="339"/>
      <c r="AO28" s="338"/>
    </row>
    <row r="29" spans="1:41">
      <c r="E29" s="788"/>
      <c r="F29" s="1" t="s">
        <v>27</v>
      </c>
      <c r="G29" s="142">
        <f>$K$29/'Réseaux de chaleur'!$H$62</f>
        <v>1.7847682224004853</v>
      </c>
      <c r="H29" s="770"/>
      <c r="I29" s="142">
        <f t="shared" si="0"/>
        <v>0.32781457146131365</v>
      </c>
      <c r="J29" s="789"/>
      <c r="K29" s="27">
        <f t="shared" si="1"/>
        <v>1.4569536509391716</v>
      </c>
      <c r="L29" s="789"/>
      <c r="M29" s="1"/>
      <c r="N29" s="770"/>
      <c r="O29" s="771"/>
      <c r="P29" s="771" t="e">
        <v>#REF!</v>
      </c>
      <c r="Q29" s="771"/>
      <c r="R29" s="790" t="e">
        <v>#REF!</v>
      </c>
      <c r="S29" s="791" t="e">
        <v>#REF!</v>
      </c>
      <c r="T29" s="791"/>
      <c r="U29" s="1"/>
      <c r="V29" s="242">
        <f>SUM(W29:AA29)</f>
        <v>3.3791981211769695</v>
      </c>
      <c r="W29" s="243">
        <f>'scenario demande'!H340</f>
        <v>0</v>
      </c>
      <c r="X29" s="243">
        <f>'scenario demande'!H13</f>
        <v>1.1220898934655481</v>
      </c>
      <c r="Y29" s="243">
        <f>'scenario demande'!H114</f>
        <v>1.3636251677681144</v>
      </c>
      <c r="Z29" s="241">
        <f>'scenario demande'!H189</f>
        <v>0.89348305994330679</v>
      </c>
      <c r="AA29" s="338"/>
      <c r="AC29" s="38"/>
      <c r="AD29" s="278"/>
      <c r="AE29" s="278"/>
      <c r="AF29" s="278"/>
      <c r="AG29" s="278"/>
      <c r="AH29" s="271"/>
      <c r="AJ29" s="242">
        <f>SUM(AK29:AO29)</f>
        <v>3.3791981211769695</v>
      </c>
      <c r="AK29" s="243">
        <f>W29</f>
        <v>0</v>
      </c>
      <c r="AL29" s="243">
        <f>X29</f>
        <v>1.1220898934655481</v>
      </c>
      <c r="AM29" s="243">
        <f>Y29</f>
        <v>1.3636251677681144</v>
      </c>
      <c r="AN29" s="243">
        <f>Z29</f>
        <v>0.89348305994330679</v>
      </c>
      <c r="AO29" s="243">
        <f>AA29</f>
        <v>0</v>
      </c>
    </row>
    <row r="30" spans="1:41">
      <c r="E30" s="788"/>
      <c r="F30" s="1" t="s">
        <v>28</v>
      </c>
      <c r="G30" s="142">
        <f>$K$30/'Réseaux de chaleur'!$H$64</f>
        <v>0.1997019839016457</v>
      </c>
      <c r="H30" s="770"/>
      <c r="I30" s="142">
        <f t="shared" si="0"/>
        <v>0</v>
      </c>
      <c r="J30" s="789"/>
      <c r="K30" s="27">
        <f t="shared" si="1"/>
        <v>0.1997019839016457</v>
      </c>
      <c r="L30" s="789"/>
      <c r="M30" s="1"/>
      <c r="N30" s="770"/>
      <c r="O30" s="771"/>
      <c r="P30" s="771"/>
      <c r="Q30" s="771"/>
      <c r="R30" s="790"/>
      <c r="S30" s="791"/>
      <c r="T30" s="791"/>
      <c r="U30" s="1"/>
      <c r="V30" s="238"/>
      <c r="W30" s="338"/>
      <c r="X30" s="338"/>
      <c r="Y30" s="338"/>
      <c r="Z30" s="339"/>
      <c r="AA30" s="338"/>
      <c r="AC30" s="38"/>
      <c r="AD30" s="278"/>
      <c r="AE30" s="278"/>
      <c r="AF30" s="278"/>
      <c r="AG30" s="278"/>
      <c r="AH30" s="271"/>
      <c r="AJ30" s="238"/>
      <c r="AK30" s="338"/>
      <c r="AL30" s="338"/>
      <c r="AM30" s="338"/>
      <c r="AN30" s="339"/>
      <c r="AO30" s="338"/>
    </row>
    <row r="31" spans="1:41">
      <c r="E31" s="788"/>
      <c r="F31" s="1" t="s">
        <v>35</v>
      </c>
      <c r="G31" s="142">
        <f>$K$31/'Réseaux de chaleur'!$H$65</f>
        <v>0.30439824813314242</v>
      </c>
      <c r="H31" s="770"/>
      <c r="I31" s="142">
        <f t="shared" si="0"/>
        <v>0</v>
      </c>
      <c r="J31" s="789"/>
      <c r="K31" s="27">
        <f t="shared" si="1"/>
        <v>0.30439824813314242</v>
      </c>
      <c r="L31" s="789"/>
      <c r="M31" s="1"/>
      <c r="N31" s="770"/>
      <c r="O31" s="771"/>
      <c r="P31" s="771"/>
      <c r="Q31" s="771"/>
      <c r="R31" s="790"/>
      <c r="S31" s="791"/>
      <c r="T31" s="791"/>
      <c r="U31" s="1"/>
      <c r="V31" s="238"/>
      <c r="W31" s="338"/>
      <c r="X31" s="338"/>
      <c r="Y31" s="338"/>
      <c r="Z31" s="339"/>
      <c r="AA31" s="338"/>
      <c r="AC31" s="38"/>
      <c r="AD31" s="278"/>
      <c r="AE31" s="278"/>
      <c r="AF31" s="278"/>
      <c r="AG31" s="278"/>
      <c r="AH31" s="271"/>
      <c r="AJ31" s="238"/>
      <c r="AK31" s="338"/>
      <c r="AL31" s="338"/>
      <c r="AM31" s="338"/>
      <c r="AN31" s="339"/>
      <c r="AO31" s="338"/>
    </row>
    <row r="32" spans="1:41">
      <c r="E32" s="788"/>
      <c r="F32" s="1" t="s">
        <v>31</v>
      </c>
      <c r="G32" s="142">
        <f>$K$32/'Réseaux de chaleur'!$H$61</f>
        <v>0.84027575402401788</v>
      </c>
      <c r="H32" s="770"/>
      <c r="I32" s="142">
        <f t="shared" si="0"/>
        <v>0.15184744351761426</v>
      </c>
      <c r="J32" s="789"/>
      <c r="K32" s="27">
        <f t="shared" si="1"/>
        <v>0.68842831050640363</v>
      </c>
      <c r="L32" s="789"/>
      <c r="M32" s="1"/>
      <c r="N32" s="770"/>
      <c r="O32" s="771"/>
      <c r="P32" s="771"/>
      <c r="Q32" s="771"/>
      <c r="R32" s="790"/>
      <c r="S32" s="791"/>
      <c r="T32" s="791"/>
      <c r="U32" s="1"/>
      <c r="V32" s="239"/>
      <c r="W32" s="237"/>
      <c r="X32" s="237"/>
      <c r="Y32" s="237"/>
      <c r="Z32" s="240"/>
      <c r="AA32" s="237"/>
      <c r="AC32" s="38"/>
      <c r="AD32" s="278"/>
      <c r="AE32" s="278"/>
      <c r="AF32" s="278"/>
      <c r="AG32" s="278"/>
      <c r="AH32" s="271"/>
      <c r="AJ32" s="239"/>
      <c r="AK32" s="237"/>
      <c r="AL32" s="237"/>
      <c r="AM32" s="237"/>
      <c r="AN32" s="240"/>
      <c r="AO32" s="237"/>
    </row>
    <row r="33" spans="5:41">
      <c r="E33" s="4"/>
      <c r="F33" s="1"/>
      <c r="H33" s="145">
        <f>SUM(G49:G55)-'Réseaux de chaleur'!H78</f>
        <v>0</v>
      </c>
      <c r="I33" s="1"/>
      <c r="J33" s="1"/>
      <c r="K33" s="2"/>
      <c r="L33" s="214">
        <f>SUM(H49:H55)-'Réseaux de chaleur'!H54</f>
        <v>0</v>
      </c>
      <c r="M33" s="1"/>
      <c r="N33" s="1"/>
      <c r="O33" s="1"/>
      <c r="P33" s="1"/>
      <c r="Q33" s="1"/>
      <c r="R33" s="1"/>
      <c r="S33" s="1"/>
      <c r="T33" s="266">
        <f>T23+T26+G35+G36+G38-('bilan complet'!F255+'bilan complet'!G255)-'bilan complet'!J255</f>
        <v>0</v>
      </c>
      <c r="U33" s="1"/>
      <c r="X33" s="27"/>
      <c r="Y33" s="27"/>
      <c r="Z33" s="27"/>
      <c r="AC33" s="38"/>
      <c r="AD33" s="278"/>
      <c r="AE33" s="278"/>
      <c r="AF33" s="278"/>
      <c r="AG33" s="278"/>
      <c r="AH33" s="271"/>
      <c r="AL33" s="27"/>
      <c r="AM33" s="27"/>
      <c r="AN33" s="27"/>
    </row>
    <row r="34" spans="5:41">
      <c r="E34" s="784" t="s">
        <v>36</v>
      </c>
      <c r="F34" s="1" t="s">
        <v>25</v>
      </c>
      <c r="H34" s="784">
        <f>SUM(G34:G44)</f>
        <v>84.09179375123189</v>
      </c>
      <c r="I34" s="343"/>
      <c r="J34" s="786"/>
      <c r="K34" s="2">
        <f t="shared" ref="K34:K38" si="2">G34-I34</f>
        <v>0</v>
      </c>
      <c r="L34" s="784">
        <f>SUM(K34:K44)</f>
        <v>80.504305006053443</v>
      </c>
      <c r="M34" s="337"/>
      <c r="N34" s="337"/>
      <c r="O34" s="337"/>
      <c r="P34" s="337"/>
      <c r="Q34" s="337"/>
      <c r="R34" s="337"/>
      <c r="S34" s="337"/>
      <c r="T34" s="252"/>
      <c r="V34" s="784">
        <f>SUM(W34:AA44)</f>
        <v>50.306797713984452</v>
      </c>
      <c r="W34" s="134"/>
      <c r="X34" s="133"/>
      <c r="Y34" s="134"/>
      <c r="Z34" s="135"/>
      <c r="AA34" s="132"/>
      <c r="AC34" s="38"/>
      <c r="AD34" s="278"/>
      <c r="AE34" s="278"/>
      <c r="AF34" s="278"/>
      <c r="AG34" s="278"/>
      <c r="AH34" s="271"/>
      <c r="AJ34" s="132"/>
      <c r="AK34" s="134"/>
      <c r="AL34" s="133"/>
      <c r="AM34" s="134"/>
      <c r="AN34" s="135"/>
      <c r="AO34" s="132"/>
    </row>
    <row r="35" spans="5:41">
      <c r="E35" s="784"/>
      <c r="F35" s="1" t="s">
        <v>27</v>
      </c>
      <c r="G35" s="27">
        <f>'bilan complet'!J261-G12-G27-G29-G30-G31-G36-G38</f>
        <v>19.373505491168924</v>
      </c>
      <c r="H35" s="784"/>
      <c r="I35" s="343">
        <v>0</v>
      </c>
      <c r="J35" s="786"/>
      <c r="K35" s="2">
        <f t="shared" si="2"/>
        <v>19.373505491168924</v>
      </c>
      <c r="L35" s="784"/>
      <c r="M35" s="337"/>
      <c r="N35" s="337"/>
      <c r="O35" s="337"/>
      <c r="P35" s="337"/>
      <c r="Q35" s="337"/>
      <c r="R35" s="337"/>
      <c r="S35" s="337"/>
      <c r="T35" s="253"/>
      <c r="V35" s="784"/>
      <c r="W35" s="351">
        <f>'scenario demande'!H341</f>
        <v>6.3032887462575932E-2</v>
      </c>
      <c r="X35" s="352">
        <f>'scenario demande'!H14</f>
        <v>6.9341294059733922</v>
      </c>
      <c r="Y35" s="351">
        <f>'scenario demande'!H115-'scenario demande'!H166</f>
        <v>4.9216824841008009</v>
      </c>
      <c r="Z35" s="353">
        <f>'scenario demande'!H190-'scenario demande'!H236</f>
        <v>2.04723090522553</v>
      </c>
      <c r="AA35" s="146"/>
      <c r="AB35" s="27">
        <f>SUM(W35:AA35)</f>
        <v>13.966075682762298</v>
      </c>
      <c r="AC35" s="38"/>
      <c r="AD35" s="278"/>
      <c r="AE35" s="278"/>
      <c r="AF35" s="278"/>
      <c r="AG35" s="278"/>
      <c r="AH35" s="271"/>
      <c r="AJ35" s="335"/>
      <c r="AK35" s="136">
        <f>W35</f>
        <v>6.3032887462575932E-2</v>
      </c>
      <c r="AL35" s="136">
        <f>X35</f>
        <v>6.9341294059733922</v>
      </c>
      <c r="AM35" s="148">
        <f>Y35+K35-SUM(W35:AA35)-AH25</f>
        <v>6.0809013345210632</v>
      </c>
      <c r="AN35" s="136">
        <f>Z35</f>
        <v>2.04723090522553</v>
      </c>
      <c r="AO35" s="136">
        <f>AH25</f>
        <v>4.2482109579863652</v>
      </c>
    </row>
    <row r="36" spans="5:41">
      <c r="E36" s="784"/>
      <c r="F36" s="1" t="s">
        <v>35</v>
      </c>
      <c r="G36" s="27">
        <f>'scenario demande'!H166</f>
        <v>0.38856524846653984</v>
      </c>
      <c r="H36" s="784"/>
      <c r="I36" s="343"/>
      <c r="J36" s="786"/>
      <c r="K36" s="2">
        <f t="shared" si="2"/>
        <v>0.38856524846653984</v>
      </c>
      <c r="L36" s="784"/>
      <c r="M36" s="337"/>
      <c r="N36" s="337"/>
      <c r="O36" s="337"/>
      <c r="P36" s="337"/>
      <c r="Q36" s="337"/>
      <c r="R36" s="337"/>
      <c r="S36" s="337"/>
      <c r="T36" s="253"/>
      <c r="V36" s="784"/>
      <c r="W36" s="354"/>
      <c r="X36" s="352"/>
      <c r="Y36" s="351">
        <f>'scenario demande'!H166</f>
        <v>0.38856524846653984</v>
      </c>
      <c r="Z36" s="353">
        <f>'scenario demande'!H236</f>
        <v>0.1810255984487566</v>
      </c>
      <c r="AA36" s="346"/>
      <c r="AB36" s="24">
        <f>SUM(W36:AA36)</f>
        <v>0.56959084691529638</v>
      </c>
      <c r="AC36" s="269"/>
      <c r="AD36" s="281"/>
      <c r="AE36" s="281"/>
      <c r="AF36" s="281"/>
      <c r="AG36" s="281"/>
      <c r="AH36" s="272"/>
      <c r="AJ36" s="335"/>
      <c r="AK36" s="134"/>
      <c r="AL36" s="133"/>
      <c r="AM36" s="148">
        <f>K36</f>
        <v>0.38856524846653984</v>
      </c>
      <c r="AN36" s="137">
        <f>'scenario demande'!V237</f>
        <v>0</v>
      </c>
      <c r="AO36" s="132"/>
    </row>
    <row r="37" spans="5:41">
      <c r="E37" s="784"/>
      <c r="F37" s="1" t="s">
        <v>41</v>
      </c>
      <c r="G37" s="27"/>
      <c r="H37" s="784"/>
      <c r="I37" s="343"/>
      <c r="J37" s="786"/>
      <c r="K37" s="2">
        <f t="shared" si="2"/>
        <v>0</v>
      </c>
      <c r="L37" s="784"/>
      <c r="M37" s="337"/>
      <c r="N37" s="337"/>
      <c r="O37" s="337"/>
      <c r="P37" s="337"/>
      <c r="Q37" s="337"/>
      <c r="R37" s="337"/>
      <c r="S37" s="337"/>
      <c r="T37" s="253"/>
      <c r="V37" s="784"/>
      <c r="W37" s="134"/>
      <c r="X37" s="133"/>
      <c r="Y37" s="136"/>
      <c r="Z37" s="137"/>
      <c r="AA37" s="132"/>
      <c r="AJ37" s="335"/>
      <c r="AK37" s="355"/>
      <c r="AL37" s="133"/>
      <c r="AM37" s="147">
        <f>K38</f>
        <v>2.57</v>
      </c>
      <c r="AN37" s="136"/>
      <c r="AO37" s="132"/>
    </row>
    <row r="38" spans="5:41">
      <c r="E38" s="784"/>
      <c r="F38" s="1" t="s">
        <v>42</v>
      </c>
      <c r="G38" s="27">
        <f>'indicateurs ams2'!H91</f>
        <v>2.57</v>
      </c>
      <c r="H38" s="784"/>
      <c r="I38" s="343"/>
      <c r="J38" s="786"/>
      <c r="K38" s="2">
        <f t="shared" si="2"/>
        <v>2.57</v>
      </c>
      <c r="L38" s="784"/>
      <c r="M38" s="337"/>
      <c r="N38" s="337"/>
      <c r="O38" s="337"/>
      <c r="P38" s="337"/>
      <c r="Q38" s="337"/>
      <c r="R38" s="337"/>
      <c r="S38" s="337"/>
      <c r="T38" s="253"/>
      <c r="V38" s="784"/>
      <c r="W38" s="134"/>
      <c r="X38" s="133"/>
      <c r="Y38" s="136"/>
      <c r="Z38" s="137"/>
      <c r="AA38" s="132"/>
      <c r="AJ38" s="335"/>
      <c r="AK38" s="355"/>
      <c r="AL38" s="133"/>
      <c r="AM38" s="355"/>
      <c r="AN38" s="133"/>
      <c r="AO38" s="355"/>
    </row>
    <row r="39" spans="5:41">
      <c r="E39" s="784"/>
      <c r="F39" s="1" t="s">
        <v>63</v>
      </c>
      <c r="G39" s="27">
        <f>K39</f>
        <v>7.171530966937218</v>
      </c>
      <c r="H39" s="784"/>
      <c r="I39" s="40"/>
      <c r="J39" s="786"/>
      <c r="K39" s="2">
        <f>'bilan complet'!E255*'indicateurs ams2'!H67</f>
        <v>7.171530966937218</v>
      </c>
      <c r="L39" s="784"/>
      <c r="M39" s="337"/>
      <c r="N39" s="337"/>
      <c r="O39" s="337"/>
      <c r="P39" s="337"/>
      <c r="Q39" s="337"/>
      <c r="R39" s="337"/>
      <c r="S39" s="337"/>
      <c r="T39" s="255">
        <f>L34-K41-K43</f>
        <v>65.330971884296886</v>
      </c>
      <c r="V39" s="784"/>
      <c r="W39" s="136"/>
      <c r="X39" s="133"/>
      <c r="Y39" s="136"/>
      <c r="Z39" s="137"/>
      <c r="AA39" s="138"/>
      <c r="AC39" s="282" t="s">
        <v>511</v>
      </c>
      <c r="AD39" s="286">
        <f>'bilan complet'!$E$253</f>
        <v>1.9973638072190425</v>
      </c>
      <c r="AE39" s="286">
        <f>'bilan complet'!E250</f>
        <v>2.1292091865654883</v>
      </c>
      <c r="AF39" s="286">
        <f>'bilan complet'!$E$251</f>
        <v>0.58063453860843672</v>
      </c>
      <c r="AG39" s="286">
        <f>'bilan complet'!$E$252</f>
        <v>0.94924998645255598</v>
      </c>
      <c r="AH39" s="283">
        <f>'bilan complet'!$E$254</f>
        <v>32.878888973089218</v>
      </c>
      <c r="AJ39" s="132"/>
      <c r="AK39" s="133">
        <f>AD39</f>
        <v>1.9973638072190425</v>
      </c>
      <c r="AL39" s="133">
        <f>AE39</f>
        <v>2.1292091865654883</v>
      </c>
      <c r="AM39" s="133">
        <f>AF39</f>
        <v>0.58063453860843672</v>
      </c>
      <c r="AN39" s="133">
        <f>AG39</f>
        <v>0.94924998645255598</v>
      </c>
      <c r="AO39" s="136">
        <f>AH39</f>
        <v>32.878888973089218</v>
      </c>
    </row>
    <row r="40" spans="5:41">
      <c r="E40" s="784"/>
      <c r="F40" s="1" t="s">
        <v>37</v>
      </c>
      <c r="G40" s="27">
        <f>K40+I40</f>
        <v>33.872920766997325</v>
      </c>
      <c r="H40" s="784"/>
      <c r="I40" s="40">
        <f>0.08*K40</f>
        <v>2.5091052419998014</v>
      </c>
      <c r="J40" s="786"/>
      <c r="K40" s="2">
        <f>'bilan complet'!E255-K39</f>
        <v>31.36381552499752</v>
      </c>
      <c r="L40" s="784"/>
      <c r="M40" s="337"/>
      <c r="N40" s="337"/>
      <c r="O40" s="337"/>
      <c r="P40" s="337"/>
      <c r="Q40" s="337"/>
      <c r="R40" s="337"/>
      <c r="S40" s="337"/>
      <c r="T40" s="253"/>
      <c r="V40" s="784"/>
      <c r="W40" s="348">
        <f>'scenario demande'!H336</f>
        <v>1.9943638072190424</v>
      </c>
      <c r="X40" s="133">
        <f>'scenario demande'!H9</f>
        <v>2.122120922847575</v>
      </c>
      <c r="Y40" s="136">
        <f>'scenario demande'!H109+'scenario demande'!H112</f>
        <v>0.74905802713178637</v>
      </c>
      <c r="Z40" s="137">
        <f>'scenario demande'!H185</f>
        <v>0.15453634223553792</v>
      </c>
      <c r="AA40" s="138">
        <f>'scenario demande'!H273+'scenario demande'!H274+'scenario demande'!H275+'scenario demande'!H276</f>
        <v>26.457635428511431</v>
      </c>
      <c r="AB40" s="27">
        <f>SUM(W40:AA40)</f>
        <v>31.477714527945373</v>
      </c>
      <c r="AC40" s="284" t="s">
        <v>181</v>
      </c>
      <c r="AD40" s="287"/>
      <c r="AE40" s="288">
        <f>'bilan complet'!$B$250</f>
        <v>4.4635546527266818</v>
      </c>
      <c r="AF40" s="287"/>
      <c r="AG40" s="287"/>
      <c r="AH40" s="285"/>
      <c r="AI40" s="27">
        <f>SUM(AD39:AH40)</f>
        <v>42.998901144661417</v>
      </c>
      <c r="AJ40" s="335">
        <f>SUM(AK34:AO44)</f>
        <v>65.3309718842969</v>
      </c>
      <c r="AK40" s="355"/>
      <c r="AL40" s="355"/>
      <c r="AM40" s="355"/>
      <c r="AN40" s="355"/>
      <c r="AO40" s="355"/>
    </row>
    <row r="41" spans="5:41">
      <c r="E41" s="784"/>
      <c r="F41" s="1" t="s">
        <v>38</v>
      </c>
      <c r="G41" s="27">
        <f>K41+I41</f>
        <v>14.558177292911704</v>
      </c>
      <c r="H41" s="784"/>
      <c r="I41" s="40">
        <f>0.08*K41</f>
        <v>1.0783835031786448</v>
      </c>
      <c r="J41" s="786"/>
      <c r="K41" s="2">
        <f>'bilan complet'!E258</f>
        <v>13.47979378973306</v>
      </c>
      <c r="L41" s="784"/>
      <c r="M41" s="337"/>
      <c r="N41" s="337"/>
      <c r="O41" s="337"/>
      <c r="P41" s="337"/>
      <c r="Q41" s="337"/>
      <c r="R41" s="337"/>
      <c r="S41" s="337"/>
      <c r="T41" s="253"/>
      <c r="V41" s="784"/>
      <c r="W41" s="136"/>
      <c r="X41" s="133"/>
      <c r="Y41" s="136"/>
      <c r="Z41" s="137"/>
      <c r="AA41" s="138"/>
      <c r="AJ41" s="335"/>
      <c r="AK41" s="133"/>
      <c r="AL41" s="133"/>
      <c r="AM41" s="133"/>
      <c r="AN41" s="133"/>
      <c r="AO41" s="133"/>
    </row>
    <row r="42" spans="5:41">
      <c r="E42" s="784"/>
      <c r="F42" s="1" t="s">
        <v>39</v>
      </c>
      <c r="G42" s="27"/>
      <c r="H42" s="784"/>
      <c r="I42" s="40"/>
      <c r="J42" s="786"/>
      <c r="K42" s="2">
        <f>G42-I42</f>
        <v>0</v>
      </c>
      <c r="L42" s="784"/>
      <c r="M42" s="337"/>
      <c r="N42" s="337"/>
      <c r="O42" s="337"/>
      <c r="P42" s="337"/>
      <c r="Q42" s="337"/>
      <c r="R42" s="337"/>
      <c r="S42" s="337"/>
      <c r="T42" s="253"/>
      <c r="V42" s="784"/>
      <c r="W42" s="136"/>
      <c r="X42" s="133"/>
      <c r="Y42" s="136"/>
      <c r="Z42" s="137"/>
      <c r="AA42" s="138"/>
      <c r="AJ42" s="335"/>
      <c r="AK42" s="133"/>
      <c r="AL42" s="133"/>
      <c r="AM42" s="133"/>
      <c r="AN42" s="133"/>
      <c r="AO42" s="133"/>
    </row>
    <row r="43" spans="5:41">
      <c r="E43" s="784"/>
      <c r="F43" s="1" t="s">
        <v>465</v>
      </c>
      <c r="G43" s="27">
        <f>'bilan complet'!F258</f>
        <v>1.6935393320234915</v>
      </c>
      <c r="H43" s="784"/>
      <c r="I43" s="40"/>
      <c r="J43" s="786"/>
      <c r="K43" s="2">
        <f>G43-I43</f>
        <v>1.6935393320234915</v>
      </c>
      <c r="L43" s="784"/>
      <c r="M43" s="374">
        <f>K43+K32+K24-R23-S23</f>
        <v>16.982909203926972</v>
      </c>
      <c r="N43" s="337"/>
      <c r="O43" s="337"/>
      <c r="P43" s="337"/>
      <c r="Q43" s="337"/>
      <c r="R43" s="337"/>
      <c r="S43" s="337"/>
      <c r="T43" s="253"/>
      <c r="V43" s="784"/>
      <c r="W43" s="136"/>
      <c r="X43" s="133"/>
      <c r="Y43" s="136"/>
      <c r="Z43" s="137"/>
      <c r="AA43" s="138"/>
      <c r="AJ43" s="335"/>
      <c r="AK43" s="136"/>
      <c r="AL43" s="133"/>
      <c r="AM43" s="136"/>
      <c r="AN43" s="138"/>
      <c r="AO43" s="133"/>
    </row>
    <row r="44" spans="5:41">
      <c r="E44" s="785"/>
      <c r="F44" s="1" t="s">
        <v>40</v>
      </c>
      <c r="G44" s="27">
        <f>'bilan complet'!B255</f>
        <v>4.4635546527266818</v>
      </c>
      <c r="H44" s="785"/>
      <c r="I44" s="343"/>
      <c r="J44" s="787"/>
      <c r="K44" s="2">
        <f>G44-I44</f>
        <v>4.4635546527266818</v>
      </c>
      <c r="L44" s="785"/>
      <c r="M44" s="337"/>
      <c r="N44" s="337"/>
      <c r="O44" s="337"/>
      <c r="P44" s="337"/>
      <c r="Q44" s="337"/>
      <c r="R44" s="337"/>
      <c r="S44" s="337"/>
      <c r="T44" s="254"/>
      <c r="V44" s="785"/>
      <c r="W44" s="250">
        <f>'scenario demande'!H338</f>
        <v>0</v>
      </c>
      <c r="X44" s="349">
        <f>'scenario demande'!H11</f>
        <v>4.2858048247203362</v>
      </c>
      <c r="Y44" s="141">
        <f>'scenario demande'!H111</f>
        <v>2.5277350440004345E-3</v>
      </c>
      <c r="Z44" s="350">
        <f>'scenario demande'!H187</f>
        <v>5.08409659715522E-3</v>
      </c>
      <c r="AA44" s="139"/>
      <c r="AB44" s="24">
        <f>SUM(W44:AA44)</f>
        <v>4.2934166563614919</v>
      </c>
      <c r="AI44" s="479">
        <f>AI13+AI25+AI40-'bilan complet'!K255</f>
        <v>0</v>
      </c>
      <c r="AJ44" s="336"/>
      <c r="AK44" s="250"/>
      <c r="AL44" s="140">
        <f>AE40</f>
        <v>4.4635546527266818</v>
      </c>
      <c r="AM44" s="141"/>
      <c r="AN44" s="357"/>
      <c r="AO44" s="358"/>
    </row>
    <row r="45" spans="5:41">
      <c r="E45" s="1"/>
      <c r="F45" s="1"/>
      <c r="G45" s="149"/>
      <c r="H45" s="1"/>
      <c r="I45" s="1"/>
      <c r="J45" s="1"/>
      <c r="K45" s="2"/>
      <c r="L45" s="1"/>
      <c r="M45" s="1"/>
      <c r="N45" s="1"/>
      <c r="O45" s="1"/>
      <c r="P45" s="1"/>
      <c r="Q45" s="1"/>
      <c r="R45" s="1"/>
      <c r="S45" s="1"/>
      <c r="T45" s="289">
        <f>T39-K35-K36-K38-SUM(AD39:AH40)</f>
        <v>0</v>
      </c>
      <c r="U45" s="1"/>
      <c r="W45" s="27"/>
      <c r="X45" s="27"/>
      <c r="Y45" s="27"/>
      <c r="Z45" s="27"/>
      <c r="AA45" s="27"/>
    </row>
    <row r="46" spans="5:41">
      <c r="F46" s="1"/>
      <c r="G46" s="219"/>
      <c r="H46" s="215"/>
      <c r="I46" s="215">
        <f>I40*AA40/AB40</f>
        <v>2.1089520869014251</v>
      </c>
      <c r="J46" s="215"/>
      <c r="K46" s="215"/>
      <c r="L46" s="215"/>
      <c r="M46" s="216"/>
      <c r="N46" s="216"/>
      <c r="O46" s="216"/>
      <c r="P46" s="217"/>
      <c r="Q46" s="215"/>
      <c r="R46" s="215"/>
      <c r="S46" s="215"/>
      <c r="T46" s="1"/>
      <c r="U46" s="1"/>
      <c r="V46" s="6"/>
      <c r="W46" s="2"/>
      <c r="X46" s="2"/>
      <c r="Y46" s="2"/>
      <c r="Z46" s="2"/>
      <c r="AA46" s="2"/>
    </row>
    <row r="47" spans="5:41">
      <c r="G47" s="218"/>
      <c r="H47" s="215"/>
      <c r="I47" s="215"/>
      <c r="J47" s="215"/>
      <c r="K47" s="215"/>
      <c r="L47" s="215"/>
      <c r="M47" s="219"/>
      <c r="N47" s="219"/>
      <c r="O47" s="219"/>
      <c r="P47" s="218"/>
      <c r="Q47" s="215"/>
      <c r="R47" s="219"/>
      <c r="S47" s="219"/>
      <c r="T47" s="1"/>
      <c r="U47" s="1"/>
    </row>
    <row r="48" spans="5:41">
      <c r="F48" s="223" t="s">
        <v>488</v>
      </c>
      <c r="G48" s="224" t="s">
        <v>173</v>
      </c>
      <c r="H48" s="225" t="s">
        <v>487</v>
      </c>
      <c r="I48" s="224" t="s">
        <v>173</v>
      </c>
      <c r="J48" s="225" t="s">
        <v>487</v>
      </c>
      <c r="K48" s="215"/>
      <c r="L48" s="215"/>
      <c r="M48" s="142"/>
      <c r="N48" s="220"/>
      <c r="O48" s="220"/>
      <c r="P48" s="217"/>
      <c r="Q48" s="215"/>
      <c r="R48" s="220"/>
      <c r="S48" s="220"/>
      <c r="T48" s="1"/>
      <c r="U48" s="1"/>
      <c r="V48" s="2"/>
      <c r="W48" s="2"/>
      <c r="X48" s="2"/>
      <c r="Y48" s="2"/>
      <c r="Z48" s="2"/>
      <c r="AA48" s="2"/>
    </row>
    <row r="49" spans="6:27">
      <c r="F49" s="223" t="s">
        <v>25</v>
      </c>
      <c r="G49" s="226">
        <v>0</v>
      </c>
      <c r="H49" s="227">
        <v>0</v>
      </c>
      <c r="I49" s="229">
        <f t="shared" ref="I49:I55" si="3">G49/$G$56</f>
        <v>0</v>
      </c>
      <c r="J49" s="229">
        <f t="shared" ref="J49:J55" si="4">H49/$H$56</f>
        <v>0</v>
      </c>
      <c r="K49" s="215"/>
      <c r="L49" s="215"/>
      <c r="M49" s="142"/>
      <c r="N49" s="220"/>
      <c r="O49" s="220"/>
      <c r="P49" s="217"/>
      <c r="Q49" s="215"/>
      <c r="R49" s="220"/>
      <c r="S49" s="220"/>
      <c r="T49" s="1"/>
      <c r="U49" s="1"/>
      <c r="V49" s="251"/>
      <c r="W49" s="1"/>
      <c r="X49" s="1"/>
      <c r="Y49" s="1"/>
      <c r="Z49" s="1"/>
      <c r="AA49" s="1"/>
    </row>
    <row r="50" spans="6:27">
      <c r="F50" s="223" t="s">
        <v>26</v>
      </c>
      <c r="G50" s="226">
        <f>'Réseaux de chaleur'!$H$75</f>
        <v>0.49605472888061158</v>
      </c>
      <c r="H50" s="227">
        <f>'Réseaux de chaleur'!H51</f>
        <v>0.49605472888061158</v>
      </c>
      <c r="I50" s="229">
        <f t="shared" si="3"/>
        <v>0.18915949773645732</v>
      </c>
      <c r="J50" s="229">
        <f t="shared" si="4"/>
        <v>0.21594351722782301</v>
      </c>
      <c r="K50" s="215"/>
      <c r="L50" s="215"/>
      <c r="M50" s="142"/>
      <c r="N50" s="220"/>
      <c r="O50" s="220"/>
      <c r="P50" s="217"/>
      <c r="Q50" s="215"/>
      <c r="R50" s="220"/>
      <c r="S50" s="220"/>
      <c r="T50" s="1"/>
      <c r="U50" s="1"/>
      <c r="V50" s="2"/>
      <c r="W50" s="1"/>
      <c r="X50" s="1"/>
      <c r="Y50" s="1"/>
      <c r="Z50" s="1"/>
      <c r="AA50" s="1"/>
    </row>
    <row r="51" spans="6:27">
      <c r="F51" s="223" t="s">
        <v>30</v>
      </c>
      <c r="G51" s="226">
        <v>0</v>
      </c>
      <c r="H51" s="227"/>
      <c r="I51" s="229">
        <f t="shared" si="3"/>
        <v>0</v>
      </c>
      <c r="J51" s="229">
        <f t="shared" si="4"/>
        <v>0</v>
      </c>
      <c r="K51" s="215"/>
      <c r="L51" s="215"/>
      <c r="M51" s="142"/>
      <c r="N51" s="220"/>
      <c r="O51" s="220"/>
      <c r="P51" s="217"/>
      <c r="Q51" s="217"/>
      <c r="R51" s="220"/>
      <c r="S51" s="220"/>
      <c r="T51" s="1"/>
      <c r="U51" s="1"/>
      <c r="V51" s="1"/>
      <c r="W51" s="1"/>
      <c r="X51" s="1"/>
      <c r="Y51" s="1"/>
      <c r="Z51" s="1"/>
      <c r="AA51" s="1"/>
    </row>
    <row r="52" spans="6:27">
      <c r="F52" s="223" t="s">
        <v>27</v>
      </c>
      <c r="G52" s="226">
        <f>'Réseaux de chaleur'!H74</f>
        <v>1.2132703742293847</v>
      </c>
      <c r="H52" s="227">
        <f>'Réseaux de chaleur'!H50</f>
        <v>0.99042479528929361</v>
      </c>
      <c r="I52" s="229">
        <f t="shared" si="3"/>
        <v>0.46265381871400224</v>
      </c>
      <c r="J52" s="229">
        <f t="shared" si="4"/>
        <v>0.43115366388512222</v>
      </c>
      <c r="K52" s="215"/>
      <c r="L52" s="215"/>
      <c r="M52" s="142"/>
      <c r="N52" s="220"/>
      <c r="O52" s="220"/>
      <c r="P52" s="217"/>
      <c r="Q52" s="215"/>
      <c r="R52" s="220"/>
      <c r="S52" s="220"/>
      <c r="T52" s="1"/>
      <c r="U52" s="1"/>
      <c r="V52" s="1"/>
      <c r="W52" s="1"/>
      <c r="X52" s="1"/>
      <c r="Y52" s="1"/>
      <c r="Z52" s="1"/>
      <c r="AA52" s="1"/>
    </row>
    <row r="53" spans="6:27">
      <c r="F53" s="223" t="s">
        <v>28</v>
      </c>
      <c r="G53" s="226">
        <f>'Réseaux de chaleur'!$H$76</f>
        <v>0.1357557231811426</v>
      </c>
      <c r="H53" s="227">
        <f>'Réseaux de chaleur'!H52</f>
        <v>0.1357557231811426</v>
      </c>
      <c r="I53" s="229">
        <f t="shared" si="3"/>
        <v>5.1767442011373108E-2</v>
      </c>
      <c r="J53" s="229">
        <f t="shared" si="4"/>
        <v>5.9097447601589519E-2</v>
      </c>
      <c r="K53" s="215"/>
      <c r="L53" s="215"/>
      <c r="M53" s="142"/>
      <c r="N53" s="220"/>
      <c r="O53" s="220"/>
      <c r="P53" s="218"/>
      <c r="Q53" s="215"/>
      <c r="R53" s="219"/>
      <c r="S53" s="219"/>
      <c r="T53" s="1"/>
      <c r="U53" s="1"/>
      <c r="V53" s="1"/>
      <c r="W53" s="1"/>
      <c r="X53" s="1"/>
      <c r="Y53" s="1"/>
      <c r="Z53" s="1"/>
      <c r="AA53" s="1"/>
    </row>
    <row r="54" spans="6:27">
      <c r="F54" s="223" t="s">
        <v>35</v>
      </c>
      <c r="G54" s="226">
        <f>'Réseaux de chaleur'!$H$77</f>
        <v>0.2069273599742496</v>
      </c>
      <c r="H54" s="227">
        <f>'Réseaux de chaleur'!H53</f>
        <v>0.2069273599742496</v>
      </c>
      <c r="I54" s="229">
        <f t="shared" si="3"/>
        <v>7.8907171329639231E-2</v>
      </c>
      <c r="J54" s="229">
        <f t="shared" si="4"/>
        <v>9.0080024081902896E-2</v>
      </c>
      <c r="K54" s="215"/>
      <c r="L54" s="215"/>
      <c r="M54" s="142"/>
      <c r="N54" s="220"/>
      <c r="O54" s="220"/>
      <c r="P54" s="217"/>
      <c r="Q54" s="215"/>
      <c r="R54" s="220"/>
      <c r="S54" s="220"/>
      <c r="T54" s="1"/>
      <c r="U54" s="1"/>
      <c r="V54" s="1"/>
      <c r="W54" s="1"/>
      <c r="X54" s="1"/>
      <c r="Y54" s="1"/>
      <c r="Z54" s="1"/>
      <c r="AA54" s="1"/>
    </row>
    <row r="55" spans="6:27">
      <c r="F55" s="223" t="s">
        <v>31</v>
      </c>
      <c r="G55" s="226">
        <f>'Réseaux de chaleur'!$H$73+'Réseaux de chaleur'!$H$72+'Réseaux de chaleur'!$H$71</f>
        <v>0.57040694391078595</v>
      </c>
      <c r="H55" s="227">
        <f>'Réseaux de chaleur'!H49+'Réseaux de chaleur'!H48+'Réseaux de chaleur'!H47</f>
        <v>0.46798775518022706</v>
      </c>
      <c r="I55" s="229">
        <f t="shared" si="3"/>
        <v>0.21751207020852789</v>
      </c>
      <c r="J55" s="229">
        <f t="shared" si="4"/>
        <v>0.20372534720356233</v>
      </c>
      <c r="K55" s="215"/>
      <c r="L55" s="215"/>
      <c r="M55" s="220"/>
      <c r="N55" s="220"/>
      <c r="O55" s="220"/>
      <c r="P55" s="217"/>
      <c r="Q55" s="215"/>
      <c r="R55" s="220"/>
      <c r="S55" s="220"/>
      <c r="T55" s="1"/>
      <c r="U55" s="1"/>
      <c r="V55" s="1"/>
      <c r="W55" s="1"/>
      <c r="X55" s="1"/>
      <c r="Y55" s="1"/>
      <c r="Z55" s="1"/>
      <c r="AA55" s="1"/>
    </row>
    <row r="56" spans="6:27">
      <c r="F56" s="223" t="s">
        <v>489</v>
      </c>
      <c r="G56" s="228">
        <f>SUM(G49:G55)</f>
        <v>2.6224151301761749</v>
      </c>
      <c r="H56" s="228">
        <f>SUM(H49:H55)</f>
        <v>2.2971503625055245</v>
      </c>
      <c r="I56" s="228">
        <f>SUM(I49:I55)</f>
        <v>0.99999999999999978</v>
      </c>
      <c r="J56" s="228">
        <f>SUM(J49:J55)</f>
        <v>1</v>
      </c>
      <c r="K56" s="215"/>
      <c r="L56" s="215"/>
      <c r="M56" s="220"/>
      <c r="N56" s="220"/>
      <c r="O56" s="220"/>
      <c r="P56" s="217"/>
      <c r="Q56" s="217"/>
      <c r="R56" s="217"/>
      <c r="S56" s="217"/>
      <c r="T56" s="1"/>
      <c r="U56" s="1"/>
      <c r="V56" s="1"/>
      <c r="W56" s="1"/>
      <c r="X56" s="1"/>
      <c r="Y56" s="1"/>
      <c r="Z56" s="1"/>
      <c r="AA56" s="1"/>
    </row>
    <row r="57" spans="6:27">
      <c r="F57" s="1"/>
      <c r="G57" s="215"/>
      <c r="H57" s="215"/>
      <c r="I57" s="215"/>
      <c r="J57" s="215"/>
      <c r="K57" s="215"/>
      <c r="L57" s="215"/>
      <c r="M57" s="220"/>
      <c r="N57" s="220"/>
      <c r="O57" s="220"/>
      <c r="P57" s="217"/>
      <c r="Q57" s="221"/>
      <c r="R57" s="222"/>
      <c r="S57" s="222"/>
      <c r="T57" s="1"/>
      <c r="U57" s="1"/>
      <c r="V57" s="1"/>
      <c r="W57" s="1"/>
      <c r="X57" s="1"/>
      <c r="Y57" s="1"/>
      <c r="Z57" s="1"/>
      <c r="AA57" s="1"/>
    </row>
    <row r="58" spans="6:27">
      <c r="F58" s="1"/>
      <c r="G58" s="215"/>
      <c r="H58" s="215"/>
      <c r="I58" s="215"/>
      <c r="J58" s="215"/>
      <c r="K58" s="215"/>
      <c r="L58" s="215"/>
      <c r="M58" s="220"/>
      <c r="N58" s="220"/>
      <c r="O58" s="220"/>
      <c r="P58" s="217"/>
      <c r="Q58" s="221"/>
      <c r="R58" s="222"/>
      <c r="S58" s="222"/>
      <c r="T58" s="1"/>
      <c r="U58" s="1"/>
      <c r="V58" s="1"/>
      <c r="W58" s="1"/>
      <c r="X58" s="1"/>
      <c r="Y58" s="1"/>
      <c r="Z58" s="1"/>
      <c r="AA58" s="1"/>
    </row>
    <row r="62" spans="6:27">
      <c r="G62" s="245"/>
    </row>
    <row r="63" spans="6:27">
      <c r="G63" s="246"/>
    </row>
    <row r="64" spans="6:27">
      <c r="G64" s="245"/>
    </row>
    <row r="65" spans="7:7">
      <c r="G65" s="245"/>
    </row>
    <row r="66" spans="7:7">
      <c r="G66" s="247"/>
    </row>
  </sheetData>
  <mergeCells count="48">
    <mergeCell ref="V34:V44"/>
    <mergeCell ref="P26:P32"/>
    <mergeCell ref="Q26:Q32"/>
    <mergeCell ref="R26:R32"/>
    <mergeCell ref="S26:S32"/>
    <mergeCell ref="T26:T32"/>
    <mergeCell ref="E34:E44"/>
    <mergeCell ref="H34:H44"/>
    <mergeCell ref="J34:J44"/>
    <mergeCell ref="L34:L44"/>
    <mergeCell ref="E26:E32"/>
    <mergeCell ref="H26:H32"/>
    <mergeCell ref="J26:J32"/>
    <mergeCell ref="L26:L32"/>
    <mergeCell ref="N26:N32"/>
    <mergeCell ref="O26:O32"/>
    <mergeCell ref="AH7:AH19"/>
    <mergeCell ref="E21:E24"/>
    <mergeCell ref="H21:H24"/>
    <mergeCell ref="J21:J24"/>
    <mergeCell ref="L21:L24"/>
    <mergeCell ref="N21:N24"/>
    <mergeCell ref="O21:O24"/>
    <mergeCell ref="P21:P24"/>
    <mergeCell ref="Q21:Q24"/>
    <mergeCell ref="V21:V24"/>
    <mergeCell ref="T7:T19"/>
    <mergeCell ref="V7:V19"/>
    <mergeCell ref="AD7:AD19"/>
    <mergeCell ref="AE7:AE19"/>
    <mergeCell ref="AF7:AF19"/>
    <mergeCell ref="AG7:AG19"/>
    <mergeCell ref="A4:C4"/>
    <mergeCell ref="E7:E19"/>
    <mergeCell ref="H7:H19"/>
    <mergeCell ref="J7:J19"/>
    <mergeCell ref="L7:L19"/>
    <mergeCell ref="N7:N19"/>
    <mergeCell ref="G1:L1"/>
    <mergeCell ref="N1:T1"/>
    <mergeCell ref="V1:AA1"/>
    <mergeCell ref="G2:H2"/>
    <mergeCell ref="I2:L2"/>
    <mergeCell ref="N2:N4"/>
    <mergeCell ref="O2:T3"/>
    <mergeCell ref="V2:AA3"/>
    <mergeCell ref="I3:J3"/>
    <mergeCell ref="K3:L3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7"/>
  <sheetViews>
    <sheetView topLeftCell="B61" workbookViewId="0">
      <selection activeCell="J199" sqref="J199"/>
    </sheetView>
  </sheetViews>
  <sheetFormatPr baseColWidth="10" defaultRowHeight="12.75"/>
  <cols>
    <col min="1" max="1" width="45.140625" style="122" customWidth="1"/>
    <col min="2" max="2" width="16.7109375" style="122" customWidth="1"/>
    <col min="3" max="3" width="17" style="122" customWidth="1"/>
    <col min="4" max="5" width="11.42578125" style="122"/>
    <col min="6" max="6" width="12.140625" style="122" customWidth="1"/>
    <col min="7" max="7" width="12.42578125" style="122" customWidth="1"/>
    <col min="8" max="8" width="19.5703125" style="122" customWidth="1"/>
    <col min="9" max="9" width="15.85546875" style="122" customWidth="1"/>
    <col min="10" max="10" width="17.28515625" style="122" customWidth="1"/>
    <col min="11" max="12" width="11.42578125" style="122"/>
    <col min="13" max="13" width="15.85546875" style="122" customWidth="1"/>
    <col min="14" max="256" width="11.42578125" style="122"/>
    <col min="257" max="257" width="45.140625" style="122" customWidth="1"/>
    <col min="258" max="258" width="16.7109375" style="122" customWidth="1"/>
    <col min="259" max="259" width="17" style="122" customWidth="1"/>
    <col min="260" max="261" width="11.42578125" style="122"/>
    <col min="262" max="262" width="12.140625" style="122" customWidth="1"/>
    <col min="263" max="263" width="12.42578125" style="122" customWidth="1"/>
    <col min="264" max="264" width="19.5703125" style="122" customWidth="1"/>
    <col min="265" max="265" width="15.85546875" style="122" customWidth="1"/>
    <col min="266" max="266" width="17.28515625" style="122" customWidth="1"/>
    <col min="267" max="268" width="11.42578125" style="122"/>
    <col min="269" max="269" width="15.85546875" style="122" customWidth="1"/>
    <col min="270" max="512" width="11.42578125" style="122"/>
    <col min="513" max="513" width="45.140625" style="122" customWidth="1"/>
    <col min="514" max="514" width="16.7109375" style="122" customWidth="1"/>
    <col min="515" max="515" width="17" style="122" customWidth="1"/>
    <col min="516" max="517" width="11.42578125" style="122"/>
    <col min="518" max="518" width="12.140625" style="122" customWidth="1"/>
    <col min="519" max="519" width="12.42578125" style="122" customWidth="1"/>
    <col min="520" max="520" width="19.5703125" style="122" customWidth="1"/>
    <col min="521" max="521" width="15.85546875" style="122" customWidth="1"/>
    <col min="522" max="522" width="17.28515625" style="122" customWidth="1"/>
    <col min="523" max="524" width="11.42578125" style="122"/>
    <col min="525" max="525" width="15.85546875" style="122" customWidth="1"/>
    <col min="526" max="768" width="11.42578125" style="122"/>
    <col min="769" max="769" width="45.140625" style="122" customWidth="1"/>
    <col min="770" max="770" width="16.7109375" style="122" customWidth="1"/>
    <col min="771" max="771" width="17" style="122" customWidth="1"/>
    <col min="772" max="773" width="11.42578125" style="122"/>
    <col min="774" max="774" width="12.140625" style="122" customWidth="1"/>
    <col min="775" max="775" width="12.42578125" style="122" customWidth="1"/>
    <col min="776" max="776" width="19.5703125" style="122" customWidth="1"/>
    <col min="777" max="777" width="15.85546875" style="122" customWidth="1"/>
    <col min="778" max="778" width="17.28515625" style="122" customWidth="1"/>
    <col min="779" max="780" width="11.42578125" style="122"/>
    <col min="781" max="781" width="15.85546875" style="122" customWidth="1"/>
    <col min="782" max="1024" width="11.42578125" style="122"/>
    <col min="1025" max="1025" width="45.140625" style="122" customWidth="1"/>
    <col min="1026" max="1026" width="16.7109375" style="122" customWidth="1"/>
    <col min="1027" max="1027" width="17" style="122" customWidth="1"/>
    <col min="1028" max="1029" width="11.42578125" style="122"/>
    <col min="1030" max="1030" width="12.140625" style="122" customWidth="1"/>
    <col min="1031" max="1031" width="12.42578125" style="122" customWidth="1"/>
    <col min="1032" max="1032" width="19.5703125" style="122" customWidth="1"/>
    <col min="1033" max="1033" width="15.85546875" style="122" customWidth="1"/>
    <col min="1034" max="1034" width="17.28515625" style="122" customWidth="1"/>
    <col min="1035" max="1036" width="11.42578125" style="122"/>
    <col min="1037" max="1037" width="15.85546875" style="122" customWidth="1"/>
    <col min="1038" max="1280" width="11.42578125" style="122"/>
    <col min="1281" max="1281" width="45.140625" style="122" customWidth="1"/>
    <col min="1282" max="1282" width="16.7109375" style="122" customWidth="1"/>
    <col min="1283" max="1283" width="17" style="122" customWidth="1"/>
    <col min="1284" max="1285" width="11.42578125" style="122"/>
    <col min="1286" max="1286" width="12.140625" style="122" customWidth="1"/>
    <col min="1287" max="1287" width="12.42578125" style="122" customWidth="1"/>
    <col min="1288" max="1288" width="19.5703125" style="122" customWidth="1"/>
    <col min="1289" max="1289" width="15.85546875" style="122" customWidth="1"/>
    <col min="1290" max="1290" width="17.28515625" style="122" customWidth="1"/>
    <col min="1291" max="1292" width="11.42578125" style="122"/>
    <col min="1293" max="1293" width="15.85546875" style="122" customWidth="1"/>
    <col min="1294" max="1536" width="11.42578125" style="122"/>
    <col min="1537" max="1537" width="45.140625" style="122" customWidth="1"/>
    <col min="1538" max="1538" width="16.7109375" style="122" customWidth="1"/>
    <col min="1539" max="1539" width="17" style="122" customWidth="1"/>
    <col min="1540" max="1541" width="11.42578125" style="122"/>
    <col min="1542" max="1542" width="12.140625" style="122" customWidth="1"/>
    <col min="1543" max="1543" width="12.42578125" style="122" customWidth="1"/>
    <col min="1544" max="1544" width="19.5703125" style="122" customWidth="1"/>
    <col min="1545" max="1545" width="15.85546875" style="122" customWidth="1"/>
    <col min="1546" max="1546" width="17.28515625" style="122" customWidth="1"/>
    <col min="1547" max="1548" width="11.42578125" style="122"/>
    <col min="1549" max="1549" width="15.85546875" style="122" customWidth="1"/>
    <col min="1550" max="1792" width="11.42578125" style="122"/>
    <col min="1793" max="1793" width="45.140625" style="122" customWidth="1"/>
    <col min="1794" max="1794" width="16.7109375" style="122" customWidth="1"/>
    <col min="1795" max="1795" width="17" style="122" customWidth="1"/>
    <col min="1796" max="1797" width="11.42578125" style="122"/>
    <col min="1798" max="1798" width="12.140625" style="122" customWidth="1"/>
    <col min="1799" max="1799" width="12.42578125" style="122" customWidth="1"/>
    <col min="1800" max="1800" width="19.5703125" style="122" customWidth="1"/>
    <col min="1801" max="1801" width="15.85546875" style="122" customWidth="1"/>
    <col min="1802" max="1802" width="17.28515625" style="122" customWidth="1"/>
    <col min="1803" max="1804" width="11.42578125" style="122"/>
    <col min="1805" max="1805" width="15.85546875" style="122" customWidth="1"/>
    <col min="1806" max="2048" width="11.42578125" style="122"/>
    <col min="2049" max="2049" width="45.140625" style="122" customWidth="1"/>
    <col min="2050" max="2050" width="16.7109375" style="122" customWidth="1"/>
    <col min="2051" max="2051" width="17" style="122" customWidth="1"/>
    <col min="2052" max="2053" width="11.42578125" style="122"/>
    <col min="2054" max="2054" width="12.140625" style="122" customWidth="1"/>
    <col min="2055" max="2055" width="12.42578125" style="122" customWidth="1"/>
    <col min="2056" max="2056" width="19.5703125" style="122" customWidth="1"/>
    <col min="2057" max="2057" width="15.85546875" style="122" customWidth="1"/>
    <col min="2058" max="2058" width="17.28515625" style="122" customWidth="1"/>
    <col min="2059" max="2060" width="11.42578125" style="122"/>
    <col min="2061" max="2061" width="15.85546875" style="122" customWidth="1"/>
    <col min="2062" max="2304" width="11.42578125" style="122"/>
    <col min="2305" max="2305" width="45.140625" style="122" customWidth="1"/>
    <col min="2306" max="2306" width="16.7109375" style="122" customWidth="1"/>
    <col min="2307" max="2307" width="17" style="122" customWidth="1"/>
    <col min="2308" max="2309" width="11.42578125" style="122"/>
    <col min="2310" max="2310" width="12.140625" style="122" customWidth="1"/>
    <col min="2311" max="2311" width="12.42578125" style="122" customWidth="1"/>
    <col min="2312" max="2312" width="19.5703125" style="122" customWidth="1"/>
    <col min="2313" max="2313" width="15.85546875" style="122" customWidth="1"/>
    <col min="2314" max="2314" width="17.28515625" style="122" customWidth="1"/>
    <col min="2315" max="2316" width="11.42578125" style="122"/>
    <col min="2317" max="2317" width="15.85546875" style="122" customWidth="1"/>
    <col min="2318" max="2560" width="11.42578125" style="122"/>
    <col min="2561" max="2561" width="45.140625" style="122" customWidth="1"/>
    <col min="2562" max="2562" width="16.7109375" style="122" customWidth="1"/>
    <col min="2563" max="2563" width="17" style="122" customWidth="1"/>
    <col min="2564" max="2565" width="11.42578125" style="122"/>
    <col min="2566" max="2566" width="12.140625" style="122" customWidth="1"/>
    <col min="2567" max="2567" width="12.42578125" style="122" customWidth="1"/>
    <col min="2568" max="2568" width="19.5703125" style="122" customWidth="1"/>
    <col min="2569" max="2569" width="15.85546875" style="122" customWidth="1"/>
    <col min="2570" max="2570" width="17.28515625" style="122" customWidth="1"/>
    <col min="2571" max="2572" width="11.42578125" style="122"/>
    <col min="2573" max="2573" width="15.85546875" style="122" customWidth="1"/>
    <col min="2574" max="2816" width="11.42578125" style="122"/>
    <col min="2817" max="2817" width="45.140625" style="122" customWidth="1"/>
    <col min="2818" max="2818" width="16.7109375" style="122" customWidth="1"/>
    <col min="2819" max="2819" width="17" style="122" customWidth="1"/>
    <col min="2820" max="2821" width="11.42578125" style="122"/>
    <col min="2822" max="2822" width="12.140625" style="122" customWidth="1"/>
    <col min="2823" max="2823" width="12.42578125" style="122" customWidth="1"/>
    <col min="2824" max="2824" width="19.5703125" style="122" customWidth="1"/>
    <col min="2825" max="2825" width="15.85546875" style="122" customWidth="1"/>
    <col min="2826" max="2826" width="17.28515625" style="122" customWidth="1"/>
    <col min="2827" max="2828" width="11.42578125" style="122"/>
    <col min="2829" max="2829" width="15.85546875" style="122" customWidth="1"/>
    <col min="2830" max="3072" width="11.42578125" style="122"/>
    <col min="3073" max="3073" width="45.140625" style="122" customWidth="1"/>
    <col min="3074" max="3074" width="16.7109375" style="122" customWidth="1"/>
    <col min="3075" max="3075" width="17" style="122" customWidth="1"/>
    <col min="3076" max="3077" width="11.42578125" style="122"/>
    <col min="3078" max="3078" width="12.140625" style="122" customWidth="1"/>
    <col min="3079" max="3079" width="12.42578125" style="122" customWidth="1"/>
    <col min="3080" max="3080" width="19.5703125" style="122" customWidth="1"/>
    <col min="3081" max="3081" width="15.85546875" style="122" customWidth="1"/>
    <col min="3082" max="3082" width="17.28515625" style="122" customWidth="1"/>
    <col min="3083" max="3084" width="11.42578125" style="122"/>
    <col min="3085" max="3085" width="15.85546875" style="122" customWidth="1"/>
    <col min="3086" max="3328" width="11.42578125" style="122"/>
    <col min="3329" max="3329" width="45.140625" style="122" customWidth="1"/>
    <col min="3330" max="3330" width="16.7109375" style="122" customWidth="1"/>
    <col min="3331" max="3331" width="17" style="122" customWidth="1"/>
    <col min="3332" max="3333" width="11.42578125" style="122"/>
    <col min="3334" max="3334" width="12.140625" style="122" customWidth="1"/>
    <col min="3335" max="3335" width="12.42578125" style="122" customWidth="1"/>
    <col min="3336" max="3336" width="19.5703125" style="122" customWidth="1"/>
    <col min="3337" max="3337" width="15.85546875" style="122" customWidth="1"/>
    <col min="3338" max="3338" width="17.28515625" style="122" customWidth="1"/>
    <col min="3339" max="3340" width="11.42578125" style="122"/>
    <col min="3341" max="3341" width="15.85546875" style="122" customWidth="1"/>
    <col min="3342" max="3584" width="11.42578125" style="122"/>
    <col min="3585" max="3585" width="45.140625" style="122" customWidth="1"/>
    <col min="3586" max="3586" width="16.7109375" style="122" customWidth="1"/>
    <col min="3587" max="3587" width="17" style="122" customWidth="1"/>
    <col min="3588" max="3589" width="11.42578125" style="122"/>
    <col min="3590" max="3590" width="12.140625" style="122" customWidth="1"/>
    <col min="3591" max="3591" width="12.42578125" style="122" customWidth="1"/>
    <col min="3592" max="3592" width="19.5703125" style="122" customWidth="1"/>
    <col min="3593" max="3593" width="15.85546875" style="122" customWidth="1"/>
    <col min="3594" max="3594" width="17.28515625" style="122" customWidth="1"/>
    <col min="3595" max="3596" width="11.42578125" style="122"/>
    <col min="3597" max="3597" width="15.85546875" style="122" customWidth="1"/>
    <col min="3598" max="3840" width="11.42578125" style="122"/>
    <col min="3841" max="3841" width="45.140625" style="122" customWidth="1"/>
    <col min="3842" max="3842" width="16.7109375" style="122" customWidth="1"/>
    <col min="3843" max="3843" width="17" style="122" customWidth="1"/>
    <col min="3844" max="3845" width="11.42578125" style="122"/>
    <col min="3846" max="3846" width="12.140625" style="122" customWidth="1"/>
    <col min="3847" max="3847" width="12.42578125" style="122" customWidth="1"/>
    <col min="3848" max="3848" width="19.5703125" style="122" customWidth="1"/>
    <col min="3849" max="3849" width="15.85546875" style="122" customWidth="1"/>
    <col min="3850" max="3850" width="17.28515625" style="122" customWidth="1"/>
    <col min="3851" max="3852" width="11.42578125" style="122"/>
    <col min="3853" max="3853" width="15.85546875" style="122" customWidth="1"/>
    <col min="3854" max="4096" width="11.42578125" style="122"/>
    <col min="4097" max="4097" width="45.140625" style="122" customWidth="1"/>
    <col min="4098" max="4098" width="16.7109375" style="122" customWidth="1"/>
    <col min="4099" max="4099" width="17" style="122" customWidth="1"/>
    <col min="4100" max="4101" width="11.42578125" style="122"/>
    <col min="4102" max="4102" width="12.140625" style="122" customWidth="1"/>
    <col min="4103" max="4103" width="12.42578125" style="122" customWidth="1"/>
    <col min="4104" max="4104" width="19.5703125" style="122" customWidth="1"/>
    <col min="4105" max="4105" width="15.85546875" style="122" customWidth="1"/>
    <col min="4106" max="4106" width="17.28515625" style="122" customWidth="1"/>
    <col min="4107" max="4108" width="11.42578125" style="122"/>
    <col min="4109" max="4109" width="15.85546875" style="122" customWidth="1"/>
    <col min="4110" max="4352" width="11.42578125" style="122"/>
    <col min="4353" max="4353" width="45.140625" style="122" customWidth="1"/>
    <col min="4354" max="4354" width="16.7109375" style="122" customWidth="1"/>
    <col min="4355" max="4355" width="17" style="122" customWidth="1"/>
    <col min="4356" max="4357" width="11.42578125" style="122"/>
    <col min="4358" max="4358" width="12.140625" style="122" customWidth="1"/>
    <col min="4359" max="4359" width="12.42578125" style="122" customWidth="1"/>
    <col min="4360" max="4360" width="19.5703125" style="122" customWidth="1"/>
    <col min="4361" max="4361" width="15.85546875" style="122" customWidth="1"/>
    <col min="4362" max="4362" width="17.28515625" style="122" customWidth="1"/>
    <col min="4363" max="4364" width="11.42578125" style="122"/>
    <col min="4365" max="4365" width="15.85546875" style="122" customWidth="1"/>
    <col min="4366" max="4608" width="11.42578125" style="122"/>
    <col min="4609" max="4609" width="45.140625" style="122" customWidth="1"/>
    <col min="4610" max="4610" width="16.7109375" style="122" customWidth="1"/>
    <col min="4611" max="4611" width="17" style="122" customWidth="1"/>
    <col min="4612" max="4613" width="11.42578125" style="122"/>
    <col min="4614" max="4614" width="12.140625" style="122" customWidth="1"/>
    <col min="4615" max="4615" width="12.42578125" style="122" customWidth="1"/>
    <col min="4616" max="4616" width="19.5703125" style="122" customWidth="1"/>
    <col min="4617" max="4617" width="15.85546875" style="122" customWidth="1"/>
    <col min="4618" max="4618" width="17.28515625" style="122" customWidth="1"/>
    <col min="4619" max="4620" width="11.42578125" style="122"/>
    <col min="4621" max="4621" width="15.85546875" style="122" customWidth="1"/>
    <col min="4622" max="4864" width="11.42578125" style="122"/>
    <col min="4865" max="4865" width="45.140625" style="122" customWidth="1"/>
    <col min="4866" max="4866" width="16.7109375" style="122" customWidth="1"/>
    <col min="4867" max="4867" width="17" style="122" customWidth="1"/>
    <col min="4868" max="4869" width="11.42578125" style="122"/>
    <col min="4870" max="4870" width="12.140625" style="122" customWidth="1"/>
    <col min="4871" max="4871" width="12.42578125" style="122" customWidth="1"/>
    <col min="4872" max="4872" width="19.5703125" style="122" customWidth="1"/>
    <col min="4873" max="4873" width="15.85546875" style="122" customWidth="1"/>
    <col min="4874" max="4874" width="17.28515625" style="122" customWidth="1"/>
    <col min="4875" max="4876" width="11.42578125" style="122"/>
    <col min="4877" max="4877" width="15.85546875" style="122" customWidth="1"/>
    <col min="4878" max="5120" width="11.42578125" style="122"/>
    <col min="5121" max="5121" width="45.140625" style="122" customWidth="1"/>
    <col min="5122" max="5122" width="16.7109375" style="122" customWidth="1"/>
    <col min="5123" max="5123" width="17" style="122" customWidth="1"/>
    <col min="5124" max="5125" width="11.42578125" style="122"/>
    <col min="5126" max="5126" width="12.140625" style="122" customWidth="1"/>
    <col min="5127" max="5127" width="12.42578125" style="122" customWidth="1"/>
    <col min="5128" max="5128" width="19.5703125" style="122" customWidth="1"/>
    <col min="5129" max="5129" width="15.85546875" style="122" customWidth="1"/>
    <col min="5130" max="5130" width="17.28515625" style="122" customWidth="1"/>
    <col min="5131" max="5132" width="11.42578125" style="122"/>
    <col min="5133" max="5133" width="15.85546875" style="122" customWidth="1"/>
    <col min="5134" max="5376" width="11.42578125" style="122"/>
    <col min="5377" max="5377" width="45.140625" style="122" customWidth="1"/>
    <col min="5378" max="5378" width="16.7109375" style="122" customWidth="1"/>
    <col min="5379" max="5379" width="17" style="122" customWidth="1"/>
    <col min="5380" max="5381" width="11.42578125" style="122"/>
    <col min="5382" max="5382" width="12.140625" style="122" customWidth="1"/>
    <col min="5383" max="5383" width="12.42578125" style="122" customWidth="1"/>
    <col min="5384" max="5384" width="19.5703125" style="122" customWidth="1"/>
    <col min="5385" max="5385" width="15.85546875" style="122" customWidth="1"/>
    <col min="5386" max="5386" width="17.28515625" style="122" customWidth="1"/>
    <col min="5387" max="5388" width="11.42578125" style="122"/>
    <col min="5389" max="5389" width="15.85546875" style="122" customWidth="1"/>
    <col min="5390" max="5632" width="11.42578125" style="122"/>
    <col min="5633" max="5633" width="45.140625" style="122" customWidth="1"/>
    <col min="5634" max="5634" width="16.7109375" style="122" customWidth="1"/>
    <col min="5635" max="5635" width="17" style="122" customWidth="1"/>
    <col min="5636" max="5637" width="11.42578125" style="122"/>
    <col min="5638" max="5638" width="12.140625" style="122" customWidth="1"/>
    <col min="5639" max="5639" width="12.42578125" style="122" customWidth="1"/>
    <col min="5640" max="5640" width="19.5703125" style="122" customWidth="1"/>
    <col min="5641" max="5641" width="15.85546875" style="122" customWidth="1"/>
    <col min="5642" max="5642" width="17.28515625" style="122" customWidth="1"/>
    <col min="5643" max="5644" width="11.42578125" style="122"/>
    <col min="5645" max="5645" width="15.85546875" style="122" customWidth="1"/>
    <col min="5646" max="5888" width="11.42578125" style="122"/>
    <col min="5889" max="5889" width="45.140625" style="122" customWidth="1"/>
    <col min="5890" max="5890" width="16.7109375" style="122" customWidth="1"/>
    <col min="5891" max="5891" width="17" style="122" customWidth="1"/>
    <col min="5892" max="5893" width="11.42578125" style="122"/>
    <col min="5894" max="5894" width="12.140625" style="122" customWidth="1"/>
    <col min="5895" max="5895" width="12.42578125" style="122" customWidth="1"/>
    <col min="5896" max="5896" width="19.5703125" style="122" customWidth="1"/>
    <col min="5897" max="5897" width="15.85546875" style="122" customWidth="1"/>
    <col min="5898" max="5898" width="17.28515625" style="122" customWidth="1"/>
    <col min="5899" max="5900" width="11.42578125" style="122"/>
    <col min="5901" max="5901" width="15.85546875" style="122" customWidth="1"/>
    <col min="5902" max="6144" width="11.42578125" style="122"/>
    <col min="6145" max="6145" width="45.140625" style="122" customWidth="1"/>
    <col min="6146" max="6146" width="16.7109375" style="122" customWidth="1"/>
    <col min="6147" max="6147" width="17" style="122" customWidth="1"/>
    <col min="6148" max="6149" width="11.42578125" style="122"/>
    <col min="6150" max="6150" width="12.140625" style="122" customWidth="1"/>
    <col min="6151" max="6151" width="12.42578125" style="122" customWidth="1"/>
    <col min="6152" max="6152" width="19.5703125" style="122" customWidth="1"/>
    <col min="6153" max="6153" width="15.85546875" style="122" customWidth="1"/>
    <col min="6154" max="6154" width="17.28515625" style="122" customWidth="1"/>
    <col min="6155" max="6156" width="11.42578125" style="122"/>
    <col min="6157" max="6157" width="15.85546875" style="122" customWidth="1"/>
    <col min="6158" max="6400" width="11.42578125" style="122"/>
    <col min="6401" max="6401" width="45.140625" style="122" customWidth="1"/>
    <col min="6402" max="6402" width="16.7109375" style="122" customWidth="1"/>
    <col min="6403" max="6403" width="17" style="122" customWidth="1"/>
    <col min="6404" max="6405" width="11.42578125" style="122"/>
    <col min="6406" max="6406" width="12.140625" style="122" customWidth="1"/>
    <col min="6407" max="6407" width="12.42578125" style="122" customWidth="1"/>
    <col min="6408" max="6408" width="19.5703125" style="122" customWidth="1"/>
    <col min="6409" max="6409" width="15.85546875" style="122" customWidth="1"/>
    <col min="6410" max="6410" width="17.28515625" style="122" customWidth="1"/>
    <col min="6411" max="6412" width="11.42578125" style="122"/>
    <col min="6413" max="6413" width="15.85546875" style="122" customWidth="1"/>
    <col min="6414" max="6656" width="11.42578125" style="122"/>
    <col min="6657" max="6657" width="45.140625" style="122" customWidth="1"/>
    <col min="6658" max="6658" width="16.7109375" style="122" customWidth="1"/>
    <col min="6659" max="6659" width="17" style="122" customWidth="1"/>
    <col min="6660" max="6661" width="11.42578125" style="122"/>
    <col min="6662" max="6662" width="12.140625" style="122" customWidth="1"/>
    <col min="6663" max="6663" width="12.42578125" style="122" customWidth="1"/>
    <col min="6664" max="6664" width="19.5703125" style="122" customWidth="1"/>
    <col min="6665" max="6665" width="15.85546875" style="122" customWidth="1"/>
    <col min="6666" max="6666" width="17.28515625" style="122" customWidth="1"/>
    <col min="6667" max="6668" width="11.42578125" style="122"/>
    <col min="6669" max="6669" width="15.85546875" style="122" customWidth="1"/>
    <col min="6670" max="6912" width="11.42578125" style="122"/>
    <col min="6913" max="6913" width="45.140625" style="122" customWidth="1"/>
    <col min="6914" max="6914" width="16.7109375" style="122" customWidth="1"/>
    <col min="6915" max="6915" width="17" style="122" customWidth="1"/>
    <col min="6916" max="6917" width="11.42578125" style="122"/>
    <col min="6918" max="6918" width="12.140625" style="122" customWidth="1"/>
    <col min="6919" max="6919" width="12.42578125" style="122" customWidth="1"/>
    <col min="6920" max="6920" width="19.5703125" style="122" customWidth="1"/>
    <col min="6921" max="6921" width="15.85546875" style="122" customWidth="1"/>
    <col min="6922" max="6922" width="17.28515625" style="122" customWidth="1"/>
    <col min="6923" max="6924" width="11.42578125" style="122"/>
    <col min="6925" max="6925" width="15.85546875" style="122" customWidth="1"/>
    <col min="6926" max="7168" width="11.42578125" style="122"/>
    <col min="7169" max="7169" width="45.140625" style="122" customWidth="1"/>
    <col min="7170" max="7170" width="16.7109375" style="122" customWidth="1"/>
    <col min="7171" max="7171" width="17" style="122" customWidth="1"/>
    <col min="7172" max="7173" width="11.42578125" style="122"/>
    <col min="7174" max="7174" width="12.140625" style="122" customWidth="1"/>
    <col min="7175" max="7175" width="12.42578125" style="122" customWidth="1"/>
    <col min="7176" max="7176" width="19.5703125" style="122" customWidth="1"/>
    <col min="7177" max="7177" width="15.85546875" style="122" customWidth="1"/>
    <col min="7178" max="7178" width="17.28515625" style="122" customWidth="1"/>
    <col min="7179" max="7180" width="11.42578125" style="122"/>
    <col min="7181" max="7181" width="15.85546875" style="122" customWidth="1"/>
    <col min="7182" max="7424" width="11.42578125" style="122"/>
    <col min="7425" max="7425" width="45.140625" style="122" customWidth="1"/>
    <col min="7426" max="7426" width="16.7109375" style="122" customWidth="1"/>
    <col min="7427" max="7427" width="17" style="122" customWidth="1"/>
    <col min="7428" max="7429" width="11.42578125" style="122"/>
    <col min="7430" max="7430" width="12.140625" style="122" customWidth="1"/>
    <col min="7431" max="7431" width="12.42578125" style="122" customWidth="1"/>
    <col min="7432" max="7432" width="19.5703125" style="122" customWidth="1"/>
    <col min="7433" max="7433" width="15.85546875" style="122" customWidth="1"/>
    <col min="7434" max="7434" width="17.28515625" style="122" customWidth="1"/>
    <col min="7435" max="7436" width="11.42578125" style="122"/>
    <col min="7437" max="7437" width="15.85546875" style="122" customWidth="1"/>
    <col min="7438" max="7680" width="11.42578125" style="122"/>
    <col min="7681" max="7681" width="45.140625" style="122" customWidth="1"/>
    <col min="7682" max="7682" width="16.7109375" style="122" customWidth="1"/>
    <col min="7683" max="7683" width="17" style="122" customWidth="1"/>
    <col min="7684" max="7685" width="11.42578125" style="122"/>
    <col min="7686" max="7686" width="12.140625" style="122" customWidth="1"/>
    <col min="7687" max="7687" width="12.42578125" style="122" customWidth="1"/>
    <col min="7688" max="7688" width="19.5703125" style="122" customWidth="1"/>
    <col min="7689" max="7689" width="15.85546875" style="122" customWidth="1"/>
    <col min="7690" max="7690" width="17.28515625" style="122" customWidth="1"/>
    <col min="7691" max="7692" width="11.42578125" style="122"/>
    <col min="7693" max="7693" width="15.85546875" style="122" customWidth="1"/>
    <col min="7694" max="7936" width="11.42578125" style="122"/>
    <col min="7937" max="7937" width="45.140625" style="122" customWidth="1"/>
    <col min="7938" max="7938" width="16.7109375" style="122" customWidth="1"/>
    <col min="7939" max="7939" width="17" style="122" customWidth="1"/>
    <col min="7940" max="7941" width="11.42578125" style="122"/>
    <col min="7942" max="7942" width="12.140625" style="122" customWidth="1"/>
    <col min="7943" max="7943" width="12.42578125" style="122" customWidth="1"/>
    <col min="7944" max="7944" width="19.5703125" style="122" customWidth="1"/>
    <col min="7945" max="7945" width="15.85546875" style="122" customWidth="1"/>
    <col min="7946" max="7946" width="17.28515625" style="122" customWidth="1"/>
    <col min="7947" max="7948" width="11.42578125" style="122"/>
    <col min="7949" max="7949" width="15.85546875" style="122" customWidth="1"/>
    <col min="7950" max="8192" width="11.42578125" style="122"/>
    <col min="8193" max="8193" width="45.140625" style="122" customWidth="1"/>
    <col min="8194" max="8194" width="16.7109375" style="122" customWidth="1"/>
    <col min="8195" max="8195" width="17" style="122" customWidth="1"/>
    <col min="8196" max="8197" width="11.42578125" style="122"/>
    <col min="8198" max="8198" width="12.140625" style="122" customWidth="1"/>
    <col min="8199" max="8199" width="12.42578125" style="122" customWidth="1"/>
    <col min="8200" max="8200" width="19.5703125" style="122" customWidth="1"/>
    <col min="8201" max="8201" width="15.85546875" style="122" customWidth="1"/>
    <col min="8202" max="8202" width="17.28515625" style="122" customWidth="1"/>
    <col min="8203" max="8204" width="11.42578125" style="122"/>
    <col min="8205" max="8205" width="15.85546875" style="122" customWidth="1"/>
    <col min="8206" max="8448" width="11.42578125" style="122"/>
    <col min="8449" max="8449" width="45.140625" style="122" customWidth="1"/>
    <col min="8450" max="8450" width="16.7109375" style="122" customWidth="1"/>
    <col min="8451" max="8451" width="17" style="122" customWidth="1"/>
    <col min="8452" max="8453" width="11.42578125" style="122"/>
    <col min="8454" max="8454" width="12.140625" style="122" customWidth="1"/>
    <col min="8455" max="8455" width="12.42578125" style="122" customWidth="1"/>
    <col min="8456" max="8456" width="19.5703125" style="122" customWidth="1"/>
    <col min="8457" max="8457" width="15.85546875" style="122" customWidth="1"/>
    <col min="8458" max="8458" width="17.28515625" style="122" customWidth="1"/>
    <col min="8459" max="8460" width="11.42578125" style="122"/>
    <col min="8461" max="8461" width="15.85546875" style="122" customWidth="1"/>
    <col min="8462" max="8704" width="11.42578125" style="122"/>
    <col min="8705" max="8705" width="45.140625" style="122" customWidth="1"/>
    <col min="8706" max="8706" width="16.7109375" style="122" customWidth="1"/>
    <col min="8707" max="8707" width="17" style="122" customWidth="1"/>
    <col min="8708" max="8709" width="11.42578125" style="122"/>
    <col min="8710" max="8710" width="12.140625" style="122" customWidth="1"/>
    <col min="8711" max="8711" width="12.42578125" style="122" customWidth="1"/>
    <col min="8712" max="8712" width="19.5703125" style="122" customWidth="1"/>
    <col min="8713" max="8713" width="15.85546875" style="122" customWidth="1"/>
    <col min="8714" max="8714" width="17.28515625" style="122" customWidth="1"/>
    <col min="8715" max="8716" width="11.42578125" style="122"/>
    <col min="8717" max="8717" width="15.85546875" style="122" customWidth="1"/>
    <col min="8718" max="8960" width="11.42578125" style="122"/>
    <col min="8961" max="8961" width="45.140625" style="122" customWidth="1"/>
    <col min="8962" max="8962" width="16.7109375" style="122" customWidth="1"/>
    <col min="8963" max="8963" width="17" style="122" customWidth="1"/>
    <col min="8964" max="8965" width="11.42578125" style="122"/>
    <col min="8966" max="8966" width="12.140625" style="122" customWidth="1"/>
    <col min="8967" max="8967" width="12.42578125" style="122" customWidth="1"/>
    <col min="8968" max="8968" width="19.5703125" style="122" customWidth="1"/>
    <col min="8969" max="8969" width="15.85546875" style="122" customWidth="1"/>
    <col min="8970" max="8970" width="17.28515625" style="122" customWidth="1"/>
    <col min="8971" max="8972" width="11.42578125" style="122"/>
    <col min="8973" max="8973" width="15.85546875" style="122" customWidth="1"/>
    <col min="8974" max="9216" width="11.42578125" style="122"/>
    <col min="9217" max="9217" width="45.140625" style="122" customWidth="1"/>
    <col min="9218" max="9218" width="16.7109375" style="122" customWidth="1"/>
    <col min="9219" max="9219" width="17" style="122" customWidth="1"/>
    <col min="9220" max="9221" width="11.42578125" style="122"/>
    <col min="9222" max="9222" width="12.140625" style="122" customWidth="1"/>
    <col min="9223" max="9223" width="12.42578125" style="122" customWidth="1"/>
    <col min="9224" max="9224" width="19.5703125" style="122" customWidth="1"/>
    <col min="9225" max="9225" width="15.85546875" style="122" customWidth="1"/>
    <col min="9226" max="9226" width="17.28515625" style="122" customWidth="1"/>
    <col min="9227" max="9228" width="11.42578125" style="122"/>
    <col min="9229" max="9229" width="15.85546875" style="122" customWidth="1"/>
    <col min="9230" max="9472" width="11.42578125" style="122"/>
    <col min="9473" max="9473" width="45.140625" style="122" customWidth="1"/>
    <col min="9474" max="9474" width="16.7109375" style="122" customWidth="1"/>
    <col min="9475" max="9475" width="17" style="122" customWidth="1"/>
    <col min="9476" max="9477" width="11.42578125" style="122"/>
    <col min="9478" max="9478" width="12.140625" style="122" customWidth="1"/>
    <col min="9479" max="9479" width="12.42578125" style="122" customWidth="1"/>
    <col min="9480" max="9480" width="19.5703125" style="122" customWidth="1"/>
    <col min="9481" max="9481" width="15.85546875" style="122" customWidth="1"/>
    <col min="9482" max="9482" width="17.28515625" style="122" customWidth="1"/>
    <col min="9483" max="9484" width="11.42578125" style="122"/>
    <col min="9485" max="9485" width="15.85546875" style="122" customWidth="1"/>
    <col min="9486" max="9728" width="11.42578125" style="122"/>
    <col min="9729" max="9729" width="45.140625" style="122" customWidth="1"/>
    <col min="9730" max="9730" width="16.7109375" style="122" customWidth="1"/>
    <col min="9731" max="9731" width="17" style="122" customWidth="1"/>
    <col min="9732" max="9733" width="11.42578125" style="122"/>
    <col min="9734" max="9734" width="12.140625" style="122" customWidth="1"/>
    <col min="9735" max="9735" width="12.42578125" style="122" customWidth="1"/>
    <col min="9736" max="9736" width="19.5703125" style="122" customWidth="1"/>
    <col min="9737" max="9737" width="15.85546875" style="122" customWidth="1"/>
    <col min="9738" max="9738" width="17.28515625" style="122" customWidth="1"/>
    <col min="9739" max="9740" width="11.42578125" style="122"/>
    <col min="9741" max="9741" width="15.85546875" style="122" customWidth="1"/>
    <col min="9742" max="9984" width="11.42578125" style="122"/>
    <col min="9985" max="9985" width="45.140625" style="122" customWidth="1"/>
    <col min="9986" max="9986" width="16.7109375" style="122" customWidth="1"/>
    <col min="9987" max="9987" width="17" style="122" customWidth="1"/>
    <col min="9988" max="9989" width="11.42578125" style="122"/>
    <col min="9990" max="9990" width="12.140625" style="122" customWidth="1"/>
    <col min="9991" max="9991" width="12.42578125" style="122" customWidth="1"/>
    <col min="9992" max="9992" width="19.5703125" style="122" customWidth="1"/>
    <col min="9993" max="9993" width="15.85546875" style="122" customWidth="1"/>
    <col min="9994" max="9994" width="17.28515625" style="122" customWidth="1"/>
    <col min="9995" max="9996" width="11.42578125" style="122"/>
    <col min="9997" max="9997" width="15.85546875" style="122" customWidth="1"/>
    <col min="9998" max="10240" width="11.42578125" style="122"/>
    <col min="10241" max="10241" width="45.140625" style="122" customWidth="1"/>
    <col min="10242" max="10242" width="16.7109375" style="122" customWidth="1"/>
    <col min="10243" max="10243" width="17" style="122" customWidth="1"/>
    <col min="10244" max="10245" width="11.42578125" style="122"/>
    <col min="10246" max="10246" width="12.140625" style="122" customWidth="1"/>
    <col min="10247" max="10247" width="12.42578125" style="122" customWidth="1"/>
    <col min="10248" max="10248" width="19.5703125" style="122" customWidth="1"/>
    <col min="10249" max="10249" width="15.85546875" style="122" customWidth="1"/>
    <col min="10250" max="10250" width="17.28515625" style="122" customWidth="1"/>
    <col min="10251" max="10252" width="11.42578125" style="122"/>
    <col min="10253" max="10253" width="15.85546875" style="122" customWidth="1"/>
    <col min="10254" max="10496" width="11.42578125" style="122"/>
    <col min="10497" max="10497" width="45.140625" style="122" customWidth="1"/>
    <col min="10498" max="10498" width="16.7109375" style="122" customWidth="1"/>
    <col min="10499" max="10499" width="17" style="122" customWidth="1"/>
    <col min="10500" max="10501" width="11.42578125" style="122"/>
    <col min="10502" max="10502" width="12.140625" style="122" customWidth="1"/>
    <col min="10503" max="10503" width="12.42578125" style="122" customWidth="1"/>
    <col min="10504" max="10504" width="19.5703125" style="122" customWidth="1"/>
    <col min="10505" max="10505" width="15.85546875" style="122" customWidth="1"/>
    <col min="10506" max="10506" width="17.28515625" style="122" customWidth="1"/>
    <col min="10507" max="10508" width="11.42578125" style="122"/>
    <col min="10509" max="10509" width="15.85546875" style="122" customWidth="1"/>
    <col min="10510" max="10752" width="11.42578125" style="122"/>
    <col min="10753" max="10753" width="45.140625" style="122" customWidth="1"/>
    <col min="10754" max="10754" width="16.7109375" style="122" customWidth="1"/>
    <col min="10755" max="10755" width="17" style="122" customWidth="1"/>
    <col min="10756" max="10757" width="11.42578125" style="122"/>
    <col min="10758" max="10758" width="12.140625" style="122" customWidth="1"/>
    <col min="10759" max="10759" width="12.42578125" style="122" customWidth="1"/>
    <col min="10760" max="10760" width="19.5703125" style="122" customWidth="1"/>
    <col min="10761" max="10761" width="15.85546875" style="122" customWidth="1"/>
    <col min="10762" max="10762" width="17.28515625" style="122" customWidth="1"/>
    <col min="10763" max="10764" width="11.42578125" style="122"/>
    <col min="10765" max="10765" width="15.85546875" style="122" customWidth="1"/>
    <col min="10766" max="11008" width="11.42578125" style="122"/>
    <col min="11009" max="11009" width="45.140625" style="122" customWidth="1"/>
    <col min="11010" max="11010" width="16.7109375" style="122" customWidth="1"/>
    <col min="11011" max="11011" width="17" style="122" customWidth="1"/>
    <col min="11012" max="11013" width="11.42578125" style="122"/>
    <col min="11014" max="11014" width="12.140625" style="122" customWidth="1"/>
    <col min="11015" max="11015" width="12.42578125" style="122" customWidth="1"/>
    <col min="11016" max="11016" width="19.5703125" style="122" customWidth="1"/>
    <col min="11017" max="11017" width="15.85546875" style="122" customWidth="1"/>
    <col min="11018" max="11018" width="17.28515625" style="122" customWidth="1"/>
    <col min="11019" max="11020" width="11.42578125" style="122"/>
    <col min="11021" max="11021" width="15.85546875" style="122" customWidth="1"/>
    <col min="11022" max="11264" width="11.42578125" style="122"/>
    <col min="11265" max="11265" width="45.140625" style="122" customWidth="1"/>
    <col min="11266" max="11266" width="16.7109375" style="122" customWidth="1"/>
    <col min="11267" max="11267" width="17" style="122" customWidth="1"/>
    <col min="11268" max="11269" width="11.42578125" style="122"/>
    <col min="11270" max="11270" width="12.140625" style="122" customWidth="1"/>
    <col min="11271" max="11271" width="12.42578125" style="122" customWidth="1"/>
    <col min="11272" max="11272" width="19.5703125" style="122" customWidth="1"/>
    <col min="11273" max="11273" width="15.85546875" style="122" customWidth="1"/>
    <col min="11274" max="11274" width="17.28515625" style="122" customWidth="1"/>
    <col min="11275" max="11276" width="11.42578125" style="122"/>
    <col min="11277" max="11277" width="15.85546875" style="122" customWidth="1"/>
    <col min="11278" max="11520" width="11.42578125" style="122"/>
    <col min="11521" max="11521" width="45.140625" style="122" customWidth="1"/>
    <col min="11522" max="11522" width="16.7109375" style="122" customWidth="1"/>
    <col min="11523" max="11523" width="17" style="122" customWidth="1"/>
    <col min="11524" max="11525" width="11.42578125" style="122"/>
    <col min="11526" max="11526" width="12.140625" style="122" customWidth="1"/>
    <col min="11527" max="11527" width="12.42578125" style="122" customWidth="1"/>
    <col min="11528" max="11528" width="19.5703125" style="122" customWidth="1"/>
    <col min="11529" max="11529" width="15.85546875" style="122" customWidth="1"/>
    <col min="11530" max="11530" width="17.28515625" style="122" customWidth="1"/>
    <col min="11531" max="11532" width="11.42578125" style="122"/>
    <col min="11533" max="11533" width="15.85546875" style="122" customWidth="1"/>
    <col min="11534" max="11776" width="11.42578125" style="122"/>
    <col min="11777" max="11777" width="45.140625" style="122" customWidth="1"/>
    <col min="11778" max="11778" width="16.7109375" style="122" customWidth="1"/>
    <col min="11779" max="11779" width="17" style="122" customWidth="1"/>
    <col min="11780" max="11781" width="11.42578125" style="122"/>
    <col min="11782" max="11782" width="12.140625" style="122" customWidth="1"/>
    <col min="11783" max="11783" width="12.42578125" style="122" customWidth="1"/>
    <col min="11784" max="11784" width="19.5703125" style="122" customWidth="1"/>
    <col min="11785" max="11785" width="15.85546875" style="122" customWidth="1"/>
    <col min="11786" max="11786" width="17.28515625" style="122" customWidth="1"/>
    <col min="11787" max="11788" width="11.42578125" style="122"/>
    <col min="11789" max="11789" width="15.85546875" style="122" customWidth="1"/>
    <col min="11790" max="12032" width="11.42578125" style="122"/>
    <col min="12033" max="12033" width="45.140625" style="122" customWidth="1"/>
    <col min="12034" max="12034" width="16.7109375" style="122" customWidth="1"/>
    <col min="12035" max="12035" width="17" style="122" customWidth="1"/>
    <col min="12036" max="12037" width="11.42578125" style="122"/>
    <col min="12038" max="12038" width="12.140625" style="122" customWidth="1"/>
    <col min="12039" max="12039" width="12.42578125" style="122" customWidth="1"/>
    <col min="12040" max="12040" width="19.5703125" style="122" customWidth="1"/>
    <col min="12041" max="12041" width="15.85546875" style="122" customWidth="1"/>
    <col min="12042" max="12042" width="17.28515625" style="122" customWidth="1"/>
    <col min="12043" max="12044" width="11.42578125" style="122"/>
    <col min="12045" max="12045" width="15.85546875" style="122" customWidth="1"/>
    <col min="12046" max="12288" width="11.42578125" style="122"/>
    <col min="12289" max="12289" width="45.140625" style="122" customWidth="1"/>
    <col min="12290" max="12290" width="16.7109375" style="122" customWidth="1"/>
    <col min="12291" max="12291" width="17" style="122" customWidth="1"/>
    <col min="12292" max="12293" width="11.42578125" style="122"/>
    <col min="12294" max="12294" width="12.140625" style="122" customWidth="1"/>
    <col min="12295" max="12295" width="12.42578125" style="122" customWidth="1"/>
    <col min="12296" max="12296" width="19.5703125" style="122" customWidth="1"/>
    <col min="12297" max="12297" width="15.85546875" style="122" customWidth="1"/>
    <col min="12298" max="12298" width="17.28515625" style="122" customWidth="1"/>
    <col min="12299" max="12300" width="11.42578125" style="122"/>
    <col min="12301" max="12301" width="15.85546875" style="122" customWidth="1"/>
    <col min="12302" max="12544" width="11.42578125" style="122"/>
    <col min="12545" max="12545" width="45.140625" style="122" customWidth="1"/>
    <col min="12546" max="12546" width="16.7109375" style="122" customWidth="1"/>
    <col min="12547" max="12547" width="17" style="122" customWidth="1"/>
    <col min="12548" max="12549" width="11.42578125" style="122"/>
    <col min="12550" max="12550" width="12.140625" style="122" customWidth="1"/>
    <col min="12551" max="12551" width="12.42578125" style="122" customWidth="1"/>
    <col min="12552" max="12552" width="19.5703125" style="122" customWidth="1"/>
    <col min="12553" max="12553" width="15.85546875" style="122" customWidth="1"/>
    <col min="12554" max="12554" width="17.28515625" style="122" customWidth="1"/>
    <col min="12555" max="12556" width="11.42578125" style="122"/>
    <col min="12557" max="12557" width="15.85546875" style="122" customWidth="1"/>
    <col min="12558" max="12800" width="11.42578125" style="122"/>
    <col min="12801" max="12801" width="45.140625" style="122" customWidth="1"/>
    <col min="12802" max="12802" width="16.7109375" style="122" customWidth="1"/>
    <col min="12803" max="12803" width="17" style="122" customWidth="1"/>
    <col min="12804" max="12805" width="11.42578125" style="122"/>
    <col min="12806" max="12806" width="12.140625" style="122" customWidth="1"/>
    <col min="12807" max="12807" width="12.42578125" style="122" customWidth="1"/>
    <col min="12808" max="12808" width="19.5703125" style="122" customWidth="1"/>
    <col min="12809" max="12809" width="15.85546875" style="122" customWidth="1"/>
    <col min="12810" max="12810" width="17.28515625" style="122" customWidth="1"/>
    <col min="12811" max="12812" width="11.42578125" style="122"/>
    <col min="12813" max="12813" width="15.85546875" style="122" customWidth="1"/>
    <col min="12814" max="13056" width="11.42578125" style="122"/>
    <col min="13057" max="13057" width="45.140625" style="122" customWidth="1"/>
    <col min="13058" max="13058" width="16.7109375" style="122" customWidth="1"/>
    <col min="13059" max="13059" width="17" style="122" customWidth="1"/>
    <col min="13060" max="13061" width="11.42578125" style="122"/>
    <col min="13062" max="13062" width="12.140625" style="122" customWidth="1"/>
    <col min="13063" max="13063" width="12.42578125" style="122" customWidth="1"/>
    <col min="13064" max="13064" width="19.5703125" style="122" customWidth="1"/>
    <col min="13065" max="13065" width="15.85546875" style="122" customWidth="1"/>
    <col min="13066" max="13066" width="17.28515625" style="122" customWidth="1"/>
    <col min="13067" max="13068" width="11.42578125" style="122"/>
    <col min="13069" max="13069" width="15.85546875" style="122" customWidth="1"/>
    <col min="13070" max="13312" width="11.42578125" style="122"/>
    <col min="13313" max="13313" width="45.140625" style="122" customWidth="1"/>
    <col min="13314" max="13314" width="16.7109375" style="122" customWidth="1"/>
    <col min="13315" max="13315" width="17" style="122" customWidth="1"/>
    <col min="13316" max="13317" width="11.42578125" style="122"/>
    <col min="13318" max="13318" width="12.140625" style="122" customWidth="1"/>
    <col min="13319" max="13319" width="12.42578125" style="122" customWidth="1"/>
    <col min="13320" max="13320" width="19.5703125" style="122" customWidth="1"/>
    <col min="13321" max="13321" width="15.85546875" style="122" customWidth="1"/>
    <col min="13322" max="13322" width="17.28515625" style="122" customWidth="1"/>
    <col min="13323" max="13324" width="11.42578125" style="122"/>
    <col min="13325" max="13325" width="15.85546875" style="122" customWidth="1"/>
    <col min="13326" max="13568" width="11.42578125" style="122"/>
    <col min="13569" max="13569" width="45.140625" style="122" customWidth="1"/>
    <col min="13570" max="13570" width="16.7109375" style="122" customWidth="1"/>
    <col min="13571" max="13571" width="17" style="122" customWidth="1"/>
    <col min="13572" max="13573" width="11.42578125" style="122"/>
    <col min="13574" max="13574" width="12.140625" style="122" customWidth="1"/>
    <col min="13575" max="13575" width="12.42578125" style="122" customWidth="1"/>
    <col min="13576" max="13576" width="19.5703125" style="122" customWidth="1"/>
    <col min="13577" max="13577" width="15.85546875" style="122" customWidth="1"/>
    <col min="13578" max="13578" width="17.28515625" style="122" customWidth="1"/>
    <col min="13579" max="13580" width="11.42578125" style="122"/>
    <col min="13581" max="13581" width="15.85546875" style="122" customWidth="1"/>
    <col min="13582" max="13824" width="11.42578125" style="122"/>
    <col min="13825" max="13825" width="45.140625" style="122" customWidth="1"/>
    <col min="13826" max="13826" width="16.7109375" style="122" customWidth="1"/>
    <col min="13827" max="13827" width="17" style="122" customWidth="1"/>
    <col min="13828" max="13829" width="11.42578125" style="122"/>
    <col min="13830" max="13830" width="12.140625" style="122" customWidth="1"/>
    <col min="13831" max="13831" width="12.42578125" style="122" customWidth="1"/>
    <col min="13832" max="13832" width="19.5703125" style="122" customWidth="1"/>
    <col min="13833" max="13833" width="15.85546875" style="122" customWidth="1"/>
    <col min="13834" max="13834" width="17.28515625" style="122" customWidth="1"/>
    <col min="13835" max="13836" width="11.42578125" style="122"/>
    <col min="13837" max="13837" width="15.85546875" style="122" customWidth="1"/>
    <col min="13838" max="14080" width="11.42578125" style="122"/>
    <col min="14081" max="14081" width="45.140625" style="122" customWidth="1"/>
    <col min="14082" max="14082" width="16.7109375" style="122" customWidth="1"/>
    <col min="14083" max="14083" width="17" style="122" customWidth="1"/>
    <col min="14084" max="14085" width="11.42578125" style="122"/>
    <col min="14086" max="14086" width="12.140625" style="122" customWidth="1"/>
    <col min="14087" max="14087" width="12.42578125" style="122" customWidth="1"/>
    <col min="14088" max="14088" width="19.5703125" style="122" customWidth="1"/>
    <col min="14089" max="14089" width="15.85546875" style="122" customWidth="1"/>
    <col min="14090" max="14090" width="17.28515625" style="122" customWidth="1"/>
    <col min="14091" max="14092" width="11.42578125" style="122"/>
    <col min="14093" max="14093" width="15.85546875" style="122" customWidth="1"/>
    <col min="14094" max="14336" width="11.42578125" style="122"/>
    <col min="14337" max="14337" width="45.140625" style="122" customWidth="1"/>
    <col min="14338" max="14338" width="16.7109375" style="122" customWidth="1"/>
    <col min="14339" max="14339" width="17" style="122" customWidth="1"/>
    <col min="14340" max="14341" width="11.42578125" style="122"/>
    <col min="14342" max="14342" width="12.140625" style="122" customWidth="1"/>
    <col min="14343" max="14343" width="12.42578125" style="122" customWidth="1"/>
    <col min="14344" max="14344" width="19.5703125" style="122" customWidth="1"/>
    <col min="14345" max="14345" width="15.85546875" style="122" customWidth="1"/>
    <col min="14346" max="14346" width="17.28515625" style="122" customWidth="1"/>
    <col min="14347" max="14348" width="11.42578125" style="122"/>
    <col min="14349" max="14349" width="15.85546875" style="122" customWidth="1"/>
    <col min="14350" max="14592" width="11.42578125" style="122"/>
    <col min="14593" max="14593" width="45.140625" style="122" customWidth="1"/>
    <col min="14594" max="14594" width="16.7109375" style="122" customWidth="1"/>
    <col min="14595" max="14595" width="17" style="122" customWidth="1"/>
    <col min="14596" max="14597" width="11.42578125" style="122"/>
    <col min="14598" max="14598" width="12.140625" style="122" customWidth="1"/>
    <col min="14599" max="14599" width="12.42578125" style="122" customWidth="1"/>
    <col min="14600" max="14600" width="19.5703125" style="122" customWidth="1"/>
    <col min="14601" max="14601" width="15.85546875" style="122" customWidth="1"/>
    <col min="14602" max="14602" width="17.28515625" style="122" customWidth="1"/>
    <col min="14603" max="14604" width="11.42578125" style="122"/>
    <col min="14605" max="14605" width="15.85546875" style="122" customWidth="1"/>
    <col min="14606" max="14848" width="11.42578125" style="122"/>
    <col min="14849" max="14849" width="45.140625" style="122" customWidth="1"/>
    <col min="14850" max="14850" width="16.7109375" style="122" customWidth="1"/>
    <col min="14851" max="14851" width="17" style="122" customWidth="1"/>
    <col min="14852" max="14853" width="11.42578125" style="122"/>
    <col min="14854" max="14854" width="12.140625" style="122" customWidth="1"/>
    <col min="14855" max="14855" width="12.42578125" style="122" customWidth="1"/>
    <col min="14856" max="14856" width="19.5703125" style="122" customWidth="1"/>
    <col min="14857" max="14857" width="15.85546875" style="122" customWidth="1"/>
    <col min="14858" max="14858" width="17.28515625" style="122" customWidth="1"/>
    <col min="14859" max="14860" width="11.42578125" style="122"/>
    <col min="14861" max="14861" width="15.85546875" style="122" customWidth="1"/>
    <col min="14862" max="15104" width="11.42578125" style="122"/>
    <col min="15105" max="15105" width="45.140625" style="122" customWidth="1"/>
    <col min="15106" max="15106" width="16.7109375" style="122" customWidth="1"/>
    <col min="15107" max="15107" width="17" style="122" customWidth="1"/>
    <col min="15108" max="15109" width="11.42578125" style="122"/>
    <col min="15110" max="15110" width="12.140625" style="122" customWidth="1"/>
    <col min="15111" max="15111" width="12.42578125" style="122" customWidth="1"/>
    <col min="15112" max="15112" width="19.5703125" style="122" customWidth="1"/>
    <col min="15113" max="15113" width="15.85546875" style="122" customWidth="1"/>
    <col min="15114" max="15114" width="17.28515625" style="122" customWidth="1"/>
    <col min="15115" max="15116" width="11.42578125" style="122"/>
    <col min="15117" max="15117" width="15.85546875" style="122" customWidth="1"/>
    <col min="15118" max="15360" width="11.42578125" style="122"/>
    <col min="15361" max="15361" width="45.140625" style="122" customWidth="1"/>
    <col min="15362" max="15362" width="16.7109375" style="122" customWidth="1"/>
    <col min="15363" max="15363" width="17" style="122" customWidth="1"/>
    <col min="15364" max="15365" width="11.42578125" style="122"/>
    <col min="15366" max="15366" width="12.140625" style="122" customWidth="1"/>
    <col min="15367" max="15367" width="12.42578125" style="122" customWidth="1"/>
    <col min="15368" max="15368" width="19.5703125" style="122" customWidth="1"/>
    <col min="15369" max="15369" width="15.85546875" style="122" customWidth="1"/>
    <col min="15370" max="15370" width="17.28515625" style="122" customWidth="1"/>
    <col min="15371" max="15372" width="11.42578125" style="122"/>
    <col min="15373" max="15373" width="15.85546875" style="122" customWidth="1"/>
    <col min="15374" max="15616" width="11.42578125" style="122"/>
    <col min="15617" max="15617" width="45.140625" style="122" customWidth="1"/>
    <col min="15618" max="15618" width="16.7109375" style="122" customWidth="1"/>
    <col min="15619" max="15619" width="17" style="122" customWidth="1"/>
    <col min="15620" max="15621" width="11.42578125" style="122"/>
    <col min="15622" max="15622" width="12.140625" style="122" customWidth="1"/>
    <col min="15623" max="15623" width="12.42578125" style="122" customWidth="1"/>
    <col min="15624" max="15624" width="19.5703125" style="122" customWidth="1"/>
    <col min="15625" max="15625" width="15.85546875" style="122" customWidth="1"/>
    <col min="15626" max="15626" width="17.28515625" style="122" customWidth="1"/>
    <col min="15627" max="15628" width="11.42578125" style="122"/>
    <col min="15629" max="15629" width="15.85546875" style="122" customWidth="1"/>
    <col min="15630" max="15872" width="11.42578125" style="122"/>
    <col min="15873" max="15873" width="45.140625" style="122" customWidth="1"/>
    <col min="15874" max="15874" width="16.7109375" style="122" customWidth="1"/>
    <col min="15875" max="15875" width="17" style="122" customWidth="1"/>
    <col min="15876" max="15877" width="11.42578125" style="122"/>
    <col min="15878" max="15878" width="12.140625" style="122" customWidth="1"/>
    <col min="15879" max="15879" width="12.42578125" style="122" customWidth="1"/>
    <col min="15880" max="15880" width="19.5703125" style="122" customWidth="1"/>
    <col min="15881" max="15881" width="15.85546875" style="122" customWidth="1"/>
    <col min="15882" max="15882" width="17.28515625" style="122" customWidth="1"/>
    <col min="15883" max="15884" width="11.42578125" style="122"/>
    <col min="15885" max="15885" width="15.85546875" style="122" customWidth="1"/>
    <col min="15886" max="16128" width="11.42578125" style="122"/>
    <col min="16129" max="16129" width="45.140625" style="122" customWidth="1"/>
    <col min="16130" max="16130" width="16.7109375" style="122" customWidth="1"/>
    <col min="16131" max="16131" width="17" style="122" customWidth="1"/>
    <col min="16132" max="16133" width="11.42578125" style="122"/>
    <col min="16134" max="16134" width="12.140625" style="122" customWidth="1"/>
    <col min="16135" max="16135" width="12.42578125" style="122" customWidth="1"/>
    <col min="16136" max="16136" width="19.5703125" style="122" customWidth="1"/>
    <col min="16137" max="16137" width="15.85546875" style="122" customWidth="1"/>
    <col min="16138" max="16138" width="17.28515625" style="122" customWidth="1"/>
    <col min="16139" max="16140" width="11.42578125" style="122"/>
    <col min="16141" max="16141" width="15.85546875" style="122" customWidth="1"/>
    <col min="16142" max="16384" width="11.42578125" style="122"/>
  </cols>
  <sheetData>
    <row r="1" spans="1:14" ht="28.5">
      <c r="A1" s="377" t="s">
        <v>237</v>
      </c>
      <c r="B1" s="378"/>
      <c r="C1" s="378"/>
      <c r="D1" s="378"/>
      <c r="E1" s="378"/>
      <c r="F1" s="379"/>
      <c r="G1" s="380" t="s">
        <v>238</v>
      </c>
      <c r="H1" s="381" t="s">
        <v>536</v>
      </c>
      <c r="I1" s="381"/>
      <c r="J1" s="380" t="s">
        <v>239</v>
      </c>
      <c r="K1" s="381">
        <v>2</v>
      </c>
      <c r="L1" s="380" t="s">
        <v>240</v>
      </c>
      <c r="M1" s="382">
        <v>42097</v>
      </c>
      <c r="N1" s="383"/>
    </row>
    <row r="2" spans="1:14" ht="25.5">
      <c r="A2" s="390" t="s">
        <v>537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</row>
    <row r="5" spans="1:14" ht="21">
      <c r="A5" s="384" t="s">
        <v>241</v>
      </c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76"/>
      <c r="M5" s="376"/>
      <c r="N5" s="376"/>
    </row>
    <row r="6" spans="1:14" ht="15" customHeight="1">
      <c r="A6" s="376"/>
      <c r="B6" s="376"/>
      <c r="C6" s="376"/>
      <c r="D6" s="376"/>
      <c r="E6" s="376"/>
      <c r="F6" s="376"/>
      <c r="G6" s="376"/>
      <c r="H6" s="376"/>
      <c r="I6" s="376"/>
      <c r="J6" s="376"/>
      <c r="K6" s="376"/>
      <c r="L6" s="376"/>
      <c r="M6" s="376"/>
      <c r="N6" s="376"/>
    </row>
    <row r="7" spans="1:14" ht="14.25" customHeight="1">
      <c r="A7" s="385" t="s">
        <v>242</v>
      </c>
      <c r="B7" s="387"/>
      <c r="C7" s="387"/>
      <c r="D7" s="387"/>
      <c r="E7" s="387"/>
      <c r="F7" s="387"/>
      <c r="G7" s="386"/>
      <c r="H7" s="387"/>
      <c r="I7" s="387"/>
      <c r="J7" s="387"/>
      <c r="K7" s="387"/>
      <c r="L7" s="376"/>
      <c r="M7" s="376"/>
      <c r="N7" s="376"/>
    </row>
    <row r="8" spans="1:14" ht="15" customHeight="1">
      <c r="A8" s="376"/>
      <c r="B8" s="376"/>
      <c r="C8" s="376"/>
      <c r="D8" s="376"/>
      <c r="E8" s="376"/>
      <c r="F8" s="376"/>
      <c r="G8" s="376"/>
      <c r="H8" s="376"/>
      <c r="I8" s="376"/>
      <c r="J8" s="376"/>
      <c r="K8" s="376"/>
      <c r="L8" s="376"/>
      <c r="M8" s="376"/>
      <c r="N8" s="376"/>
    </row>
    <row r="9" spans="1:14" ht="15" customHeight="1" thickBot="1">
      <c r="A9" s="376"/>
      <c r="B9" s="376"/>
      <c r="C9" s="376"/>
      <c r="D9" s="376"/>
      <c r="E9" s="376"/>
      <c r="F9" s="376"/>
      <c r="G9" s="376"/>
      <c r="H9" s="376"/>
      <c r="I9" s="376"/>
      <c r="J9" s="376"/>
      <c r="K9" s="376"/>
      <c r="L9" s="376"/>
      <c r="M9" s="376"/>
      <c r="N9" s="376"/>
    </row>
    <row r="10" spans="1:14" ht="15" customHeight="1">
      <c r="A10" s="376"/>
      <c r="B10" s="391" t="s">
        <v>40</v>
      </c>
      <c r="C10" s="392"/>
      <c r="D10" s="391" t="s">
        <v>51</v>
      </c>
      <c r="E10" s="392"/>
      <c r="F10" s="391" t="s">
        <v>243</v>
      </c>
      <c r="G10" s="392"/>
      <c r="H10" s="391" t="s">
        <v>54</v>
      </c>
      <c r="I10" s="392"/>
      <c r="J10" s="393" t="s">
        <v>244</v>
      </c>
      <c r="K10" s="394" t="s">
        <v>9</v>
      </c>
      <c r="L10" s="376"/>
      <c r="M10" s="376"/>
      <c r="N10" s="376"/>
    </row>
    <row r="11" spans="1:14" ht="15" customHeight="1" thickBot="1">
      <c r="A11" s="376"/>
      <c r="B11" s="395" t="s">
        <v>245</v>
      </c>
      <c r="C11" s="396" t="s">
        <v>246</v>
      </c>
      <c r="D11" s="395" t="s">
        <v>247</v>
      </c>
      <c r="E11" s="396" t="s">
        <v>248</v>
      </c>
      <c r="F11" s="395" t="s">
        <v>249</v>
      </c>
      <c r="G11" s="396" t="s">
        <v>250</v>
      </c>
      <c r="H11" s="395" t="s">
        <v>251</v>
      </c>
      <c r="I11" s="396" t="s">
        <v>252</v>
      </c>
      <c r="J11" s="397"/>
      <c r="K11" s="398"/>
      <c r="L11" s="376"/>
      <c r="M11" s="376"/>
      <c r="N11" s="376"/>
    </row>
    <row r="12" spans="1:14" ht="15" customHeight="1">
      <c r="A12" s="376"/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6"/>
      <c r="N12" s="376"/>
    </row>
    <row r="13" spans="1:14" ht="15" customHeight="1">
      <c r="A13" s="376"/>
      <c r="B13" s="399"/>
      <c r="C13" s="399"/>
      <c r="D13" s="399"/>
      <c r="E13" s="399"/>
      <c r="F13" s="400" t="s">
        <v>253</v>
      </c>
      <c r="G13" s="399"/>
      <c r="H13" s="399"/>
      <c r="I13" s="399"/>
      <c r="J13" s="399"/>
      <c r="K13" s="399"/>
      <c r="L13" s="376"/>
      <c r="M13" s="376"/>
      <c r="N13" s="376"/>
    </row>
    <row r="14" spans="1:14" ht="15" customHeight="1" thickBot="1">
      <c r="A14" s="376"/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6"/>
      <c r="N14" s="376"/>
    </row>
    <row r="15" spans="1:14" ht="15" customHeight="1">
      <c r="A15" s="401" t="s">
        <v>254</v>
      </c>
      <c r="B15" s="402">
        <v>0.11</v>
      </c>
      <c r="C15" s="403" t="s">
        <v>255</v>
      </c>
      <c r="D15" s="402">
        <v>0.9</v>
      </c>
      <c r="E15" s="403">
        <v>0.95</v>
      </c>
      <c r="F15" s="402">
        <v>0.63</v>
      </c>
      <c r="G15" s="403" t="s">
        <v>255</v>
      </c>
      <c r="H15" s="402" t="s">
        <v>256</v>
      </c>
      <c r="I15" s="403" t="s">
        <v>255</v>
      </c>
      <c r="J15" s="404">
        <v>17.18</v>
      </c>
      <c r="K15" s="405">
        <v>138.17000000000002</v>
      </c>
      <c r="L15" s="376"/>
      <c r="M15" s="376"/>
      <c r="N15" s="376"/>
    </row>
    <row r="16" spans="1:14" ht="15" customHeight="1">
      <c r="A16" s="406" t="s">
        <v>257</v>
      </c>
      <c r="B16" s="407">
        <v>10.9</v>
      </c>
      <c r="C16" s="408">
        <v>0.93</v>
      </c>
      <c r="D16" s="407">
        <v>64.12</v>
      </c>
      <c r="E16" s="408">
        <v>40.89</v>
      </c>
      <c r="F16" s="407">
        <v>41.9</v>
      </c>
      <c r="G16" s="408" t="s">
        <v>255</v>
      </c>
      <c r="H16" s="407">
        <v>1.67</v>
      </c>
      <c r="I16" s="408" t="s">
        <v>255</v>
      </c>
      <c r="J16" s="409">
        <v>0.36</v>
      </c>
      <c r="K16" s="410">
        <v>160.77000000000001</v>
      </c>
      <c r="L16" s="376"/>
      <c r="M16" s="376"/>
      <c r="N16" s="376"/>
    </row>
    <row r="17" spans="1:11" ht="15" customHeight="1">
      <c r="A17" s="406" t="s">
        <v>258</v>
      </c>
      <c r="B17" s="407">
        <v>-0.08</v>
      </c>
      <c r="C17" s="408">
        <v>-0.09</v>
      </c>
      <c r="D17" s="407" t="s">
        <v>255</v>
      </c>
      <c r="E17" s="408">
        <v>-23.02</v>
      </c>
      <c r="F17" s="407">
        <v>-2.54</v>
      </c>
      <c r="G17" s="408" t="s">
        <v>255</v>
      </c>
      <c r="H17" s="407">
        <v>-4.32</v>
      </c>
      <c r="I17" s="408" t="s">
        <v>255</v>
      </c>
      <c r="J17" s="409">
        <v>-0.2</v>
      </c>
      <c r="K17" s="410">
        <v>-30.25</v>
      </c>
    </row>
    <row r="18" spans="1:11" ht="15" customHeight="1">
      <c r="A18" s="411" t="s">
        <v>259</v>
      </c>
      <c r="B18" s="412">
        <v>10.82</v>
      </c>
      <c r="C18" s="413">
        <v>0.84000000000000008</v>
      </c>
      <c r="D18" s="412">
        <v>64.12</v>
      </c>
      <c r="E18" s="413">
        <v>17.87</v>
      </c>
      <c r="F18" s="412">
        <v>39.36</v>
      </c>
      <c r="G18" s="413" t="s">
        <v>255</v>
      </c>
      <c r="H18" s="412">
        <v>-2.6500000000000004</v>
      </c>
      <c r="I18" s="413" t="s">
        <v>255</v>
      </c>
      <c r="J18" s="414">
        <v>0.15999999999999998</v>
      </c>
      <c r="K18" s="415">
        <v>130.52000000000001</v>
      </c>
    </row>
    <row r="19" spans="1:11" ht="15" customHeight="1">
      <c r="A19" s="406" t="s">
        <v>260</v>
      </c>
      <c r="B19" s="407">
        <v>-0.22</v>
      </c>
      <c r="C19" s="408">
        <v>-0.04</v>
      </c>
      <c r="D19" s="407">
        <v>0.25</v>
      </c>
      <c r="E19" s="408">
        <v>0.3</v>
      </c>
      <c r="F19" s="407">
        <v>2.41</v>
      </c>
      <c r="G19" s="408" t="s">
        <v>255</v>
      </c>
      <c r="H19" s="407" t="s">
        <v>255</v>
      </c>
      <c r="I19" s="408" t="s">
        <v>255</v>
      </c>
      <c r="J19" s="409" t="s">
        <v>255</v>
      </c>
      <c r="K19" s="410">
        <v>2.7</v>
      </c>
    </row>
    <row r="20" spans="1:11" ht="15" customHeight="1" thickBot="1">
      <c r="A20" s="416" t="s">
        <v>261</v>
      </c>
      <c r="B20" s="417" t="s">
        <v>255</v>
      </c>
      <c r="C20" s="418" t="s">
        <v>255</v>
      </c>
      <c r="D20" s="417" t="s">
        <v>255</v>
      </c>
      <c r="E20" s="418">
        <v>-2.44</v>
      </c>
      <c r="F20" s="417" t="s">
        <v>255</v>
      </c>
      <c r="G20" s="418" t="s">
        <v>255</v>
      </c>
      <c r="H20" s="417" t="s">
        <v>255</v>
      </c>
      <c r="I20" s="418" t="s">
        <v>255</v>
      </c>
      <c r="J20" s="419" t="s">
        <v>255</v>
      </c>
      <c r="K20" s="420">
        <v>-2.44</v>
      </c>
    </row>
    <row r="21" spans="1:11" ht="15" customHeight="1" thickBot="1">
      <c r="A21" s="421" t="s">
        <v>262</v>
      </c>
      <c r="B21" s="422">
        <v>11.51</v>
      </c>
      <c r="C21" s="423" t="s">
        <v>255</v>
      </c>
      <c r="D21" s="424">
        <v>65.27000000000001</v>
      </c>
      <c r="E21" s="425">
        <v>16.680000000000003</v>
      </c>
      <c r="F21" s="424">
        <v>42.400000000000006</v>
      </c>
      <c r="G21" s="425" t="s">
        <v>255</v>
      </c>
      <c r="H21" s="424">
        <v>115.75</v>
      </c>
      <c r="I21" s="425" t="s">
        <v>255</v>
      </c>
      <c r="J21" s="426">
        <v>17.34</v>
      </c>
      <c r="K21" s="426">
        <v>268.95000000000005</v>
      </c>
    </row>
    <row r="22" spans="1:11" ht="15" customHeight="1" thickBot="1">
      <c r="A22" s="376"/>
      <c r="B22" s="427"/>
      <c r="C22" s="427"/>
      <c r="D22" s="427"/>
      <c r="E22" s="427"/>
      <c r="F22" s="427"/>
      <c r="G22" s="427"/>
      <c r="H22" s="427"/>
      <c r="I22" s="427"/>
      <c r="J22" s="427"/>
      <c r="K22" s="427"/>
    </row>
    <row r="23" spans="1:11" ht="15" customHeight="1" thickBot="1">
      <c r="A23" s="421" t="s">
        <v>263</v>
      </c>
      <c r="B23" s="428">
        <v>8.9999999999999993E-3</v>
      </c>
      <c r="C23" s="429" t="s">
        <v>255</v>
      </c>
      <c r="D23" s="428">
        <v>2.2574740695546061E-2</v>
      </c>
      <c r="E23" s="429" t="s">
        <v>255</v>
      </c>
      <c r="F23" s="428">
        <v>1.4858490566037734E-2</v>
      </c>
      <c r="G23" s="429" t="s">
        <v>255</v>
      </c>
      <c r="H23" s="428">
        <v>1.0228941684665227</v>
      </c>
      <c r="I23" s="429" t="s">
        <v>255</v>
      </c>
      <c r="J23" s="430">
        <v>0.99077277970011535</v>
      </c>
      <c r="K23" s="430">
        <v>0.51373861312511615</v>
      </c>
    </row>
    <row r="24" spans="1:11" ht="15" customHeight="1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</row>
    <row r="25" spans="1:11" ht="15" customHeight="1">
      <c r="A25" s="376"/>
      <c r="B25" s="399"/>
      <c r="C25" s="399"/>
      <c r="D25" s="399"/>
      <c r="E25" s="399"/>
      <c r="F25" s="400" t="s">
        <v>264</v>
      </c>
      <c r="G25" s="399"/>
      <c r="H25" s="399"/>
      <c r="I25" s="399"/>
      <c r="J25" s="399"/>
      <c r="K25" s="399"/>
    </row>
    <row r="26" spans="1:11" ht="15" customHeight="1">
      <c r="A26" s="376"/>
      <c r="B26" s="376"/>
      <c r="C26" s="376"/>
      <c r="D26" s="376"/>
      <c r="E26" s="376"/>
      <c r="F26" s="376"/>
      <c r="G26" s="376"/>
      <c r="H26" s="376"/>
      <c r="I26" s="376"/>
      <c r="J26" s="376"/>
      <c r="K26" s="376"/>
    </row>
    <row r="27" spans="1:11" ht="15" customHeight="1" thickBot="1">
      <c r="A27" s="389" t="s">
        <v>265</v>
      </c>
      <c r="B27" s="376"/>
      <c r="C27" s="376"/>
      <c r="D27" s="376"/>
      <c r="E27" s="376"/>
      <c r="F27" s="376"/>
      <c r="G27" s="376"/>
      <c r="H27" s="376"/>
      <c r="I27" s="376"/>
      <c r="J27" s="376"/>
      <c r="K27" s="376"/>
    </row>
    <row r="28" spans="1:11" ht="15" customHeight="1">
      <c r="A28" s="401" t="s">
        <v>266</v>
      </c>
      <c r="B28" s="402" t="s">
        <v>255</v>
      </c>
      <c r="C28" s="403" t="s">
        <v>255</v>
      </c>
      <c r="D28" s="402">
        <v>64.59</v>
      </c>
      <c r="E28" s="403">
        <v>-60.18</v>
      </c>
      <c r="F28" s="402">
        <v>0.64</v>
      </c>
      <c r="G28" s="403" t="s">
        <v>255</v>
      </c>
      <c r="H28" s="402">
        <v>-0.11</v>
      </c>
      <c r="I28" s="403">
        <v>0.28999999999999998</v>
      </c>
      <c r="J28" s="404" t="s">
        <v>255</v>
      </c>
      <c r="K28" s="405">
        <v>5.2300000000000031</v>
      </c>
    </row>
    <row r="29" spans="1:11" ht="15" customHeight="1">
      <c r="A29" s="406" t="s">
        <v>267</v>
      </c>
      <c r="B29" s="407">
        <v>4.6500000000000004</v>
      </c>
      <c r="C29" s="408" t="s">
        <v>255</v>
      </c>
      <c r="D29" s="407" t="s">
        <v>255</v>
      </c>
      <c r="E29" s="408">
        <v>1.42</v>
      </c>
      <c r="F29" s="407">
        <v>3.81</v>
      </c>
      <c r="G29" s="408">
        <v>0.59</v>
      </c>
      <c r="H29" s="407">
        <v>-5.29</v>
      </c>
      <c r="I29" s="408" t="s">
        <v>255</v>
      </c>
      <c r="J29" s="409">
        <v>1.98</v>
      </c>
      <c r="K29" s="410">
        <v>7.16</v>
      </c>
    </row>
    <row r="30" spans="1:11" ht="15" customHeight="1">
      <c r="A30" s="406" t="s">
        <v>268</v>
      </c>
      <c r="B30" s="407">
        <v>2.69</v>
      </c>
      <c r="C30" s="408">
        <v>-2.16</v>
      </c>
      <c r="D30" s="407" t="s">
        <v>255</v>
      </c>
      <c r="E30" s="408" t="s">
        <v>255</v>
      </c>
      <c r="F30" s="407">
        <v>0.52</v>
      </c>
      <c r="G30" s="408">
        <v>-0.22</v>
      </c>
      <c r="H30" s="407" t="s">
        <v>255</v>
      </c>
      <c r="I30" s="408" t="s">
        <v>269</v>
      </c>
      <c r="J30" s="409">
        <v>0.47</v>
      </c>
      <c r="K30" s="410">
        <v>5.97</v>
      </c>
    </row>
    <row r="31" spans="1:11" ht="15" customHeight="1" thickBot="1">
      <c r="A31" s="416" t="s">
        <v>270</v>
      </c>
      <c r="B31" s="417">
        <v>0.54</v>
      </c>
      <c r="C31" s="418">
        <v>0.04</v>
      </c>
      <c r="D31" s="431">
        <v>0.68</v>
      </c>
      <c r="E31" s="432">
        <v>-1.66</v>
      </c>
      <c r="F31" s="417">
        <v>1.06</v>
      </c>
      <c r="G31" s="418">
        <v>0.03</v>
      </c>
      <c r="H31" s="417" t="s">
        <v>255</v>
      </c>
      <c r="I31" s="418">
        <v>77.569999999999993</v>
      </c>
      <c r="J31" s="419">
        <v>0.26</v>
      </c>
      <c r="K31" s="420">
        <v>78.52</v>
      </c>
    </row>
    <row r="32" spans="1:11" ht="15" customHeight="1" thickBot="1">
      <c r="A32" s="421" t="s">
        <v>271</v>
      </c>
      <c r="B32" s="424">
        <v>7.88</v>
      </c>
      <c r="C32" s="425">
        <v>-2.12</v>
      </c>
      <c r="D32" s="424">
        <v>65.27000000000001</v>
      </c>
      <c r="E32" s="425">
        <v>-60.419999999999995</v>
      </c>
      <c r="F32" s="424">
        <v>6.0300000000000011</v>
      </c>
      <c r="G32" s="433">
        <v>0.4</v>
      </c>
      <c r="H32" s="434">
        <v>-5.4</v>
      </c>
      <c r="I32" s="425">
        <v>82.53</v>
      </c>
      <c r="J32" s="426">
        <v>2.71</v>
      </c>
      <c r="K32" s="426">
        <v>96.88000000000001</v>
      </c>
    </row>
    <row r="33" spans="1:11" ht="15" customHeight="1">
      <c r="A33" s="376"/>
      <c r="B33" s="376"/>
      <c r="C33" s="376"/>
      <c r="D33" s="376"/>
      <c r="E33" s="376"/>
      <c r="F33" s="376"/>
      <c r="G33" s="376"/>
      <c r="H33" s="376"/>
      <c r="I33" s="376"/>
      <c r="J33" s="376"/>
      <c r="K33" s="376"/>
    </row>
    <row r="34" spans="1:11" ht="15" customHeight="1">
      <c r="A34" s="389" t="s">
        <v>272</v>
      </c>
      <c r="B34" s="376"/>
      <c r="C34" s="376"/>
      <c r="D34" s="376"/>
      <c r="E34" s="376"/>
      <c r="F34" s="376"/>
      <c r="G34" s="376"/>
      <c r="H34" s="376"/>
      <c r="I34" s="376"/>
      <c r="J34" s="376"/>
      <c r="K34" s="376"/>
    </row>
    <row r="35" spans="1:11" ht="15" customHeight="1">
      <c r="A35" s="435" t="s">
        <v>59</v>
      </c>
      <c r="B35" s="436">
        <v>5.34</v>
      </c>
      <c r="C35" s="437"/>
      <c r="D35" s="436"/>
      <c r="E35" s="437">
        <v>5.05</v>
      </c>
      <c r="F35" s="436">
        <v>11.09</v>
      </c>
      <c r="G35" s="437" t="s">
        <v>538</v>
      </c>
      <c r="H35" s="436"/>
      <c r="I35" s="437">
        <v>10.4</v>
      </c>
      <c r="J35" s="438">
        <v>1.84</v>
      </c>
      <c r="K35" s="439">
        <v>33.320000000000007</v>
      </c>
    </row>
    <row r="36" spans="1:11" ht="15" customHeight="1">
      <c r="A36" s="435" t="s">
        <v>61</v>
      </c>
      <c r="B36" s="436">
        <v>0.21</v>
      </c>
      <c r="C36" s="437"/>
      <c r="D36" s="436"/>
      <c r="E36" s="437">
        <v>7.1</v>
      </c>
      <c r="F36" s="436">
        <v>15.8</v>
      </c>
      <c r="G36" s="437"/>
      <c r="H36" s="436"/>
      <c r="I36" s="437">
        <v>13.9</v>
      </c>
      <c r="J36" s="438">
        <v>8.3800000000000008</v>
      </c>
      <c r="K36" s="439">
        <v>45.39</v>
      </c>
    </row>
    <row r="37" spans="1:11" ht="15" customHeight="1">
      <c r="A37" s="435" t="s">
        <v>56</v>
      </c>
      <c r="B37" s="436">
        <v>0.12</v>
      </c>
      <c r="C37" s="437"/>
      <c r="D37" s="436"/>
      <c r="E37" s="437">
        <v>3.88</v>
      </c>
      <c r="F37" s="436">
        <v>5.61</v>
      </c>
      <c r="G37" s="437"/>
      <c r="H37" s="436"/>
      <c r="I37" s="437">
        <v>12.09</v>
      </c>
      <c r="J37" s="438">
        <v>0.72</v>
      </c>
      <c r="K37" s="439">
        <v>22.419999999999998</v>
      </c>
    </row>
    <row r="38" spans="1:11" ht="15" customHeight="1">
      <c r="A38" s="435" t="s">
        <v>58</v>
      </c>
      <c r="B38" s="436">
        <v>0</v>
      </c>
      <c r="C38" s="437"/>
      <c r="D38" s="436"/>
      <c r="E38" s="437">
        <v>3.44</v>
      </c>
      <c r="F38" s="436">
        <v>0.23</v>
      </c>
      <c r="G38" s="437"/>
      <c r="H38" s="436"/>
      <c r="I38" s="437">
        <v>0.66</v>
      </c>
      <c r="J38" s="438">
        <v>0.05</v>
      </c>
      <c r="K38" s="439">
        <v>4.38</v>
      </c>
    </row>
    <row r="39" spans="1:11" ht="15" customHeight="1" thickBot="1">
      <c r="A39" s="440" t="s">
        <v>57</v>
      </c>
      <c r="B39" s="436"/>
      <c r="C39" s="432"/>
      <c r="D39" s="431"/>
      <c r="E39" s="437">
        <v>45.85</v>
      </c>
      <c r="F39" s="436">
        <v>0.09</v>
      </c>
      <c r="G39" s="432"/>
      <c r="H39" s="436"/>
      <c r="I39" s="437">
        <v>1.05</v>
      </c>
      <c r="J39" s="438">
        <v>2.42</v>
      </c>
      <c r="K39" s="439">
        <v>49.410000000000004</v>
      </c>
    </row>
    <row r="40" spans="1:11" ht="15" customHeight="1" thickBot="1">
      <c r="A40" s="441" t="s">
        <v>273</v>
      </c>
      <c r="B40" s="434">
        <v>5.67</v>
      </c>
      <c r="C40" s="433">
        <v>0</v>
      </c>
      <c r="D40" s="434"/>
      <c r="E40" s="433">
        <v>65.319999999999993</v>
      </c>
      <c r="F40" s="434">
        <v>32.82</v>
      </c>
      <c r="G40" s="433">
        <v>-0.40000000000000013</v>
      </c>
      <c r="H40" s="434"/>
      <c r="I40" s="433">
        <v>38.099999999999994</v>
      </c>
      <c r="J40" s="442">
        <v>13.410000000000002</v>
      </c>
      <c r="K40" s="443">
        <v>154.91999999999999</v>
      </c>
    </row>
    <row r="41" spans="1:11" ht="15" customHeight="1">
      <c r="A41" s="376"/>
      <c r="B41" s="376"/>
      <c r="C41" s="376"/>
      <c r="D41" s="376"/>
      <c r="E41" s="376"/>
      <c r="F41" s="376"/>
      <c r="G41" s="376"/>
      <c r="H41" s="376"/>
      <c r="I41" s="376"/>
      <c r="J41" s="376"/>
      <c r="K41" s="376"/>
    </row>
    <row r="42" spans="1:11" ht="15" customHeight="1" thickBot="1">
      <c r="A42" s="389" t="s">
        <v>274</v>
      </c>
      <c r="B42" s="376"/>
      <c r="C42" s="376"/>
      <c r="D42" s="376"/>
      <c r="E42" s="376"/>
      <c r="F42" s="376"/>
      <c r="G42" s="376"/>
      <c r="H42" s="376"/>
      <c r="I42" s="376"/>
      <c r="J42" s="376"/>
      <c r="K42" s="376"/>
    </row>
    <row r="43" spans="1:11" ht="15" customHeight="1" thickBot="1">
      <c r="A43" s="441" t="s">
        <v>275</v>
      </c>
      <c r="B43" s="424"/>
      <c r="C43" s="425">
        <v>0.06</v>
      </c>
      <c r="D43" s="424"/>
      <c r="E43" s="425">
        <v>10.79</v>
      </c>
      <c r="F43" s="424">
        <v>1.33</v>
      </c>
      <c r="G43" s="425"/>
      <c r="H43" s="424"/>
      <c r="I43" s="425"/>
      <c r="J43" s="426"/>
      <c r="K43" s="444">
        <v>12.18</v>
      </c>
    </row>
    <row r="44" spans="1:11" ht="15" customHeight="1">
      <c r="A44" s="376"/>
      <c r="B44" s="376"/>
      <c r="C44" s="376"/>
      <c r="D44" s="376"/>
      <c r="E44" s="376"/>
      <c r="F44" s="376"/>
      <c r="G44" s="376"/>
      <c r="H44" s="376"/>
      <c r="I44" s="376"/>
      <c r="J44" s="376"/>
      <c r="K44" s="376"/>
    </row>
    <row r="45" spans="1:11" ht="15" customHeight="1" thickBot="1">
      <c r="A45" s="389" t="s">
        <v>276</v>
      </c>
      <c r="B45" s="376"/>
      <c r="C45" s="376"/>
      <c r="D45" s="376"/>
      <c r="E45" s="376"/>
      <c r="F45" s="376"/>
      <c r="G45" s="376"/>
      <c r="H45" s="376"/>
      <c r="I45" s="376"/>
      <c r="J45" s="376"/>
      <c r="K45" s="376"/>
    </row>
    <row r="46" spans="1:11" ht="15" customHeight="1" thickBot="1">
      <c r="A46" s="441" t="s">
        <v>277</v>
      </c>
      <c r="B46" s="422">
        <v>11.49</v>
      </c>
      <c r="C46" s="423"/>
      <c r="D46" s="445">
        <v>80.960000000000008</v>
      </c>
      <c r="E46" s="446"/>
      <c r="F46" s="445">
        <v>40.18</v>
      </c>
      <c r="G46" s="423"/>
      <c r="H46" s="422">
        <v>115.22999999999999</v>
      </c>
      <c r="I46" s="423"/>
      <c r="J46" s="426">
        <v>16.12</v>
      </c>
      <c r="K46" s="444">
        <v>263.98</v>
      </c>
    </row>
    <row r="47" spans="1:11" ht="15" customHeight="1" thickBot="1">
      <c r="A47" s="447" t="s">
        <v>278</v>
      </c>
      <c r="B47" s="448"/>
      <c r="C47" s="449"/>
      <c r="D47" s="448"/>
      <c r="E47" s="449"/>
      <c r="F47" s="448"/>
      <c r="G47" s="449"/>
      <c r="H47" s="448"/>
      <c r="I47" s="449"/>
      <c r="J47" s="450"/>
      <c r="K47" s="451"/>
    </row>
    <row r="48" spans="1:11" ht="15" customHeight="1">
      <c r="A48" s="376"/>
      <c r="B48" s="376"/>
      <c r="C48" s="376"/>
      <c r="D48" s="376"/>
      <c r="E48" s="376"/>
      <c r="F48" s="376"/>
      <c r="G48" s="376"/>
      <c r="H48" s="376"/>
      <c r="I48" s="376"/>
      <c r="J48" s="376"/>
      <c r="K48" s="376"/>
    </row>
    <row r="49" spans="1:11" ht="15" customHeight="1">
      <c r="A49" s="376"/>
      <c r="B49" s="376"/>
      <c r="C49" s="376"/>
      <c r="D49" s="376"/>
      <c r="E49" s="376"/>
      <c r="F49" s="376"/>
      <c r="G49" s="376"/>
      <c r="H49" s="376"/>
      <c r="I49" s="376"/>
      <c r="J49" s="376"/>
      <c r="K49" s="376"/>
    </row>
    <row r="50" spans="1:11" ht="15.75">
      <c r="A50" s="385" t="s">
        <v>279</v>
      </c>
      <c r="B50" s="387"/>
      <c r="C50" s="387"/>
      <c r="D50" s="387"/>
      <c r="E50" s="387"/>
      <c r="F50" s="387"/>
      <c r="G50" s="386"/>
      <c r="H50" s="387"/>
      <c r="I50" s="387"/>
      <c r="J50" s="387"/>
      <c r="K50" s="387"/>
    </row>
    <row r="52" spans="1:11" ht="15.75" thickBot="1">
      <c r="A52" s="376"/>
      <c r="B52" s="376"/>
      <c r="C52" s="376"/>
      <c r="D52" s="376"/>
      <c r="E52" s="376"/>
      <c r="F52" s="376"/>
      <c r="G52" s="376"/>
      <c r="H52" s="376"/>
      <c r="I52" s="376"/>
      <c r="J52" s="376"/>
      <c r="K52" s="376"/>
    </row>
    <row r="53" spans="1:11" ht="15">
      <c r="A53" s="376"/>
      <c r="B53" s="391" t="s">
        <v>40</v>
      </c>
      <c r="C53" s="392"/>
      <c r="D53" s="391" t="s">
        <v>51</v>
      </c>
      <c r="E53" s="392"/>
      <c r="F53" s="391" t="s">
        <v>243</v>
      </c>
      <c r="G53" s="392"/>
      <c r="H53" s="391" t="s">
        <v>54</v>
      </c>
      <c r="I53" s="392"/>
      <c r="J53" s="393" t="s">
        <v>244</v>
      </c>
      <c r="K53" s="394" t="s">
        <v>9</v>
      </c>
    </row>
    <row r="54" spans="1:11" ht="15.75" thickBot="1">
      <c r="A54" s="376"/>
      <c r="B54" s="395" t="s">
        <v>245</v>
      </c>
      <c r="C54" s="396" t="s">
        <v>246</v>
      </c>
      <c r="D54" s="395" t="s">
        <v>247</v>
      </c>
      <c r="E54" s="396" t="s">
        <v>248</v>
      </c>
      <c r="F54" s="395" t="s">
        <v>249</v>
      </c>
      <c r="G54" s="396" t="s">
        <v>250</v>
      </c>
      <c r="H54" s="395" t="s">
        <v>251</v>
      </c>
      <c r="I54" s="396" t="s">
        <v>252</v>
      </c>
      <c r="J54" s="397"/>
      <c r="K54" s="398"/>
    </row>
    <row r="56" spans="1:11" ht="15">
      <c r="A56" s="376"/>
      <c r="B56" s="399"/>
      <c r="C56" s="399"/>
      <c r="D56" s="399"/>
      <c r="E56" s="399"/>
      <c r="F56" s="400" t="s">
        <v>253</v>
      </c>
      <c r="G56" s="399"/>
      <c r="H56" s="399"/>
      <c r="I56" s="399"/>
      <c r="J56" s="399"/>
      <c r="K56" s="399"/>
    </row>
    <row r="57" spans="1:11" ht="15.75" thickBot="1">
      <c r="A57" s="376"/>
      <c r="B57" s="376"/>
      <c r="C57" s="376"/>
      <c r="D57" s="376"/>
      <c r="E57" s="376"/>
      <c r="F57" s="376"/>
      <c r="G57" s="376"/>
      <c r="H57" s="376"/>
      <c r="I57" s="376"/>
      <c r="J57" s="376"/>
      <c r="K57" s="376"/>
    </row>
    <row r="58" spans="1:11" ht="15">
      <c r="A58" s="401" t="s">
        <v>254</v>
      </c>
      <c r="B58" s="452">
        <v>0.10709648149996141</v>
      </c>
      <c r="C58" s="403"/>
      <c r="D58" s="453">
        <v>0.9</v>
      </c>
      <c r="E58" s="454">
        <v>0.95</v>
      </c>
      <c r="F58" s="452">
        <v>0.53209844970703124</v>
      </c>
      <c r="G58" s="403"/>
      <c r="H58" s="402" t="s">
        <v>539</v>
      </c>
      <c r="I58" s="403"/>
      <c r="J58" s="455">
        <v>18.835158203125001</v>
      </c>
      <c r="K58" s="456">
        <v>122.61919493120699</v>
      </c>
    </row>
    <row r="59" spans="1:11" ht="15">
      <c r="A59" s="406" t="s">
        <v>257</v>
      </c>
      <c r="B59" s="457"/>
      <c r="C59" s="458"/>
      <c r="D59" s="457"/>
      <c r="E59" s="458"/>
      <c r="F59" s="457"/>
      <c r="G59" s="458"/>
      <c r="H59" s="457"/>
      <c r="I59" s="458"/>
      <c r="J59" s="459"/>
      <c r="K59" s="460"/>
    </row>
    <row r="60" spans="1:11" ht="15">
      <c r="A60" s="406" t="s">
        <v>258</v>
      </c>
      <c r="B60" s="457"/>
      <c r="C60" s="458"/>
      <c r="D60" s="457"/>
      <c r="E60" s="458"/>
      <c r="F60" s="457"/>
      <c r="G60" s="458"/>
      <c r="H60" s="457"/>
      <c r="I60" s="458"/>
      <c r="J60" s="459"/>
      <c r="K60" s="460"/>
    </row>
    <row r="61" spans="1:11" ht="15">
      <c r="A61" s="411" t="s">
        <v>259</v>
      </c>
      <c r="B61" s="461">
        <v>12.356658203125001</v>
      </c>
      <c r="C61" s="462"/>
      <c r="D61" s="463">
        <v>-0.58980123616097901</v>
      </c>
      <c r="E61" s="464"/>
      <c r="F61" s="463">
        <v>36.919542968750001</v>
      </c>
      <c r="G61" s="413"/>
      <c r="H61" s="463">
        <v>-3.7046943359375004</v>
      </c>
      <c r="I61" s="413"/>
      <c r="J61" s="465">
        <v>0.95725689697265626</v>
      </c>
      <c r="K61" s="466">
        <v>44.981705599776518</v>
      </c>
    </row>
    <row r="62" spans="1:11" ht="15">
      <c r="A62" s="406" t="s">
        <v>260</v>
      </c>
      <c r="B62" s="457"/>
      <c r="C62" s="458"/>
      <c r="D62" s="457"/>
      <c r="E62" s="458"/>
      <c r="F62" s="457"/>
      <c r="G62" s="458"/>
      <c r="H62" s="457"/>
      <c r="I62" s="458"/>
      <c r="J62" s="459"/>
      <c r="K62" s="460"/>
    </row>
    <row r="63" spans="1:11" ht="15.75" thickBot="1">
      <c r="A63" s="416" t="s">
        <v>261</v>
      </c>
      <c r="B63" s="417"/>
      <c r="C63" s="418"/>
      <c r="D63" s="417"/>
      <c r="E63" s="467">
        <v>-2.11</v>
      </c>
      <c r="F63" s="417"/>
      <c r="G63" s="418"/>
      <c r="H63" s="417"/>
      <c r="I63" s="418"/>
      <c r="J63" s="419"/>
      <c r="K63" s="420"/>
    </row>
    <row r="64" spans="1:11" ht="15.75" thickBot="1">
      <c r="A64" s="421" t="s">
        <v>262</v>
      </c>
      <c r="B64" s="445">
        <v>12.463754684624963</v>
      </c>
      <c r="C64" s="446"/>
      <c r="D64" s="434">
        <v>0.31019876383902101</v>
      </c>
      <c r="E64" s="425">
        <v>-1.1599999999999999</v>
      </c>
      <c r="F64" s="434">
        <v>37.451641418457029</v>
      </c>
      <c r="G64" s="425"/>
      <c r="H64" s="434">
        <v>116.42530566406249</v>
      </c>
      <c r="I64" s="425"/>
      <c r="J64" s="442">
        <v>19.792415100097656</v>
      </c>
      <c r="K64" s="442">
        <v>185.28331563108117</v>
      </c>
    </row>
    <row r="65" spans="1:15" ht="15.75" thickBot="1">
      <c r="A65" s="376"/>
      <c r="B65" s="427"/>
      <c r="C65" s="427"/>
      <c r="D65" s="427"/>
      <c r="E65" s="427"/>
      <c r="F65" s="427"/>
      <c r="G65" s="427"/>
      <c r="H65" s="427"/>
      <c r="I65" s="427"/>
      <c r="J65" s="427"/>
      <c r="K65" s="427"/>
      <c r="L65" s="376"/>
      <c r="M65" s="376"/>
      <c r="N65" s="376"/>
      <c r="O65" s="376"/>
    </row>
    <row r="66" spans="1:15" ht="15.75" thickBot="1">
      <c r="A66" s="421" t="s">
        <v>263</v>
      </c>
      <c r="B66" s="428">
        <v>8.5926339381561714E-3</v>
      </c>
      <c r="C66" s="429"/>
      <c r="D66" s="428"/>
      <c r="E66" s="429"/>
      <c r="F66" s="428">
        <v>1.4207613593266994E-2</v>
      </c>
      <c r="G66" s="468"/>
      <c r="H66" s="428">
        <v>1.0318203530994126</v>
      </c>
      <c r="I66" s="429"/>
      <c r="J66" s="430">
        <v>0.95163516467639508</v>
      </c>
      <c r="K66" s="430"/>
      <c r="L66" s="376"/>
      <c r="M66" s="376"/>
      <c r="N66" s="376"/>
      <c r="O66" s="376"/>
    </row>
    <row r="68" spans="1:15" ht="15">
      <c r="A68" s="376"/>
      <c r="B68" s="399"/>
      <c r="C68" s="399"/>
      <c r="D68" s="399"/>
      <c r="E68" s="399"/>
      <c r="F68" s="400" t="s">
        <v>264</v>
      </c>
      <c r="G68" s="399"/>
      <c r="H68" s="399"/>
      <c r="I68" s="399"/>
      <c r="J68" s="399"/>
      <c r="K68" s="399"/>
      <c r="L68" s="376"/>
      <c r="M68" s="376"/>
      <c r="N68" s="376"/>
      <c r="O68" s="376"/>
    </row>
    <row r="70" spans="1:15" ht="15.75" thickBot="1">
      <c r="A70" s="389" t="s">
        <v>265</v>
      </c>
      <c r="B70" s="376"/>
      <c r="C70" s="376"/>
      <c r="D70" s="376"/>
      <c r="E70" s="376"/>
      <c r="F70" s="376"/>
      <c r="G70" s="376"/>
      <c r="H70" s="376"/>
      <c r="I70" s="376"/>
      <c r="J70" s="376"/>
      <c r="K70" s="376"/>
      <c r="L70" s="376"/>
      <c r="M70" s="376"/>
      <c r="N70" s="376"/>
      <c r="O70" s="376"/>
    </row>
    <row r="71" spans="1:15" ht="15">
      <c r="A71" s="401" t="s">
        <v>266</v>
      </c>
      <c r="B71" s="402"/>
      <c r="C71" s="403"/>
      <c r="D71" s="469"/>
      <c r="E71" s="470"/>
      <c r="F71" s="469"/>
      <c r="G71" s="403"/>
      <c r="H71" s="469"/>
      <c r="I71" s="470"/>
      <c r="J71" s="404"/>
      <c r="K71" s="456">
        <v>0</v>
      </c>
      <c r="L71" s="376"/>
      <c r="M71" s="376"/>
      <c r="N71" s="376"/>
      <c r="O71" s="376"/>
    </row>
    <row r="72" spans="1:15" ht="15">
      <c r="A72" s="406" t="s">
        <v>267</v>
      </c>
      <c r="B72" s="436">
        <v>4.7283140366687171</v>
      </c>
      <c r="C72" s="408"/>
      <c r="D72" s="436">
        <v>0.31019876383902106</v>
      </c>
      <c r="E72" s="408"/>
      <c r="F72" s="436">
        <v>1.4003621683663547</v>
      </c>
      <c r="G72" s="408"/>
      <c r="H72" s="436">
        <v>-4.2009848364257811</v>
      </c>
      <c r="I72" s="408"/>
      <c r="J72" s="438">
        <v>2.277921246772463</v>
      </c>
      <c r="K72" s="471">
        <v>4.515811379220775</v>
      </c>
      <c r="L72" s="376"/>
      <c r="M72" s="376"/>
      <c r="N72" s="376"/>
      <c r="O72" s="376"/>
    </row>
    <row r="73" spans="1:15" ht="15">
      <c r="A73" s="406" t="s">
        <v>268</v>
      </c>
      <c r="B73" s="436">
        <v>0.31530014038085935</v>
      </c>
      <c r="C73" s="408"/>
      <c r="D73" s="407"/>
      <c r="E73" s="408"/>
      <c r="F73" s="472">
        <v>0.30000000000000004</v>
      </c>
      <c r="G73" s="408"/>
      <c r="H73" s="407"/>
      <c r="I73" s="437">
        <v>5.5629765156249995</v>
      </c>
      <c r="J73" s="473">
        <v>0.47</v>
      </c>
      <c r="K73" s="471">
        <v>6.6482766560058586</v>
      </c>
      <c r="L73" s="376"/>
      <c r="M73" s="376"/>
      <c r="N73" s="376"/>
      <c r="O73" s="376"/>
    </row>
    <row r="74" spans="1:15" ht="15.75" thickBot="1">
      <c r="A74" s="416" t="s">
        <v>270</v>
      </c>
      <c r="B74" s="431">
        <v>0.53581957112004008</v>
      </c>
      <c r="C74" s="418"/>
      <c r="D74" s="431">
        <v>0</v>
      </c>
      <c r="E74" s="432">
        <v>0</v>
      </c>
      <c r="F74" s="431">
        <v>0.95973644784424694</v>
      </c>
      <c r="G74" s="418"/>
      <c r="H74" s="417"/>
      <c r="I74" s="432">
        <v>77.558500266252736</v>
      </c>
      <c r="J74" s="474">
        <v>0.31786168180743807</v>
      </c>
      <c r="K74" s="475">
        <v>79.371917967024473</v>
      </c>
      <c r="L74" s="376"/>
      <c r="M74" s="376"/>
      <c r="N74" s="376"/>
      <c r="O74" s="376"/>
    </row>
    <row r="75" spans="1:15" ht="15.75" thickBot="1">
      <c r="A75" s="421" t="s">
        <v>271</v>
      </c>
      <c r="B75" s="434">
        <v>5.5794337481696168</v>
      </c>
      <c r="C75" s="425"/>
      <c r="D75" s="434">
        <v>0.31019876383902106</v>
      </c>
      <c r="E75" s="434">
        <v>0</v>
      </c>
      <c r="F75" s="434">
        <v>2.6600986162106017</v>
      </c>
      <c r="G75" s="433"/>
      <c r="H75" s="434">
        <v>-4.2009848364257811</v>
      </c>
      <c r="I75" s="434">
        <v>83.121476781877732</v>
      </c>
      <c r="J75" s="434">
        <v>3.065782928579901</v>
      </c>
      <c r="K75" s="442">
        <v>90.536006002251099</v>
      </c>
      <c r="L75" s="376"/>
      <c r="M75" s="376"/>
      <c r="N75" s="376"/>
      <c r="O75" s="376"/>
    </row>
    <row r="77" spans="1:15" ht="15">
      <c r="A77" s="389" t="s">
        <v>272</v>
      </c>
      <c r="B77" s="376"/>
      <c r="C77" s="376"/>
      <c r="D77" s="376"/>
      <c r="E77" s="376"/>
      <c r="F77" s="376"/>
      <c r="G77" s="376"/>
      <c r="H77" s="376"/>
      <c r="I77" s="376"/>
      <c r="J77" s="376"/>
      <c r="K77" s="376"/>
      <c r="L77" s="376"/>
      <c r="M77" s="376"/>
      <c r="N77" s="376"/>
      <c r="O77" s="376"/>
    </row>
    <row r="78" spans="1:15" ht="15">
      <c r="A78" s="435" t="s">
        <v>59</v>
      </c>
      <c r="B78" s="436">
        <v>5.4729965548677209</v>
      </c>
      <c r="C78" s="437"/>
      <c r="D78" s="436"/>
      <c r="E78" s="437">
        <v>4.0569910080294074</v>
      </c>
      <c r="F78" s="436">
        <v>10.668188214104138</v>
      </c>
      <c r="G78" s="437"/>
      <c r="H78" s="436"/>
      <c r="I78" s="437">
        <v>9.9667228872478102</v>
      </c>
      <c r="J78" s="437">
        <v>2.6563274635661251</v>
      </c>
      <c r="K78" s="439">
        <v>32.821226127815208</v>
      </c>
      <c r="L78" s="376"/>
      <c r="M78" s="376"/>
      <c r="N78" s="376"/>
      <c r="O78" s="388"/>
    </row>
    <row r="79" spans="1:15" ht="15">
      <c r="A79" s="435" t="s">
        <v>61</v>
      </c>
      <c r="B79" s="436">
        <v>1.6974580919559543E-2</v>
      </c>
      <c r="C79" s="437"/>
      <c r="D79" s="436"/>
      <c r="E79" s="437">
        <v>4.8174876893104663</v>
      </c>
      <c r="F79" s="436">
        <v>14.066427943669179</v>
      </c>
      <c r="G79" s="437"/>
      <c r="H79" s="436"/>
      <c r="I79" s="437">
        <v>13.719855213668408</v>
      </c>
      <c r="J79" s="437">
        <v>10.102434795672355</v>
      </c>
      <c r="K79" s="439">
        <v>42.723180223239964</v>
      </c>
      <c r="L79" s="376"/>
      <c r="M79" s="376"/>
      <c r="N79" s="376"/>
      <c r="O79" s="388"/>
    </row>
    <row r="80" spans="1:15" ht="15">
      <c r="A80" s="435" t="s">
        <v>56</v>
      </c>
      <c r="B80" s="436">
        <v>8.118515642048825E-2</v>
      </c>
      <c r="C80" s="437"/>
      <c r="D80" s="436"/>
      <c r="E80" s="437">
        <v>3.2276196851188286</v>
      </c>
      <c r="F80" s="436">
        <v>5.2120342546197485</v>
      </c>
      <c r="G80" s="437"/>
      <c r="H80" s="436"/>
      <c r="I80" s="437">
        <v>11.904210463241817</v>
      </c>
      <c r="J80" s="437">
        <v>1.3714232941389104</v>
      </c>
      <c r="K80" s="439">
        <v>21.796472853539793</v>
      </c>
      <c r="L80" s="376"/>
      <c r="M80" s="376"/>
      <c r="N80" s="376"/>
      <c r="O80" s="388"/>
    </row>
    <row r="81" spans="1:15" ht="15">
      <c r="A81" s="435" t="s">
        <v>58</v>
      </c>
      <c r="B81" s="436">
        <v>0</v>
      </c>
      <c r="C81" s="437"/>
      <c r="D81" s="436"/>
      <c r="E81" s="437">
        <v>3.0883878143286725</v>
      </c>
      <c r="F81" s="436">
        <v>0.39490044802905688</v>
      </c>
      <c r="G81" s="437"/>
      <c r="H81" s="436"/>
      <c r="I81" s="437">
        <v>0.5649076274757836</v>
      </c>
      <c r="J81" s="437">
        <v>2.2904970304870285E-3</v>
      </c>
      <c r="K81" s="439">
        <v>4.0504863868640006</v>
      </c>
      <c r="L81" s="376"/>
      <c r="M81" s="376"/>
      <c r="N81" s="376"/>
      <c r="O81" s="388"/>
    </row>
    <row r="82" spans="1:15" ht="15.75" thickBot="1">
      <c r="A82" s="440" t="s">
        <v>57</v>
      </c>
      <c r="B82" s="436"/>
      <c r="C82" s="432"/>
      <c r="D82" s="431"/>
      <c r="E82" s="437">
        <v>44.523134725129815</v>
      </c>
      <c r="F82" s="436">
        <v>6.5073536074699054E-2</v>
      </c>
      <c r="G82" s="432"/>
      <c r="H82" s="436"/>
      <c r="I82" s="437">
        <v>1.3491175269767199</v>
      </c>
      <c r="J82" s="432">
        <v>2.5091652930733832</v>
      </c>
      <c r="K82" s="439">
        <v>48.446491081254614</v>
      </c>
      <c r="L82" s="376"/>
      <c r="M82" s="376"/>
      <c r="N82" s="376"/>
      <c r="O82" s="388"/>
    </row>
    <row r="83" spans="1:15" ht="15.75" thickBot="1">
      <c r="A83" s="441" t="s">
        <v>273</v>
      </c>
      <c r="B83" s="434">
        <v>5.5711562922077693</v>
      </c>
      <c r="C83" s="433">
        <v>0</v>
      </c>
      <c r="D83" s="434"/>
      <c r="E83" s="433">
        <v>59.71362092191719</v>
      </c>
      <c r="F83" s="433">
        <v>30.40662439649682</v>
      </c>
      <c r="G83" s="433"/>
      <c r="H83" s="434"/>
      <c r="I83" s="433">
        <v>37.504813718610535</v>
      </c>
      <c r="J83" s="433">
        <v>16.641641343481261</v>
      </c>
      <c r="K83" s="443">
        <v>149.83785667271357</v>
      </c>
      <c r="L83" s="376"/>
      <c r="M83" s="376"/>
      <c r="N83" s="376"/>
      <c r="O83" s="376"/>
    </row>
    <row r="85" spans="1:15" ht="15.75" thickBot="1">
      <c r="A85" s="389" t="s">
        <v>274</v>
      </c>
      <c r="B85" s="376"/>
      <c r="C85" s="376"/>
      <c r="D85" s="376"/>
      <c r="E85" s="376"/>
      <c r="F85" s="376"/>
      <c r="G85" s="376"/>
      <c r="H85" s="376"/>
      <c r="I85" s="376"/>
      <c r="J85" s="376"/>
      <c r="K85" s="376"/>
      <c r="L85" s="376"/>
      <c r="M85" s="376"/>
      <c r="N85" s="376"/>
      <c r="O85" s="376"/>
    </row>
    <row r="86" spans="1:15" ht="15.75" thickBot="1">
      <c r="A86" s="441" t="s">
        <v>275</v>
      </c>
      <c r="B86" s="424"/>
      <c r="C86" s="425">
        <v>0</v>
      </c>
      <c r="D86" s="424"/>
      <c r="E86" s="433">
        <v>11.144633021332247</v>
      </c>
      <c r="F86" s="434">
        <v>1.5089908688723002</v>
      </c>
      <c r="G86" s="425"/>
      <c r="H86" s="424"/>
      <c r="I86" s="425"/>
      <c r="J86" s="426"/>
      <c r="K86" s="443">
        <v>12.653623890204546</v>
      </c>
      <c r="L86" s="376"/>
      <c r="M86" s="376"/>
      <c r="N86" s="376"/>
      <c r="O86" s="376"/>
    </row>
    <row r="88" spans="1:15" ht="15.75" thickBot="1">
      <c r="A88" s="389" t="s">
        <v>276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</row>
    <row r="89" spans="1:15" ht="15.75" thickBot="1">
      <c r="A89" s="441" t="s">
        <v>277</v>
      </c>
      <c r="B89" s="445">
        <v>11.150590040377386</v>
      </c>
      <c r="C89" s="446"/>
      <c r="D89" s="445">
        <v>71.168452707088449</v>
      </c>
      <c r="E89" s="446"/>
      <c r="F89" s="445">
        <v>34.575713881579723</v>
      </c>
      <c r="G89" s="446"/>
      <c r="H89" s="445">
        <v>116.42530566406249</v>
      </c>
      <c r="I89" s="446"/>
      <c r="J89" s="442">
        <v>19.707424272061161</v>
      </c>
      <c r="K89" s="443">
        <v>253.02748656516923</v>
      </c>
      <c r="L89" s="376"/>
      <c r="M89" s="376"/>
      <c r="N89" s="376"/>
      <c r="O89" s="376"/>
    </row>
    <row r="90" spans="1:15" ht="15.75" thickBot="1">
      <c r="A90" s="447" t="s">
        <v>278</v>
      </c>
      <c r="B90" s="448"/>
      <c r="C90" s="449"/>
      <c r="D90" s="448"/>
      <c r="E90" s="449"/>
      <c r="F90" s="448"/>
      <c r="G90" s="449"/>
      <c r="H90" s="448"/>
      <c r="I90" s="449"/>
      <c r="J90" s="450"/>
      <c r="K90" s="451"/>
      <c r="L90" s="376"/>
      <c r="M90" s="376"/>
      <c r="N90" s="376"/>
      <c r="O90" s="376"/>
    </row>
    <row r="93" spans="1:15" ht="15.75">
      <c r="A93" s="385" t="s">
        <v>280</v>
      </c>
      <c r="B93" s="387"/>
      <c r="C93" s="387"/>
      <c r="D93" s="387"/>
      <c r="E93" s="387"/>
      <c r="F93" s="387"/>
      <c r="G93" s="386"/>
      <c r="H93" s="387"/>
      <c r="I93" s="387"/>
      <c r="J93" s="387"/>
      <c r="K93" s="387"/>
      <c r="L93" s="376"/>
      <c r="M93" s="376"/>
      <c r="N93" s="376"/>
      <c r="O93" s="376"/>
    </row>
    <row r="95" spans="1:15" ht="15.75" thickBot="1">
      <c r="A95" s="376"/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</row>
    <row r="96" spans="1:15" ht="15">
      <c r="A96" s="376"/>
      <c r="B96" s="391" t="s">
        <v>40</v>
      </c>
      <c r="C96" s="392"/>
      <c r="D96" s="391" t="s">
        <v>51</v>
      </c>
      <c r="E96" s="392"/>
      <c r="F96" s="391" t="s">
        <v>243</v>
      </c>
      <c r="G96" s="392"/>
      <c r="H96" s="391" t="s">
        <v>54</v>
      </c>
      <c r="I96" s="392"/>
      <c r="J96" s="393" t="s">
        <v>244</v>
      </c>
      <c r="K96" s="394" t="s">
        <v>9</v>
      </c>
      <c r="L96" s="376"/>
      <c r="M96" s="376"/>
      <c r="N96" s="376"/>
      <c r="O96" s="376"/>
    </row>
    <row r="97" spans="1:11" ht="15.75" thickBot="1">
      <c r="A97" s="376"/>
      <c r="B97" s="395" t="s">
        <v>245</v>
      </c>
      <c r="C97" s="396" t="s">
        <v>246</v>
      </c>
      <c r="D97" s="395" t="s">
        <v>247</v>
      </c>
      <c r="E97" s="396" t="s">
        <v>248</v>
      </c>
      <c r="F97" s="395" t="s">
        <v>249</v>
      </c>
      <c r="G97" s="396" t="s">
        <v>250</v>
      </c>
      <c r="H97" s="395" t="s">
        <v>251</v>
      </c>
      <c r="I97" s="396" t="s">
        <v>252</v>
      </c>
      <c r="J97" s="397"/>
      <c r="K97" s="398"/>
    </row>
    <row r="99" spans="1:11" ht="15">
      <c r="A99" s="376"/>
      <c r="B99" s="399"/>
      <c r="C99" s="399"/>
      <c r="D99" s="399"/>
      <c r="E99" s="399"/>
      <c r="F99" s="400" t="s">
        <v>253</v>
      </c>
      <c r="G99" s="399"/>
      <c r="H99" s="399"/>
      <c r="I99" s="399"/>
      <c r="J99" s="399"/>
      <c r="K99" s="399"/>
    </row>
    <row r="100" spans="1:11" ht="15.75" thickBot="1">
      <c r="A100" s="376"/>
      <c r="B100" s="376"/>
      <c r="C100" s="376"/>
      <c r="D100" s="376"/>
      <c r="E100" s="376"/>
      <c r="F100" s="376"/>
      <c r="G100" s="376"/>
      <c r="H100" s="376"/>
      <c r="I100" s="376"/>
      <c r="J100" s="376"/>
      <c r="K100" s="376"/>
    </row>
    <row r="101" spans="1:11" ht="15">
      <c r="A101" s="401" t="s">
        <v>254</v>
      </c>
      <c r="B101" s="452">
        <v>9.4843148367466434E-2</v>
      </c>
      <c r="C101" s="403"/>
      <c r="D101" s="453">
        <v>0.9</v>
      </c>
      <c r="E101" s="454">
        <v>0.95</v>
      </c>
      <c r="F101" s="452">
        <v>0.59950860595703126</v>
      </c>
      <c r="G101" s="403"/>
      <c r="H101" s="402" t="s">
        <v>540</v>
      </c>
      <c r="I101" s="403"/>
      <c r="J101" s="455">
        <v>17.67733203125</v>
      </c>
      <c r="K101" s="456">
        <v>119.67435175432449</v>
      </c>
    </row>
    <row r="102" spans="1:11" ht="15">
      <c r="A102" s="406" t="s">
        <v>257</v>
      </c>
      <c r="B102" s="457"/>
      <c r="C102" s="458"/>
      <c r="D102" s="457"/>
      <c r="E102" s="458"/>
      <c r="F102" s="457"/>
      <c r="G102" s="458"/>
      <c r="H102" s="457"/>
      <c r="I102" s="458"/>
      <c r="J102" s="459"/>
      <c r="K102" s="460"/>
    </row>
    <row r="103" spans="1:11" ht="15">
      <c r="A103" s="406" t="s">
        <v>258</v>
      </c>
      <c r="B103" s="457"/>
      <c r="C103" s="458"/>
      <c r="D103" s="457"/>
      <c r="E103" s="458"/>
      <c r="F103" s="457"/>
      <c r="G103" s="458"/>
      <c r="H103" s="457"/>
      <c r="I103" s="458"/>
      <c r="J103" s="459"/>
      <c r="K103" s="460"/>
    </row>
    <row r="104" spans="1:11" ht="15">
      <c r="A104" s="411" t="s">
        <v>259</v>
      </c>
      <c r="B104" s="461">
        <v>11.558509765625001</v>
      </c>
      <c r="C104" s="462"/>
      <c r="D104" s="463">
        <v>-0.54730260775337758</v>
      </c>
      <c r="E104" s="464"/>
      <c r="F104" s="463">
        <v>31.422099609375</v>
      </c>
      <c r="G104" s="413"/>
      <c r="H104" s="463">
        <v>-3.8700002441406252</v>
      </c>
      <c r="I104" s="413"/>
      <c r="J104" s="465">
        <v>5.8091767578124998</v>
      </c>
      <c r="K104" s="466">
        <v>38.563306523105993</v>
      </c>
    </row>
    <row r="105" spans="1:11" ht="15">
      <c r="A105" s="406" t="s">
        <v>260</v>
      </c>
      <c r="B105" s="457"/>
      <c r="C105" s="458"/>
      <c r="D105" s="457"/>
      <c r="E105" s="458"/>
      <c r="F105" s="457"/>
      <c r="G105" s="458"/>
      <c r="H105" s="457"/>
      <c r="I105" s="458"/>
      <c r="J105" s="459"/>
      <c r="K105" s="460"/>
    </row>
    <row r="106" spans="1:11" ht="15.75" thickBot="1">
      <c r="A106" s="416" t="s">
        <v>261</v>
      </c>
      <c r="B106" s="417"/>
      <c r="C106" s="418"/>
      <c r="D106" s="417"/>
      <c r="E106" s="476">
        <v>-2.0239918018489447</v>
      </c>
      <c r="F106" s="417"/>
      <c r="G106" s="418"/>
      <c r="H106" s="417"/>
      <c r="I106" s="418"/>
      <c r="J106" s="419"/>
      <c r="K106" s="420"/>
    </row>
    <row r="107" spans="1:11" ht="15.75" thickBot="1">
      <c r="A107" s="421" t="s">
        <v>262</v>
      </c>
      <c r="B107" s="445">
        <v>11.653352913992467</v>
      </c>
      <c r="C107" s="446"/>
      <c r="D107" s="434">
        <v>0.35269739224662244</v>
      </c>
      <c r="E107" s="433">
        <v>-1.0739918018489447</v>
      </c>
      <c r="F107" s="434">
        <v>32.02160821533203</v>
      </c>
      <c r="G107" s="425"/>
      <c r="H107" s="434">
        <v>113.25999975585937</v>
      </c>
      <c r="I107" s="425"/>
      <c r="J107" s="442">
        <v>23.486508789062498</v>
      </c>
      <c r="K107" s="442">
        <v>179.70017526464403</v>
      </c>
    </row>
    <row r="108" spans="1:11" ht="15.75" thickBot="1">
      <c r="A108" s="376"/>
      <c r="B108" s="427"/>
      <c r="C108" s="427"/>
      <c r="D108" s="427"/>
      <c r="E108" s="427"/>
      <c r="F108" s="427"/>
      <c r="G108" s="427"/>
      <c r="H108" s="427"/>
      <c r="I108" s="427"/>
      <c r="J108" s="427"/>
      <c r="K108" s="427"/>
    </row>
    <row r="109" spans="1:11" ht="15.75" thickBot="1">
      <c r="A109" s="421" t="s">
        <v>263</v>
      </c>
      <c r="B109" s="428">
        <v>8.138700429606481E-3</v>
      </c>
      <c r="C109" s="429"/>
      <c r="D109" s="428"/>
      <c r="E109" s="429"/>
      <c r="F109" s="428">
        <v>1.8722001778473604E-2</v>
      </c>
      <c r="G109" s="468"/>
      <c r="H109" s="428">
        <v>1.0606568979246815</v>
      </c>
      <c r="I109" s="429"/>
      <c r="J109" s="430">
        <v>0.75265899202022779</v>
      </c>
      <c r="K109" s="430"/>
    </row>
    <row r="111" spans="1:11" ht="15">
      <c r="A111" s="376"/>
      <c r="B111" s="399"/>
      <c r="C111" s="399"/>
      <c r="D111" s="399"/>
      <c r="E111" s="399"/>
      <c r="F111" s="400" t="s">
        <v>264</v>
      </c>
      <c r="G111" s="399"/>
      <c r="H111" s="399"/>
      <c r="I111" s="399"/>
      <c r="J111" s="399"/>
      <c r="K111" s="399"/>
    </row>
    <row r="113" spans="1:15" ht="15.75" thickBot="1">
      <c r="A113" s="389" t="s">
        <v>265</v>
      </c>
      <c r="B113" s="376"/>
      <c r="C113" s="376"/>
      <c r="D113" s="376"/>
      <c r="E113" s="376"/>
      <c r="F113" s="376"/>
      <c r="G113" s="376"/>
      <c r="H113" s="376"/>
      <c r="I113" s="376"/>
      <c r="J113" s="376"/>
      <c r="K113" s="376"/>
      <c r="L113" s="376"/>
      <c r="M113" s="376"/>
      <c r="N113" s="376"/>
      <c r="O113" s="376"/>
    </row>
    <row r="114" spans="1:15" ht="15">
      <c r="A114" s="401" t="s">
        <v>266</v>
      </c>
      <c r="B114" s="402"/>
      <c r="C114" s="403"/>
      <c r="D114" s="469"/>
      <c r="E114" s="470"/>
      <c r="F114" s="469"/>
      <c r="G114" s="403"/>
      <c r="H114" s="469"/>
      <c r="I114" s="470"/>
      <c r="J114" s="404"/>
      <c r="K114" s="456">
        <v>0</v>
      </c>
      <c r="L114" s="376"/>
      <c r="M114" s="376"/>
      <c r="N114" s="376"/>
      <c r="O114" s="376"/>
    </row>
    <row r="115" spans="1:15" ht="15">
      <c r="A115" s="406" t="s">
        <v>267</v>
      </c>
      <c r="B115" s="436">
        <v>3.9220721332105155</v>
      </c>
      <c r="C115" s="408"/>
      <c r="D115" s="436">
        <v>0.35269739224662244</v>
      </c>
      <c r="E115" s="408"/>
      <c r="F115" s="436">
        <v>0.89104406146751114</v>
      </c>
      <c r="G115" s="408"/>
      <c r="H115" s="436">
        <v>-3.993966018554687</v>
      </c>
      <c r="I115" s="408"/>
      <c r="J115" s="438">
        <v>3.2064715725963269</v>
      </c>
      <c r="K115" s="471">
        <v>4.3783191409662887</v>
      </c>
      <c r="L115" s="376"/>
      <c r="M115" s="376"/>
      <c r="N115" s="376"/>
      <c r="O115" s="376"/>
    </row>
    <row r="116" spans="1:15" ht="15">
      <c r="A116" s="406" t="s">
        <v>268</v>
      </c>
      <c r="B116" s="436">
        <v>0.29365948486328125</v>
      </c>
      <c r="C116" s="408"/>
      <c r="D116" s="407"/>
      <c r="E116" s="408"/>
      <c r="F116" s="472">
        <v>0.30000000000000004</v>
      </c>
      <c r="G116" s="408"/>
      <c r="H116" s="407"/>
      <c r="I116" s="437">
        <v>5.6066524218749993</v>
      </c>
      <c r="J116" s="473">
        <v>0.47</v>
      </c>
      <c r="K116" s="471">
        <v>6.6703119067382799</v>
      </c>
      <c r="L116" s="376"/>
      <c r="M116" s="376"/>
      <c r="N116" s="376"/>
      <c r="O116" s="376"/>
    </row>
    <row r="117" spans="1:15" ht="15.75" thickBot="1">
      <c r="A117" s="416" t="s">
        <v>270</v>
      </c>
      <c r="B117" s="431">
        <v>0.46925990417727886</v>
      </c>
      <c r="C117" s="418"/>
      <c r="D117" s="431">
        <v>0</v>
      </c>
      <c r="E117" s="432">
        <v>0</v>
      </c>
      <c r="F117" s="431">
        <v>0.82398789791639071</v>
      </c>
      <c r="G117" s="418"/>
      <c r="H117" s="417"/>
      <c r="I117" s="432">
        <v>74.066936458026049</v>
      </c>
      <c r="J117" s="474">
        <v>0.38941217048087623</v>
      </c>
      <c r="K117" s="475">
        <v>75.749596430600604</v>
      </c>
      <c r="L117" s="376"/>
      <c r="M117" s="376"/>
      <c r="N117" s="376"/>
      <c r="O117" s="376"/>
    </row>
    <row r="118" spans="1:15" ht="15.75" thickBot="1">
      <c r="A118" s="421" t="s">
        <v>271</v>
      </c>
      <c r="B118" s="434">
        <v>4.6849915222510754</v>
      </c>
      <c r="C118" s="425"/>
      <c r="D118" s="434">
        <v>0.35269739224662244</v>
      </c>
      <c r="E118" s="434">
        <v>0</v>
      </c>
      <c r="F118" s="434">
        <v>2.0150319593839021</v>
      </c>
      <c r="G118" s="433"/>
      <c r="H118" s="434">
        <v>-3.993966018554687</v>
      </c>
      <c r="I118" s="434">
        <v>79.673588879901047</v>
      </c>
      <c r="J118" s="434">
        <v>4.0658837430772037</v>
      </c>
      <c r="K118" s="442">
        <v>86.798227478305165</v>
      </c>
      <c r="L118" s="376"/>
      <c r="M118" s="376"/>
      <c r="N118" s="376"/>
      <c r="O118" s="376"/>
    </row>
    <row r="120" spans="1:15" ht="15">
      <c r="A120" s="389" t="s">
        <v>272</v>
      </c>
      <c r="B120" s="376"/>
      <c r="C120" s="376"/>
      <c r="D120" s="376"/>
      <c r="E120" s="376"/>
      <c r="F120" s="376"/>
      <c r="G120" s="376"/>
      <c r="H120" s="376"/>
      <c r="I120" s="376"/>
      <c r="J120" s="376"/>
      <c r="K120" s="376"/>
      <c r="L120" s="376"/>
      <c r="M120" s="376"/>
      <c r="N120" s="376"/>
      <c r="O120" s="376"/>
    </row>
    <row r="121" spans="1:15" ht="15">
      <c r="A121" s="435" t="s">
        <v>59</v>
      </c>
      <c r="B121" s="436">
        <v>5.0703591165279018</v>
      </c>
      <c r="C121" s="437"/>
      <c r="D121" s="436"/>
      <c r="E121" s="437">
        <v>3.1731314916135829</v>
      </c>
      <c r="F121" s="436">
        <v>10.259994361669742</v>
      </c>
      <c r="G121" s="437"/>
      <c r="H121" s="436"/>
      <c r="I121" s="437">
        <v>9.9283201472224292</v>
      </c>
      <c r="J121" s="437">
        <v>3.9290644007102813</v>
      </c>
      <c r="K121" s="439">
        <v>32.360869517743936</v>
      </c>
      <c r="L121" s="376"/>
      <c r="M121" s="376"/>
      <c r="N121" s="376"/>
      <c r="O121" s="388"/>
    </row>
    <row r="122" spans="1:15" ht="15">
      <c r="A122" s="435" t="s">
        <v>61</v>
      </c>
      <c r="B122" s="436">
        <v>0</v>
      </c>
      <c r="C122" s="437"/>
      <c r="D122" s="436"/>
      <c r="E122" s="437">
        <v>2.369754745353108</v>
      </c>
      <c r="F122" s="436">
        <v>12.224282477599521</v>
      </c>
      <c r="G122" s="437"/>
      <c r="H122" s="436"/>
      <c r="I122" s="437">
        <v>13.580581676849002</v>
      </c>
      <c r="J122" s="437">
        <v>10.50440074045966</v>
      </c>
      <c r="K122" s="439">
        <v>38.679019640261288</v>
      </c>
      <c r="L122" s="376"/>
      <c r="M122" s="376"/>
      <c r="N122" s="376"/>
      <c r="O122" s="388"/>
    </row>
    <row r="123" spans="1:15" ht="15">
      <c r="A123" s="435" t="s">
        <v>56</v>
      </c>
      <c r="B123" s="436">
        <v>1.0109780910255328E-2</v>
      </c>
      <c r="C123" s="437"/>
      <c r="D123" s="436"/>
      <c r="E123" s="437">
        <v>2.374646006480285</v>
      </c>
      <c r="F123" s="436">
        <v>4.4262045895495721</v>
      </c>
      <c r="G123" s="437"/>
      <c r="H123" s="436"/>
      <c r="I123" s="437">
        <v>11.772647050150686</v>
      </c>
      <c r="J123" s="437">
        <v>2.0942630033229799</v>
      </c>
      <c r="K123" s="439">
        <v>20.677870430413776</v>
      </c>
      <c r="L123" s="376"/>
      <c r="M123" s="376"/>
      <c r="N123" s="376"/>
      <c r="O123" s="388"/>
    </row>
    <row r="124" spans="1:15" ht="15">
      <c r="A124" s="435" t="s">
        <v>58</v>
      </c>
      <c r="B124" s="436">
        <v>0</v>
      </c>
      <c r="C124" s="437"/>
      <c r="D124" s="436"/>
      <c r="E124" s="437">
        <v>2.7955585866144346</v>
      </c>
      <c r="F124" s="436">
        <v>0.37370945448342274</v>
      </c>
      <c r="G124" s="437"/>
      <c r="H124" s="436"/>
      <c r="I124" s="437">
        <v>0.54511932161818266</v>
      </c>
      <c r="J124" s="437">
        <v>6.5854110119595455E-3</v>
      </c>
      <c r="K124" s="439">
        <v>3.7209727737279992</v>
      </c>
      <c r="L124" s="376"/>
      <c r="M124" s="376"/>
      <c r="N124" s="376"/>
      <c r="O124" s="388"/>
    </row>
    <row r="125" spans="1:15" ht="15.75" thickBot="1">
      <c r="A125" s="440" t="s">
        <v>57</v>
      </c>
      <c r="B125" s="436"/>
      <c r="C125" s="432"/>
      <c r="D125" s="431"/>
      <c r="E125" s="437">
        <v>39.22980345486468</v>
      </c>
      <c r="F125" s="436">
        <v>0.16994968021125567</v>
      </c>
      <c r="G125" s="432"/>
      <c r="H125" s="436"/>
      <c r="I125" s="437">
        <v>1.7537086986727168</v>
      </c>
      <c r="J125" s="437">
        <v>3.5433572712322463</v>
      </c>
      <c r="K125" s="439">
        <v>44.696819104980896</v>
      </c>
      <c r="L125" s="376"/>
      <c r="M125" s="376"/>
      <c r="N125" s="376"/>
      <c r="O125" s="388"/>
    </row>
    <row r="126" spans="1:15" ht="15.75" thickBot="1">
      <c r="A126" s="441" t="s">
        <v>273</v>
      </c>
      <c r="B126" s="434">
        <v>5.0804688974381573</v>
      </c>
      <c r="C126" s="433">
        <v>0</v>
      </c>
      <c r="D126" s="434"/>
      <c r="E126" s="433">
        <v>49.942894284926091</v>
      </c>
      <c r="F126" s="433">
        <v>27.454140563513512</v>
      </c>
      <c r="G126" s="433"/>
      <c r="H126" s="434"/>
      <c r="I126" s="433">
        <v>37.580376894513016</v>
      </c>
      <c r="J126" s="433">
        <v>20.077670826737126</v>
      </c>
      <c r="K126" s="443">
        <v>140.1355514671279</v>
      </c>
      <c r="L126" s="376"/>
      <c r="M126" s="376"/>
      <c r="N126" s="376"/>
      <c r="O126" s="376"/>
    </row>
    <row r="128" spans="1:15" ht="15.75" thickBot="1">
      <c r="A128" s="389" t="s">
        <v>274</v>
      </c>
      <c r="B128" s="376"/>
      <c r="C128" s="376"/>
      <c r="D128" s="376"/>
      <c r="E128" s="376"/>
      <c r="F128" s="376"/>
      <c r="G128" s="376"/>
      <c r="H128" s="376"/>
      <c r="I128" s="376"/>
      <c r="J128" s="376"/>
      <c r="K128" s="376"/>
      <c r="L128" s="376"/>
      <c r="M128" s="376"/>
      <c r="N128" s="376"/>
      <c r="O128" s="376"/>
    </row>
    <row r="129" spans="1:11" ht="15.75" thickBot="1">
      <c r="A129" s="441" t="s">
        <v>275</v>
      </c>
      <c r="B129" s="424"/>
      <c r="C129" s="425">
        <v>0</v>
      </c>
      <c r="D129" s="424"/>
      <c r="E129" s="433">
        <v>11.714343009096154</v>
      </c>
      <c r="F129" s="434">
        <v>1.5540152218446721</v>
      </c>
      <c r="G129" s="425"/>
      <c r="H129" s="424"/>
      <c r="I129" s="425"/>
      <c r="J129" s="426"/>
      <c r="K129" s="443">
        <v>13.268358230940827</v>
      </c>
    </row>
    <row r="131" spans="1:11" ht="15.75" thickBot="1">
      <c r="A131" s="389" t="s">
        <v>276</v>
      </c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</row>
    <row r="132" spans="1:11" ht="15.75" thickBot="1">
      <c r="A132" s="441" t="s">
        <v>277</v>
      </c>
      <c r="B132" s="445">
        <v>9.7654604196892336</v>
      </c>
      <c r="C132" s="446"/>
      <c r="D132" s="445">
        <v>62.009934686268871</v>
      </c>
      <c r="E132" s="446"/>
      <c r="F132" s="445">
        <v>31.023187744742085</v>
      </c>
      <c r="G132" s="446"/>
      <c r="H132" s="445">
        <v>113.25999975585938</v>
      </c>
      <c r="I132" s="446"/>
      <c r="J132" s="442">
        <v>24.143554569814331</v>
      </c>
      <c r="K132" s="443">
        <v>240.2021371763739</v>
      </c>
    </row>
    <row r="133" spans="1:11" ht="15.75" thickBot="1">
      <c r="A133" s="447" t="s">
        <v>278</v>
      </c>
      <c r="B133" s="448"/>
      <c r="C133" s="449"/>
      <c r="D133" s="448"/>
      <c r="E133" s="449"/>
      <c r="F133" s="448"/>
      <c r="G133" s="449"/>
      <c r="H133" s="448"/>
      <c r="I133" s="449"/>
      <c r="J133" s="450"/>
      <c r="K133" s="451"/>
    </row>
    <row r="136" spans="1:11" ht="15.75">
      <c r="A136" s="385" t="s">
        <v>281</v>
      </c>
      <c r="B136" s="387"/>
      <c r="C136" s="387"/>
      <c r="D136" s="387"/>
      <c r="E136" s="387"/>
      <c r="F136" s="387"/>
      <c r="G136" s="386"/>
      <c r="H136" s="387"/>
      <c r="I136" s="387"/>
      <c r="J136" s="387"/>
      <c r="K136" s="387"/>
    </row>
    <row r="138" spans="1:11" ht="15.75" thickBot="1">
      <c r="A138" s="376"/>
      <c r="B138" s="376"/>
      <c r="C138" s="376"/>
      <c r="D138" s="376"/>
      <c r="E138" s="376"/>
      <c r="F138" s="376"/>
      <c r="G138" s="376"/>
      <c r="H138" s="376"/>
      <c r="I138" s="376"/>
      <c r="J138" s="376"/>
      <c r="K138" s="376"/>
    </row>
    <row r="139" spans="1:11" ht="15">
      <c r="A139" s="376"/>
      <c r="B139" s="391" t="s">
        <v>40</v>
      </c>
      <c r="C139" s="392"/>
      <c r="D139" s="391" t="s">
        <v>51</v>
      </c>
      <c r="E139" s="392"/>
      <c r="F139" s="391" t="s">
        <v>243</v>
      </c>
      <c r="G139" s="392"/>
      <c r="H139" s="391" t="s">
        <v>54</v>
      </c>
      <c r="I139" s="392"/>
      <c r="J139" s="393" t="s">
        <v>244</v>
      </c>
      <c r="K139" s="394" t="s">
        <v>9</v>
      </c>
    </row>
    <row r="140" spans="1:11" ht="15.75" thickBot="1">
      <c r="A140" s="376"/>
      <c r="B140" s="395" t="s">
        <v>245</v>
      </c>
      <c r="C140" s="396" t="s">
        <v>246</v>
      </c>
      <c r="D140" s="395" t="s">
        <v>247</v>
      </c>
      <c r="E140" s="396" t="s">
        <v>248</v>
      </c>
      <c r="F140" s="395" t="s">
        <v>249</v>
      </c>
      <c r="G140" s="396" t="s">
        <v>250</v>
      </c>
      <c r="H140" s="395" t="s">
        <v>251</v>
      </c>
      <c r="I140" s="396" t="s">
        <v>252</v>
      </c>
      <c r="J140" s="397"/>
      <c r="K140" s="398"/>
    </row>
    <row r="142" spans="1:11" ht="15">
      <c r="A142" s="376"/>
      <c r="B142" s="399"/>
      <c r="C142" s="399"/>
      <c r="D142" s="399"/>
      <c r="E142" s="399"/>
      <c r="F142" s="400" t="s">
        <v>253</v>
      </c>
      <c r="G142" s="399"/>
      <c r="H142" s="399"/>
      <c r="I142" s="399"/>
      <c r="J142" s="399"/>
      <c r="K142" s="399"/>
    </row>
    <row r="143" spans="1:11" ht="15.75" thickBot="1">
      <c r="A143" s="376"/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</row>
    <row r="144" spans="1:11" ht="15">
      <c r="A144" s="401" t="s">
        <v>254</v>
      </c>
      <c r="B144" s="452">
        <v>8.5158030773459958E-2</v>
      </c>
      <c r="C144" s="403"/>
      <c r="D144" s="453">
        <v>0.9</v>
      </c>
      <c r="E144" s="454">
        <v>0.95</v>
      </c>
      <c r="F144" s="452">
        <v>0.65163800048828124</v>
      </c>
      <c r="G144" s="403"/>
      <c r="H144" s="402" t="s">
        <v>541</v>
      </c>
      <c r="I144" s="403"/>
      <c r="J144" s="455">
        <v>17.849994140625</v>
      </c>
      <c r="K144" s="456">
        <v>81.78679603126173</v>
      </c>
    </row>
    <row r="145" spans="1:11" ht="15">
      <c r="A145" s="406" t="s">
        <v>257</v>
      </c>
      <c r="B145" s="457"/>
      <c r="C145" s="458"/>
      <c r="D145" s="457"/>
      <c r="E145" s="458"/>
      <c r="F145" s="457"/>
      <c r="G145" s="458"/>
      <c r="H145" s="457"/>
      <c r="I145" s="458"/>
      <c r="J145" s="459"/>
      <c r="K145" s="460"/>
    </row>
    <row r="146" spans="1:11" ht="15">
      <c r="A146" s="406" t="s">
        <v>258</v>
      </c>
      <c r="B146" s="457"/>
      <c r="C146" s="458"/>
      <c r="D146" s="457"/>
      <c r="E146" s="458"/>
      <c r="F146" s="457"/>
      <c r="G146" s="458"/>
      <c r="H146" s="457"/>
      <c r="I146" s="458"/>
      <c r="J146" s="459"/>
      <c r="K146" s="460"/>
    </row>
    <row r="147" spans="1:11" ht="15">
      <c r="A147" s="411" t="s">
        <v>259</v>
      </c>
      <c r="B147" s="461">
        <v>10.716661132812501</v>
      </c>
      <c r="C147" s="462"/>
      <c r="D147" s="463">
        <v>-0.8512780233062438</v>
      </c>
      <c r="E147" s="464"/>
      <c r="F147" s="463">
        <v>39.169269531250002</v>
      </c>
      <c r="G147" s="413"/>
      <c r="H147" s="463">
        <v>-0.85999999999999988</v>
      </c>
      <c r="I147" s="413"/>
      <c r="J147" s="465">
        <v>8.1648115234374998</v>
      </c>
      <c r="K147" s="466">
        <v>48.174652640756264</v>
      </c>
    </row>
    <row r="148" spans="1:11" ht="15">
      <c r="A148" s="406" t="s">
        <v>260</v>
      </c>
      <c r="B148" s="457"/>
      <c r="C148" s="458"/>
      <c r="D148" s="457"/>
      <c r="E148" s="458"/>
      <c r="F148" s="457"/>
      <c r="G148" s="458"/>
      <c r="H148" s="457"/>
      <c r="I148" s="458"/>
      <c r="J148" s="459"/>
      <c r="K148" s="460"/>
    </row>
    <row r="149" spans="1:11" ht="15.75" thickBot="1">
      <c r="A149" s="416" t="s">
        <v>261</v>
      </c>
      <c r="B149" s="417"/>
      <c r="C149" s="418"/>
      <c r="D149" s="417"/>
      <c r="E149" s="476">
        <v>-1.940197976626548</v>
      </c>
      <c r="F149" s="417"/>
      <c r="G149" s="418"/>
      <c r="H149" s="417"/>
      <c r="I149" s="418"/>
      <c r="J149" s="419"/>
      <c r="K149" s="420"/>
    </row>
    <row r="150" spans="1:11" ht="15.75" thickBot="1">
      <c r="A150" s="421" t="s">
        <v>262</v>
      </c>
      <c r="B150" s="445">
        <v>10.801819163585961</v>
      </c>
      <c r="C150" s="446"/>
      <c r="D150" s="434">
        <v>4.8721976693756219E-2</v>
      </c>
      <c r="E150" s="433">
        <v>-0.99019797662654807</v>
      </c>
      <c r="F150" s="434">
        <v>39.820907531738285</v>
      </c>
      <c r="G150" s="425"/>
      <c r="H150" s="434">
        <v>78.339999999999989</v>
      </c>
      <c r="I150" s="425"/>
      <c r="J150" s="442">
        <v>26.0148056640625</v>
      </c>
      <c r="K150" s="442">
        <v>154.03605635945394</v>
      </c>
    </row>
    <row r="151" spans="1:11" ht="15.75" thickBot="1">
      <c r="A151" s="376"/>
      <c r="B151" s="427"/>
      <c r="C151" s="427"/>
      <c r="D151" s="427"/>
      <c r="E151" s="427"/>
      <c r="F151" s="427"/>
      <c r="G151" s="427"/>
      <c r="H151" s="427"/>
      <c r="I151" s="427"/>
      <c r="J151" s="427"/>
      <c r="K151" s="427"/>
    </row>
    <row r="152" spans="1:11" ht="15.75" thickBot="1">
      <c r="A152" s="421" t="s">
        <v>263</v>
      </c>
      <c r="B152" s="428">
        <v>7.8836749147343996E-3</v>
      </c>
      <c r="C152" s="429"/>
      <c r="D152" s="428"/>
      <c r="E152" s="429"/>
      <c r="F152" s="428">
        <v>1.6364217715754192E-2</v>
      </c>
      <c r="G152" s="468"/>
      <c r="H152" s="428">
        <v>1.5334439622159817</v>
      </c>
      <c r="I152" s="429"/>
      <c r="J152" s="430">
        <v>0.68614751042647326</v>
      </c>
      <c r="K152" s="430"/>
    </row>
    <row r="154" spans="1:11" ht="15">
      <c r="A154" s="376"/>
      <c r="B154" s="399"/>
      <c r="C154" s="399"/>
      <c r="D154" s="399"/>
      <c r="E154" s="399"/>
      <c r="F154" s="400" t="s">
        <v>264</v>
      </c>
      <c r="G154" s="399"/>
      <c r="H154" s="399"/>
      <c r="I154" s="399"/>
      <c r="J154" s="399"/>
      <c r="K154" s="399"/>
    </row>
    <row r="156" spans="1:11" ht="15.75" thickBot="1">
      <c r="A156" s="389" t="s">
        <v>265</v>
      </c>
      <c r="B156" s="376"/>
      <c r="C156" s="376"/>
      <c r="D156" s="376"/>
      <c r="E156" s="376"/>
      <c r="F156" s="376"/>
      <c r="G156" s="376"/>
      <c r="H156" s="376"/>
      <c r="I156" s="376"/>
      <c r="J156" s="376"/>
      <c r="K156" s="376"/>
    </row>
    <row r="157" spans="1:11" ht="15">
      <c r="A157" s="401" t="s">
        <v>266</v>
      </c>
      <c r="B157" s="402"/>
      <c r="C157" s="403"/>
      <c r="D157" s="469"/>
      <c r="E157" s="470"/>
      <c r="F157" s="469"/>
      <c r="G157" s="403"/>
      <c r="H157" s="469"/>
      <c r="I157" s="470"/>
      <c r="J157" s="404"/>
      <c r="K157" s="456">
        <v>0</v>
      </c>
    </row>
    <row r="158" spans="1:11" ht="15">
      <c r="A158" s="406" t="s">
        <v>267</v>
      </c>
      <c r="B158" s="436">
        <v>4.0462374087650987</v>
      </c>
      <c r="C158" s="408"/>
      <c r="D158" s="436">
        <v>4.8721976693756171E-2</v>
      </c>
      <c r="E158" s="408"/>
      <c r="F158" s="436">
        <v>12.522985075556438</v>
      </c>
      <c r="G158" s="408"/>
      <c r="H158" s="436">
        <v>-8.1669250853271471</v>
      </c>
      <c r="I158" s="408"/>
      <c r="J158" s="438">
        <v>4.3455751604995836</v>
      </c>
      <c r="K158" s="471">
        <v>12.796594536187728</v>
      </c>
    </row>
    <row r="159" spans="1:11" ht="15">
      <c r="A159" s="406" t="s">
        <v>268</v>
      </c>
      <c r="B159" s="436">
        <v>0.27285513305664061</v>
      </c>
      <c r="C159" s="408"/>
      <c r="D159" s="407"/>
      <c r="E159" s="408"/>
      <c r="F159" s="472">
        <v>0.30000000000000004</v>
      </c>
      <c r="G159" s="408"/>
      <c r="H159" s="407"/>
      <c r="I159" s="437">
        <v>5.0452212421874991</v>
      </c>
      <c r="J159" s="473">
        <v>0.47</v>
      </c>
      <c r="K159" s="471">
        <v>6.0880763752441398</v>
      </c>
    </row>
    <row r="160" spans="1:11" ht="15.75" thickBot="1">
      <c r="A160" s="416" t="s">
        <v>270</v>
      </c>
      <c r="B160" s="431">
        <v>0.4594910659798887</v>
      </c>
      <c r="C160" s="418"/>
      <c r="D160" s="431">
        <v>0</v>
      </c>
      <c r="E160" s="432">
        <v>0</v>
      </c>
      <c r="F160" s="431">
        <v>1.0600884239368604</v>
      </c>
      <c r="G160" s="418"/>
      <c r="H160" s="417"/>
      <c r="I160" s="432">
        <v>45.462617767495573</v>
      </c>
      <c r="J160" s="474">
        <v>0.44122568213836888</v>
      </c>
      <c r="K160" s="475">
        <v>47.42342293955069</v>
      </c>
    </row>
    <row r="161" spans="1:15" ht="15.75" thickBot="1">
      <c r="A161" s="421" t="s">
        <v>271</v>
      </c>
      <c r="B161" s="434">
        <v>4.7785836078016279</v>
      </c>
      <c r="C161" s="425"/>
      <c r="D161" s="434">
        <v>4.8721976693756171E-2</v>
      </c>
      <c r="E161" s="434">
        <v>0</v>
      </c>
      <c r="F161" s="434">
        <v>13.8830734994933</v>
      </c>
      <c r="G161" s="433"/>
      <c r="H161" s="434">
        <v>-8.1669250853271471</v>
      </c>
      <c r="I161" s="434">
        <v>50.507839009683074</v>
      </c>
      <c r="J161" s="434">
        <v>5.2568008426379524</v>
      </c>
      <c r="K161" s="442">
        <v>66.308093850982573</v>
      </c>
      <c r="L161" s="376"/>
      <c r="M161" s="376"/>
      <c r="N161" s="376"/>
      <c r="O161" s="376"/>
    </row>
    <row r="163" spans="1:15" ht="15">
      <c r="A163" s="389" t="s">
        <v>272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</row>
    <row r="164" spans="1:15" ht="15">
      <c r="A164" s="435" t="s">
        <v>59</v>
      </c>
      <c r="B164" s="436">
        <v>4.7835839204350208</v>
      </c>
      <c r="C164" s="437"/>
      <c r="D164" s="436"/>
      <c r="E164" s="437">
        <v>2.7143927551410507</v>
      </c>
      <c r="F164" s="436">
        <v>8.5129371197834143</v>
      </c>
      <c r="G164" s="437"/>
      <c r="H164" s="436"/>
      <c r="I164" s="437">
        <v>9.567932510751163</v>
      </c>
      <c r="J164" s="437">
        <v>5.3155709071726243</v>
      </c>
      <c r="K164" s="439">
        <v>30.894417213283273</v>
      </c>
      <c r="L164" s="376"/>
      <c r="M164" s="376"/>
      <c r="N164" s="376"/>
      <c r="O164" s="388"/>
    </row>
    <row r="165" spans="1:15" ht="15">
      <c r="A165" s="435" t="s">
        <v>61</v>
      </c>
      <c r="B165" s="436">
        <v>0</v>
      </c>
      <c r="C165" s="437"/>
      <c r="D165" s="436"/>
      <c r="E165" s="437">
        <v>1.4787819041907375</v>
      </c>
      <c r="F165" s="436">
        <v>10.226042813678905</v>
      </c>
      <c r="G165" s="437"/>
      <c r="H165" s="436"/>
      <c r="I165" s="437">
        <v>12.367304972173393</v>
      </c>
      <c r="J165" s="437">
        <v>10.310974895504716</v>
      </c>
      <c r="K165" s="439">
        <v>34.383104585547748</v>
      </c>
      <c r="L165" s="376"/>
      <c r="M165" s="376"/>
      <c r="N165" s="376"/>
      <c r="O165" s="388"/>
    </row>
    <row r="166" spans="1:15" ht="15">
      <c r="A166" s="435" t="s">
        <v>56</v>
      </c>
      <c r="B166" s="436">
        <v>0</v>
      </c>
      <c r="C166" s="437"/>
      <c r="D166" s="436"/>
      <c r="E166" s="437">
        <v>1.7964469367772764</v>
      </c>
      <c r="F166" s="436">
        <v>3.6494073184184126</v>
      </c>
      <c r="G166" s="437"/>
      <c r="H166" s="436"/>
      <c r="I166" s="437">
        <v>11.433853160291584</v>
      </c>
      <c r="J166" s="437">
        <v>2.5687856962714397</v>
      </c>
      <c r="K166" s="439">
        <v>19.448493111758715</v>
      </c>
      <c r="L166" s="376"/>
      <c r="M166" s="376"/>
      <c r="N166" s="376"/>
      <c r="O166" s="388"/>
    </row>
    <row r="167" spans="1:15" ht="15">
      <c r="A167" s="435" t="s">
        <v>58</v>
      </c>
      <c r="B167" s="436">
        <v>0</v>
      </c>
      <c r="C167" s="437"/>
      <c r="D167" s="436"/>
      <c r="E167" s="437">
        <v>2.510022479596929</v>
      </c>
      <c r="F167" s="436">
        <v>0.34360914778950608</v>
      </c>
      <c r="G167" s="437"/>
      <c r="H167" s="436"/>
      <c r="I167" s="437">
        <v>0.52139695767717442</v>
      </c>
      <c r="J167" s="437">
        <v>1.6430575528390827E-2</v>
      </c>
      <c r="K167" s="439">
        <v>3.3914591605920004</v>
      </c>
      <c r="L167" s="376"/>
      <c r="M167" s="376"/>
      <c r="N167" s="376"/>
      <c r="O167" s="388"/>
    </row>
    <row r="168" spans="1:15" ht="15.75" thickBot="1">
      <c r="A168" s="440" t="s">
        <v>57</v>
      </c>
      <c r="B168" s="436"/>
      <c r="C168" s="432"/>
      <c r="D168" s="431"/>
      <c r="E168" s="437">
        <v>36.275787073856407</v>
      </c>
      <c r="F168" s="436">
        <v>0.32073858594309052</v>
      </c>
      <c r="G168" s="432"/>
      <c r="H168" s="436"/>
      <c r="I168" s="437">
        <v>2.1085984747507398</v>
      </c>
      <c r="J168" s="437">
        <v>3.8874293754637548</v>
      </c>
      <c r="K168" s="439">
        <v>42.592553510013992</v>
      </c>
      <c r="L168" s="376"/>
      <c r="M168" s="376"/>
      <c r="N168" s="376"/>
      <c r="O168" s="388"/>
    </row>
    <row r="169" spans="1:15" ht="15.75" thickBot="1">
      <c r="A169" s="441" t="s">
        <v>273</v>
      </c>
      <c r="B169" s="434">
        <v>4.7835839204350208</v>
      </c>
      <c r="C169" s="433">
        <v>0</v>
      </c>
      <c r="D169" s="434"/>
      <c r="E169" s="433">
        <v>44.775431149562401</v>
      </c>
      <c r="F169" s="434">
        <v>23.052734985613327</v>
      </c>
      <c r="G169" s="433"/>
      <c r="H169" s="434"/>
      <c r="I169" s="433">
        <v>35.999086075644058</v>
      </c>
      <c r="J169" s="433">
        <v>22.099191449940921</v>
      </c>
      <c r="K169" s="443">
        <v>130.71002758119573</v>
      </c>
      <c r="L169" s="376"/>
      <c r="M169" s="376"/>
      <c r="N169" s="376"/>
      <c r="O169" s="376"/>
    </row>
    <row r="171" spans="1:15" ht="15.75" thickBot="1">
      <c r="A171" s="389" t="s">
        <v>274</v>
      </c>
      <c r="B171" s="376"/>
      <c r="C171" s="376"/>
      <c r="D171" s="376"/>
      <c r="E171" s="376"/>
      <c r="F171" s="376"/>
      <c r="G171" s="376"/>
      <c r="H171" s="376"/>
      <c r="I171" s="376"/>
      <c r="J171" s="376"/>
      <c r="K171" s="376"/>
      <c r="L171" s="376"/>
      <c r="M171" s="376"/>
      <c r="N171" s="376"/>
      <c r="O171" s="376"/>
    </row>
    <row r="172" spans="1:15" ht="15.75" thickBot="1">
      <c r="A172" s="441" t="s">
        <v>275</v>
      </c>
      <c r="B172" s="424"/>
      <c r="C172" s="425">
        <v>0</v>
      </c>
      <c r="D172" s="424"/>
      <c r="E172" s="433">
        <v>12.33774608125403</v>
      </c>
      <c r="F172" s="434">
        <v>1.6032829555473309</v>
      </c>
      <c r="G172" s="425"/>
      <c r="H172" s="424"/>
      <c r="I172" s="425"/>
      <c r="J172" s="426"/>
      <c r="K172" s="443">
        <v>13.941029036801361</v>
      </c>
      <c r="L172" s="376"/>
      <c r="M172" s="376"/>
      <c r="N172" s="376"/>
      <c r="O172" s="376"/>
    </row>
    <row r="174" spans="1:15" ht="15.75" thickBot="1">
      <c r="A174" s="389" t="s">
        <v>276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</row>
    <row r="175" spans="1:15" ht="15.75" thickBot="1">
      <c r="A175" s="441" t="s">
        <v>277</v>
      </c>
      <c r="B175" s="445">
        <v>9.5621675282366496</v>
      </c>
      <c r="C175" s="446"/>
      <c r="D175" s="445">
        <v>57.161899207510189</v>
      </c>
      <c r="E175" s="446"/>
      <c r="F175" s="445">
        <v>38.539091440653955</v>
      </c>
      <c r="G175" s="446"/>
      <c r="H175" s="445">
        <v>78.339999999999989</v>
      </c>
      <c r="I175" s="446"/>
      <c r="J175" s="442">
        <v>27.355992292578875</v>
      </c>
      <c r="K175" s="443">
        <v>210.95915046897966</v>
      </c>
      <c r="L175" s="376"/>
      <c r="M175" s="376"/>
      <c r="N175" s="376"/>
      <c r="O175" s="376"/>
    </row>
    <row r="176" spans="1:15" ht="15.75" thickBot="1">
      <c r="A176" s="447" t="s">
        <v>278</v>
      </c>
      <c r="B176" s="448"/>
      <c r="C176" s="449"/>
      <c r="D176" s="448"/>
      <c r="E176" s="449"/>
      <c r="F176" s="448"/>
      <c r="G176" s="449"/>
      <c r="H176" s="448"/>
      <c r="I176" s="449"/>
      <c r="J176" s="450"/>
      <c r="K176" s="451"/>
      <c r="L176" s="376"/>
      <c r="M176" s="376"/>
      <c r="N176" s="376"/>
      <c r="O176" s="376"/>
    </row>
    <row r="179" spans="1:11" ht="15.75">
      <c r="A179" s="385" t="s">
        <v>282</v>
      </c>
      <c r="B179" s="387"/>
      <c r="C179" s="387"/>
      <c r="D179" s="387"/>
      <c r="E179" s="387"/>
      <c r="F179" s="387"/>
      <c r="G179" s="386"/>
      <c r="H179" s="387"/>
      <c r="I179" s="387"/>
      <c r="J179" s="387"/>
      <c r="K179" s="387"/>
    </row>
    <row r="181" spans="1:11" ht="15.75" thickBot="1">
      <c r="A181" s="376"/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</row>
    <row r="182" spans="1:11" ht="15">
      <c r="A182" s="376"/>
      <c r="B182" s="391" t="s">
        <v>40</v>
      </c>
      <c r="C182" s="392"/>
      <c r="D182" s="391" t="s">
        <v>51</v>
      </c>
      <c r="E182" s="392"/>
      <c r="F182" s="391" t="s">
        <v>243</v>
      </c>
      <c r="G182" s="392"/>
      <c r="H182" s="391" t="s">
        <v>54</v>
      </c>
      <c r="I182" s="392"/>
      <c r="J182" s="393" t="s">
        <v>244</v>
      </c>
      <c r="K182" s="394" t="s">
        <v>9</v>
      </c>
    </row>
    <row r="183" spans="1:11" ht="15.75" thickBot="1">
      <c r="A183" s="376"/>
      <c r="B183" s="395" t="s">
        <v>245</v>
      </c>
      <c r="C183" s="396" t="s">
        <v>246</v>
      </c>
      <c r="D183" s="395" t="s">
        <v>247</v>
      </c>
      <c r="E183" s="396" t="s">
        <v>248</v>
      </c>
      <c r="F183" s="395" t="s">
        <v>249</v>
      </c>
      <c r="G183" s="396" t="s">
        <v>250</v>
      </c>
      <c r="H183" s="395" t="s">
        <v>251</v>
      </c>
      <c r="I183" s="396" t="s">
        <v>252</v>
      </c>
      <c r="J183" s="397"/>
      <c r="K183" s="398"/>
    </row>
    <row r="185" spans="1:11" ht="15">
      <c r="A185" s="376"/>
      <c r="B185" s="399"/>
      <c r="C185" s="399"/>
      <c r="D185" s="399"/>
      <c r="E185" s="399"/>
      <c r="F185" s="400" t="s">
        <v>253</v>
      </c>
      <c r="G185" s="399"/>
      <c r="H185" s="399"/>
      <c r="I185" s="399"/>
      <c r="J185" s="399"/>
      <c r="K185" s="399"/>
    </row>
    <row r="186" spans="1:11" ht="15.75" thickBot="1">
      <c r="A186" s="376"/>
      <c r="B186" s="376"/>
      <c r="C186" s="376"/>
      <c r="D186" s="376"/>
      <c r="E186" s="376"/>
      <c r="F186" s="376"/>
      <c r="G186" s="376"/>
      <c r="H186" s="376"/>
      <c r="I186" s="376"/>
      <c r="J186" s="376"/>
      <c r="K186" s="376"/>
    </row>
    <row r="187" spans="1:11" ht="15">
      <c r="A187" s="401" t="s">
        <v>254</v>
      </c>
      <c r="B187" s="452">
        <v>7.4530122461198972E-2</v>
      </c>
      <c r="C187" s="403"/>
      <c r="D187" s="453">
        <v>0.9</v>
      </c>
      <c r="E187" s="454">
        <v>0.95</v>
      </c>
      <c r="F187" s="452">
        <v>0.69302545166015628</v>
      </c>
      <c r="G187" s="403"/>
      <c r="H187" s="402" t="s">
        <v>542</v>
      </c>
      <c r="I187" s="403"/>
      <c r="J187" s="455">
        <v>18.111089843750001</v>
      </c>
      <c r="K187" s="456">
        <v>84.577555574121362</v>
      </c>
    </row>
    <row r="188" spans="1:11" ht="15">
      <c r="A188" s="406" t="s">
        <v>257</v>
      </c>
      <c r="B188" s="457"/>
      <c r="C188" s="458"/>
      <c r="D188" s="457"/>
      <c r="E188" s="458"/>
      <c r="F188" s="457"/>
      <c r="G188" s="458"/>
      <c r="H188" s="457"/>
      <c r="I188" s="458"/>
      <c r="J188" s="459"/>
      <c r="K188" s="460"/>
    </row>
    <row r="189" spans="1:11" ht="15">
      <c r="A189" s="406" t="s">
        <v>258</v>
      </c>
      <c r="B189" s="457"/>
      <c r="C189" s="458"/>
      <c r="D189" s="457"/>
      <c r="E189" s="458"/>
      <c r="F189" s="457"/>
      <c r="G189" s="458"/>
      <c r="H189" s="457"/>
      <c r="I189" s="458"/>
      <c r="J189" s="459"/>
      <c r="K189" s="460"/>
    </row>
    <row r="190" spans="1:11" ht="15">
      <c r="A190" s="411" t="s">
        <v>259</v>
      </c>
      <c r="B190" s="461">
        <v>8.7799570312499995</v>
      </c>
      <c r="C190" s="462"/>
      <c r="D190" s="463">
        <v>-0.89273865818638054</v>
      </c>
      <c r="E190" s="464"/>
      <c r="F190" s="463">
        <v>24.81323046875</v>
      </c>
      <c r="G190" s="413"/>
      <c r="H190" s="463">
        <v>-1.7199999999999998</v>
      </c>
      <c r="I190" s="413"/>
      <c r="J190" s="465">
        <v>9.390267578125</v>
      </c>
      <c r="K190" s="466">
        <v>30.980448841813619</v>
      </c>
    </row>
    <row r="191" spans="1:11" ht="15">
      <c r="A191" s="406" t="s">
        <v>260</v>
      </c>
      <c r="B191" s="457"/>
      <c r="C191" s="458"/>
      <c r="D191" s="457"/>
      <c r="E191" s="458"/>
      <c r="F191" s="457"/>
      <c r="G191" s="458"/>
      <c r="H191" s="457"/>
      <c r="I191" s="458"/>
      <c r="J191" s="459"/>
      <c r="K191" s="460"/>
    </row>
    <row r="192" spans="1:11" ht="15.75" thickBot="1">
      <c r="A192" s="416" t="s">
        <v>261</v>
      </c>
      <c r="B192" s="417"/>
      <c r="C192" s="418"/>
      <c r="D192" s="417"/>
      <c r="E192" s="476">
        <v>-1.7752503052503055</v>
      </c>
      <c r="F192" s="417"/>
      <c r="G192" s="418"/>
      <c r="H192" s="417"/>
      <c r="I192" s="418"/>
      <c r="J192" s="419"/>
      <c r="K192" s="420"/>
    </row>
    <row r="193" spans="1:13" ht="15.75" thickBot="1">
      <c r="A193" s="421" t="s">
        <v>262</v>
      </c>
      <c r="B193" s="445">
        <v>8.8544871537111991</v>
      </c>
      <c r="C193" s="446"/>
      <c r="D193" s="434">
        <v>7.2613418136194818E-3</v>
      </c>
      <c r="E193" s="433">
        <v>-0.82525030525030552</v>
      </c>
      <c r="F193" s="434">
        <v>25.506255920410155</v>
      </c>
      <c r="G193" s="425"/>
      <c r="H193" s="434">
        <v>80.240000000000009</v>
      </c>
      <c r="I193" s="425"/>
      <c r="J193" s="442">
        <v>27.501357421874999</v>
      </c>
      <c r="K193" s="442">
        <v>141.28411153255968</v>
      </c>
      <c r="L193" s="376"/>
      <c r="M193" s="376"/>
    </row>
    <row r="194" spans="1:13" ht="15.75" thickBot="1">
      <c r="A194" s="376"/>
      <c r="B194" s="427"/>
      <c r="C194" s="427"/>
      <c r="D194" s="427"/>
      <c r="E194" s="427"/>
      <c r="F194" s="427"/>
      <c r="G194" s="427"/>
      <c r="H194" s="427"/>
      <c r="I194" s="427"/>
      <c r="J194" s="427"/>
      <c r="K194" s="427"/>
      <c r="L194" s="376"/>
      <c r="M194" s="376"/>
    </row>
    <row r="195" spans="1:13" ht="15.75" thickBot="1">
      <c r="A195" s="421" t="s">
        <v>263</v>
      </c>
      <c r="B195" s="428">
        <v>8.4172150422016263E-3</v>
      </c>
      <c r="C195" s="429"/>
      <c r="D195" s="428"/>
      <c r="E195" s="429"/>
      <c r="F195" s="428">
        <v>2.7170802873721502E-2</v>
      </c>
      <c r="G195" s="468"/>
      <c r="H195" s="428">
        <v>1.4971335992023926</v>
      </c>
      <c r="I195" s="429"/>
      <c r="J195" s="430">
        <v>0.65855257854814697</v>
      </c>
      <c r="K195" s="430"/>
      <c r="L195" s="376"/>
      <c r="M195" s="376"/>
    </row>
    <row r="197" spans="1:13" ht="15">
      <c r="A197" s="376"/>
      <c r="B197" s="399"/>
      <c r="C197" s="399"/>
      <c r="D197" s="399"/>
      <c r="E197" s="399"/>
      <c r="F197" s="400" t="s">
        <v>264</v>
      </c>
      <c r="G197" s="399"/>
      <c r="H197" s="399"/>
      <c r="I197" s="399"/>
      <c r="J197" s="399"/>
      <c r="K197" s="399"/>
      <c r="L197" s="376"/>
      <c r="M197" s="376"/>
    </row>
    <row r="199" spans="1:13" ht="15.75" thickBot="1">
      <c r="A199" s="389" t="s">
        <v>265</v>
      </c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</row>
    <row r="200" spans="1:13" ht="15">
      <c r="A200" s="401" t="s">
        <v>266</v>
      </c>
      <c r="B200" s="402"/>
      <c r="C200" s="403"/>
      <c r="D200" s="469"/>
      <c r="E200" s="470"/>
      <c r="F200" s="469"/>
      <c r="G200" s="403"/>
      <c r="H200" s="469"/>
      <c r="I200" s="470"/>
      <c r="J200" s="404"/>
      <c r="K200" s="456">
        <v>0</v>
      </c>
      <c r="L200" s="376"/>
      <c r="M200" s="376"/>
    </row>
    <row r="201" spans="1:13" ht="15">
      <c r="A201" s="406" t="s">
        <v>267</v>
      </c>
      <c r="B201" s="436">
        <v>2.694252235028546</v>
      </c>
      <c r="C201" s="408"/>
      <c r="D201" s="436">
        <v>7.2613418136194437E-3</v>
      </c>
      <c r="E201" s="408"/>
      <c r="F201" s="436">
        <v>4.6065150914549831</v>
      </c>
      <c r="G201" s="408"/>
      <c r="H201" s="436">
        <v>-5.2347616938476556</v>
      </c>
      <c r="I201" s="408"/>
      <c r="J201" s="438">
        <v>4.6981067269184669</v>
      </c>
      <c r="K201" s="471">
        <v>6.7713737013679598</v>
      </c>
      <c r="L201" s="376"/>
      <c r="M201" s="376"/>
    </row>
    <row r="202" spans="1:13" ht="15">
      <c r="A202" s="406" t="s">
        <v>268</v>
      </c>
      <c r="B202" s="436">
        <v>0.22229252624511719</v>
      </c>
      <c r="C202" s="408"/>
      <c r="D202" s="407"/>
      <c r="E202" s="408"/>
      <c r="F202" s="472">
        <v>0.30000000000000004</v>
      </c>
      <c r="G202" s="408"/>
      <c r="H202" s="407"/>
      <c r="I202" s="437">
        <v>4.9266712499999992</v>
      </c>
      <c r="J202" s="473">
        <v>0.47</v>
      </c>
      <c r="K202" s="471">
        <v>5.9189637762451159</v>
      </c>
      <c r="L202" s="376"/>
      <c r="M202" s="376"/>
    </row>
    <row r="203" spans="1:13" ht="15.75" thickBot="1">
      <c r="A203" s="416" t="s">
        <v>270</v>
      </c>
      <c r="B203" s="431">
        <v>0.37421627690662901</v>
      </c>
      <c r="C203" s="418"/>
      <c r="D203" s="431">
        <v>0</v>
      </c>
      <c r="E203" s="432">
        <v>0</v>
      </c>
      <c r="F203" s="431">
        <v>0.738883830733712</v>
      </c>
      <c r="G203" s="418"/>
      <c r="H203" s="417"/>
      <c r="I203" s="432">
        <v>46.135370086790957</v>
      </c>
      <c r="J203" s="474">
        <v>0.47748987558887107</v>
      </c>
      <c r="K203" s="475">
        <v>47.725960070020172</v>
      </c>
      <c r="L203" s="376"/>
      <c r="M203" s="376"/>
    </row>
    <row r="204" spans="1:13" ht="15.75" thickBot="1">
      <c r="A204" s="421" t="s">
        <v>271</v>
      </c>
      <c r="B204" s="434">
        <v>3.2907610381802921</v>
      </c>
      <c r="C204" s="425"/>
      <c r="D204" s="434">
        <v>7.2613418136194437E-3</v>
      </c>
      <c r="E204" s="434">
        <v>0</v>
      </c>
      <c r="F204" s="434">
        <v>5.6453989221886953</v>
      </c>
      <c r="G204" s="433"/>
      <c r="H204" s="434">
        <v>-5.2347616938476556</v>
      </c>
      <c r="I204" s="434">
        <v>51.062041336790955</v>
      </c>
      <c r="J204" s="434">
        <v>5.6455966025073376</v>
      </c>
      <c r="K204" s="442">
        <v>60.416297547633249</v>
      </c>
      <c r="L204" s="376"/>
      <c r="M204" s="376"/>
    </row>
    <row r="206" spans="1:13" ht="15">
      <c r="A206" s="389" t="s">
        <v>272</v>
      </c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</row>
    <row r="207" spans="1:13" ht="15">
      <c r="A207" s="435" t="s">
        <v>59</v>
      </c>
      <c r="B207" s="436">
        <v>4.4968087243421406</v>
      </c>
      <c r="C207" s="437"/>
      <c r="D207" s="436"/>
      <c r="E207" s="437">
        <v>2.2556540186685186</v>
      </c>
      <c r="F207" s="436">
        <v>6.7719719681566328</v>
      </c>
      <c r="G207" s="437"/>
      <c r="H207" s="436"/>
      <c r="I207" s="437">
        <v>9.2075448742798969</v>
      </c>
      <c r="J207" s="437">
        <v>6.6959853233754227</v>
      </c>
      <c r="K207" s="439">
        <v>29.427964908822609</v>
      </c>
      <c r="L207" s="376"/>
      <c r="M207" s="388"/>
    </row>
    <row r="208" spans="1:13" ht="15">
      <c r="A208" s="435" t="s">
        <v>61</v>
      </c>
      <c r="B208" s="436">
        <v>0</v>
      </c>
      <c r="C208" s="437"/>
      <c r="D208" s="436"/>
      <c r="E208" s="437">
        <v>0.63164960879096388</v>
      </c>
      <c r="F208" s="436">
        <v>8.1763980311558164</v>
      </c>
      <c r="G208" s="437"/>
      <c r="H208" s="436"/>
      <c r="I208" s="437">
        <v>11.154028267497784</v>
      </c>
      <c r="J208" s="437">
        <v>10.095056136059902</v>
      </c>
      <c r="K208" s="439">
        <v>30.057132043504467</v>
      </c>
      <c r="L208" s="376"/>
      <c r="M208" s="388"/>
    </row>
    <row r="209" spans="1:13" ht="15">
      <c r="A209" s="435" t="s">
        <v>56</v>
      </c>
      <c r="B209" s="436">
        <v>0</v>
      </c>
      <c r="C209" s="437"/>
      <c r="D209" s="436"/>
      <c r="E209" s="437">
        <v>1.2388620688371836</v>
      </c>
      <c r="F209" s="436">
        <v>2.8347202118580803</v>
      </c>
      <c r="G209" s="437"/>
      <c r="H209" s="436"/>
      <c r="I209" s="437">
        <v>11.095059270432483</v>
      </c>
      <c r="J209" s="437">
        <v>3.0495450742154691</v>
      </c>
      <c r="K209" s="439">
        <v>18.218186625343215</v>
      </c>
      <c r="L209" s="376"/>
      <c r="M209" s="388"/>
    </row>
    <row r="210" spans="1:13" ht="15">
      <c r="A210" s="435" t="s">
        <v>58</v>
      </c>
      <c r="B210" s="436">
        <v>0</v>
      </c>
      <c r="C210" s="437"/>
      <c r="D210" s="436"/>
      <c r="E210" s="437">
        <v>2.233894433005891</v>
      </c>
      <c r="F210" s="436">
        <v>0.30691028349526445</v>
      </c>
      <c r="G210" s="437"/>
      <c r="H210" s="436"/>
      <c r="I210" s="437">
        <v>0.4925996940177888</v>
      </c>
      <c r="J210" s="437">
        <v>2.8541136937055976E-2</v>
      </c>
      <c r="K210" s="439">
        <v>3.0619455474560002</v>
      </c>
      <c r="L210" s="376"/>
      <c r="M210" s="388"/>
    </row>
    <row r="211" spans="1:13" ht="15.75" thickBot="1">
      <c r="A211" s="440" t="s">
        <v>57</v>
      </c>
      <c r="B211" s="436"/>
      <c r="C211" s="432"/>
      <c r="D211" s="431"/>
      <c r="E211" s="437">
        <v>33.606003034102933</v>
      </c>
      <c r="F211" s="436">
        <v>0.45214861670055934</v>
      </c>
      <c r="G211" s="432"/>
      <c r="H211" s="436"/>
      <c r="I211" s="437">
        <v>2.4634882508287639</v>
      </c>
      <c r="J211" s="437">
        <v>4.0896480134148225</v>
      </c>
      <c r="K211" s="439">
        <v>40.611287915047079</v>
      </c>
      <c r="L211" s="376"/>
      <c r="M211" s="388"/>
    </row>
    <row r="212" spans="1:13" ht="15.75" thickBot="1">
      <c r="A212" s="441" t="s">
        <v>273</v>
      </c>
      <c r="B212" s="434">
        <v>4.4968087243421406</v>
      </c>
      <c r="C212" s="433">
        <v>0</v>
      </c>
      <c r="D212" s="434"/>
      <c r="E212" s="433">
        <v>39.966063163405494</v>
      </c>
      <c r="F212" s="434">
        <v>18.542149111366353</v>
      </c>
      <c r="G212" s="433"/>
      <c r="H212" s="434"/>
      <c r="I212" s="433">
        <v>34.412720357056713</v>
      </c>
      <c r="J212" s="433">
        <v>23.958775684002674</v>
      </c>
      <c r="K212" s="443">
        <v>121.37651704017337</v>
      </c>
      <c r="L212" s="376"/>
      <c r="M212" s="376"/>
    </row>
    <row r="214" spans="1:13" ht="15.75" thickBot="1">
      <c r="A214" s="389" t="s">
        <v>274</v>
      </c>
      <c r="B214" s="376"/>
      <c r="C214" s="376"/>
      <c r="D214" s="376"/>
      <c r="E214" s="376"/>
      <c r="F214" s="376"/>
      <c r="G214" s="376"/>
      <c r="H214" s="376"/>
      <c r="I214" s="376"/>
      <c r="J214" s="376"/>
      <c r="K214" s="376"/>
      <c r="L214" s="376"/>
      <c r="M214" s="376"/>
    </row>
    <row r="215" spans="1:13" ht="15.75" thickBot="1">
      <c r="A215" s="441" t="s">
        <v>275</v>
      </c>
      <c r="B215" s="424"/>
      <c r="C215" s="425">
        <v>0</v>
      </c>
      <c r="D215" s="424"/>
      <c r="E215" s="433">
        <v>12.961149153411906</v>
      </c>
      <c r="F215" s="434">
        <v>1.6525506892499897</v>
      </c>
      <c r="G215" s="425"/>
      <c r="H215" s="424"/>
      <c r="I215" s="425"/>
      <c r="J215" s="426"/>
      <c r="K215" s="443">
        <v>14.613699842661896</v>
      </c>
      <c r="L215" s="376"/>
      <c r="M215" s="376"/>
    </row>
    <row r="217" spans="1:13" ht="15.75" thickBot="1">
      <c r="A217" s="389" t="s">
        <v>276</v>
      </c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</row>
    <row r="218" spans="1:13" ht="15.75" thickBot="1">
      <c r="A218" s="441" t="s">
        <v>277</v>
      </c>
      <c r="B218" s="445">
        <v>7.7875697625224323</v>
      </c>
      <c r="C218" s="446"/>
      <c r="D218" s="445">
        <v>52.93447365863102</v>
      </c>
      <c r="E218" s="446"/>
      <c r="F218" s="445">
        <v>25.840098722805035</v>
      </c>
      <c r="G218" s="446"/>
      <c r="H218" s="445">
        <v>80.240000000000009</v>
      </c>
      <c r="I218" s="446"/>
      <c r="J218" s="442">
        <v>29.604372286510014</v>
      </c>
      <c r="K218" s="443">
        <v>196.40651443046852</v>
      </c>
      <c r="L218" s="376"/>
      <c r="M218" s="376"/>
    </row>
    <row r="219" spans="1:13" ht="15.75" thickBot="1">
      <c r="A219" s="447" t="s">
        <v>278</v>
      </c>
      <c r="B219" s="448"/>
      <c r="C219" s="449"/>
      <c r="D219" s="448"/>
      <c r="E219" s="449"/>
      <c r="F219" s="448"/>
      <c r="G219" s="449"/>
      <c r="H219" s="448"/>
      <c r="I219" s="449"/>
      <c r="J219" s="450"/>
      <c r="K219" s="451"/>
      <c r="L219" s="376"/>
      <c r="M219" s="376"/>
    </row>
    <row r="222" spans="1:13" ht="15.75">
      <c r="A222" s="385" t="s">
        <v>283</v>
      </c>
      <c r="B222" s="387"/>
      <c r="C222" s="387"/>
      <c r="D222" s="387"/>
      <c r="E222" s="387"/>
      <c r="F222" s="387"/>
      <c r="G222" s="386"/>
      <c r="H222" s="387"/>
      <c r="I222" s="387"/>
      <c r="J222" s="387"/>
      <c r="K222" s="387"/>
      <c r="L222" s="376"/>
      <c r="M222" s="376"/>
    </row>
    <row r="224" spans="1:13" ht="15.75" thickBot="1">
      <c r="A224" s="376"/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</row>
    <row r="225" spans="1:11" ht="15">
      <c r="A225" s="376"/>
      <c r="B225" s="391" t="s">
        <v>40</v>
      </c>
      <c r="C225" s="392"/>
      <c r="D225" s="391" t="s">
        <v>51</v>
      </c>
      <c r="E225" s="392"/>
      <c r="F225" s="391" t="s">
        <v>243</v>
      </c>
      <c r="G225" s="392"/>
      <c r="H225" s="391" t="s">
        <v>54</v>
      </c>
      <c r="I225" s="392"/>
      <c r="J225" s="393" t="s">
        <v>244</v>
      </c>
      <c r="K225" s="394" t="s">
        <v>9</v>
      </c>
    </row>
    <row r="226" spans="1:11" ht="15.75" thickBot="1">
      <c r="A226" s="376"/>
      <c r="B226" s="395" t="s">
        <v>245</v>
      </c>
      <c r="C226" s="396" t="s">
        <v>246</v>
      </c>
      <c r="D226" s="395" t="s">
        <v>247</v>
      </c>
      <c r="E226" s="396" t="s">
        <v>248</v>
      </c>
      <c r="F226" s="395" t="s">
        <v>249</v>
      </c>
      <c r="G226" s="396" t="s">
        <v>250</v>
      </c>
      <c r="H226" s="395" t="s">
        <v>251</v>
      </c>
      <c r="I226" s="396" t="s">
        <v>252</v>
      </c>
      <c r="J226" s="397"/>
      <c r="K226" s="398"/>
    </row>
    <row r="228" spans="1:11" ht="15">
      <c r="A228" s="376"/>
      <c r="B228" s="376"/>
      <c r="C228" s="399"/>
      <c r="D228" s="399"/>
      <c r="E228" s="399"/>
      <c r="F228" s="400" t="s">
        <v>253</v>
      </c>
      <c r="G228" s="376"/>
      <c r="H228" s="399"/>
      <c r="I228" s="399"/>
      <c r="J228" s="399"/>
      <c r="K228" s="399"/>
    </row>
    <row r="229" spans="1:11" ht="15.75" thickBot="1">
      <c r="A229" s="376"/>
      <c r="B229" s="376"/>
      <c r="C229" s="376"/>
      <c r="D229" s="376"/>
      <c r="E229" s="376"/>
      <c r="F229" s="376"/>
      <c r="G229" s="376"/>
      <c r="H229" s="376"/>
      <c r="I229" s="376"/>
      <c r="J229" s="376"/>
      <c r="K229" s="376"/>
    </row>
    <row r="230" spans="1:11" ht="15">
      <c r="A230" s="401" t="s">
        <v>254</v>
      </c>
      <c r="B230" s="452">
        <v>6.5051580943199766E-2</v>
      </c>
      <c r="C230" s="403"/>
      <c r="D230" s="453">
        <v>0.9</v>
      </c>
      <c r="E230" s="454">
        <v>0.95</v>
      </c>
      <c r="F230" s="452">
        <v>0.72414044189453119</v>
      </c>
      <c r="G230" s="403"/>
      <c r="H230" s="402" t="s">
        <v>543</v>
      </c>
      <c r="I230" s="403"/>
      <c r="J230" s="455">
        <v>18.403472656249999</v>
      </c>
      <c r="K230" s="456">
        <v>86.439192022837744</v>
      </c>
    </row>
    <row r="231" spans="1:11" ht="15">
      <c r="A231" s="406" t="s">
        <v>257</v>
      </c>
      <c r="B231" s="457"/>
      <c r="C231" s="458"/>
      <c r="D231" s="457"/>
      <c r="E231" s="458"/>
      <c r="F231" s="457"/>
      <c r="G231" s="458"/>
      <c r="H231" s="457"/>
      <c r="I231" s="458"/>
      <c r="J231" s="459"/>
      <c r="K231" s="460"/>
    </row>
    <row r="232" spans="1:11" ht="15">
      <c r="A232" s="406" t="s">
        <v>258</v>
      </c>
      <c r="B232" s="457"/>
      <c r="C232" s="458"/>
      <c r="D232" s="457"/>
      <c r="E232" s="458"/>
      <c r="F232" s="457"/>
      <c r="G232" s="458"/>
      <c r="H232" s="457"/>
      <c r="I232" s="458"/>
      <c r="J232" s="459"/>
      <c r="K232" s="460"/>
    </row>
    <row r="233" spans="1:11" ht="15">
      <c r="A233" s="411" t="s">
        <v>259</v>
      </c>
      <c r="B233" s="461">
        <v>7.0980761718750003</v>
      </c>
      <c r="C233" s="462"/>
      <c r="D233" s="463">
        <v>-0.8867887765659006</v>
      </c>
      <c r="E233" s="464"/>
      <c r="F233" s="463">
        <v>17.667375</v>
      </c>
      <c r="G233" s="413"/>
      <c r="H233" s="463">
        <v>-1.7199999999999998</v>
      </c>
      <c r="I233" s="413"/>
      <c r="J233" s="465">
        <v>9.0183427734374995</v>
      </c>
      <c r="K233" s="466">
        <v>22.158662395309101</v>
      </c>
    </row>
    <row r="234" spans="1:11" ht="15">
      <c r="A234" s="406" t="s">
        <v>260</v>
      </c>
      <c r="B234" s="457"/>
      <c r="C234" s="458"/>
      <c r="D234" s="457"/>
      <c r="E234" s="458"/>
      <c r="F234" s="457"/>
      <c r="G234" s="458"/>
      <c r="H234" s="457"/>
      <c r="I234" s="458"/>
      <c r="J234" s="459"/>
      <c r="K234" s="460"/>
    </row>
    <row r="235" spans="1:11" ht="15.75" thickBot="1">
      <c r="A235" s="416" t="s">
        <v>261</v>
      </c>
      <c r="B235" s="417"/>
      <c r="C235" s="418"/>
      <c r="D235" s="417"/>
      <c r="E235" s="476">
        <v>-1.6760622710622708</v>
      </c>
      <c r="F235" s="417"/>
      <c r="G235" s="418"/>
      <c r="H235" s="417"/>
      <c r="I235" s="418"/>
      <c r="J235" s="419"/>
      <c r="K235" s="420"/>
    </row>
    <row r="236" spans="1:11" ht="15.75" thickBot="1">
      <c r="A236" s="421" t="s">
        <v>262</v>
      </c>
      <c r="B236" s="445">
        <v>7.1631277528182</v>
      </c>
      <c r="C236" s="446"/>
      <c r="D236" s="434">
        <v>1.3211223434099417E-2</v>
      </c>
      <c r="E236" s="433">
        <v>-0.72606227106227084</v>
      </c>
      <c r="F236" s="434">
        <v>18.39151544189453</v>
      </c>
      <c r="G236" s="425"/>
      <c r="H236" s="434">
        <v>82.080000000000013</v>
      </c>
      <c r="I236" s="425"/>
      <c r="J236" s="442">
        <v>27.421815429687499</v>
      </c>
      <c r="K236" s="442">
        <v>134.34360757677206</v>
      </c>
    </row>
    <row r="237" spans="1:11" ht="15.75" thickBot="1">
      <c r="A237" s="376"/>
      <c r="B237" s="427"/>
      <c r="C237" s="427"/>
      <c r="D237" s="427"/>
      <c r="E237" s="427"/>
      <c r="F237" s="427"/>
      <c r="G237" s="427"/>
      <c r="H237" s="427"/>
      <c r="I237" s="427"/>
      <c r="J237" s="427"/>
      <c r="K237" s="427"/>
    </row>
    <row r="238" spans="1:11" ht="15.75" thickBot="1">
      <c r="A238" s="421" t="s">
        <v>263</v>
      </c>
      <c r="B238" s="428">
        <v>9.0814492199453554E-3</v>
      </c>
      <c r="C238" s="429"/>
      <c r="D238" s="428"/>
      <c r="E238" s="429"/>
      <c r="F238" s="428">
        <v>3.9373614653036806E-2</v>
      </c>
      <c r="G238" s="468"/>
      <c r="H238" s="428">
        <v>1.4635721247563349</v>
      </c>
      <c r="I238" s="429"/>
      <c r="J238" s="430">
        <v>0.67112524710256671</v>
      </c>
      <c r="K238" s="430"/>
    </row>
    <row r="240" spans="1:11" ht="15">
      <c r="A240" s="376"/>
      <c r="B240" s="399"/>
      <c r="C240" s="399"/>
      <c r="D240" s="399"/>
      <c r="E240" s="399"/>
      <c r="F240" s="400" t="s">
        <v>264</v>
      </c>
      <c r="G240" s="399"/>
      <c r="H240" s="399"/>
      <c r="I240" s="399"/>
      <c r="J240" s="399"/>
      <c r="K240" s="399"/>
    </row>
    <row r="242" spans="1:13" ht="15.75" thickBot="1">
      <c r="A242" s="389" t="s">
        <v>265</v>
      </c>
      <c r="B242" s="376"/>
      <c r="C242" s="376"/>
      <c r="D242" s="376"/>
      <c r="E242" s="376"/>
      <c r="F242" s="376"/>
      <c r="G242" s="376"/>
      <c r="H242" s="376"/>
      <c r="I242" s="376"/>
      <c r="J242" s="376"/>
      <c r="K242" s="376"/>
      <c r="L242" s="376"/>
      <c r="M242" s="376"/>
    </row>
    <row r="243" spans="1:13" ht="15">
      <c r="A243" s="401" t="s">
        <v>266</v>
      </c>
      <c r="B243" s="402"/>
      <c r="C243" s="403"/>
      <c r="D243" s="469"/>
      <c r="E243" s="470"/>
      <c r="F243" s="469"/>
      <c r="G243" s="403"/>
      <c r="H243" s="469"/>
      <c r="I243" s="470"/>
      <c r="J243" s="404"/>
      <c r="K243" s="456">
        <v>0</v>
      </c>
      <c r="L243" s="376"/>
      <c r="M243" s="376"/>
    </row>
    <row r="244" spans="1:13" ht="15">
      <c r="A244" s="406" t="s">
        <v>267</v>
      </c>
      <c r="B244" s="436">
        <v>1.2137039139771648</v>
      </c>
      <c r="C244" s="408"/>
      <c r="D244" s="436">
        <v>1.3211223434099376E-2</v>
      </c>
      <c r="E244" s="408"/>
      <c r="F244" s="436">
        <v>2.2590381235153822</v>
      </c>
      <c r="G244" s="408"/>
      <c r="H244" s="436">
        <v>-3.9678242861328124</v>
      </c>
      <c r="I244" s="408"/>
      <c r="J244" s="438">
        <v>5.0065271955282133</v>
      </c>
      <c r="K244" s="471">
        <v>4.5246561703220474</v>
      </c>
      <c r="L244" s="376"/>
      <c r="M244" s="376"/>
    </row>
    <row r="245" spans="1:13" ht="15">
      <c r="A245" s="406" t="s">
        <v>268</v>
      </c>
      <c r="B245" s="436">
        <v>0.17903288269042969</v>
      </c>
      <c r="C245" s="408"/>
      <c r="D245" s="407"/>
      <c r="E245" s="408"/>
      <c r="F245" s="736">
        <v>0.30000000000000004</v>
      </c>
      <c r="G245" s="737"/>
      <c r="H245" s="736"/>
      <c r="I245" s="738">
        <v>4.9350938749999997</v>
      </c>
      <c r="J245" s="739">
        <v>0.47</v>
      </c>
      <c r="K245" s="471">
        <v>5.8841267576904288</v>
      </c>
      <c r="L245" s="376"/>
      <c r="M245" s="376"/>
    </row>
    <row r="246" spans="1:13" ht="15.75" thickBot="1">
      <c r="A246" s="416" t="s">
        <v>270</v>
      </c>
      <c r="B246" s="431">
        <v>0.29561784513913669</v>
      </c>
      <c r="C246" s="418"/>
      <c r="D246" s="431">
        <v>0</v>
      </c>
      <c r="E246" s="432">
        <v>0</v>
      </c>
      <c r="F246" s="431">
        <v>0.62868284237613237</v>
      </c>
      <c r="G246" s="418"/>
      <c r="H246" s="417"/>
      <c r="I246" s="432">
        <v>46.523416855021672</v>
      </c>
      <c r="J246" s="474">
        <v>0.50536364454582872</v>
      </c>
      <c r="K246" s="475">
        <v>47.953081187082773</v>
      </c>
      <c r="L246" s="376"/>
      <c r="M246" s="376"/>
    </row>
    <row r="247" spans="1:13" ht="15.75" thickBot="1">
      <c r="A247" s="421" t="s">
        <v>271</v>
      </c>
      <c r="B247" s="434">
        <v>1.6883546418067312</v>
      </c>
      <c r="C247" s="425"/>
      <c r="D247" s="434">
        <v>1.3211223434099376E-2</v>
      </c>
      <c r="E247" s="434">
        <v>0</v>
      </c>
      <c r="F247" s="434">
        <v>3.1877209658915144</v>
      </c>
      <c r="G247" s="433"/>
      <c r="H247" s="434">
        <v>-3.9678242861328124</v>
      </c>
      <c r="I247" s="434">
        <v>51.458510730021672</v>
      </c>
      <c r="J247" s="434">
        <v>5.9818908400740423</v>
      </c>
      <c r="K247" s="442">
        <v>58.361864115095251</v>
      </c>
      <c r="L247" s="376"/>
      <c r="M247" s="376"/>
    </row>
    <row r="249" spans="1:13" ht="15">
      <c r="A249" s="389" t="s">
        <v>272</v>
      </c>
      <c r="B249" s="376"/>
      <c r="C249" s="376"/>
      <c r="D249" s="376"/>
      <c r="E249" s="376"/>
      <c r="F249" s="376"/>
      <c r="G249" s="376"/>
      <c r="H249" s="376"/>
      <c r="I249" s="376"/>
      <c r="J249" s="376"/>
      <c r="K249" s="376"/>
      <c r="L249" s="376"/>
      <c r="M249" s="376"/>
    </row>
    <row r="250" spans="1:13" ht="15">
      <c r="A250" s="435" t="s">
        <v>59</v>
      </c>
      <c r="B250" s="436">
        <v>4.4635546527266818</v>
      </c>
      <c r="C250" s="437"/>
      <c r="D250" s="436"/>
      <c r="E250" s="437">
        <v>2.1292091865654883</v>
      </c>
      <c r="F250" s="436">
        <v>5.4307338769198363</v>
      </c>
      <c r="G250" s="437"/>
      <c r="H250" s="436"/>
      <c r="I250" s="437">
        <v>9.4467870268593757</v>
      </c>
      <c r="J250" s="437">
        <v>8.2114932040573922</v>
      </c>
      <c r="K250" s="439">
        <v>29.681777947128772</v>
      </c>
      <c r="L250" s="376"/>
      <c r="M250" s="388"/>
    </row>
    <row r="251" spans="1:13" ht="15">
      <c r="A251" s="435" t="s">
        <v>61</v>
      </c>
      <c r="B251" s="436">
        <v>0</v>
      </c>
      <c r="C251" s="437"/>
      <c r="D251" s="436"/>
      <c r="E251" s="437">
        <v>0.58063453860843672</v>
      </c>
      <c r="F251" s="436">
        <v>6.8360027327246176</v>
      </c>
      <c r="G251" s="437"/>
      <c r="H251" s="436"/>
      <c r="I251" s="437">
        <v>10.809247245284739</v>
      </c>
      <c r="J251" s="437">
        <v>9.7476082780816942</v>
      </c>
      <c r="K251" s="439">
        <v>27.973492794699489</v>
      </c>
      <c r="L251" s="376"/>
      <c r="M251" s="388"/>
    </row>
    <row r="252" spans="1:13" ht="15">
      <c r="A252" s="435" t="s">
        <v>56</v>
      </c>
      <c r="B252" s="436">
        <v>0</v>
      </c>
      <c r="C252" s="437"/>
      <c r="D252" s="436"/>
      <c r="E252" s="437">
        <v>0.94924998645255598</v>
      </c>
      <c r="F252" s="436">
        <v>1.9716658515998611</v>
      </c>
      <c r="G252" s="437"/>
      <c r="H252" s="436"/>
      <c r="I252" s="437">
        <v>11.140289493572306</v>
      </c>
      <c r="J252" s="437">
        <v>3.5594347223329659</v>
      </c>
      <c r="K252" s="439">
        <v>17.62064005395769</v>
      </c>
      <c r="L252" s="376"/>
      <c r="M252" s="388"/>
    </row>
    <row r="253" spans="1:13" ht="15">
      <c r="A253" s="435" t="s">
        <v>58</v>
      </c>
      <c r="B253" s="436">
        <v>0</v>
      </c>
      <c r="C253" s="437"/>
      <c r="D253" s="436"/>
      <c r="E253" s="437">
        <v>1.9973638072190425</v>
      </c>
      <c r="F253" s="436">
        <v>0.26585649049163046</v>
      </c>
      <c r="G253" s="437"/>
      <c r="H253" s="436"/>
      <c r="I253" s="437">
        <v>0.45934924038346103</v>
      </c>
      <c r="J253" s="437">
        <v>4.120430801515132E-2</v>
      </c>
      <c r="K253" s="439">
        <v>2.7637738461092853</v>
      </c>
      <c r="L253" s="376"/>
      <c r="M253" s="388"/>
    </row>
    <row r="254" spans="1:13" ht="15.75" thickBot="1">
      <c r="A254" s="440" t="s">
        <v>57</v>
      </c>
      <c r="B254" s="436"/>
      <c r="C254" s="432"/>
      <c r="D254" s="431"/>
      <c r="E254" s="437">
        <v>32.878888973089218</v>
      </c>
      <c r="F254" s="436">
        <v>0.45729634870622327</v>
      </c>
      <c r="G254" s="432"/>
      <c r="H254" s="436"/>
      <c r="I254" s="437">
        <v>2.7336405500112795</v>
      </c>
      <c r="J254" s="437">
        <v>3.7909146092801418</v>
      </c>
      <c r="K254" s="439">
        <v>39.860740481086864</v>
      </c>
      <c r="L254" s="376"/>
      <c r="M254" s="388"/>
    </row>
    <row r="255" spans="1:13" ht="15.75" thickBot="1">
      <c r="A255" s="441" t="s">
        <v>273</v>
      </c>
      <c r="B255" s="434">
        <v>4.4635546527266818</v>
      </c>
      <c r="C255" s="433">
        <v>0</v>
      </c>
      <c r="D255" s="434"/>
      <c r="E255" s="433">
        <v>38.535346491934739</v>
      </c>
      <c r="F255" s="434">
        <v>14.961555300442168</v>
      </c>
      <c r="G255" s="433"/>
      <c r="H255" s="434"/>
      <c r="I255" s="433">
        <v>34.589313556111158</v>
      </c>
      <c r="J255" s="433">
        <v>25.350655121767346</v>
      </c>
      <c r="K255" s="443">
        <v>117.90042512298209</v>
      </c>
      <c r="L255" s="376"/>
      <c r="M255" s="376"/>
    </row>
    <row r="257" spans="1:11" ht="15.75" thickBot="1">
      <c r="A257" s="389" t="s">
        <v>274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</row>
    <row r="258" spans="1:11" ht="15.75" thickBot="1">
      <c r="A258" s="441" t="s">
        <v>275</v>
      </c>
      <c r="B258" s="424"/>
      <c r="C258" s="425">
        <v>0</v>
      </c>
      <c r="D258" s="424"/>
      <c r="E258" s="433">
        <v>13.47979378973306</v>
      </c>
      <c r="F258" s="434">
        <v>1.6935393320234915</v>
      </c>
      <c r="G258" s="425"/>
      <c r="H258" s="424"/>
      <c r="I258" s="425"/>
      <c r="J258" s="426"/>
      <c r="K258" s="443">
        <v>15.173333121756551</v>
      </c>
    </row>
    <row r="260" spans="1:11" ht="15.75" thickBot="1">
      <c r="A260" s="389" t="s">
        <v>276</v>
      </c>
      <c r="B260" s="376"/>
      <c r="C260" s="376"/>
      <c r="D260" s="376"/>
      <c r="E260" s="376"/>
      <c r="F260" s="376"/>
      <c r="G260" s="376"/>
      <c r="H260" s="376"/>
      <c r="I260" s="376"/>
      <c r="J260" s="376"/>
      <c r="K260" s="376"/>
    </row>
    <row r="261" spans="1:11" ht="15.75" thickBot="1">
      <c r="A261" s="441" t="s">
        <v>277</v>
      </c>
      <c r="B261" s="445">
        <v>6.1519092945334126</v>
      </c>
      <c r="C261" s="446"/>
      <c r="D261" s="445">
        <v>52.028351505101895</v>
      </c>
      <c r="E261" s="446"/>
      <c r="F261" s="445">
        <v>19.842815598357173</v>
      </c>
      <c r="G261" s="446"/>
      <c r="H261" s="445">
        <v>82.080000000000013</v>
      </c>
      <c r="I261" s="446"/>
      <c r="J261" s="442">
        <v>31.33254596184139</v>
      </c>
      <c r="K261" s="443">
        <v>191.43562235983387</v>
      </c>
    </row>
    <row r="262" spans="1:11" ht="15.75" thickBot="1">
      <c r="A262" s="447" t="s">
        <v>278</v>
      </c>
      <c r="B262" s="448"/>
      <c r="C262" s="449"/>
      <c r="D262" s="448"/>
      <c r="E262" s="449"/>
      <c r="F262" s="448"/>
      <c r="G262" s="449"/>
      <c r="H262" s="448"/>
      <c r="I262" s="449"/>
      <c r="J262" s="450"/>
      <c r="K262" s="451"/>
    </row>
    <row r="267" spans="1:11" ht="15">
      <c r="A267" s="376"/>
      <c r="B267" s="388"/>
      <c r="C267" s="388"/>
      <c r="D267" s="388"/>
      <c r="E267" s="388"/>
      <c r="F267" s="388"/>
      <c r="G267" s="388"/>
      <c r="H267" s="388"/>
      <c r="I267" s="388"/>
      <c r="J267" s="388"/>
      <c r="K267" s="388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2" sqref="H22"/>
    </sheetView>
  </sheetViews>
  <sheetFormatPr baseColWidth="10" defaultRowHeight="12.75"/>
  <cols>
    <col min="1" max="1" width="11.42578125" style="122"/>
    <col min="2" max="2" width="38.28515625" style="122" customWidth="1"/>
    <col min="3" max="257" width="11.42578125" style="122"/>
    <col min="258" max="258" width="38.28515625" style="122" customWidth="1"/>
    <col min="259" max="513" width="11.42578125" style="122"/>
    <col min="514" max="514" width="38.28515625" style="122" customWidth="1"/>
    <col min="515" max="769" width="11.42578125" style="122"/>
    <col min="770" max="770" width="38.28515625" style="122" customWidth="1"/>
    <col min="771" max="1025" width="11.42578125" style="122"/>
    <col min="1026" max="1026" width="38.28515625" style="122" customWidth="1"/>
    <col min="1027" max="1281" width="11.42578125" style="122"/>
    <col min="1282" max="1282" width="38.28515625" style="122" customWidth="1"/>
    <col min="1283" max="1537" width="11.42578125" style="122"/>
    <col min="1538" max="1538" width="38.28515625" style="122" customWidth="1"/>
    <col min="1539" max="1793" width="11.42578125" style="122"/>
    <col min="1794" max="1794" width="38.28515625" style="122" customWidth="1"/>
    <col min="1795" max="2049" width="11.42578125" style="122"/>
    <col min="2050" max="2050" width="38.28515625" style="122" customWidth="1"/>
    <col min="2051" max="2305" width="11.42578125" style="122"/>
    <col min="2306" max="2306" width="38.28515625" style="122" customWidth="1"/>
    <col min="2307" max="2561" width="11.42578125" style="122"/>
    <col min="2562" max="2562" width="38.28515625" style="122" customWidth="1"/>
    <col min="2563" max="2817" width="11.42578125" style="122"/>
    <col min="2818" max="2818" width="38.28515625" style="122" customWidth="1"/>
    <col min="2819" max="3073" width="11.42578125" style="122"/>
    <col min="3074" max="3074" width="38.28515625" style="122" customWidth="1"/>
    <col min="3075" max="3329" width="11.42578125" style="122"/>
    <col min="3330" max="3330" width="38.28515625" style="122" customWidth="1"/>
    <col min="3331" max="3585" width="11.42578125" style="122"/>
    <col min="3586" max="3586" width="38.28515625" style="122" customWidth="1"/>
    <col min="3587" max="3841" width="11.42578125" style="122"/>
    <col min="3842" max="3842" width="38.28515625" style="122" customWidth="1"/>
    <col min="3843" max="4097" width="11.42578125" style="122"/>
    <col min="4098" max="4098" width="38.28515625" style="122" customWidth="1"/>
    <col min="4099" max="4353" width="11.42578125" style="122"/>
    <col min="4354" max="4354" width="38.28515625" style="122" customWidth="1"/>
    <col min="4355" max="4609" width="11.42578125" style="122"/>
    <col min="4610" max="4610" width="38.28515625" style="122" customWidth="1"/>
    <col min="4611" max="4865" width="11.42578125" style="122"/>
    <col min="4866" max="4866" width="38.28515625" style="122" customWidth="1"/>
    <col min="4867" max="5121" width="11.42578125" style="122"/>
    <col min="5122" max="5122" width="38.28515625" style="122" customWidth="1"/>
    <col min="5123" max="5377" width="11.42578125" style="122"/>
    <col min="5378" max="5378" width="38.28515625" style="122" customWidth="1"/>
    <col min="5379" max="5633" width="11.42578125" style="122"/>
    <col min="5634" max="5634" width="38.28515625" style="122" customWidth="1"/>
    <col min="5635" max="5889" width="11.42578125" style="122"/>
    <col min="5890" max="5890" width="38.28515625" style="122" customWidth="1"/>
    <col min="5891" max="6145" width="11.42578125" style="122"/>
    <col min="6146" max="6146" width="38.28515625" style="122" customWidth="1"/>
    <col min="6147" max="6401" width="11.42578125" style="122"/>
    <col min="6402" max="6402" width="38.28515625" style="122" customWidth="1"/>
    <col min="6403" max="6657" width="11.42578125" style="122"/>
    <col min="6658" max="6658" width="38.28515625" style="122" customWidth="1"/>
    <col min="6659" max="6913" width="11.42578125" style="122"/>
    <col min="6914" max="6914" width="38.28515625" style="122" customWidth="1"/>
    <col min="6915" max="7169" width="11.42578125" style="122"/>
    <col min="7170" max="7170" width="38.28515625" style="122" customWidth="1"/>
    <col min="7171" max="7425" width="11.42578125" style="122"/>
    <col min="7426" max="7426" width="38.28515625" style="122" customWidth="1"/>
    <col min="7427" max="7681" width="11.42578125" style="122"/>
    <col min="7682" max="7682" width="38.28515625" style="122" customWidth="1"/>
    <col min="7683" max="7937" width="11.42578125" style="122"/>
    <col min="7938" max="7938" width="38.28515625" style="122" customWidth="1"/>
    <col min="7939" max="8193" width="11.42578125" style="122"/>
    <col min="8194" max="8194" width="38.28515625" style="122" customWidth="1"/>
    <col min="8195" max="8449" width="11.42578125" style="122"/>
    <col min="8450" max="8450" width="38.28515625" style="122" customWidth="1"/>
    <col min="8451" max="8705" width="11.42578125" style="122"/>
    <col min="8706" max="8706" width="38.28515625" style="122" customWidth="1"/>
    <col min="8707" max="8961" width="11.42578125" style="122"/>
    <col min="8962" max="8962" width="38.28515625" style="122" customWidth="1"/>
    <col min="8963" max="9217" width="11.42578125" style="122"/>
    <col min="9218" max="9218" width="38.28515625" style="122" customWidth="1"/>
    <col min="9219" max="9473" width="11.42578125" style="122"/>
    <col min="9474" max="9474" width="38.28515625" style="122" customWidth="1"/>
    <col min="9475" max="9729" width="11.42578125" style="122"/>
    <col min="9730" max="9730" width="38.28515625" style="122" customWidth="1"/>
    <col min="9731" max="9985" width="11.42578125" style="122"/>
    <col min="9986" max="9986" width="38.28515625" style="122" customWidth="1"/>
    <col min="9987" max="10241" width="11.42578125" style="122"/>
    <col min="10242" max="10242" width="38.28515625" style="122" customWidth="1"/>
    <col min="10243" max="10497" width="11.42578125" style="122"/>
    <col min="10498" max="10498" width="38.28515625" style="122" customWidth="1"/>
    <col min="10499" max="10753" width="11.42578125" style="122"/>
    <col min="10754" max="10754" width="38.28515625" style="122" customWidth="1"/>
    <col min="10755" max="11009" width="11.42578125" style="122"/>
    <col min="11010" max="11010" width="38.28515625" style="122" customWidth="1"/>
    <col min="11011" max="11265" width="11.42578125" style="122"/>
    <col min="11266" max="11266" width="38.28515625" style="122" customWidth="1"/>
    <col min="11267" max="11521" width="11.42578125" style="122"/>
    <col min="11522" max="11522" width="38.28515625" style="122" customWidth="1"/>
    <col min="11523" max="11777" width="11.42578125" style="122"/>
    <col min="11778" max="11778" width="38.28515625" style="122" customWidth="1"/>
    <col min="11779" max="12033" width="11.42578125" style="122"/>
    <col min="12034" max="12034" width="38.28515625" style="122" customWidth="1"/>
    <col min="12035" max="12289" width="11.42578125" style="122"/>
    <col min="12290" max="12290" width="38.28515625" style="122" customWidth="1"/>
    <col min="12291" max="12545" width="11.42578125" style="122"/>
    <col min="12546" max="12546" width="38.28515625" style="122" customWidth="1"/>
    <col min="12547" max="12801" width="11.42578125" style="122"/>
    <col min="12802" max="12802" width="38.28515625" style="122" customWidth="1"/>
    <col min="12803" max="13057" width="11.42578125" style="122"/>
    <col min="13058" max="13058" width="38.28515625" style="122" customWidth="1"/>
    <col min="13059" max="13313" width="11.42578125" style="122"/>
    <col min="13314" max="13314" width="38.28515625" style="122" customWidth="1"/>
    <col min="13315" max="13569" width="11.42578125" style="122"/>
    <col min="13570" max="13570" width="38.28515625" style="122" customWidth="1"/>
    <col min="13571" max="13825" width="11.42578125" style="122"/>
    <col min="13826" max="13826" width="38.28515625" style="122" customWidth="1"/>
    <col min="13827" max="14081" width="11.42578125" style="122"/>
    <col min="14082" max="14082" width="38.28515625" style="122" customWidth="1"/>
    <col min="14083" max="14337" width="11.42578125" style="122"/>
    <col min="14338" max="14338" width="38.28515625" style="122" customWidth="1"/>
    <col min="14339" max="14593" width="11.42578125" style="122"/>
    <col min="14594" max="14594" width="38.28515625" style="122" customWidth="1"/>
    <col min="14595" max="14849" width="11.42578125" style="122"/>
    <col min="14850" max="14850" width="38.28515625" style="122" customWidth="1"/>
    <col min="14851" max="15105" width="11.42578125" style="122"/>
    <col min="15106" max="15106" width="38.28515625" style="122" customWidth="1"/>
    <col min="15107" max="15361" width="11.42578125" style="122"/>
    <col min="15362" max="15362" width="38.28515625" style="122" customWidth="1"/>
    <col min="15363" max="15617" width="11.42578125" style="122"/>
    <col min="15618" max="15618" width="38.28515625" style="122" customWidth="1"/>
    <col min="15619" max="15873" width="11.42578125" style="122"/>
    <col min="15874" max="15874" width="38.28515625" style="122" customWidth="1"/>
    <col min="15875" max="16129" width="11.42578125" style="122"/>
    <col min="16130" max="16130" width="38.28515625" style="122" customWidth="1"/>
    <col min="16131" max="16384" width="11.42578125" style="122"/>
  </cols>
  <sheetData>
    <row r="1" spans="1:10" ht="24" customHeight="1" thickBot="1">
      <c r="A1" s="481"/>
      <c r="B1" s="483" t="s">
        <v>544</v>
      </c>
      <c r="C1" s="484">
        <v>2010</v>
      </c>
      <c r="D1" s="484">
        <v>2015</v>
      </c>
      <c r="E1" s="484">
        <v>2020</v>
      </c>
      <c r="F1" s="484">
        <v>2025</v>
      </c>
      <c r="G1" s="484">
        <v>2030</v>
      </c>
      <c r="H1" s="484">
        <v>2035</v>
      </c>
      <c r="I1" s="482" t="s">
        <v>537</v>
      </c>
      <c r="J1" s="481"/>
    </row>
    <row r="2" spans="1:10" ht="15.75" thickBot="1">
      <c r="A2" s="481"/>
      <c r="B2" s="485"/>
      <c r="C2" s="486"/>
      <c r="D2" s="486"/>
      <c r="E2" s="486"/>
      <c r="F2" s="486"/>
      <c r="G2" s="486"/>
      <c r="H2" s="486"/>
      <c r="I2" s="481"/>
      <c r="J2" s="481"/>
    </row>
    <row r="3" spans="1:10" ht="30.75" thickBot="1">
      <c r="A3" s="487"/>
      <c r="B3" s="488" t="s">
        <v>284</v>
      </c>
      <c r="C3" s="489">
        <v>17.476028076171875</v>
      </c>
      <c r="D3" s="489">
        <v>12.695288635253906</v>
      </c>
      <c r="E3" s="489">
        <v>12.068521392822266</v>
      </c>
      <c r="F3" s="489">
        <v>24.682907341003418</v>
      </c>
      <c r="G3" s="489">
        <v>15.539915405273439</v>
      </c>
      <c r="H3" s="489">
        <v>11.580116870880127</v>
      </c>
      <c r="I3" s="481"/>
      <c r="J3" s="481"/>
    </row>
    <row r="4" spans="1:10" ht="15">
      <c r="A4" s="487" t="s">
        <v>285</v>
      </c>
      <c r="B4" s="490" t="s">
        <v>40</v>
      </c>
      <c r="C4" s="491">
        <v>5.3207465820312496</v>
      </c>
      <c r="D4" s="491">
        <v>5.2225161132812499</v>
      </c>
      <c r="E4" s="491">
        <v>4.29916796875</v>
      </c>
      <c r="F4" s="491">
        <v>4.3214882812499997</v>
      </c>
      <c r="G4" s="491">
        <v>2.9010854492187499</v>
      </c>
      <c r="H4" s="491">
        <v>1.3912541503906251</v>
      </c>
      <c r="I4" s="481"/>
      <c r="J4" s="481"/>
    </row>
    <row r="5" spans="1:10" ht="15">
      <c r="A5" s="487" t="s">
        <v>286</v>
      </c>
      <c r="B5" s="492" t="s">
        <v>243</v>
      </c>
      <c r="C5" s="493">
        <v>7.5220761718749998</v>
      </c>
      <c r="D5" s="493">
        <v>4.2544003906250003</v>
      </c>
      <c r="E5" s="493">
        <v>3.3711166992187498</v>
      </c>
      <c r="F5" s="493">
        <v>14.899009765624999</v>
      </c>
      <c r="G5" s="493">
        <v>6.5718505859374998</v>
      </c>
      <c r="H5" s="493">
        <v>3.8230466308593751</v>
      </c>
      <c r="I5" s="481"/>
      <c r="J5" s="481"/>
    </row>
    <row r="6" spans="1:10" ht="15">
      <c r="A6" s="487" t="s">
        <v>287</v>
      </c>
      <c r="B6" s="490" t="s">
        <v>68</v>
      </c>
      <c r="C6" s="494">
        <v>2.2465139160156249</v>
      </c>
      <c r="D6" s="494">
        <v>0.54655938720703123</v>
      </c>
      <c r="E6" s="494">
        <v>0.4849151916503906</v>
      </c>
      <c r="F6" s="494">
        <v>0.10049864959716796</v>
      </c>
      <c r="G6" s="494">
        <v>4.3051635742187497E-2</v>
      </c>
      <c r="H6" s="494">
        <v>4.2883472442626955E-2</v>
      </c>
      <c r="I6" s="481"/>
      <c r="J6" s="481"/>
    </row>
    <row r="7" spans="1:10" ht="15">
      <c r="A7" s="487" t="s">
        <v>288</v>
      </c>
      <c r="B7" s="492" t="s">
        <v>289</v>
      </c>
      <c r="C7" s="493">
        <v>2.3866914062500002</v>
      </c>
      <c r="D7" s="493">
        <v>2.6718127441406252</v>
      </c>
      <c r="E7" s="493">
        <v>3.913321533203125</v>
      </c>
      <c r="F7" s="493">
        <v>5.3619106445312497</v>
      </c>
      <c r="G7" s="493">
        <v>6.0239277343750004</v>
      </c>
      <c r="H7" s="493">
        <v>6.3229326171875</v>
      </c>
      <c r="I7" s="481"/>
      <c r="J7" s="481"/>
    </row>
    <row r="8" spans="1:10" ht="15.75" thickBot="1">
      <c r="A8" s="487"/>
      <c r="B8" s="495"/>
      <c r="C8" s="496"/>
      <c r="D8" s="496"/>
      <c r="E8" s="496"/>
      <c r="F8" s="496"/>
      <c r="G8" s="496"/>
      <c r="H8" s="496"/>
      <c r="I8" s="481"/>
      <c r="J8" s="481"/>
    </row>
    <row r="9" spans="1:10" ht="15.75" thickBot="1">
      <c r="A9" s="487"/>
      <c r="B9" s="497" t="s">
        <v>290</v>
      </c>
      <c r="C9" s="498">
        <v>568.57309495863296</v>
      </c>
      <c r="D9" s="498">
        <v>574.21928201833782</v>
      </c>
      <c r="E9" s="498">
        <v>579.28831896972656</v>
      </c>
      <c r="F9" s="498">
        <v>506.83814556884766</v>
      </c>
      <c r="G9" s="498">
        <v>504.70334350585938</v>
      </c>
      <c r="H9" s="498">
        <v>507.86643945312494</v>
      </c>
      <c r="I9" s="481"/>
      <c r="J9" s="481"/>
    </row>
    <row r="10" spans="1:10" ht="15">
      <c r="A10" s="487" t="s">
        <v>291</v>
      </c>
      <c r="B10" s="490" t="s">
        <v>40</v>
      </c>
      <c r="C10" s="499">
        <v>26.315000000000001</v>
      </c>
      <c r="D10" s="499">
        <v>20.720500000000001</v>
      </c>
      <c r="E10" s="499">
        <v>17.057087890624999</v>
      </c>
      <c r="F10" s="499">
        <v>17.145644531249999</v>
      </c>
      <c r="G10" s="499">
        <v>11.5101494140625</v>
      </c>
      <c r="H10" s="499">
        <v>5.5198457031250001</v>
      </c>
      <c r="I10" s="481"/>
      <c r="J10" s="500"/>
    </row>
    <row r="11" spans="1:10" ht="15">
      <c r="A11" s="487"/>
      <c r="B11" s="501" t="s">
        <v>292</v>
      </c>
      <c r="C11" s="499">
        <v>1.9999999494757504E-7</v>
      </c>
      <c r="D11" s="499">
        <v>1.9999999494757504E-7</v>
      </c>
      <c r="E11" s="499">
        <v>1.9999999494757504E-7</v>
      </c>
      <c r="F11" s="499">
        <v>1.9999999494757504E-7</v>
      </c>
      <c r="G11" s="499">
        <v>0</v>
      </c>
      <c r="H11" s="499">
        <v>0</v>
      </c>
      <c r="I11" s="481"/>
      <c r="J11" s="481"/>
    </row>
    <row r="12" spans="1:10" ht="15">
      <c r="A12" s="487" t="s">
        <v>293</v>
      </c>
      <c r="B12" s="492" t="s">
        <v>243</v>
      </c>
      <c r="C12" s="502">
        <v>22.415256225585935</v>
      </c>
      <c r="D12" s="502">
        <v>14.761364257812501</v>
      </c>
      <c r="E12" s="502">
        <v>11.935041015625</v>
      </c>
      <c r="F12" s="502">
        <v>55.737625000000001</v>
      </c>
      <c r="G12" s="502">
        <v>23.723378906250002</v>
      </c>
      <c r="H12" s="502">
        <v>13.0085029296875</v>
      </c>
      <c r="I12" s="481"/>
      <c r="J12" s="481"/>
    </row>
    <row r="13" spans="1:10" ht="15">
      <c r="A13" s="487" t="s">
        <v>294</v>
      </c>
      <c r="B13" s="503" t="s">
        <v>295</v>
      </c>
      <c r="C13" s="502">
        <v>0.99167999267578122</v>
      </c>
      <c r="D13" s="502">
        <v>0.62803765869140626</v>
      </c>
      <c r="E13" s="502">
        <v>0.44395602416992186</v>
      </c>
      <c r="F13" s="502">
        <v>3.0040617675781252</v>
      </c>
      <c r="G13" s="502">
        <v>1.0591036376953125</v>
      </c>
      <c r="H13" s="502">
        <v>0.63711132812500004</v>
      </c>
      <c r="I13" s="481"/>
      <c r="J13" s="481"/>
    </row>
    <row r="14" spans="1:10" ht="15">
      <c r="A14" s="487" t="s">
        <v>296</v>
      </c>
      <c r="B14" s="503" t="s">
        <v>297</v>
      </c>
      <c r="C14" s="502">
        <v>8.3313037109374992</v>
      </c>
      <c r="D14" s="502">
        <v>5.3984970703124997</v>
      </c>
      <c r="E14" s="502">
        <v>4.3167270507812496</v>
      </c>
      <c r="F14" s="502">
        <v>19.60105859375</v>
      </c>
      <c r="G14" s="502">
        <v>7.9569296874999997</v>
      </c>
      <c r="H14" s="502">
        <v>3.8262375488281251</v>
      </c>
      <c r="I14" s="481"/>
      <c r="J14" s="481"/>
    </row>
    <row r="15" spans="1:10" ht="15">
      <c r="A15" s="487" t="s">
        <v>298</v>
      </c>
      <c r="B15" s="503" t="s">
        <v>299</v>
      </c>
      <c r="C15" s="502">
        <v>11.8520166015625</v>
      </c>
      <c r="D15" s="502">
        <v>8.7348300781250003</v>
      </c>
      <c r="E15" s="502">
        <v>7.1743579101562496</v>
      </c>
      <c r="F15" s="502">
        <v>33.132503906250001</v>
      </c>
      <c r="G15" s="502">
        <v>14.7073447265625</v>
      </c>
      <c r="H15" s="502">
        <v>8.5451542968749994</v>
      </c>
      <c r="I15" s="481"/>
      <c r="J15" s="481"/>
    </row>
    <row r="16" spans="1:10" ht="15">
      <c r="A16" s="487" t="s">
        <v>300</v>
      </c>
      <c r="B16" s="503" t="s">
        <v>292</v>
      </c>
      <c r="C16" s="502">
        <v>9.999999747378752E-8</v>
      </c>
      <c r="D16" s="502">
        <v>9.999999747378752E-8</v>
      </c>
      <c r="E16" s="502">
        <v>9.999999747378752E-8</v>
      </c>
      <c r="F16" s="502">
        <v>9.999999747378752E-8</v>
      </c>
      <c r="G16" s="502">
        <v>0</v>
      </c>
      <c r="H16" s="502">
        <v>0</v>
      </c>
      <c r="I16" s="481"/>
      <c r="J16" s="481"/>
    </row>
    <row r="17" spans="1:9" ht="15">
      <c r="A17" s="487" t="s">
        <v>301</v>
      </c>
      <c r="B17" s="490" t="s">
        <v>68</v>
      </c>
      <c r="C17" s="499">
        <v>5.8209999999999997</v>
      </c>
      <c r="D17" s="499">
        <v>2.4941176757812502</v>
      </c>
      <c r="E17" s="499">
        <v>2.22941162109375</v>
      </c>
      <c r="F17" s="499">
        <v>0.46470587158203125</v>
      </c>
      <c r="G17" s="499">
        <v>0.2</v>
      </c>
      <c r="H17" s="499">
        <v>0.2</v>
      </c>
    </row>
    <row r="18" spans="1:9" ht="15">
      <c r="A18" s="487"/>
      <c r="B18" s="501" t="s">
        <v>295</v>
      </c>
      <c r="C18" s="499">
        <v>4.3209999999999997</v>
      </c>
      <c r="D18" s="499">
        <v>0.99411767578125021</v>
      </c>
      <c r="E18" s="499">
        <v>0.72941162109375002</v>
      </c>
      <c r="F18" s="499">
        <v>0.46470587158203125</v>
      </c>
      <c r="G18" s="499">
        <v>0.2</v>
      </c>
      <c r="H18" s="499">
        <v>0.2</v>
      </c>
    </row>
    <row r="19" spans="1:9" ht="15">
      <c r="A19" s="487"/>
      <c r="B19" s="501" t="s">
        <v>302</v>
      </c>
      <c r="C19" s="499">
        <v>1.5</v>
      </c>
      <c r="D19" s="499">
        <v>1.5</v>
      </c>
      <c r="E19" s="499">
        <v>1.5</v>
      </c>
      <c r="F19" s="499">
        <v>0</v>
      </c>
      <c r="G19" s="499">
        <v>0</v>
      </c>
      <c r="H19" s="499">
        <v>0</v>
      </c>
    </row>
    <row r="20" spans="1:9" ht="15">
      <c r="A20" s="487" t="s">
        <v>303</v>
      </c>
      <c r="B20" s="492" t="s">
        <v>159</v>
      </c>
      <c r="C20" s="502">
        <v>1.3427437744140625</v>
      </c>
      <c r="D20" s="502">
        <v>2.065470947265625</v>
      </c>
      <c r="E20" s="502">
        <v>1.860099609375</v>
      </c>
      <c r="F20" s="502">
        <v>2.5223049316406252</v>
      </c>
      <c r="G20" s="502">
        <v>3.6407897949218748</v>
      </c>
      <c r="H20" s="502">
        <v>4.30797900390625</v>
      </c>
    </row>
    <row r="21" spans="1:9" ht="15">
      <c r="A21" s="487" t="s">
        <v>304</v>
      </c>
      <c r="B21" s="490" t="s">
        <v>305</v>
      </c>
      <c r="C21" s="499">
        <v>6.8</v>
      </c>
      <c r="D21" s="499">
        <v>8.8072080078125001</v>
      </c>
      <c r="E21" s="499">
        <v>13.359825195312499</v>
      </c>
      <c r="F21" s="499">
        <v>19.093964843750001</v>
      </c>
      <c r="G21" s="499">
        <v>21.795003906249999</v>
      </c>
      <c r="H21" s="499">
        <v>23.101164062500001</v>
      </c>
    </row>
    <row r="22" spans="1:9" ht="15">
      <c r="A22" s="487"/>
      <c r="B22" s="492" t="s">
        <v>24</v>
      </c>
      <c r="C22" s="502">
        <v>428.52100010000004</v>
      </c>
      <c r="D22" s="502">
        <v>429.22525000000002</v>
      </c>
      <c r="E22" s="502">
        <v>409.31544140624999</v>
      </c>
      <c r="F22" s="502">
        <v>252.36469628906249</v>
      </c>
      <c r="G22" s="502">
        <v>253.59831054687498</v>
      </c>
      <c r="H22" s="502">
        <v>255.87552734374998</v>
      </c>
    </row>
    <row r="23" spans="1:9" ht="15">
      <c r="A23" s="487" t="s">
        <v>306</v>
      </c>
      <c r="B23" s="504" t="s">
        <v>307</v>
      </c>
      <c r="C23" s="499">
        <v>428.52100000000002</v>
      </c>
      <c r="D23" s="499">
        <v>429.22525000000002</v>
      </c>
      <c r="E23" s="499">
        <v>398.53253124999998</v>
      </c>
      <c r="F23" s="499">
        <v>240.99439062499999</v>
      </c>
      <c r="G23" s="499">
        <v>239.620234375</v>
      </c>
      <c r="H23" s="499">
        <v>200.9766875</v>
      </c>
      <c r="I23" s="731">
        <f>(H22)/C22-1</f>
        <v>-0.40288684268906627</v>
      </c>
    </row>
    <row r="24" spans="1:9" ht="15">
      <c r="A24" s="487" t="s">
        <v>308</v>
      </c>
      <c r="B24" s="504" t="s">
        <v>309</v>
      </c>
      <c r="C24" s="499">
        <v>9.999999747378752E-8</v>
      </c>
      <c r="D24" s="499">
        <v>0</v>
      </c>
      <c r="E24" s="499">
        <v>10.782910156250001</v>
      </c>
      <c r="F24" s="499">
        <v>11.370305664062499</v>
      </c>
      <c r="G24" s="499">
        <v>13.978076171874999</v>
      </c>
      <c r="H24" s="499">
        <v>54.898839843749997</v>
      </c>
    </row>
    <row r="25" spans="1:9" ht="15">
      <c r="A25" s="487" t="s">
        <v>310</v>
      </c>
      <c r="B25" s="492" t="s">
        <v>311</v>
      </c>
      <c r="C25" s="502">
        <v>66.825000000000003</v>
      </c>
      <c r="D25" s="502">
        <v>70.539320312499996</v>
      </c>
      <c r="E25" s="502">
        <v>66.784226562499995</v>
      </c>
      <c r="F25" s="502">
        <v>67.287312499999999</v>
      </c>
      <c r="G25" s="502">
        <v>67.785023437500001</v>
      </c>
      <c r="H25" s="502">
        <v>68.281835937500006</v>
      </c>
    </row>
    <row r="26" spans="1:9" ht="15">
      <c r="A26" s="487" t="s">
        <v>312</v>
      </c>
      <c r="B26" s="490" t="s">
        <v>155</v>
      </c>
      <c r="C26" s="499">
        <v>0.56409484863281245</v>
      </c>
      <c r="D26" s="499">
        <v>5.6606210937499997</v>
      </c>
      <c r="E26" s="499">
        <v>14.610263671875</v>
      </c>
      <c r="F26" s="499">
        <v>21.89887109375</v>
      </c>
      <c r="G26" s="499">
        <v>30.575521484374999</v>
      </c>
      <c r="H26" s="499">
        <v>43.57934765625</v>
      </c>
    </row>
    <row r="27" spans="1:9" ht="15">
      <c r="A27" s="487" t="s">
        <v>313</v>
      </c>
      <c r="B27" s="492" t="s">
        <v>21</v>
      </c>
      <c r="C27" s="502">
        <v>9.9689999999999994</v>
      </c>
      <c r="D27" s="502">
        <v>19.945429687499999</v>
      </c>
      <c r="E27" s="502">
        <v>40.251007812499999</v>
      </c>
      <c r="F27" s="502">
        <v>66.921820312500003</v>
      </c>
      <c r="G27" s="502">
        <v>86.175375000000003</v>
      </c>
      <c r="H27" s="502">
        <v>87.197382812499995</v>
      </c>
    </row>
    <row r="28" spans="1:9" ht="15">
      <c r="A28" s="487" t="s">
        <v>314</v>
      </c>
      <c r="B28" s="503" t="s">
        <v>315</v>
      </c>
      <c r="C28" s="502">
        <v>9.9689999999999994</v>
      </c>
      <c r="D28" s="502">
        <v>19.945429687499999</v>
      </c>
      <c r="E28" s="502">
        <v>34.706687500000001</v>
      </c>
      <c r="F28" s="502">
        <v>51.182464843749997</v>
      </c>
      <c r="G28" s="502">
        <v>63.922796875000003</v>
      </c>
      <c r="H28" s="502">
        <v>64.6946171875</v>
      </c>
    </row>
    <row r="29" spans="1:9" ht="15">
      <c r="A29" s="487" t="s">
        <v>316</v>
      </c>
      <c r="B29" s="503" t="s">
        <v>317</v>
      </c>
      <c r="C29" s="502">
        <v>2.8566928449436089E-8</v>
      </c>
      <c r="D29" s="502">
        <v>3.5719662264455111E-8</v>
      </c>
      <c r="E29" s="502">
        <v>5.5443188476562497</v>
      </c>
      <c r="F29" s="502">
        <v>15.7393515625</v>
      </c>
      <c r="G29" s="502">
        <v>22.252576171874999</v>
      </c>
      <c r="H29" s="502">
        <v>22.502761718750001</v>
      </c>
    </row>
    <row r="30" spans="1:9" ht="15">
      <c r="A30" s="487" t="s">
        <v>318</v>
      </c>
      <c r="B30" s="490" t="s">
        <v>319</v>
      </c>
      <c r="C30" s="499">
        <v>9.9999997473787516E-9</v>
      </c>
      <c r="D30" s="499">
        <v>3.591600034269504E-8</v>
      </c>
      <c r="E30" s="499">
        <v>1.8859141845703125</v>
      </c>
      <c r="F30" s="499">
        <v>3.4012001953125002</v>
      </c>
      <c r="G30" s="499">
        <v>5.6997910156250002</v>
      </c>
      <c r="H30" s="499">
        <v>6.7948540039062504</v>
      </c>
    </row>
    <row r="31" spans="1:9" ht="15.75" thickBot="1">
      <c r="A31" s="487"/>
      <c r="B31" s="505"/>
      <c r="C31" s="505"/>
      <c r="D31" s="505"/>
      <c r="E31" s="505"/>
      <c r="F31" s="505"/>
      <c r="G31" s="505"/>
      <c r="H31" s="505"/>
    </row>
    <row r="32" spans="1:9" ht="15.75" thickBot="1">
      <c r="A32" s="487" t="s">
        <v>320</v>
      </c>
      <c r="B32" s="506" t="s">
        <v>321</v>
      </c>
      <c r="C32" s="507">
        <v>35.414000000000001</v>
      </c>
      <c r="D32" s="507">
        <v>34.943085937500001</v>
      </c>
      <c r="E32" s="507">
        <v>35.100203125</v>
      </c>
      <c r="F32" s="507">
        <v>33.833695312499998</v>
      </c>
      <c r="G32" s="507">
        <v>32.279267578125001</v>
      </c>
      <c r="H32" s="507">
        <v>32.329703125000002</v>
      </c>
    </row>
    <row r="33" spans="1:8" ht="15.75" thickBot="1">
      <c r="A33" s="487"/>
      <c r="B33" s="508"/>
      <c r="C33" s="509"/>
      <c r="D33" s="509"/>
      <c r="E33" s="509"/>
      <c r="F33" s="509"/>
      <c r="G33" s="509"/>
      <c r="H33" s="509"/>
    </row>
    <row r="34" spans="1:8" ht="15.75" thickBot="1">
      <c r="A34" s="487" t="s">
        <v>322</v>
      </c>
      <c r="B34" s="506" t="s">
        <v>323</v>
      </c>
      <c r="C34" s="507">
        <v>58.261520467353819</v>
      </c>
      <c r="D34" s="507">
        <v>58.840083621077156</v>
      </c>
      <c r="E34" s="507">
        <v>59.359506370257009</v>
      </c>
      <c r="F34" s="507">
        <v>51.93555807251748</v>
      </c>
      <c r="G34" s="507">
        <v>51.71680552303993</v>
      </c>
      <c r="H34" s="507">
        <v>52.040927049200469</v>
      </c>
    </row>
    <row r="35" spans="1:8" ht="15.75" thickBot="1">
      <c r="A35" s="487"/>
      <c r="B35" s="510"/>
      <c r="C35" s="511"/>
      <c r="D35" s="511"/>
      <c r="E35" s="511"/>
      <c r="F35" s="511"/>
      <c r="G35" s="511"/>
      <c r="H35" s="511"/>
    </row>
    <row r="36" spans="1:8" ht="15.75" thickBot="1">
      <c r="A36" s="487" t="s">
        <v>324</v>
      </c>
      <c r="B36" s="506" t="s">
        <v>325</v>
      </c>
      <c r="C36" s="507">
        <v>30.749000726744189</v>
      </c>
      <c r="D36" s="507">
        <v>43.077841115552332</v>
      </c>
      <c r="E36" s="507">
        <v>45.00000283884448</v>
      </c>
      <c r="F36" s="507">
        <v>10</v>
      </c>
      <c r="G36" s="507">
        <v>20</v>
      </c>
      <c r="H36" s="507">
        <v>20</v>
      </c>
    </row>
    <row r="37" spans="1:8" ht="15.75" thickBot="1">
      <c r="A37" s="487" t="s">
        <v>326</v>
      </c>
      <c r="B37" s="510"/>
      <c r="C37" s="511"/>
      <c r="D37" s="511"/>
      <c r="E37" s="511"/>
      <c r="F37" s="511"/>
      <c r="G37" s="512"/>
      <c r="H37" s="511"/>
    </row>
    <row r="38" spans="1:8" ht="15.75" thickBot="1">
      <c r="A38" s="487" t="s">
        <v>327</v>
      </c>
      <c r="B38" s="513" t="s">
        <v>328</v>
      </c>
      <c r="C38" s="507">
        <v>444.14857376453494</v>
      </c>
      <c r="D38" s="507">
        <v>437.35827134420833</v>
      </c>
      <c r="E38" s="507">
        <v>439.82860663562508</v>
      </c>
      <c r="F38" s="507">
        <v>411.0688921838302</v>
      </c>
      <c r="G38" s="507">
        <v>400.7072704046945</v>
      </c>
      <c r="H38" s="507">
        <v>403.49580927892447</v>
      </c>
    </row>
    <row r="39" spans="1:8" ht="15.75" thickBot="1">
      <c r="A39" s="487"/>
      <c r="B39" s="514"/>
      <c r="C39" s="515"/>
      <c r="D39" s="515"/>
      <c r="E39" s="515"/>
      <c r="F39" s="515"/>
      <c r="G39" s="516"/>
      <c r="H39" s="515"/>
    </row>
    <row r="40" spans="1:8" ht="15.75" thickBot="1">
      <c r="A40" s="487" t="s">
        <v>329</v>
      </c>
      <c r="B40" s="497" t="s">
        <v>330</v>
      </c>
      <c r="C40" s="498">
        <v>125.26963083885742</v>
      </c>
      <c r="D40" s="498">
        <v>132.59797495506834</v>
      </c>
      <c r="E40" s="498">
        <v>143.79621926879884</v>
      </c>
      <c r="F40" s="498">
        <v>136.61857693481443</v>
      </c>
      <c r="G40" s="498">
        <v>149.27509838867186</v>
      </c>
      <c r="H40" s="498">
        <v>161.81760388183594</v>
      </c>
    </row>
    <row r="41" spans="1:8" ht="15">
      <c r="A41" s="487" t="s">
        <v>331</v>
      </c>
      <c r="B41" s="490" t="s">
        <v>40</v>
      </c>
      <c r="C41" s="499">
        <v>7.2575004882812504</v>
      </c>
      <c r="D41" s="499">
        <v>4.0663969726562499</v>
      </c>
      <c r="E41" s="499">
        <v>2.7423796386718751</v>
      </c>
      <c r="F41" s="499">
        <v>2.4509565429687501</v>
      </c>
      <c r="G41" s="499">
        <v>2.1904965820312499</v>
      </c>
      <c r="H41" s="499">
        <v>1.95768505859375</v>
      </c>
    </row>
    <row r="42" spans="1:8" ht="15">
      <c r="A42" s="487"/>
      <c r="B42" s="501" t="s">
        <v>292</v>
      </c>
      <c r="C42" s="499">
        <v>1.9999999494757504E-7</v>
      </c>
      <c r="D42" s="499">
        <v>1.9999999494757504E-7</v>
      </c>
      <c r="E42" s="499">
        <v>1.9999999494757504E-7</v>
      </c>
      <c r="F42" s="499">
        <v>1.9999999494757504E-7</v>
      </c>
      <c r="G42" s="499">
        <v>2.352941082790494E-7</v>
      </c>
      <c r="H42" s="499">
        <v>1.1622014571912587E-6</v>
      </c>
    </row>
    <row r="43" spans="1:8" ht="15">
      <c r="A43" s="487" t="s">
        <v>332</v>
      </c>
      <c r="B43" s="492" t="s">
        <v>243</v>
      </c>
      <c r="C43" s="502">
        <v>7.0598715820312501</v>
      </c>
      <c r="D43" s="502">
        <v>12.2428740234375</v>
      </c>
      <c r="E43" s="502">
        <v>12.292232421874999</v>
      </c>
      <c r="F43" s="502">
        <v>12.064597656249999</v>
      </c>
      <c r="G43" s="502">
        <v>11.22808984375</v>
      </c>
      <c r="H43" s="502">
        <v>9.8692978515625001</v>
      </c>
    </row>
    <row r="44" spans="1:8" ht="15">
      <c r="A44" s="487" t="s">
        <v>333</v>
      </c>
      <c r="B44" s="503" t="s">
        <v>295</v>
      </c>
      <c r="C44" s="502">
        <v>0.4277622985839844</v>
      </c>
      <c r="D44" s="502">
        <v>0.76298150634765627</v>
      </c>
      <c r="E44" s="502">
        <v>0.92141552734374998</v>
      </c>
      <c r="F44" s="502">
        <v>0.87725238037109377</v>
      </c>
      <c r="G44" s="502">
        <v>0.77496789550781253</v>
      </c>
      <c r="H44" s="502">
        <v>0.65909692382812501</v>
      </c>
    </row>
    <row r="45" spans="1:8" ht="15">
      <c r="A45" s="487" t="s">
        <v>334</v>
      </c>
      <c r="B45" s="503" t="s">
        <v>297</v>
      </c>
      <c r="C45" s="502">
        <v>3.3302497558593749</v>
      </c>
      <c r="D45" s="502">
        <v>4.4717045898437497</v>
      </c>
      <c r="E45" s="502">
        <v>4.3626279296875001</v>
      </c>
      <c r="F45" s="502">
        <v>4.1791567382812502</v>
      </c>
      <c r="G45" s="502">
        <v>3.7990187988281252</v>
      </c>
      <c r="H45" s="502">
        <v>3.3472990722656251</v>
      </c>
    </row>
    <row r="46" spans="1:8" ht="15">
      <c r="A46" s="487" t="s">
        <v>335</v>
      </c>
      <c r="B46" s="503" t="s">
        <v>299</v>
      </c>
      <c r="C46" s="502">
        <v>3.3018596191406249</v>
      </c>
      <c r="D46" s="502">
        <v>7.0081884765625002</v>
      </c>
      <c r="E46" s="502">
        <v>7.0081879882812501</v>
      </c>
      <c r="F46" s="502">
        <v>7.0081879882812501</v>
      </c>
      <c r="G46" s="502">
        <v>6.6541030273437496</v>
      </c>
      <c r="H46" s="502">
        <v>5.86290185546875</v>
      </c>
    </row>
    <row r="47" spans="1:8" ht="15">
      <c r="A47" s="487" t="s">
        <v>336</v>
      </c>
      <c r="B47" s="503" t="s">
        <v>292</v>
      </c>
      <c r="C47" s="502">
        <v>9.999999747378752E-8</v>
      </c>
      <c r="D47" s="502">
        <v>9.999999747378752E-8</v>
      </c>
      <c r="E47" s="502">
        <v>9.999999747378752E-8</v>
      </c>
      <c r="F47" s="502">
        <v>9.999999747378752E-8</v>
      </c>
      <c r="G47" s="502">
        <v>1.1111111234640703E-7</v>
      </c>
      <c r="H47" s="502">
        <v>1.1111111234640703E-7</v>
      </c>
    </row>
    <row r="48" spans="1:8" ht="15">
      <c r="A48" s="487" t="s">
        <v>337</v>
      </c>
      <c r="B48" s="490" t="s">
        <v>68</v>
      </c>
      <c r="C48" s="499">
        <v>13.244166015625</v>
      </c>
      <c r="D48" s="499">
        <v>10.049530273437499</v>
      </c>
      <c r="E48" s="499">
        <v>6.4621162109375003</v>
      </c>
      <c r="F48" s="499">
        <v>5.4448466796875001</v>
      </c>
      <c r="G48" s="499">
        <v>2.3433515625000001</v>
      </c>
      <c r="H48" s="499">
        <v>2.3433515625000001</v>
      </c>
    </row>
    <row r="49" spans="1:9" ht="15">
      <c r="A49" s="487"/>
      <c r="B49" s="501" t="s">
        <v>295</v>
      </c>
      <c r="C49" s="499">
        <v>12.994166015625</v>
      </c>
      <c r="D49" s="499">
        <v>9.7995302734374992</v>
      </c>
      <c r="E49" s="499">
        <v>6.2121162109375003</v>
      </c>
      <c r="F49" s="499">
        <v>5.4448466796875001</v>
      </c>
      <c r="G49" s="499">
        <v>2.3433515625000001</v>
      </c>
      <c r="H49" s="499">
        <v>2.3433515625000001</v>
      </c>
    </row>
    <row r="50" spans="1:9" ht="15">
      <c r="A50" s="487"/>
      <c r="B50" s="501" t="s">
        <v>302</v>
      </c>
      <c r="C50" s="499">
        <v>0.25</v>
      </c>
      <c r="D50" s="499">
        <v>0.25</v>
      </c>
      <c r="E50" s="499">
        <v>0.25</v>
      </c>
      <c r="F50" s="499">
        <v>0</v>
      </c>
      <c r="G50" s="499">
        <v>0</v>
      </c>
      <c r="H50" s="499">
        <v>0</v>
      </c>
    </row>
    <row r="51" spans="1:9" ht="15">
      <c r="A51" s="487" t="s">
        <v>338</v>
      </c>
      <c r="B51" s="492" t="s">
        <v>159</v>
      </c>
      <c r="C51" s="502">
        <v>0.41679244995117187</v>
      </c>
      <c r="D51" s="502">
        <v>0.43575021362304689</v>
      </c>
      <c r="E51" s="502">
        <v>0.37938192749023436</v>
      </c>
      <c r="F51" s="502">
        <v>0.47913021850585935</v>
      </c>
      <c r="G51" s="502">
        <v>0.63401782226562498</v>
      </c>
      <c r="H51" s="502">
        <v>0.72385485839843755</v>
      </c>
    </row>
    <row r="52" spans="1:9" ht="15">
      <c r="A52" s="487" t="s">
        <v>339</v>
      </c>
      <c r="B52" s="490" t="s">
        <v>305</v>
      </c>
      <c r="C52" s="499">
        <v>1.2250002441406249</v>
      </c>
      <c r="D52" s="499">
        <v>1.6390035400390626</v>
      </c>
      <c r="E52" s="499">
        <v>2.3136906738281251</v>
      </c>
      <c r="F52" s="499">
        <v>3.3274333496093749</v>
      </c>
      <c r="G52" s="499">
        <v>3.8613420410156252</v>
      </c>
      <c r="H52" s="499">
        <v>4.4456767578124996</v>
      </c>
    </row>
    <row r="53" spans="1:9" ht="15">
      <c r="A53" s="487" t="s">
        <v>340</v>
      </c>
      <c r="B53" s="492" t="s">
        <v>24</v>
      </c>
      <c r="C53" s="502">
        <v>63.13</v>
      </c>
      <c r="D53" s="502">
        <v>63.13</v>
      </c>
      <c r="E53" s="502">
        <v>60.6496953125</v>
      </c>
      <c r="F53" s="502">
        <v>36.477179687499998</v>
      </c>
      <c r="G53" s="502">
        <v>36.817117187500003</v>
      </c>
      <c r="H53" s="502">
        <v>37.346019531250001</v>
      </c>
    </row>
    <row r="54" spans="1:9" ht="15">
      <c r="A54" s="487" t="s">
        <v>341</v>
      </c>
      <c r="B54" s="501" t="s">
        <v>342</v>
      </c>
      <c r="C54" s="499">
        <v>63.13</v>
      </c>
      <c r="D54" s="499">
        <v>63.13</v>
      </c>
      <c r="E54" s="499">
        <v>59.049695312499999</v>
      </c>
      <c r="F54" s="499">
        <v>34.877179687500004</v>
      </c>
      <c r="G54" s="499">
        <v>34.847875000000002</v>
      </c>
      <c r="H54" s="499">
        <v>29.412173828124999</v>
      </c>
    </row>
    <row r="55" spans="1:9" ht="15">
      <c r="A55" s="487" t="s">
        <v>343</v>
      </c>
      <c r="B55" s="501" t="s">
        <v>309</v>
      </c>
      <c r="C55" s="499">
        <v>9.999999747378752E-8</v>
      </c>
      <c r="D55" s="499">
        <v>9.999999747378752E-8</v>
      </c>
      <c r="E55" s="499">
        <v>1.6</v>
      </c>
      <c r="F55" s="499">
        <v>1.6</v>
      </c>
      <c r="G55" s="499">
        <v>1.9692408447265626</v>
      </c>
      <c r="H55" s="499">
        <v>7.9338457031249998</v>
      </c>
      <c r="I55" s="731">
        <f>(H54+H55)/C54-1</f>
        <v>-0.40842674590131478</v>
      </c>
    </row>
    <row r="56" spans="1:9" ht="15">
      <c r="A56" s="487" t="s">
        <v>344</v>
      </c>
      <c r="B56" s="492" t="s">
        <v>311</v>
      </c>
      <c r="C56" s="502">
        <v>25.658000000000001</v>
      </c>
      <c r="D56" s="502">
        <v>25.665083984374998</v>
      </c>
      <c r="E56" s="502">
        <v>26.214515625000001</v>
      </c>
      <c r="F56" s="502">
        <v>26.307804687499999</v>
      </c>
      <c r="G56" s="502">
        <v>26.503201171874998</v>
      </c>
      <c r="H56" s="502">
        <v>26.697873046874999</v>
      </c>
    </row>
    <row r="57" spans="1:9" ht="15">
      <c r="A57" s="487" t="s">
        <v>345</v>
      </c>
      <c r="B57" s="490" t="s">
        <v>155</v>
      </c>
      <c r="C57" s="499">
        <v>1.198300048828125</v>
      </c>
      <c r="D57" s="499">
        <v>5.3899228515625</v>
      </c>
      <c r="E57" s="499">
        <v>13.54668359375</v>
      </c>
      <c r="F57" s="499">
        <v>19.93767578125</v>
      </c>
      <c r="G57" s="499">
        <v>27.404765625</v>
      </c>
      <c r="H57" s="499">
        <v>38.6667109375</v>
      </c>
    </row>
    <row r="58" spans="1:9" ht="15">
      <c r="A58" s="487" t="s">
        <v>346</v>
      </c>
      <c r="B58" s="492" t="s">
        <v>21</v>
      </c>
      <c r="C58" s="502">
        <v>6.08</v>
      </c>
      <c r="D58" s="502">
        <v>9.9794130859374999</v>
      </c>
      <c r="E58" s="502">
        <v>18.670433593750001</v>
      </c>
      <c r="F58" s="502">
        <v>29.181964843749999</v>
      </c>
      <c r="G58" s="502">
        <v>36.705738281249999</v>
      </c>
      <c r="H58" s="502">
        <v>37.821914062499999</v>
      </c>
    </row>
    <row r="59" spans="1:9" ht="15">
      <c r="A59" s="487" t="s">
        <v>347</v>
      </c>
      <c r="B59" s="501" t="s">
        <v>348</v>
      </c>
      <c r="C59" s="499">
        <v>6.08</v>
      </c>
      <c r="D59" s="499">
        <v>9.9794130859374999</v>
      </c>
      <c r="E59" s="499">
        <v>17.162226562499999</v>
      </c>
      <c r="F59" s="499">
        <v>25.004958984375001</v>
      </c>
      <c r="G59" s="499">
        <v>30.917185546875</v>
      </c>
      <c r="H59" s="499">
        <v>31.902505859375001</v>
      </c>
    </row>
    <row r="60" spans="1:9" ht="15">
      <c r="A60" s="487" t="s">
        <v>349</v>
      </c>
      <c r="B60" s="501" t="s">
        <v>350</v>
      </c>
      <c r="C60" s="499">
        <v>9.9999997473787516E-9</v>
      </c>
      <c r="D60" s="499">
        <v>9.9999997473787516E-9</v>
      </c>
      <c r="E60" s="499">
        <v>1.5082075195312501</v>
      </c>
      <c r="F60" s="499">
        <v>4.1770053710937498</v>
      </c>
      <c r="G60" s="499">
        <v>5.7885517578124999</v>
      </c>
      <c r="H60" s="499">
        <v>5.9194086914062503</v>
      </c>
    </row>
    <row r="61" spans="1:9" ht="15">
      <c r="A61" s="487" t="s">
        <v>351</v>
      </c>
      <c r="B61" s="492" t="s">
        <v>319</v>
      </c>
      <c r="C61" s="502">
        <v>9.9999997473787516E-9</v>
      </c>
      <c r="D61" s="502">
        <v>9.9999997473787516E-9</v>
      </c>
      <c r="E61" s="502">
        <v>0.52509027099609373</v>
      </c>
      <c r="F61" s="502">
        <v>0.94698748779296871</v>
      </c>
      <c r="G61" s="502">
        <v>1.586978271484375</v>
      </c>
      <c r="H61" s="502">
        <v>1.9452202148437501</v>
      </c>
    </row>
    <row r="62" spans="1:9" ht="15.75" thickBot="1">
      <c r="A62" s="487"/>
      <c r="B62" s="495"/>
      <c r="C62" s="517"/>
      <c r="D62" s="517"/>
      <c r="E62" s="517"/>
      <c r="F62" s="517"/>
      <c r="G62" s="517"/>
      <c r="H62" s="517"/>
    </row>
    <row r="63" spans="1:9" ht="15.75" thickBot="1">
      <c r="A63" s="487" t="s">
        <v>352</v>
      </c>
      <c r="B63" s="497" t="s">
        <v>353</v>
      </c>
      <c r="C63" s="498">
        <v>4538.39599609375</v>
      </c>
      <c r="D63" s="498">
        <v>4331.052734375</v>
      </c>
      <c r="E63" s="498">
        <v>4030.00341796875</v>
      </c>
      <c r="F63" s="498">
        <v>3713.19775390625</v>
      </c>
      <c r="G63" s="498">
        <v>3386.845703125</v>
      </c>
      <c r="H63" s="498">
        <v>3146.62060546875</v>
      </c>
    </row>
    <row r="64" spans="1:9" ht="15">
      <c r="A64" s="487" t="s">
        <v>354</v>
      </c>
      <c r="B64" s="490" t="s">
        <v>40</v>
      </c>
      <c r="C64" s="518">
        <v>3625.903993047064</v>
      </c>
      <c r="D64" s="518">
        <v>5095.542845258653</v>
      </c>
      <c r="E64" s="518">
        <v>6219.8127677485554</v>
      </c>
      <c r="F64" s="518">
        <v>6995.4910381569371</v>
      </c>
      <c r="G64" s="518">
        <v>5254.5845122429391</v>
      </c>
      <c r="H64" s="518">
        <v>2819.5779902871768</v>
      </c>
    </row>
    <row r="65" spans="1:8" ht="15">
      <c r="A65" s="487" t="s">
        <v>355</v>
      </c>
      <c r="B65" s="492" t="s">
        <v>243</v>
      </c>
      <c r="C65" s="519">
        <v>3175.023223175494</v>
      </c>
      <c r="D65" s="519">
        <v>1205.7107040024798</v>
      </c>
      <c r="E65" s="519">
        <v>970.94169765173422</v>
      </c>
      <c r="F65" s="519">
        <v>4619.9323498471931</v>
      </c>
      <c r="G65" s="519">
        <v>2112.8597327225139</v>
      </c>
      <c r="H65" s="519">
        <v>1318.0778536973635</v>
      </c>
    </row>
    <row r="66" spans="1:8" ht="15">
      <c r="A66" s="487" t="s">
        <v>356</v>
      </c>
      <c r="B66" s="490" t="s">
        <v>68</v>
      </c>
      <c r="C66" s="518">
        <v>439.51427316243161</v>
      </c>
      <c r="D66" s="518">
        <v>248.18251280595655</v>
      </c>
      <c r="E66" s="518">
        <v>344.99714154325227</v>
      </c>
      <c r="F66" s="518">
        <v>85.347834185241453</v>
      </c>
      <c r="G66" s="518">
        <v>85.347842466552649</v>
      </c>
      <c r="H66" s="520">
        <v>85.347842466552649</v>
      </c>
    </row>
    <row r="67" spans="1:8" ht="15">
      <c r="A67" s="487"/>
      <c r="B67" s="501" t="s">
        <v>295</v>
      </c>
      <c r="C67" s="518">
        <v>332.53384594318391</v>
      </c>
      <c r="D67" s="518">
        <v>101.44544157140825</v>
      </c>
      <c r="E67" s="518">
        <v>117.41757499795243</v>
      </c>
      <c r="F67" s="518">
        <v>85.347834185241453</v>
      </c>
      <c r="G67" s="518">
        <v>85.347842466552649</v>
      </c>
      <c r="H67" s="518">
        <v>85.347842466552649</v>
      </c>
    </row>
    <row r="68" spans="1:8" ht="15">
      <c r="A68" s="487"/>
      <c r="B68" s="501" t="s">
        <v>302</v>
      </c>
      <c r="C68" s="518">
        <v>6000</v>
      </c>
      <c r="D68" s="518">
        <v>6000</v>
      </c>
      <c r="E68" s="518">
        <v>6000</v>
      </c>
      <c r="F68" s="518" t="s">
        <v>357</v>
      </c>
      <c r="G68" s="518" t="s">
        <v>357</v>
      </c>
      <c r="H68" s="518" t="s">
        <v>357</v>
      </c>
    </row>
    <row r="69" spans="1:8" ht="15">
      <c r="A69" s="487" t="s">
        <v>358</v>
      </c>
      <c r="B69" s="492" t="s">
        <v>159</v>
      </c>
      <c r="C69" s="519">
        <v>3221.6125185841724</v>
      </c>
      <c r="D69" s="519">
        <v>4740.0342735170643</v>
      </c>
      <c r="E69" s="519">
        <v>4902.9736911305054</v>
      </c>
      <c r="F69" s="519">
        <v>5264.3411628393869</v>
      </c>
      <c r="G69" s="519">
        <v>5742.4092305666245</v>
      </c>
      <c r="H69" s="519">
        <v>5951.4403390727439</v>
      </c>
    </row>
    <row r="70" spans="1:8" ht="15">
      <c r="A70" s="487" t="s">
        <v>359</v>
      </c>
      <c r="B70" s="490" t="s">
        <v>305</v>
      </c>
      <c r="C70" s="520">
        <v>5551.0193018536147</v>
      </c>
      <c r="D70" s="518">
        <v>5373.5137189530396</v>
      </c>
      <c r="E70" s="518">
        <v>5774.2486264198633</v>
      </c>
      <c r="F70" s="518">
        <v>5738.3462980532859</v>
      </c>
      <c r="G70" s="518">
        <v>5644.411625476565</v>
      </c>
      <c r="H70" s="518">
        <v>5196.321127464731</v>
      </c>
    </row>
    <row r="71" spans="1:8" ht="15">
      <c r="A71" s="487" t="s">
        <v>360</v>
      </c>
      <c r="B71" s="492" t="s">
        <v>24</v>
      </c>
      <c r="C71" s="519">
        <v>6787.9138301916682</v>
      </c>
      <c r="D71" s="519">
        <v>6799.0693806431173</v>
      </c>
      <c r="E71" s="519">
        <v>6748.8457987667653</v>
      </c>
      <c r="F71" s="519">
        <v>6918.4267657497339</v>
      </c>
      <c r="G71" s="519">
        <v>6888.0545224484777</v>
      </c>
      <c r="H71" s="519">
        <v>6851.4805742454346</v>
      </c>
    </row>
    <row r="72" spans="1:8" ht="15">
      <c r="A72" s="487" t="s">
        <v>361</v>
      </c>
      <c r="B72" s="490" t="s">
        <v>311</v>
      </c>
      <c r="C72" s="518">
        <v>2604.4508535349601</v>
      </c>
      <c r="D72" s="518">
        <v>2748.4546847945094</v>
      </c>
      <c r="E72" s="518">
        <v>2547.6048277165141</v>
      </c>
      <c r="F72" s="518">
        <v>2557.693935289522</v>
      </c>
      <c r="G72" s="518">
        <v>2557.6164553824901</v>
      </c>
      <c r="H72" s="518">
        <v>2557.5758719660416</v>
      </c>
    </row>
    <row r="73" spans="1:8" ht="15">
      <c r="A73" s="487"/>
      <c r="B73" s="492" t="s">
        <v>155</v>
      </c>
      <c r="C73" s="521">
        <v>470.74591141381313</v>
      </c>
      <c r="D73" s="519">
        <v>1050.2230272385116</v>
      </c>
      <c r="E73" s="519">
        <v>1078.5122108126673</v>
      </c>
      <c r="F73" s="519">
        <v>1098.3662957517029</v>
      </c>
      <c r="G73" s="519">
        <v>1115.7008931498572</v>
      </c>
      <c r="H73" s="519">
        <v>1127.0508041578887</v>
      </c>
    </row>
    <row r="74" spans="1:8" ht="15">
      <c r="A74" s="487" t="s">
        <v>362</v>
      </c>
      <c r="B74" s="490" t="s">
        <v>21</v>
      </c>
      <c r="C74" s="518">
        <v>1639.6381578947369</v>
      </c>
      <c r="D74" s="518">
        <v>1998.6575879503496</v>
      </c>
      <c r="E74" s="518">
        <v>2155.8689363258377</v>
      </c>
      <c r="F74" s="518">
        <v>2293.2595755913562</v>
      </c>
      <c r="G74" s="518">
        <v>2347.7357774334714</v>
      </c>
      <c r="H74" s="518">
        <v>2305.4725011644828</v>
      </c>
    </row>
    <row r="75" spans="1:8" ht="15.75" thickBot="1">
      <c r="A75" s="487"/>
      <c r="B75" s="495"/>
      <c r="C75" s="517"/>
      <c r="D75" s="517"/>
      <c r="E75" s="517"/>
      <c r="F75" s="517"/>
      <c r="G75" s="517"/>
      <c r="H75" s="5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Sankey 2035</vt:lpstr>
      <vt:lpstr>Cibles THREEME</vt:lpstr>
      <vt:lpstr>FLUX 2015</vt:lpstr>
      <vt:lpstr>FLUX 2020</vt:lpstr>
      <vt:lpstr>FLUX 2025</vt:lpstr>
      <vt:lpstr>FLUX 2030</vt:lpstr>
      <vt:lpstr>FLUX 2035</vt:lpstr>
      <vt:lpstr>bilan complet</vt:lpstr>
      <vt:lpstr>électricité</vt:lpstr>
      <vt:lpstr>scenario demande</vt:lpstr>
      <vt:lpstr>Réseaux de chaleur</vt:lpstr>
      <vt:lpstr>indicateurs ams1</vt:lpstr>
      <vt:lpstr>indicateurs ams2</vt:lpstr>
      <vt:lpstr>Feuil1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MEUNIER Laurent</dc:creator>
  <cp:lastModifiedBy>CALLONNEC Gaël</cp:lastModifiedBy>
  <cp:lastPrinted>2013-04-25T09:27:42Z</cp:lastPrinted>
  <dcterms:created xsi:type="dcterms:W3CDTF">2013-03-21T08:07:58Z</dcterms:created>
  <dcterms:modified xsi:type="dcterms:W3CDTF">2017-01-04T14:51:34Z</dcterms:modified>
</cp:coreProperties>
</file>