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esktop\GitHub\ThreeME\data\calibrations\"/>
    </mc:Choice>
  </mc:AlternateContent>
  <bookViews>
    <workbookView xWindow="9585" yWindow="5730" windowWidth="9630" windowHeight="5745" activeTab="1"/>
  </bookViews>
  <sheets>
    <sheet name="Sankey 2035" sheetId="15" r:id="rId1"/>
    <sheet name="Cibles THREEME" sheetId="14" r:id="rId2"/>
    <sheet name="FLUX 2015" sheetId="29" r:id="rId3"/>
    <sheet name="FLUX 2020" sheetId="28" r:id="rId4"/>
    <sheet name="FLUX 2025" sheetId="27" r:id="rId5"/>
    <sheet name="FLUX 2030" sheetId="25" r:id="rId6"/>
    <sheet name="FLUX 2035" sheetId="26" r:id="rId7"/>
    <sheet name="bilan complet" sheetId="16" r:id="rId8"/>
    <sheet name="électricité" sheetId="17" r:id="rId9"/>
    <sheet name="scenario demande" sheetId="18" r:id="rId10"/>
    <sheet name="Réseaux de chaleur" sheetId="23" r:id="rId11"/>
    <sheet name="indicateurs" sheetId="24" r:id="rId12"/>
  </sheets>
  <externalReferences>
    <externalReference r:id="rId13"/>
  </externalReferences>
  <calcPr calcId="162913"/>
</workbook>
</file>

<file path=xl/calcChain.xml><?xml version="1.0" encoding="utf-8"?>
<calcChain xmlns="http://schemas.openxmlformats.org/spreadsheetml/2006/main">
  <c r="AP20" i="14" l="1"/>
  <c r="AO20" i="14"/>
  <c r="AN20" i="14"/>
  <c r="AM20" i="14"/>
  <c r="AP19" i="14"/>
  <c r="AO19" i="14"/>
  <c r="AN19" i="14"/>
  <c r="AM19" i="14"/>
  <c r="AP18" i="14"/>
  <c r="AO18" i="14"/>
  <c r="AN18" i="14"/>
  <c r="AM18" i="14"/>
  <c r="AP17" i="14"/>
  <c r="AO17" i="14"/>
  <c r="AN17" i="14"/>
  <c r="AM17" i="14"/>
  <c r="AP15" i="14"/>
  <c r="AO15" i="14"/>
  <c r="AN15" i="14"/>
  <c r="AM15" i="14"/>
  <c r="AP14" i="14"/>
  <c r="AO14" i="14"/>
  <c r="AN14" i="14"/>
  <c r="AM14" i="14"/>
  <c r="AP13" i="14"/>
  <c r="AO13" i="14"/>
  <c r="AN13" i="14"/>
  <c r="AM13" i="14"/>
  <c r="AP12" i="14"/>
  <c r="AO12" i="14"/>
  <c r="AN12" i="14"/>
  <c r="AM12" i="14"/>
  <c r="AP11" i="14"/>
  <c r="AO11" i="14"/>
  <c r="AN11" i="14"/>
  <c r="AM11" i="14"/>
  <c r="AP10" i="14"/>
  <c r="AO10" i="14"/>
  <c r="AN10" i="14"/>
  <c r="AM10" i="14"/>
  <c r="AP9" i="14"/>
  <c r="AO9" i="14"/>
  <c r="AN9" i="14"/>
  <c r="AM9" i="14"/>
  <c r="AP8" i="14"/>
  <c r="AO8" i="14"/>
  <c r="AN8" i="14"/>
  <c r="AM8" i="14"/>
  <c r="AP7" i="14"/>
  <c r="AO7" i="14"/>
  <c r="AN7" i="14"/>
  <c r="AM7" i="14"/>
  <c r="AP6" i="14"/>
  <c r="AO6" i="14"/>
  <c r="AN6" i="14"/>
  <c r="AM6" i="14"/>
  <c r="AP5" i="14"/>
  <c r="AO5" i="14"/>
  <c r="AN5" i="14"/>
  <c r="AM5" i="14"/>
  <c r="AP4" i="14"/>
  <c r="AO4" i="14"/>
  <c r="AN4" i="14"/>
  <c r="AM4" i="14"/>
  <c r="AX18" i="14"/>
  <c r="AW18" i="14"/>
  <c r="AV18" i="14"/>
  <c r="AU18" i="14"/>
  <c r="AX13" i="14"/>
  <c r="AW13" i="14"/>
  <c r="AV13" i="14"/>
  <c r="AU13" i="14"/>
  <c r="AX12" i="14"/>
  <c r="AW12" i="14"/>
  <c r="AV12" i="14"/>
  <c r="AU12" i="14"/>
  <c r="AX11" i="14"/>
  <c r="AW11" i="14"/>
  <c r="AV11" i="14"/>
  <c r="AU11" i="14"/>
  <c r="AX10" i="14"/>
  <c r="AW10" i="14"/>
  <c r="AV10" i="14"/>
  <c r="AU10" i="14"/>
  <c r="AX9" i="14"/>
  <c r="AW9" i="14"/>
  <c r="AV9" i="14"/>
  <c r="AU9" i="14"/>
  <c r="AX8" i="14"/>
  <c r="AW8" i="14"/>
  <c r="AV8" i="14"/>
  <c r="AU8" i="14"/>
  <c r="AX6" i="14"/>
  <c r="AX22" i="14" s="1"/>
  <c r="AW6" i="14"/>
  <c r="AV6" i="14"/>
  <c r="AU6" i="14"/>
  <c r="AX20" i="14"/>
  <c r="AW20" i="14"/>
  <c r="AV20" i="14" s="1"/>
  <c r="AU20" i="14" s="1"/>
  <c r="AX19" i="14"/>
  <c r="AW19" i="14"/>
  <c r="AV19" i="14" s="1"/>
  <c r="AU19" i="14" s="1"/>
  <c r="AX17" i="14"/>
  <c r="AW17" i="14"/>
  <c r="AV17" i="14" s="1"/>
  <c r="AU17" i="14" s="1"/>
  <c r="AX16" i="14"/>
  <c r="AW16" i="14"/>
  <c r="AV16" i="14" s="1"/>
  <c r="AU16" i="14" s="1"/>
  <c r="AX15" i="14"/>
  <c r="AW15" i="14"/>
  <c r="AV15" i="14" s="1"/>
  <c r="AU15" i="14" s="1"/>
  <c r="AX14" i="14"/>
  <c r="AW14" i="14"/>
  <c r="AV14" i="14" s="1"/>
  <c r="AU14" i="14" s="1"/>
  <c r="AX7" i="14"/>
  <c r="AW7" i="14"/>
  <c r="AV7" i="14" s="1"/>
  <c r="AU7" i="14" s="1"/>
  <c r="AX5" i="14"/>
  <c r="AW5" i="14"/>
  <c r="AV5" i="14" s="1"/>
  <c r="AU5" i="14" s="1"/>
  <c r="AX4" i="14"/>
  <c r="AW4" i="14"/>
  <c r="AV4" i="14" s="1"/>
  <c r="AU4" i="14" s="1"/>
  <c r="AA13" i="14" l="1"/>
  <c r="Z13" i="14"/>
  <c r="AA8" i="14"/>
  <c r="AG8" i="14"/>
  <c r="AA4" i="14"/>
  <c r="AI20" i="14"/>
  <c r="AI15" i="14"/>
  <c r="AI14" i="14"/>
  <c r="AI13" i="14"/>
  <c r="AC13" i="14" s="1"/>
  <c r="AI8" i="14"/>
  <c r="AI7" i="14"/>
  <c r="AI6" i="14"/>
  <c r="AI4" i="14"/>
  <c r="AH20" i="14"/>
  <c r="AH15" i="14"/>
  <c r="AH14" i="14"/>
  <c r="AH13" i="14"/>
  <c r="AH8" i="14"/>
  <c r="AH7" i="14"/>
  <c r="AH6" i="14"/>
  <c r="AH4" i="14"/>
  <c r="AG20" i="14"/>
  <c r="AG15" i="14"/>
  <c r="AG14" i="14"/>
  <c r="AG13" i="14"/>
  <c r="AG7" i="14"/>
  <c r="AG6" i="14"/>
  <c r="AG4" i="14"/>
  <c r="AC20" i="14"/>
  <c r="AI19" i="14"/>
  <c r="AI18" i="14"/>
  <c r="AI17" i="14"/>
  <c r="AI16" i="14"/>
  <c r="AH16" i="14" s="1"/>
  <c r="AG16" i="14" s="1"/>
  <c r="AI12" i="14"/>
  <c r="AH12" i="14" s="1"/>
  <c r="AG12" i="14" s="1"/>
  <c r="AI11" i="14"/>
  <c r="AI10" i="14"/>
  <c r="AI9" i="14"/>
  <c r="AI5" i="14"/>
  <c r="AB20" i="14"/>
  <c r="AH19" i="14"/>
  <c r="AH18" i="14"/>
  <c r="AH17" i="14"/>
  <c r="AB17" i="14" s="1"/>
  <c r="AH11" i="14"/>
  <c r="AH10" i="14"/>
  <c r="AG10" i="14" s="1"/>
  <c r="AH9" i="14"/>
  <c r="AB9" i="14" s="1"/>
  <c r="AH5" i="14"/>
  <c r="AB5" i="14" s="1"/>
  <c r="AG19" i="14"/>
  <c r="AG18" i="14"/>
  <c r="AG11" i="14"/>
  <c r="AF20" i="14"/>
  <c r="AF15" i="14"/>
  <c r="AF14" i="14"/>
  <c r="AF13" i="14"/>
  <c r="AF8" i="14"/>
  <c r="AF7" i="14"/>
  <c r="AF6" i="14"/>
  <c r="AF4" i="14"/>
  <c r="AB19" i="14"/>
  <c r="AB18" i="14"/>
  <c r="AB13" i="14"/>
  <c r="J19" i="15"/>
  <c r="I43" i="15"/>
  <c r="J13" i="15" s="1"/>
  <c r="I30" i="15"/>
  <c r="J12" i="15" s="1"/>
  <c r="J11" i="15"/>
  <c r="J8" i="15"/>
  <c r="I32" i="15"/>
  <c r="I31" i="15"/>
  <c r="J6" i="15" s="1"/>
  <c r="J28" i="15"/>
  <c r="I28" i="15"/>
  <c r="J5" i="15" s="1"/>
  <c r="I33" i="15"/>
  <c r="J4" i="15"/>
  <c r="I27" i="15"/>
  <c r="J2" i="15" s="1"/>
  <c r="AB10" i="14"/>
  <c r="AC18" i="14"/>
  <c r="AC19" i="14"/>
  <c r="AB16" i="14"/>
  <c r="AC17" i="14"/>
  <c r="AC10" i="14"/>
  <c r="AB11" i="14"/>
  <c r="AC11" i="14"/>
  <c r="AC5" i="14"/>
  <c r="AG9" i="14" l="1"/>
  <c r="AG5" i="14"/>
  <c r="AG17" i="14"/>
  <c r="AB12" i="14"/>
  <c r="AC12" i="14"/>
  <c r="Q18" i="14"/>
  <c r="Q22" i="14"/>
  <c r="O122" i="18" l="1"/>
  <c r="O363" i="18"/>
  <c r="E5" i="14" l="1"/>
  <c r="D5" i="14"/>
  <c r="K39" i="29"/>
  <c r="K40" i="29" s="1"/>
  <c r="G39" i="28"/>
  <c r="K39" i="28"/>
  <c r="K40" i="28" s="1"/>
  <c r="K39" i="27"/>
  <c r="B5" i="14" s="1"/>
  <c r="K40" i="25"/>
  <c r="K39" i="25"/>
  <c r="G39" i="25" s="1"/>
  <c r="K39" i="26"/>
  <c r="F5" i="14" s="1"/>
  <c r="K40" i="27" l="1"/>
  <c r="K40" i="26"/>
  <c r="G39" i="29"/>
  <c r="C5" i="14"/>
  <c r="K5" i="14" s="1"/>
  <c r="G39" i="26"/>
  <c r="G39" i="27"/>
  <c r="H18" i="15"/>
  <c r="I59" i="15"/>
  <c r="H58" i="15"/>
  <c r="I54" i="15"/>
  <c r="H54" i="15"/>
  <c r="I53" i="15"/>
  <c r="I52" i="15" s="1"/>
  <c r="H53" i="15"/>
  <c r="I51" i="15"/>
  <c r="H51" i="15"/>
  <c r="I47" i="15"/>
  <c r="H47" i="15"/>
  <c r="I44" i="15"/>
  <c r="I45" i="15" s="1"/>
  <c r="H44" i="15"/>
  <c r="H45" i="15" s="1"/>
  <c r="H14" i="15" s="1"/>
  <c r="O14" i="15" s="1"/>
  <c r="I40" i="15"/>
  <c r="J40" i="15" s="1"/>
  <c r="H40" i="15"/>
  <c r="I38" i="15"/>
  <c r="J9" i="15" s="1"/>
  <c r="K37" i="15"/>
  <c r="I37" i="15"/>
  <c r="I36" i="15"/>
  <c r="J10" i="15" s="1"/>
  <c r="I35" i="15"/>
  <c r="J62" i="15"/>
  <c r="N62" i="15" s="1"/>
  <c r="P62" i="15" s="1"/>
  <c r="I60" i="15"/>
  <c r="L51" i="15"/>
  <c r="I49" i="15"/>
  <c r="L50" i="15"/>
  <c r="L49" i="15" s="1"/>
  <c r="J50" i="15"/>
  <c r="M49" i="15"/>
  <c r="P48" i="15"/>
  <c r="N48" i="15"/>
  <c r="J48" i="15"/>
  <c r="J46" i="15"/>
  <c r="N46" i="15" s="1"/>
  <c r="P46" i="15" s="1"/>
  <c r="J32" i="15"/>
  <c r="N32" i="15" s="1"/>
  <c r="P32" i="15" s="1"/>
  <c r="L26" i="15"/>
  <c r="A22" i="15"/>
  <c r="A21" i="15"/>
  <c r="N20" i="15"/>
  <c r="I20" i="15"/>
  <c r="L19" i="15"/>
  <c r="K19" i="15"/>
  <c r="A19" i="15"/>
  <c r="L18" i="15"/>
  <c r="A18" i="15"/>
  <c r="L17" i="15"/>
  <c r="A17" i="15"/>
  <c r="L16" i="15"/>
  <c r="A16" i="15"/>
  <c r="L15" i="15"/>
  <c r="A15" i="15"/>
  <c r="L14" i="15"/>
  <c r="A14" i="15"/>
  <c r="L13" i="15"/>
  <c r="A13" i="15"/>
  <c r="L12" i="15"/>
  <c r="A12" i="15"/>
  <c r="L11" i="15"/>
  <c r="A11" i="15"/>
  <c r="L10" i="15"/>
  <c r="A10" i="15"/>
  <c r="L9" i="15"/>
  <c r="A9" i="15"/>
  <c r="A8" i="15"/>
  <c r="O7" i="15"/>
  <c r="M7" i="15"/>
  <c r="P7" i="15" s="1"/>
  <c r="A7" i="15"/>
  <c r="L6" i="15"/>
  <c r="A6" i="15"/>
  <c r="K5" i="15"/>
  <c r="A5" i="15"/>
  <c r="A4" i="15"/>
  <c r="L3" i="15"/>
  <c r="K3" i="15"/>
  <c r="J3" i="15"/>
  <c r="A3" i="15"/>
  <c r="K2" i="15"/>
  <c r="A2" i="15"/>
  <c r="F44" i="14"/>
  <c r="E44" i="14"/>
  <c r="D44" i="14"/>
  <c r="C44" i="14"/>
  <c r="B44" i="14"/>
  <c r="F43" i="14"/>
  <c r="E43" i="14"/>
  <c r="D43" i="14"/>
  <c r="C43" i="14"/>
  <c r="B43" i="14"/>
  <c r="G6" i="14"/>
  <c r="U5" i="14"/>
  <c r="T5" i="14"/>
  <c r="S5" i="14"/>
  <c r="R5" i="14"/>
  <c r="Q5" i="14"/>
  <c r="U4" i="14"/>
  <c r="T4" i="14"/>
  <c r="S4" i="14"/>
  <c r="R4" i="14"/>
  <c r="Q4" i="14"/>
  <c r="O18" i="14"/>
  <c r="O19" i="14" s="1"/>
  <c r="O20" i="14" s="1"/>
  <c r="O21" i="14" s="1"/>
  <c r="O22" i="14" s="1"/>
  <c r="O9" i="14"/>
  <c r="O10" i="14" s="1"/>
  <c r="O11" i="14" s="1"/>
  <c r="O12" i="14" s="1"/>
  <c r="O13" i="14" s="1"/>
  <c r="O14" i="14" s="1"/>
  <c r="O15" i="14" s="1"/>
  <c r="L5" i="14"/>
  <c r="O4" i="14"/>
  <c r="O5" i="14" s="1"/>
  <c r="AF5" i="14" l="1"/>
  <c r="Z5" i="14" s="1"/>
  <c r="AA5" i="14"/>
  <c r="AF9" i="14"/>
  <c r="Z9" i="14" s="1"/>
  <c r="AA9" i="14"/>
  <c r="Q3" i="14"/>
  <c r="Q29" i="14" s="1"/>
  <c r="Q30" i="14"/>
  <c r="S30" i="14"/>
  <c r="J14" i="15"/>
  <c r="AF16" i="14" s="1"/>
  <c r="J44" i="15"/>
  <c r="N50" i="15"/>
  <c r="P50" i="15" s="1"/>
  <c r="J47" i="15"/>
  <c r="R3" i="14"/>
  <c r="R30" i="14" s="1"/>
  <c r="S3" i="14"/>
  <c r="S29" i="14" s="1"/>
  <c r="M5" i="14"/>
  <c r="O18" i="15"/>
  <c r="J45" i="15"/>
  <c r="J53" i="15"/>
  <c r="H52" i="15"/>
  <c r="J52" i="15" s="1"/>
  <c r="K63" i="15"/>
  <c r="J51" i="15"/>
  <c r="N51" i="15" s="1"/>
  <c r="P51" i="15" s="1"/>
  <c r="H3" i="15"/>
  <c r="H49" i="15"/>
  <c r="J49" i="15" s="1"/>
  <c r="N49" i="15" s="1"/>
  <c r="P49" i="15" s="1"/>
  <c r="J54" i="15"/>
  <c r="U3" i="14"/>
  <c r="U30" i="14" s="1"/>
  <c r="J5" i="14"/>
  <c r="N5" i="14"/>
  <c r="T3" i="14"/>
  <c r="T29" i="14" s="1"/>
  <c r="AF11" i="14" l="1"/>
  <c r="Z11" i="14" s="1"/>
  <c r="AA11" i="14"/>
  <c r="AF12" i="14"/>
  <c r="Z12" i="14" s="1"/>
  <c r="AA12" i="14"/>
  <c r="AF10" i="14"/>
  <c r="Z10" i="14" s="1"/>
  <c r="AA10" i="14"/>
  <c r="R29" i="14"/>
  <c r="T30" i="14"/>
  <c r="U29" i="14"/>
  <c r="M3" i="15"/>
  <c r="P3" i="15" s="1"/>
  <c r="O3" i="15"/>
  <c r="AH40" i="29" l="1"/>
  <c r="AH39" i="29"/>
  <c r="AH25" i="29"/>
  <c r="AH7" i="29"/>
  <c r="AG40" i="29"/>
  <c r="AG39" i="29"/>
  <c r="AG25" i="29"/>
  <c r="AG7" i="29"/>
  <c r="AF40" i="29"/>
  <c r="AF39" i="29"/>
  <c r="AF25" i="29"/>
  <c r="AF7" i="29"/>
  <c r="AE40" i="29"/>
  <c r="AL44" i="29" s="1"/>
  <c r="AE39" i="29"/>
  <c r="AE25" i="29"/>
  <c r="AE7" i="29"/>
  <c r="AL13" i="29" s="1"/>
  <c r="AD40" i="29"/>
  <c r="AD39" i="29"/>
  <c r="AD25" i="29"/>
  <c r="AD7" i="29"/>
  <c r="Z44" i="29"/>
  <c r="Y44" i="29"/>
  <c r="X44" i="29"/>
  <c r="W44" i="29"/>
  <c r="AA40" i="29"/>
  <c r="Z40" i="29"/>
  <c r="Y40" i="29"/>
  <c r="X40" i="29"/>
  <c r="W40" i="29"/>
  <c r="AB40" i="29" s="1"/>
  <c r="Z36" i="29"/>
  <c r="Y36" i="29"/>
  <c r="Z35" i="29"/>
  <c r="AN35" i="29" s="1"/>
  <c r="Y35" i="29"/>
  <c r="X35" i="29"/>
  <c r="W35" i="29"/>
  <c r="Z29" i="29"/>
  <c r="Y29" i="29"/>
  <c r="AM29" i="29" s="1"/>
  <c r="X29" i="29"/>
  <c r="AL29" i="29" s="1"/>
  <c r="W29" i="29"/>
  <c r="AK29" i="29" s="1"/>
  <c r="AA23" i="29"/>
  <c r="Z23" i="29"/>
  <c r="Z5" i="29" s="1"/>
  <c r="Y23" i="29"/>
  <c r="X23" i="29"/>
  <c r="W23" i="29"/>
  <c r="AA13" i="29"/>
  <c r="Z13" i="29"/>
  <c r="Y13" i="29"/>
  <c r="X13" i="29"/>
  <c r="W13" i="29"/>
  <c r="P12" i="29"/>
  <c r="O12" i="29"/>
  <c r="M13" i="29"/>
  <c r="K19" i="29"/>
  <c r="K18" i="29"/>
  <c r="K17" i="29"/>
  <c r="K16" i="29"/>
  <c r="K12" i="29"/>
  <c r="I12" i="29" s="1"/>
  <c r="K10" i="29"/>
  <c r="I10" i="29" s="1"/>
  <c r="G44" i="29"/>
  <c r="B37" i="14" s="1"/>
  <c r="J23" i="14" s="1"/>
  <c r="G43" i="29"/>
  <c r="K41" i="29"/>
  <c r="I41" i="29" s="1"/>
  <c r="G38" i="29"/>
  <c r="C14" i="29" s="1"/>
  <c r="G36" i="29"/>
  <c r="H55" i="29"/>
  <c r="G55" i="29"/>
  <c r="H54" i="29"/>
  <c r="G54" i="29"/>
  <c r="H53" i="29"/>
  <c r="G53" i="29"/>
  <c r="H52" i="29"/>
  <c r="G52" i="29"/>
  <c r="H50" i="29"/>
  <c r="L33" i="29" s="1"/>
  <c r="G50" i="29"/>
  <c r="G56" i="29" s="1"/>
  <c r="G24" i="29"/>
  <c r="G18" i="29"/>
  <c r="B13" i="14" s="1"/>
  <c r="J11" i="14" s="1"/>
  <c r="G17" i="29"/>
  <c r="B11" i="14" s="1"/>
  <c r="J9" i="14" s="1"/>
  <c r="G15" i="29"/>
  <c r="G12" i="29"/>
  <c r="B19" i="14" s="1"/>
  <c r="J15" i="14" s="1"/>
  <c r="G10" i="29"/>
  <c r="B10" i="14" s="1"/>
  <c r="G9" i="29"/>
  <c r="B17" i="14" s="1"/>
  <c r="J13" i="14" s="1"/>
  <c r="G8" i="29"/>
  <c r="B18" i="14" s="1"/>
  <c r="J14" i="14" s="1"/>
  <c r="G7" i="29"/>
  <c r="K44" i="29"/>
  <c r="Q23" i="14" s="1"/>
  <c r="K43" i="29"/>
  <c r="K42" i="29"/>
  <c r="I40" i="29"/>
  <c r="AN39" i="29"/>
  <c r="AO39" i="29"/>
  <c r="AM39" i="29"/>
  <c r="AL39" i="29"/>
  <c r="AK39" i="29"/>
  <c r="K37" i="29"/>
  <c r="AN36" i="29"/>
  <c r="AB36" i="29"/>
  <c r="K36" i="29"/>
  <c r="AM36" i="29" s="1"/>
  <c r="AO35" i="29"/>
  <c r="AL35" i="29"/>
  <c r="AB35" i="29"/>
  <c r="K34" i="29"/>
  <c r="AO29" i="29"/>
  <c r="AN29" i="29"/>
  <c r="C25" i="29"/>
  <c r="K24" i="29"/>
  <c r="K23" i="29"/>
  <c r="K22" i="29"/>
  <c r="K21" i="29"/>
  <c r="H21" i="29"/>
  <c r="I17" i="29"/>
  <c r="C19" i="29"/>
  <c r="K14" i="29"/>
  <c r="AN13" i="29"/>
  <c r="K13" i="29"/>
  <c r="C13" i="29"/>
  <c r="B41" i="14" s="1"/>
  <c r="K11" i="29"/>
  <c r="C21" i="29"/>
  <c r="C12" i="29"/>
  <c r="C9" i="29"/>
  <c r="C11" i="29"/>
  <c r="AO13" i="29"/>
  <c r="AM13" i="29"/>
  <c r="K7" i="29"/>
  <c r="AH40" i="28"/>
  <c r="AH39" i="28"/>
  <c r="AO39" i="28" s="1"/>
  <c r="AH25" i="28"/>
  <c r="AH7" i="28"/>
  <c r="AG40" i="28"/>
  <c r="AG39" i="28"/>
  <c r="AN39" i="28" s="1"/>
  <c r="AG25" i="28"/>
  <c r="AG7" i="28"/>
  <c r="AN13" i="28" s="1"/>
  <c r="AF40" i="28"/>
  <c r="AF39" i="28"/>
  <c r="AM39" i="28" s="1"/>
  <c r="AF25" i="28"/>
  <c r="AF7" i="28"/>
  <c r="AE40" i="28"/>
  <c r="AL44" i="28" s="1"/>
  <c r="AE39" i="28"/>
  <c r="AE25" i="28"/>
  <c r="AE7" i="28"/>
  <c r="AD40" i="28"/>
  <c r="AD39" i="28"/>
  <c r="AK39" i="28" s="1"/>
  <c r="AD25" i="28"/>
  <c r="AI25" i="28" s="1"/>
  <c r="AD7" i="28"/>
  <c r="Z44" i="28"/>
  <c r="Y44" i="28"/>
  <c r="X44" i="28"/>
  <c r="W44" i="28"/>
  <c r="AA40" i="28"/>
  <c r="Z40" i="28"/>
  <c r="Y40" i="28"/>
  <c r="X40" i="28"/>
  <c r="W40" i="28"/>
  <c r="Z36" i="28"/>
  <c r="Y36" i="28"/>
  <c r="Z35" i="28"/>
  <c r="AN35" i="28" s="1"/>
  <c r="Y35" i="28"/>
  <c r="X35" i="28"/>
  <c r="AL35" i="28" s="1"/>
  <c r="W35" i="28"/>
  <c r="Z29" i="28"/>
  <c r="AN29" i="28" s="1"/>
  <c r="Y29" i="28"/>
  <c r="X29" i="28"/>
  <c r="V29" i="28" s="1"/>
  <c r="L26" i="28" s="1"/>
  <c r="W29" i="28"/>
  <c r="AA23" i="28"/>
  <c r="AA5" i="28" s="1"/>
  <c r="Z23" i="28"/>
  <c r="Y23" i="28"/>
  <c r="V21" i="28" s="1"/>
  <c r="X23" i="28"/>
  <c r="W23" i="28"/>
  <c r="W5" i="28" s="1"/>
  <c r="AA13" i="28"/>
  <c r="Z13" i="28"/>
  <c r="Y13" i="28"/>
  <c r="X13" i="28"/>
  <c r="W13" i="28"/>
  <c r="P12" i="28"/>
  <c r="O12" i="28"/>
  <c r="M13" i="28"/>
  <c r="K19" i="28"/>
  <c r="K18" i="28"/>
  <c r="K17" i="28"/>
  <c r="K16" i="28"/>
  <c r="K12" i="28"/>
  <c r="K10" i="28"/>
  <c r="I10" i="28" s="1"/>
  <c r="G44" i="28"/>
  <c r="G43" i="28"/>
  <c r="K43" i="28" s="1"/>
  <c r="K41" i="28"/>
  <c r="G38" i="28"/>
  <c r="C14" i="28" s="1"/>
  <c r="G36" i="28"/>
  <c r="H55" i="28"/>
  <c r="G55" i="28"/>
  <c r="H54" i="28"/>
  <c r="G54" i="28"/>
  <c r="H53" i="28"/>
  <c r="G53" i="28"/>
  <c r="H52" i="28"/>
  <c r="H56" i="28" s="1"/>
  <c r="G52" i="28"/>
  <c r="H50" i="28"/>
  <c r="L33" i="28" s="1"/>
  <c r="G50" i="28"/>
  <c r="H33" i="28" s="1"/>
  <c r="G24" i="28"/>
  <c r="G18" i="28"/>
  <c r="G17" i="28"/>
  <c r="G15" i="28"/>
  <c r="C19" i="28" s="1"/>
  <c r="G12" i="28"/>
  <c r="C19" i="14" s="1"/>
  <c r="K15" i="14" s="1"/>
  <c r="G10" i="28"/>
  <c r="G9" i="28"/>
  <c r="G8" i="28"/>
  <c r="C18" i="14" s="1"/>
  <c r="K14" i="14" s="1"/>
  <c r="G7" i="28"/>
  <c r="C14" i="14" s="1"/>
  <c r="K12" i="14" s="1"/>
  <c r="K42" i="28"/>
  <c r="I41" i="28"/>
  <c r="I40" i="28"/>
  <c r="AL39" i="28"/>
  <c r="K37" i="28"/>
  <c r="AN36" i="28"/>
  <c r="AB36" i="28"/>
  <c r="K36" i="28"/>
  <c r="AM36" i="28" s="1"/>
  <c r="AO35" i="28"/>
  <c r="AK35" i="28"/>
  <c r="K34" i="28"/>
  <c r="AO29" i="28"/>
  <c r="AM29" i="28"/>
  <c r="AL29" i="28"/>
  <c r="AK29" i="28"/>
  <c r="C25" i="28"/>
  <c r="K24" i="28"/>
  <c r="K23" i="28"/>
  <c r="K22" i="28"/>
  <c r="K21" i="28"/>
  <c r="K14" i="28"/>
  <c r="K13" i="28"/>
  <c r="C13" i="28"/>
  <c r="C41" i="14" s="1"/>
  <c r="K11" i="28"/>
  <c r="C9" i="28"/>
  <c r="C11" i="28"/>
  <c r="AO13" i="28"/>
  <c r="AM13" i="28"/>
  <c r="AL13" i="28"/>
  <c r="AH40" i="27"/>
  <c r="AH39" i="27"/>
  <c r="AO39" i="27" s="1"/>
  <c r="AH25" i="27"/>
  <c r="AH7" i="27"/>
  <c r="AG40" i="27"/>
  <c r="AG39" i="27"/>
  <c r="AN39" i="27" s="1"/>
  <c r="AG25" i="27"/>
  <c r="AG7" i="27"/>
  <c r="AF40" i="27"/>
  <c r="AF39" i="27"/>
  <c r="AM39" i="27" s="1"/>
  <c r="AF25" i="27"/>
  <c r="AF7" i="27"/>
  <c r="AM13" i="27" s="1"/>
  <c r="AE40" i="27"/>
  <c r="AE39" i="27"/>
  <c r="AE25" i="27"/>
  <c r="AE7" i="27"/>
  <c r="AD40" i="27"/>
  <c r="AD39" i="27"/>
  <c r="AK39" i="27" s="1"/>
  <c r="AD25" i="27"/>
  <c r="AD7" i="27"/>
  <c r="Z44" i="27"/>
  <c r="Y44" i="27"/>
  <c r="X44" i="27"/>
  <c r="W44" i="27"/>
  <c r="AA40" i="27"/>
  <c r="Z40" i="27"/>
  <c r="Y40" i="27"/>
  <c r="X40" i="27"/>
  <c r="W40" i="27"/>
  <c r="Z36" i="27"/>
  <c r="Y36" i="27"/>
  <c r="Z35" i="27"/>
  <c r="AN35" i="27" s="1"/>
  <c r="Y35" i="27"/>
  <c r="X35" i="27"/>
  <c r="AL35" i="27" s="1"/>
  <c r="W35" i="27"/>
  <c r="Z29" i="27"/>
  <c r="AN29" i="27" s="1"/>
  <c r="Y29" i="27"/>
  <c r="X29" i="27"/>
  <c r="AL29" i="27" s="1"/>
  <c r="W29" i="27"/>
  <c r="AA23" i="27"/>
  <c r="AA5" i="27" s="1"/>
  <c r="Z23" i="27"/>
  <c r="Y23" i="27"/>
  <c r="X23" i="27"/>
  <c r="W23" i="27"/>
  <c r="AA13" i="27"/>
  <c r="Z13" i="27"/>
  <c r="Z5" i="27" s="1"/>
  <c r="Y13" i="27"/>
  <c r="X13" i="27"/>
  <c r="W13" i="27"/>
  <c r="P12" i="27"/>
  <c r="O12" i="27"/>
  <c r="M13" i="27"/>
  <c r="K19" i="27"/>
  <c r="K18" i="27"/>
  <c r="K17" i="27"/>
  <c r="K16" i="27"/>
  <c r="K12" i="27"/>
  <c r="K10" i="27"/>
  <c r="I10" i="27" s="1"/>
  <c r="K14" i="27"/>
  <c r="K13" i="27"/>
  <c r="K11" i="27"/>
  <c r="G44" i="27"/>
  <c r="D37" i="14" s="1"/>
  <c r="L23" i="14" s="1"/>
  <c r="G43" i="27"/>
  <c r="K43" i="27" s="1"/>
  <c r="K41" i="27"/>
  <c r="G38" i="27"/>
  <c r="K38" i="27" s="1"/>
  <c r="G36" i="27"/>
  <c r="H55" i="27"/>
  <c r="G55" i="27"/>
  <c r="H54" i="27"/>
  <c r="G54" i="27"/>
  <c r="H53" i="27"/>
  <c r="G53" i="27"/>
  <c r="H52" i="27"/>
  <c r="G52" i="27"/>
  <c r="H50" i="27"/>
  <c r="L33" i="27" s="1"/>
  <c r="G50" i="27"/>
  <c r="H33" i="27" s="1"/>
  <c r="G24" i="27"/>
  <c r="G18" i="27"/>
  <c r="D13" i="14" s="1"/>
  <c r="L11" i="14" s="1"/>
  <c r="G17" i="27"/>
  <c r="D11" i="14" s="1"/>
  <c r="L9" i="14" s="1"/>
  <c r="G15" i="27"/>
  <c r="C19" i="27" s="1"/>
  <c r="G12" i="27"/>
  <c r="D19" i="14" s="1"/>
  <c r="L15" i="14" s="1"/>
  <c r="G10" i="27"/>
  <c r="G9" i="27"/>
  <c r="D17" i="14" s="1"/>
  <c r="L13" i="14" s="1"/>
  <c r="G8" i="27"/>
  <c r="G7" i="27"/>
  <c r="G56" i="27"/>
  <c r="K42" i="27"/>
  <c r="I41" i="27"/>
  <c r="G41" i="27" s="1"/>
  <c r="AL44" i="27"/>
  <c r="AB40" i="27"/>
  <c r="I40" i="27"/>
  <c r="G40" i="27" s="1"/>
  <c r="AL39" i="27"/>
  <c r="K37" i="27"/>
  <c r="AN36" i="27"/>
  <c r="AB36" i="27"/>
  <c r="AO35" i="27"/>
  <c r="AK35" i="27"/>
  <c r="K34" i="27"/>
  <c r="AO29" i="27"/>
  <c r="AM29" i="27"/>
  <c r="AK29" i="27"/>
  <c r="C25" i="27"/>
  <c r="K24" i="27"/>
  <c r="K23" i="27"/>
  <c r="K22" i="27"/>
  <c r="K21" i="27"/>
  <c r="H21" i="27"/>
  <c r="AN13" i="27"/>
  <c r="C13" i="27"/>
  <c r="D41" i="14" s="1"/>
  <c r="C9" i="27"/>
  <c r="AO13" i="27"/>
  <c r="AL13" i="27"/>
  <c r="AI13" i="27"/>
  <c r="W5" i="27"/>
  <c r="O12" i="25"/>
  <c r="O12" i="26"/>
  <c r="AH40" i="25"/>
  <c r="AG40" i="25"/>
  <c r="AF40" i="25"/>
  <c r="AD40" i="25"/>
  <c r="AH39" i="25"/>
  <c r="AO39" i="25" s="1"/>
  <c r="AH25" i="25"/>
  <c r="AH7" i="25"/>
  <c r="AG39" i="25"/>
  <c r="AN39" i="25" s="1"/>
  <c r="AG25" i="25"/>
  <c r="AG7" i="25"/>
  <c r="AN13" i="25" s="1"/>
  <c r="AF39" i="25"/>
  <c r="AF25" i="25"/>
  <c r="AF7" i="25"/>
  <c r="AE40" i="25"/>
  <c r="AL44" i="25" s="1"/>
  <c r="AE39" i="25"/>
  <c r="AL39" i="25" s="1"/>
  <c r="AE25" i="25"/>
  <c r="AE7" i="25"/>
  <c r="AD39" i="25"/>
  <c r="AK39" i="25" s="1"/>
  <c r="AD25" i="25"/>
  <c r="AD7" i="25"/>
  <c r="AI13" i="25" s="1"/>
  <c r="Z44" i="25"/>
  <c r="Y44" i="25"/>
  <c r="X44" i="25"/>
  <c r="W44" i="25"/>
  <c r="AA40" i="25"/>
  <c r="Z40" i="25"/>
  <c r="Y40" i="25"/>
  <c r="X40" i="25"/>
  <c r="W40" i="25"/>
  <c r="Z36" i="25"/>
  <c r="Y36" i="25"/>
  <c r="Z35" i="25"/>
  <c r="Y35" i="25"/>
  <c r="X35" i="25"/>
  <c r="AL35" i="25" s="1"/>
  <c r="W35" i="25"/>
  <c r="Z29" i="25"/>
  <c r="Y29" i="25"/>
  <c r="X29" i="25"/>
  <c r="AL29" i="25" s="1"/>
  <c r="W29" i="25"/>
  <c r="AK29" i="25" s="1"/>
  <c r="AA23" i="25"/>
  <c r="Z23" i="25"/>
  <c r="Y23" i="25"/>
  <c r="V21" i="25" s="1"/>
  <c r="X23" i="25"/>
  <c r="W23" i="25"/>
  <c r="AA13" i="25"/>
  <c r="Z13" i="25"/>
  <c r="Y13" i="25"/>
  <c r="X13" i="25"/>
  <c r="W13" i="25"/>
  <c r="AA5" i="25"/>
  <c r="AA13" i="26"/>
  <c r="I38" i="17"/>
  <c r="H55" i="26"/>
  <c r="G55" i="26"/>
  <c r="H54" i="26"/>
  <c r="G54" i="26"/>
  <c r="H53" i="26"/>
  <c r="G53" i="26"/>
  <c r="H52" i="26"/>
  <c r="G52" i="26"/>
  <c r="H50" i="26"/>
  <c r="G50" i="26"/>
  <c r="G56" i="26" s="1"/>
  <c r="Z44" i="26"/>
  <c r="Y44" i="26"/>
  <c r="X44" i="26"/>
  <c r="W44" i="26"/>
  <c r="G44" i="26"/>
  <c r="G43" i="26"/>
  <c r="K43" i="26" s="1"/>
  <c r="O30" i="15" s="1"/>
  <c r="O29" i="15" s="1"/>
  <c r="K42" i="26"/>
  <c r="K41" i="26"/>
  <c r="AE40" i="26"/>
  <c r="AL44" i="26" s="1"/>
  <c r="AA40" i="26"/>
  <c r="Z40" i="26"/>
  <c r="Y40" i="26"/>
  <c r="X40" i="26"/>
  <c r="W40" i="26"/>
  <c r="G40" i="26"/>
  <c r="I40" i="26"/>
  <c r="AH39" i="26"/>
  <c r="AO39" i="26" s="1"/>
  <c r="AG39" i="26"/>
  <c r="AN39" i="26" s="1"/>
  <c r="AF39" i="26"/>
  <c r="AM39" i="26" s="1"/>
  <c r="AE39" i="26"/>
  <c r="AL39" i="26" s="1"/>
  <c r="AD39" i="26"/>
  <c r="AK39" i="26" s="1"/>
  <c r="G38" i="26"/>
  <c r="K38" i="26" s="1"/>
  <c r="K37" i="26"/>
  <c r="AN36" i="26"/>
  <c r="AB36" i="26"/>
  <c r="Z36" i="26"/>
  <c r="Y36" i="26"/>
  <c r="G36" i="26"/>
  <c r="AO35" i="26"/>
  <c r="Z35" i="26"/>
  <c r="AN35" i="26" s="1"/>
  <c r="Y35" i="26"/>
  <c r="V34" i="26" s="1"/>
  <c r="X35" i="26"/>
  <c r="AL35" i="26" s="1"/>
  <c r="W35" i="26"/>
  <c r="K34" i="26"/>
  <c r="H33" i="26"/>
  <c r="AO29" i="26"/>
  <c r="Z29" i="26"/>
  <c r="AN29" i="26" s="1"/>
  <c r="Y29" i="26"/>
  <c r="AM29" i="26" s="1"/>
  <c r="X29" i="26"/>
  <c r="AL29" i="26" s="1"/>
  <c r="W29" i="26"/>
  <c r="AK29" i="26" s="1"/>
  <c r="AH25" i="26"/>
  <c r="AG25" i="26"/>
  <c r="AF25" i="26"/>
  <c r="AE25" i="26"/>
  <c r="AD25" i="26"/>
  <c r="AI25" i="26" s="1"/>
  <c r="C25" i="26"/>
  <c r="K24" i="26"/>
  <c r="G24" i="26"/>
  <c r="AA23" i="26"/>
  <c r="Z23" i="26"/>
  <c r="Y23" i="26"/>
  <c r="X23" i="26"/>
  <c r="W23" i="26"/>
  <c r="K23" i="26"/>
  <c r="K22" i="26"/>
  <c r="K21" i="26"/>
  <c r="H21" i="26"/>
  <c r="G7" i="14" s="1"/>
  <c r="K19" i="26"/>
  <c r="K18" i="26"/>
  <c r="G18" i="26"/>
  <c r="K17" i="26"/>
  <c r="G17" i="26"/>
  <c r="K16" i="26"/>
  <c r="H59" i="15" s="1"/>
  <c r="J59" i="15" s="1"/>
  <c r="G15" i="26"/>
  <c r="K14" i="26"/>
  <c r="Z13" i="26"/>
  <c r="Y13" i="26"/>
  <c r="X13" i="26"/>
  <c r="W13" i="26"/>
  <c r="W5" i="26" s="1"/>
  <c r="M13" i="26"/>
  <c r="K13" i="26"/>
  <c r="C13" i="26"/>
  <c r="F41" i="14" s="1"/>
  <c r="P12" i="26"/>
  <c r="K12" i="26"/>
  <c r="G12" i="26"/>
  <c r="K11" i="26"/>
  <c r="C11" i="26"/>
  <c r="K10" i="26"/>
  <c r="I10" i="26"/>
  <c r="G10" i="26"/>
  <c r="G9" i="26"/>
  <c r="C9" i="26"/>
  <c r="K8" i="26"/>
  <c r="G8" i="26"/>
  <c r="AH7" i="26"/>
  <c r="AO13" i="26" s="1"/>
  <c r="AG7" i="26"/>
  <c r="AN13" i="26" s="1"/>
  <c r="AF7" i="26"/>
  <c r="AM13" i="26" s="1"/>
  <c r="AE7" i="26"/>
  <c r="AL13" i="26" s="1"/>
  <c r="AD7" i="26"/>
  <c r="G7" i="26"/>
  <c r="AA5" i="26"/>
  <c r="P12" i="25"/>
  <c r="M13" i="25"/>
  <c r="K19" i="25"/>
  <c r="K18" i="25"/>
  <c r="K17" i="25"/>
  <c r="K16" i="25"/>
  <c r="K12" i="25"/>
  <c r="I12" i="25" s="1"/>
  <c r="K10" i="25"/>
  <c r="I10" i="25" s="1"/>
  <c r="G44" i="25"/>
  <c r="G43" i="25"/>
  <c r="K43" i="25" s="1"/>
  <c r="K41" i="25"/>
  <c r="I41" i="25" s="1"/>
  <c r="G41" i="25" s="1"/>
  <c r="G38" i="25"/>
  <c r="G36" i="25"/>
  <c r="H55" i="25"/>
  <c r="H54" i="25"/>
  <c r="H53" i="25"/>
  <c r="H52" i="25"/>
  <c r="H50" i="25"/>
  <c r="H56" i="25" s="1"/>
  <c r="J49" i="25" s="1"/>
  <c r="G52" i="25"/>
  <c r="G55" i="25"/>
  <c r="G54" i="25"/>
  <c r="G56" i="25" s="1"/>
  <c r="I49" i="25" s="1"/>
  <c r="G53" i="25"/>
  <c r="G50" i="25"/>
  <c r="G24" i="25"/>
  <c r="G18" i="25"/>
  <c r="E13" i="14" s="1"/>
  <c r="M11" i="14" s="1"/>
  <c r="G12" i="25"/>
  <c r="E19" i="14" s="1"/>
  <c r="M15" i="14" s="1"/>
  <c r="G10" i="25"/>
  <c r="E10" i="14" s="1"/>
  <c r="G17" i="25"/>
  <c r="E11" i="14" s="1"/>
  <c r="M9" i="14" s="1"/>
  <c r="G15" i="25"/>
  <c r="G9" i="25"/>
  <c r="G8" i="25"/>
  <c r="G7" i="25"/>
  <c r="K42" i="25"/>
  <c r="I40" i="25"/>
  <c r="G40" i="25" s="1"/>
  <c r="AM39" i="25"/>
  <c r="K38" i="25"/>
  <c r="K37" i="25"/>
  <c r="AN36" i="25"/>
  <c r="AO35" i="25"/>
  <c r="AN35" i="25"/>
  <c r="K34" i="25"/>
  <c r="AO29" i="25"/>
  <c r="AN29" i="25"/>
  <c r="AM29" i="25"/>
  <c r="C25" i="25"/>
  <c r="K24" i="25"/>
  <c r="K23" i="25"/>
  <c r="K22" i="25"/>
  <c r="K21" i="25"/>
  <c r="L21" i="25" s="1"/>
  <c r="N21" i="25" s="1"/>
  <c r="H21" i="25"/>
  <c r="C19" i="25"/>
  <c r="K14" i="25"/>
  <c r="AM13" i="25"/>
  <c r="K13" i="25"/>
  <c r="C13" i="25"/>
  <c r="E41" i="14" s="1"/>
  <c r="K11" i="25"/>
  <c r="C21" i="25"/>
  <c r="C9" i="25"/>
  <c r="AO13" i="25"/>
  <c r="AL13" i="25"/>
  <c r="H25" i="15" l="1"/>
  <c r="F37" i="14"/>
  <c r="N23" i="14" s="1"/>
  <c r="I18" i="27"/>
  <c r="V34" i="25"/>
  <c r="E4" i="14"/>
  <c r="M4" i="14" s="1"/>
  <c r="E14" i="14"/>
  <c r="M12" i="14" s="1"/>
  <c r="H37" i="15"/>
  <c r="F14" i="14"/>
  <c r="N12" i="14" s="1"/>
  <c r="I12" i="26"/>
  <c r="Z5" i="26"/>
  <c r="C19" i="26"/>
  <c r="H36" i="15"/>
  <c r="J36" i="15" s="1"/>
  <c r="I18" i="26"/>
  <c r="I25" i="15" s="1"/>
  <c r="F13" i="14"/>
  <c r="N11" i="14" s="1"/>
  <c r="V21" i="26"/>
  <c r="K36" i="26"/>
  <c r="AM36" i="26" s="1"/>
  <c r="AB44" i="26"/>
  <c r="D14" i="14"/>
  <c r="L12" i="14" s="1"/>
  <c r="AM37" i="27"/>
  <c r="K7" i="27"/>
  <c r="X5" i="28"/>
  <c r="G56" i="28"/>
  <c r="Z5" i="28"/>
  <c r="K8" i="29"/>
  <c r="V7" i="29"/>
  <c r="V21" i="29"/>
  <c r="AA5" i="29"/>
  <c r="V29" i="29"/>
  <c r="L26" i="29" s="1"/>
  <c r="N26" i="29" s="1"/>
  <c r="T26" i="29" s="1"/>
  <c r="AB44" i="29"/>
  <c r="H33" i="29"/>
  <c r="AB6" i="14"/>
  <c r="O27" i="15"/>
  <c r="O26" i="15" s="1"/>
  <c r="O63" i="15" s="1"/>
  <c r="H56" i="26"/>
  <c r="L43" i="15"/>
  <c r="C21" i="27"/>
  <c r="D10" i="14"/>
  <c r="AM37" i="25"/>
  <c r="K8" i="25"/>
  <c r="E18" i="14"/>
  <c r="M14" i="14" s="1"/>
  <c r="AI13" i="26"/>
  <c r="C12" i="26"/>
  <c r="H38" i="15"/>
  <c r="F17" i="14"/>
  <c r="N13" i="14" s="1"/>
  <c r="L21" i="26"/>
  <c r="N21" i="26" s="1"/>
  <c r="AB35" i="26"/>
  <c r="AK35" i="26"/>
  <c r="AB40" i="26"/>
  <c r="X5" i="26"/>
  <c r="J53" i="26"/>
  <c r="L41" i="15"/>
  <c r="K16" i="15" s="1"/>
  <c r="J55" i="26"/>
  <c r="C11" i="27"/>
  <c r="D18" i="14"/>
  <c r="L14" i="14" s="1"/>
  <c r="K8" i="27"/>
  <c r="X5" i="27"/>
  <c r="V21" i="27"/>
  <c r="AB44" i="27"/>
  <c r="K7" i="28"/>
  <c r="K9" i="28"/>
  <c r="C17" i="14"/>
  <c r="K13" i="14" s="1"/>
  <c r="I17" i="28"/>
  <c r="C11" i="14"/>
  <c r="K9" i="14" s="1"/>
  <c r="V7" i="28"/>
  <c r="AB40" i="28"/>
  <c r="AB44" i="28"/>
  <c r="AI13" i="28"/>
  <c r="J8" i="14"/>
  <c r="AI25" i="29"/>
  <c r="H56" i="15"/>
  <c r="F19" i="14"/>
  <c r="N15" i="14" s="1"/>
  <c r="H21" i="28"/>
  <c r="M8" i="14"/>
  <c r="C24" i="25"/>
  <c r="E37" i="14"/>
  <c r="M23" i="14" s="1"/>
  <c r="K9" i="25"/>
  <c r="E17" i="14"/>
  <c r="M13" i="14" s="1"/>
  <c r="H35" i="15"/>
  <c r="F18" i="14"/>
  <c r="N14" i="14" s="1"/>
  <c r="C21" i="26"/>
  <c r="H33" i="15"/>
  <c r="H4" i="15" s="1"/>
  <c r="F10" i="14"/>
  <c r="I17" i="26"/>
  <c r="H28" i="15"/>
  <c r="F11" i="14"/>
  <c r="N9" i="14" s="1"/>
  <c r="M37" i="15"/>
  <c r="AM37" i="26"/>
  <c r="I41" i="26"/>
  <c r="G41" i="26" s="1"/>
  <c r="AB35" i="25"/>
  <c r="AB36" i="25"/>
  <c r="AB40" i="25"/>
  <c r="AB44" i="25"/>
  <c r="D4" i="14"/>
  <c r="D3" i="14" s="1"/>
  <c r="K9" i="27"/>
  <c r="K15" i="27"/>
  <c r="I17" i="27"/>
  <c r="C21" i="28"/>
  <c r="C10" i="14"/>
  <c r="I18" i="28"/>
  <c r="C13" i="14"/>
  <c r="K11" i="14" s="1"/>
  <c r="K44" i="28"/>
  <c r="R23" i="14" s="1"/>
  <c r="C37" i="14"/>
  <c r="K23" i="14" s="1"/>
  <c r="B14" i="14"/>
  <c r="J12" i="14" s="1"/>
  <c r="I18" i="29"/>
  <c r="E3" i="14"/>
  <c r="AI13" i="29"/>
  <c r="AI44" i="29" s="1"/>
  <c r="W5" i="29"/>
  <c r="X5" i="29"/>
  <c r="H56" i="29"/>
  <c r="J55" i="29" s="1"/>
  <c r="L21" i="29"/>
  <c r="N21" i="29" s="1"/>
  <c r="I55" i="29"/>
  <c r="I51" i="29"/>
  <c r="I49" i="29"/>
  <c r="I54" i="29"/>
  <c r="I53" i="29"/>
  <c r="I52" i="29"/>
  <c r="AJ29" i="29"/>
  <c r="J49" i="29"/>
  <c r="J54" i="29"/>
  <c r="K31" i="29" s="1"/>
  <c r="G31" i="29" s="1"/>
  <c r="B33" i="14" s="1"/>
  <c r="J22" i="14" s="1"/>
  <c r="J51" i="29"/>
  <c r="J53" i="29"/>
  <c r="J52" i="29"/>
  <c r="C24" i="29"/>
  <c r="AI40" i="29"/>
  <c r="K38" i="29"/>
  <c r="Y5" i="29"/>
  <c r="K9" i="29"/>
  <c r="K15" i="29"/>
  <c r="V34" i="29"/>
  <c r="AK35" i="29"/>
  <c r="G40" i="29"/>
  <c r="B4" i="14" s="1"/>
  <c r="G41" i="29"/>
  <c r="I50" i="29"/>
  <c r="C8" i="29"/>
  <c r="AK13" i="29"/>
  <c r="AJ29" i="28"/>
  <c r="L21" i="28"/>
  <c r="N21" i="28" s="1"/>
  <c r="N26" i="28"/>
  <c r="T26" i="28" s="1"/>
  <c r="I53" i="28"/>
  <c r="I49" i="28"/>
  <c r="I55" i="28"/>
  <c r="I54" i="28"/>
  <c r="I52" i="28"/>
  <c r="I51" i="28"/>
  <c r="J49" i="28"/>
  <c r="J55" i="28"/>
  <c r="K32" i="28" s="1"/>
  <c r="G32" i="28" s="1"/>
  <c r="J53" i="28"/>
  <c r="K30" i="28" s="1"/>
  <c r="G30" i="28" s="1"/>
  <c r="J51" i="28"/>
  <c r="K28" i="28" s="1"/>
  <c r="I28" i="28" s="1"/>
  <c r="J54" i="28"/>
  <c r="K31" i="28" s="1"/>
  <c r="G31" i="28" s="1"/>
  <c r="C33" i="14" s="1"/>
  <c r="K22" i="14" s="1"/>
  <c r="J52" i="28"/>
  <c r="K29" i="28" s="1"/>
  <c r="C24" i="28"/>
  <c r="AI40" i="28"/>
  <c r="C12" i="28"/>
  <c r="AB35" i="28"/>
  <c r="K38" i="28"/>
  <c r="Y5" i="28"/>
  <c r="K15" i="28"/>
  <c r="V34" i="28"/>
  <c r="V5" i="28" s="1"/>
  <c r="V6" i="28" s="1"/>
  <c r="G40" i="28"/>
  <c r="G41" i="28"/>
  <c r="I50" i="28"/>
  <c r="C8" i="28"/>
  <c r="AK13" i="28"/>
  <c r="K8" i="28"/>
  <c r="I12" i="28"/>
  <c r="J50" i="28"/>
  <c r="K27" i="28" s="1"/>
  <c r="AI25" i="27"/>
  <c r="AI44" i="27" s="1"/>
  <c r="V34" i="27"/>
  <c r="V7" i="27"/>
  <c r="V5" i="27" s="1"/>
  <c r="V6" i="27" s="1"/>
  <c r="C23" i="27"/>
  <c r="K36" i="27"/>
  <c r="AM36" i="27" s="1"/>
  <c r="I49" i="27"/>
  <c r="I55" i="27"/>
  <c r="I53" i="27"/>
  <c r="I52" i="27"/>
  <c r="I54" i="27"/>
  <c r="I51" i="27"/>
  <c r="L21" i="27"/>
  <c r="N21" i="27" s="1"/>
  <c r="AJ29" i="27"/>
  <c r="H56" i="27"/>
  <c r="J54" i="27" s="1"/>
  <c r="C12" i="27"/>
  <c r="AK13" i="27"/>
  <c r="C24" i="27"/>
  <c r="V29" i="27"/>
  <c r="L26" i="27" s="1"/>
  <c r="AI40" i="27"/>
  <c r="Y5" i="27"/>
  <c r="C14" i="27"/>
  <c r="AB35" i="27"/>
  <c r="K44" i="27"/>
  <c r="S23" i="14" s="1"/>
  <c r="C8" i="27"/>
  <c r="I12" i="27"/>
  <c r="I50" i="27"/>
  <c r="AI25" i="25"/>
  <c r="AI44" i="25" s="1"/>
  <c r="AK35" i="25"/>
  <c r="Z5" i="25"/>
  <c r="W5" i="25"/>
  <c r="V7" i="26"/>
  <c r="X5" i="25"/>
  <c r="V7" i="25"/>
  <c r="I49" i="26"/>
  <c r="I55" i="26"/>
  <c r="I54" i="26"/>
  <c r="I53" i="26"/>
  <c r="I52" i="26"/>
  <c r="I51" i="26"/>
  <c r="AJ29" i="26"/>
  <c r="J49" i="26"/>
  <c r="J51" i="26"/>
  <c r="J50" i="26"/>
  <c r="J54" i="26"/>
  <c r="C24" i="26"/>
  <c r="V29" i="26"/>
  <c r="L26" i="26" s="1"/>
  <c r="L57" i="15" s="1"/>
  <c r="K15" i="15" s="1"/>
  <c r="AI40" i="26"/>
  <c r="AI44" i="26" s="1"/>
  <c r="Y5" i="26"/>
  <c r="K9" i="26"/>
  <c r="L38" i="15" s="1"/>
  <c r="K9" i="15" s="1"/>
  <c r="C14" i="26"/>
  <c r="K15" i="26"/>
  <c r="L33" i="26"/>
  <c r="K44" i="26"/>
  <c r="U23" i="14" s="1"/>
  <c r="J52" i="26"/>
  <c r="C8" i="26"/>
  <c r="AK13" i="26"/>
  <c r="K7" i="26"/>
  <c r="L33" i="15" s="1"/>
  <c r="K4" i="15" s="1"/>
  <c r="I50" i="26"/>
  <c r="I17" i="25"/>
  <c r="C23" i="25"/>
  <c r="K36" i="25"/>
  <c r="AM36" i="25" s="1"/>
  <c r="H33" i="25"/>
  <c r="C11" i="25"/>
  <c r="AJ29" i="25"/>
  <c r="I55" i="25"/>
  <c r="I54" i="25"/>
  <c r="I53" i="25"/>
  <c r="I52" i="25"/>
  <c r="I51" i="25"/>
  <c r="J52" i="25"/>
  <c r="C8" i="25"/>
  <c r="C12" i="25"/>
  <c r="AK13" i="25"/>
  <c r="I18" i="25"/>
  <c r="V29" i="25"/>
  <c r="L26" i="25" s="1"/>
  <c r="AI40" i="25"/>
  <c r="Y5" i="25"/>
  <c r="C14" i="25"/>
  <c r="K15" i="25"/>
  <c r="L33" i="25"/>
  <c r="K44" i="25"/>
  <c r="T23" i="14" s="1"/>
  <c r="K7" i="25"/>
  <c r="I50" i="25"/>
  <c r="I56" i="25" s="1"/>
  <c r="I17" i="17"/>
  <c r="I20" i="17"/>
  <c r="I21" i="17"/>
  <c r="AC7" i="14" l="1"/>
  <c r="AB7" i="14"/>
  <c r="M3" i="14"/>
  <c r="M30" i="14" s="1"/>
  <c r="H27" i="15"/>
  <c r="F4" i="14"/>
  <c r="C23" i="26"/>
  <c r="G29" i="28"/>
  <c r="L36" i="15"/>
  <c r="L7" i="28"/>
  <c r="N7" i="28" s="1"/>
  <c r="T7" i="28" s="1"/>
  <c r="T20" i="28" s="1"/>
  <c r="K29" i="29"/>
  <c r="N28" i="15"/>
  <c r="P28" i="15" s="1"/>
  <c r="H5" i="15"/>
  <c r="L37" i="15"/>
  <c r="K8" i="15" s="1"/>
  <c r="L34" i="15"/>
  <c r="K17" i="15" s="1"/>
  <c r="L30" i="15"/>
  <c r="J33" i="15"/>
  <c r="N33" i="15" s="1"/>
  <c r="P33" i="15" s="1"/>
  <c r="G27" i="28"/>
  <c r="C31" i="14" s="1"/>
  <c r="K20" i="14" s="1"/>
  <c r="R20" i="14"/>
  <c r="N36" i="15"/>
  <c r="P36" i="15" s="1"/>
  <c r="V5" i="29"/>
  <c r="V6" i="29" s="1"/>
  <c r="AM37" i="29"/>
  <c r="K30" i="29"/>
  <c r="L4" i="14"/>
  <c r="L61" i="15"/>
  <c r="L60" i="15" s="1"/>
  <c r="AI44" i="28"/>
  <c r="R21" i="14"/>
  <c r="L8" i="14"/>
  <c r="H8" i="15"/>
  <c r="O8" i="15" s="1"/>
  <c r="J37" i="15"/>
  <c r="N37" i="15" s="1"/>
  <c r="P37" i="15" s="1"/>
  <c r="H19" i="15"/>
  <c r="O19" i="15" s="1"/>
  <c r="J25" i="15"/>
  <c r="N25" i="15" s="1"/>
  <c r="O4" i="15"/>
  <c r="M4" i="15"/>
  <c r="P4" i="15" s="1"/>
  <c r="K13" i="15"/>
  <c r="L7" i="25"/>
  <c r="N7" i="25" s="1"/>
  <c r="T7" i="25" s="1"/>
  <c r="L58" i="15"/>
  <c r="K18" i="15" s="1"/>
  <c r="L53" i="15"/>
  <c r="V5" i="26"/>
  <c r="V6" i="26" s="1"/>
  <c r="C4" i="14"/>
  <c r="K4" i="14" s="1"/>
  <c r="AM37" i="28"/>
  <c r="R22" i="14"/>
  <c r="C30" i="14"/>
  <c r="K19" i="14" s="1"/>
  <c r="C32" i="14"/>
  <c r="K21" i="14" s="1"/>
  <c r="K28" i="29"/>
  <c r="I28" i="29" s="1"/>
  <c r="K32" i="29"/>
  <c r="G32" i="29" s="1"/>
  <c r="K8" i="14"/>
  <c r="H60" i="15"/>
  <c r="L8" i="15"/>
  <c r="N8" i="14"/>
  <c r="J35" i="15"/>
  <c r="H10" i="15"/>
  <c r="L35" i="15"/>
  <c r="H11" i="15"/>
  <c r="L45" i="15"/>
  <c r="J38" i="15"/>
  <c r="N38" i="15" s="1"/>
  <c r="P38" i="15" s="1"/>
  <c r="H9" i="15"/>
  <c r="J4" i="14"/>
  <c r="B3" i="14"/>
  <c r="N4" i="14"/>
  <c r="F3" i="14"/>
  <c r="J27" i="15"/>
  <c r="N27" i="15" s="1"/>
  <c r="H2" i="15"/>
  <c r="H26" i="15"/>
  <c r="J50" i="29"/>
  <c r="K27" i="29" s="1"/>
  <c r="L7" i="29"/>
  <c r="N7" i="29" s="1"/>
  <c r="T7" i="29" s="1"/>
  <c r="T20" i="29" s="1"/>
  <c r="I31" i="29"/>
  <c r="C15" i="29"/>
  <c r="I32" i="29"/>
  <c r="R23" i="29"/>
  <c r="AJ13" i="29"/>
  <c r="C22" i="29"/>
  <c r="J56" i="29"/>
  <c r="K26" i="29"/>
  <c r="C23" i="29"/>
  <c r="I56" i="29"/>
  <c r="G35" i="28"/>
  <c r="C7" i="28" s="1"/>
  <c r="I31" i="28"/>
  <c r="C15" i="28"/>
  <c r="I27" i="28"/>
  <c r="H26" i="28"/>
  <c r="C16" i="28"/>
  <c r="J56" i="28"/>
  <c r="I56" i="28"/>
  <c r="C10" i="28"/>
  <c r="I30" i="28"/>
  <c r="I29" i="28"/>
  <c r="C23" i="28"/>
  <c r="I32" i="28"/>
  <c r="G19" i="28" s="1"/>
  <c r="C12" i="14" s="1"/>
  <c r="K10" i="14" s="1"/>
  <c r="R23" i="28"/>
  <c r="C22" i="28"/>
  <c r="K26" i="28"/>
  <c r="AJ13" i="28"/>
  <c r="L7" i="27"/>
  <c r="N7" i="27" s="1"/>
  <c r="T7" i="27" s="1"/>
  <c r="T20" i="27" s="1"/>
  <c r="N26" i="27"/>
  <c r="T26" i="27" s="1"/>
  <c r="K31" i="27"/>
  <c r="G31" i="27" s="1"/>
  <c r="D33" i="14" s="1"/>
  <c r="L22" i="14" s="1"/>
  <c r="J49" i="27"/>
  <c r="J51" i="27"/>
  <c r="K28" i="27" s="1"/>
  <c r="I28" i="27" s="1"/>
  <c r="J50" i="27"/>
  <c r="K27" i="27" s="1"/>
  <c r="J55" i="27"/>
  <c r="K32" i="27" s="1"/>
  <c r="G32" i="27" s="1"/>
  <c r="I56" i="27"/>
  <c r="AJ13" i="27"/>
  <c r="J53" i="27"/>
  <c r="K30" i="27" s="1"/>
  <c r="J52" i="27"/>
  <c r="K29" i="27" s="1"/>
  <c r="K32" i="25"/>
  <c r="G32" i="25" s="1"/>
  <c r="I32" i="25" s="1"/>
  <c r="V5" i="25"/>
  <c r="V6" i="25" s="1"/>
  <c r="L7" i="26"/>
  <c r="K27" i="26"/>
  <c r="N26" i="26"/>
  <c r="T26" i="26" s="1"/>
  <c r="K29" i="26"/>
  <c r="K30" i="26"/>
  <c r="K31" i="26"/>
  <c r="K28" i="26"/>
  <c r="I28" i="26" s="1"/>
  <c r="I58" i="15" s="1"/>
  <c r="K26" i="26"/>
  <c r="K32" i="26"/>
  <c r="G32" i="26" s="1"/>
  <c r="AJ13" i="26"/>
  <c r="I56" i="26"/>
  <c r="J56" i="26"/>
  <c r="J53" i="25"/>
  <c r="K30" i="25" s="1"/>
  <c r="N26" i="25"/>
  <c r="T26" i="25" s="1"/>
  <c r="K29" i="25"/>
  <c r="K26" i="25"/>
  <c r="J51" i="25"/>
  <c r="J50" i="25"/>
  <c r="AJ13" i="25"/>
  <c r="J55" i="25"/>
  <c r="J54" i="25"/>
  <c r="K31" i="25" s="1"/>
  <c r="G31" i="25" s="1"/>
  <c r="E33" i="14" s="1"/>
  <c r="M22" i="14" s="1"/>
  <c r="Z7" i="14" l="1"/>
  <c r="AA7" i="14"/>
  <c r="Z6" i="14"/>
  <c r="AA6" i="14"/>
  <c r="M29" i="14"/>
  <c r="K3" i="14"/>
  <c r="K30" i="14" s="1"/>
  <c r="K29" i="14"/>
  <c r="N3" i="14"/>
  <c r="N30" i="14" s="1"/>
  <c r="J3" i="14"/>
  <c r="J30" i="14" s="1"/>
  <c r="L3" i="14"/>
  <c r="L30" i="14" s="1"/>
  <c r="C3" i="14"/>
  <c r="G31" i="26"/>
  <c r="U22" i="14"/>
  <c r="O11" i="15"/>
  <c r="G30" i="26"/>
  <c r="U21" i="14"/>
  <c r="N7" i="26"/>
  <c r="T7" i="26" s="1"/>
  <c r="T20" i="26" s="1"/>
  <c r="L31" i="15"/>
  <c r="K6" i="15" s="1"/>
  <c r="L40" i="15"/>
  <c r="L47" i="15"/>
  <c r="N47" i="15" s="1"/>
  <c r="P47" i="15" s="1"/>
  <c r="L59" i="15"/>
  <c r="N59" i="15" s="1"/>
  <c r="P59" i="15" s="1"/>
  <c r="L56" i="15"/>
  <c r="L55" i="15" s="1"/>
  <c r="L54" i="15"/>
  <c r="N54" i="15" s="1"/>
  <c r="P54" i="15" s="1"/>
  <c r="G29" i="27"/>
  <c r="I26" i="28"/>
  <c r="R19" i="14"/>
  <c r="G27" i="29"/>
  <c r="Q20" i="14"/>
  <c r="L44" i="15"/>
  <c r="K14" i="15"/>
  <c r="N45" i="15"/>
  <c r="P45" i="15" s="1"/>
  <c r="K7" i="14"/>
  <c r="T20" i="25"/>
  <c r="U20" i="25"/>
  <c r="C29" i="14"/>
  <c r="K18" i="14" s="1"/>
  <c r="I26" i="15"/>
  <c r="G30" i="29"/>
  <c r="Q21" i="14"/>
  <c r="O5" i="15"/>
  <c r="M5" i="15"/>
  <c r="P5" i="15" s="1"/>
  <c r="G27" i="27"/>
  <c r="D31" i="14" s="1"/>
  <c r="L20" i="14" s="1"/>
  <c r="S20" i="14"/>
  <c r="M19" i="15"/>
  <c r="P19" i="15" s="1"/>
  <c r="O10" i="15"/>
  <c r="M10" i="15"/>
  <c r="P10" i="15" s="1"/>
  <c r="M8" i="15"/>
  <c r="P8" i="15" s="1"/>
  <c r="L20" i="15"/>
  <c r="C9" i="14"/>
  <c r="K10" i="15"/>
  <c r="K27" i="25"/>
  <c r="J56" i="25"/>
  <c r="U15" i="14"/>
  <c r="U14" i="14"/>
  <c r="U10" i="14"/>
  <c r="U8" i="14"/>
  <c r="U11" i="14"/>
  <c r="U13" i="14"/>
  <c r="U9" i="14"/>
  <c r="U12" i="14"/>
  <c r="G27" i="26"/>
  <c r="U20" i="14"/>
  <c r="R15" i="14"/>
  <c r="R13" i="14"/>
  <c r="R9" i="14"/>
  <c r="R8" i="14"/>
  <c r="R12" i="14"/>
  <c r="R14" i="14"/>
  <c r="R11" i="14"/>
  <c r="R10" i="14"/>
  <c r="I26" i="29"/>
  <c r="Q19" i="14"/>
  <c r="K12" i="15"/>
  <c r="L29" i="15"/>
  <c r="G30" i="25"/>
  <c r="T21" i="14"/>
  <c r="I26" i="25"/>
  <c r="T19" i="14"/>
  <c r="I26" i="26"/>
  <c r="U19" i="14"/>
  <c r="G29" i="26"/>
  <c r="G30" i="27"/>
  <c r="S21" i="14"/>
  <c r="T15" i="14"/>
  <c r="T11" i="14"/>
  <c r="T10" i="14"/>
  <c r="T12" i="14"/>
  <c r="T14" i="14"/>
  <c r="T13" i="14"/>
  <c r="T9" i="14"/>
  <c r="T8" i="14"/>
  <c r="G29" i="25"/>
  <c r="J18" i="15"/>
  <c r="M18" i="15" s="1"/>
  <c r="P18" i="15" s="1"/>
  <c r="J58" i="15"/>
  <c r="N58" i="15" s="1"/>
  <c r="P58" i="15" s="1"/>
  <c r="K28" i="25"/>
  <c r="I28" i="25" s="1"/>
  <c r="S15" i="14"/>
  <c r="S12" i="14"/>
  <c r="S11" i="14"/>
  <c r="S13" i="14"/>
  <c r="S9" i="14"/>
  <c r="S14" i="14"/>
  <c r="S10" i="14"/>
  <c r="S8" i="14"/>
  <c r="Q10" i="14"/>
  <c r="Q14" i="14"/>
  <c r="Q11" i="14"/>
  <c r="Q8" i="14"/>
  <c r="Q15" i="14"/>
  <c r="Q12" i="14"/>
  <c r="Q9" i="14"/>
  <c r="Q13" i="14"/>
  <c r="O9" i="15"/>
  <c r="M9" i="15"/>
  <c r="P9" i="15" s="1"/>
  <c r="N35" i="15"/>
  <c r="P35" i="15" s="1"/>
  <c r="H61" i="15"/>
  <c r="J61" i="15" s="1"/>
  <c r="N61" i="15" s="1"/>
  <c r="P61" i="15" s="1"/>
  <c r="J60" i="15"/>
  <c r="N60" i="15" s="1"/>
  <c r="P60" i="15" s="1"/>
  <c r="L52" i="15"/>
  <c r="N52" i="15" s="1"/>
  <c r="P52" i="15" s="1"/>
  <c r="N53" i="15"/>
  <c r="P53" i="15" s="1"/>
  <c r="P25" i="15"/>
  <c r="S22" i="14"/>
  <c r="G29" i="29"/>
  <c r="T22" i="14"/>
  <c r="O2" i="15"/>
  <c r="M2" i="15"/>
  <c r="N69" i="15"/>
  <c r="P27" i="15"/>
  <c r="J26" i="15"/>
  <c r="I27" i="29"/>
  <c r="C16" i="29"/>
  <c r="C5" i="28"/>
  <c r="H34" i="28"/>
  <c r="K35" i="28"/>
  <c r="R18" i="14" s="1"/>
  <c r="G35" i="27"/>
  <c r="C7" i="27" s="1"/>
  <c r="H26" i="27"/>
  <c r="I27" i="27"/>
  <c r="C16" i="27"/>
  <c r="I32" i="27"/>
  <c r="R23" i="27"/>
  <c r="C22" i="27"/>
  <c r="I29" i="27"/>
  <c r="I31" i="27"/>
  <c r="C15" i="27"/>
  <c r="C10" i="27"/>
  <c r="I30" i="27"/>
  <c r="J56" i="27"/>
  <c r="K26" i="27"/>
  <c r="I31" i="26"/>
  <c r="I34" i="15" s="1"/>
  <c r="J17" i="15" s="1"/>
  <c r="C15" i="26"/>
  <c r="H26" i="26"/>
  <c r="C16" i="26"/>
  <c r="I27" i="26"/>
  <c r="G35" i="26"/>
  <c r="I29" i="26"/>
  <c r="I32" i="26"/>
  <c r="R23" i="26"/>
  <c r="C22" i="26"/>
  <c r="C10" i="26"/>
  <c r="I30" i="26"/>
  <c r="I41" i="15" s="1"/>
  <c r="U20" i="26"/>
  <c r="I31" i="25"/>
  <c r="C15" i="25"/>
  <c r="R23" i="25"/>
  <c r="C22" i="25"/>
  <c r="C10" i="25"/>
  <c r="I30" i="25"/>
  <c r="Z20" i="14" l="1"/>
  <c r="AA20" i="14"/>
  <c r="J29" i="14"/>
  <c r="L29" i="14"/>
  <c r="N29" i="14"/>
  <c r="K37" i="14"/>
  <c r="K40" i="14"/>
  <c r="K39" i="14"/>
  <c r="K36" i="14"/>
  <c r="K38" i="14"/>
  <c r="K34" i="14"/>
  <c r="K35" i="14"/>
  <c r="K33" i="14"/>
  <c r="G19" i="26"/>
  <c r="I42" i="15"/>
  <c r="I26" i="27"/>
  <c r="S19" i="14"/>
  <c r="Q7" i="14"/>
  <c r="Q33" i="14" s="1"/>
  <c r="S7" i="14"/>
  <c r="S37" i="14" s="1"/>
  <c r="I29" i="25"/>
  <c r="G19" i="25" s="1"/>
  <c r="E12" i="14" s="1"/>
  <c r="F29" i="14"/>
  <c r="N18" i="14" s="1"/>
  <c r="G27" i="25"/>
  <c r="T20" i="14"/>
  <c r="AB4" i="14"/>
  <c r="G35" i="29"/>
  <c r="C7" i="29" s="1"/>
  <c r="C5" i="29" s="1"/>
  <c r="B31" i="14"/>
  <c r="J20" i="14" s="1"/>
  <c r="H26" i="29"/>
  <c r="D29" i="14"/>
  <c r="L18" i="14" s="1"/>
  <c r="I29" i="29"/>
  <c r="G19" i="29" s="1"/>
  <c r="C7" i="26"/>
  <c r="C5" i="26" s="1"/>
  <c r="H43" i="15"/>
  <c r="T7" i="14"/>
  <c r="T39" i="14" s="1"/>
  <c r="R7" i="14"/>
  <c r="R34" i="14" s="1"/>
  <c r="B32" i="14"/>
  <c r="J21" i="14" s="1"/>
  <c r="B30" i="14"/>
  <c r="J19" i="14" s="1"/>
  <c r="I30" i="29"/>
  <c r="C10" i="29"/>
  <c r="M14" i="15"/>
  <c r="P14" i="15" s="1"/>
  <c r="K11" i="15"/>
  <c r="L39" i="15"/>
  <c r="L63" i="15" s="1"/>
  <c r="L66" i="15" s="1"/>
  <c r="N40" i="15"/>
  <c r="P40" i="15" s="1"/>
  <c r="F32" i="14"/>
  <c r="N21" i="14" s="1"/>
  <c r="H41" i="15"/>
  <c r="F30" i="14"/>
  <c r="N19" i="14" s="1"/>
  <c r="J16" i="15"/>
  <c r="I39" i="15"/>
  <c r="U7" i="14"/>
  <c r="U35" i="14" s="1"/>
  <c r="AC6" i="14"/>
  <c r="I57" i="15"/>
  <c r="J15" i="15" s="1"/>
  <c r="I56" i="15"/>
  <c r="D30" i="14"/>
  <c r="L19" i="14" s="1"/>
  <c r="D32" i="14"/>
  <c r="L21" i="14" s="1"/>
  <c r="E32" i="14"/>
  <c r="M21" i="14" s="1"/>
  <c r="E30" i="14"/>
  <c r="M19" i="14" s="1"/>
  <c r="F31" i="14"/>
  <c r="N20" i="14" s="1"/>
  <c r="H57" i="15"/>
  <c r="AC9" i="14"/>
  <c r="N44" i="15"/>
  <c r="P44" i="15" s="1"/>
  <c r="L42" i="15"/>
  <c r="K20" i="15"/>
  <c r="F33" i="14"/>
  <c r="N22" i="14" s="1"/>
  <c r="H34" i="15"/>
  <c r="N26" i="15"/>
  <c r="P2" i="15"/>
  <c r="S23" i="29"/>
  <c r="I19" i="29"/>
  <c r="J7" i="29" s="1"/>
  <c r="T23" i="29"/>
  <c r="T33" i="29" s="1"/>
  <c r="AM35" i="28"/>
  <c r="AJ40" i="28" s="1"/>
  <c r="L34" i="28"/>
  <c r="T39" i="28" s="1"/>
  <c r="T45" i="28" s="1"/>
  <c r="S23" i="28"/>
  <c r="I19" i="28"/>
  <c r="J7" i="28" s="1"/>
  <c r="H7" i="28"/>
  <c r="G19" i="27"/>
  <c r="D12" i="14" s="1"/>
  <c r="C5" i="27"/>
  <c r="I19" i="27"/>
  <c r="J7" i="27" s="1"/>
  <c r="H34" i="27"/>
  <c r="K35" i="27"/>
  <c r="S18" i="14" s="1"/>
  <c r="I19" i="26"/>
  <c r="S23" i="26"/>
  <c r="H7" i="26"/>
  <c r="H34" i="26"/>
  <c r="K35" i="26"/>
  <c r="U18" i="14" s="1"/>
  <c r="I19" i="25"/>
  <c r="J7" i="25" s="1"/>
  <c r="AC15" i="14" l="1"/>
  <c r="AB15" i="14"/>
  <c r="AF19" i="14"/>
  <c r="Z19" i="14" s="1"/>
  <c r="AA19" i="14"/>
  <c r="R35" i="14"/>
  <c r="R36" i="14"/>
  <c r="R38" i="14"/>
  <c r="R40" i="14"/>
  <c r="S39" i="14"/>
  <c r="U39" i="14"/>
  <c r="U33" i="14"/>
  <c r="U34" i="14"/>
  <c r="S33" i="14"/>
  <c r="U40" i="14"/>
  <c r="Q39" i="14"/>
  <c r="T35" i="14"/>
  <c r="T37" i="14"/>
  <c r="R39" i="14"/>
  <c r="T40" i="14"/>
  <c r="Q35" i="14"/>
  <c r="U38" i="14"/>
  <c r="S35" i="14"/>
  <c r="R37" i="14"/>
  <c r="Q38" i="14"/>
  <c r="U36" i="14"/>
  <c r="T38" i="14"/>
  <c r="Q37" i="14"/>
  <c r="S36" i="14"/>
  <c r="S38" i="14"/>
  <c r="S40" i="14"/>
  <c r="T33" i="14"/>
  <c r="S34" i="14"/>
  <c r="T34" i="14"/>
  <c r="T36" i="14"/>
  <c r="U37" i="14"/>
  <c r="Q40" i="14"/>
  <c r="R33" i="14"/>
  <c r="Q34" i="14"/>
  <c r="Q36" i="14"/>
  <c r="K21" i="15"/>
  <c r="B29" i="14"/>
  <c r="J18" i="14" s="1"/>
  <c r="E31" i="14"/>
  <c r="M20" i="14" s="1"/>
  <c r="I27" i="25"/>
  <c r="C16" i="25"/>
  <c r="H26" i="25"/>
  <c r="G35" i="25"/>
  <c r="AB14" i="14"/>
  <c r="R17" i="14"/>
  <c r="C28" i="14"/>
  <c r="H13" i="15"/>
  <c r="J43" i="15"/>
  <c r="N43" i="15" s="1"/>
  <c r="P43" i="15" s="1"/>
  <c r="H42" i="15"/>
  <c r="J42" i="15" s="1"/>
  <c r="N42" i="15" s="1"/>
  <c r="P42" i="15" s="1"/>
  <c r="AC4" i="14"/>
  <c r="H31" i="15"/>
  <c r="F12" i="14"/>
  <c r="H30" i="15"/>
  <c r="K35" i="29"/>
  <c r="H34" i="29"/>
  <c r="L10" i="14"/>
  <c r="D9" i="14"/>
  <c r="J34" i="15"/>
  <c r="N34" i="15" s="1"/>
  <c r="H17" i="15"/>
  <c r="H55" i="15"/>
  <c r="J57" i="15"/>
  <c r="N57" i="15" s="1"/>
  <c r="P57" i="15" s="1"/>
  <c r="H15" i="15"/>
  <c r="G5" i="29"/>
  <c r="B47" i="14" s="1"/>
  <c r="Q17" i="14"/>
  <c r="B28" i="14"/>
  <c r="G5" i="26"/>
  <c r="F47" i="14" s="1"/>
  <c r="F28" i="14"/>
  <c r="U17" i="14"/>
  <c r="H7" i="27"/>
  <c r="J7" i="26"/>
  <c r="S23" i="27"/>
  <c r="I55" i="15"/>
  <c r="J56" i="15"/>
  <c r="N56" i="15" s="1"/>
  <c r="P56" i="15" s="1"/>
  <c r="H39" i="15"/>
  <c r="J39" i="15" s="1"/>
  <c r="N39" i="15" s="1"/>
  <c r="P39" i="15" s="1"/>
  <c r="H16" i="15"/>
  <c r="J41" i="15"/>
  <c r="N41" i="15" s="1"/>
  <c r="P41" i="15" s="1"/>
  <c r="H7" i="29"/>
  <c r="B12" i="14"/>
  <c r="M10" i="14"/>
  <c r="E9" i="14"/>
  <c r="P26" i="15"/>
  <c r="G6" i="26"/>
  <c r="AO23" i="29"/>
  <c r="AO5" i="29" s="1"/>
  <c r="AK23" i="29"/>
  <c r="AL23" i="29"/>
  <c r="AL5" i="29" s="1"/>
  <c r="AN23" i="29"/>
  <c r="AN5" i="29" s="1"/>
  <c r="AM23" i="29"/>
  <c r="G5" i="28"/>
  <c r="T23" i="28"/>
  <c r="T33" i="28" s="1"/>
  <c r="T23" i="27"/>
  <c r="T33" i="27" s="1"/>
  <c r="AM35" i="27"/>
  <c r="AJ40" i="27" s="1"/>
  <c r="L34" i="27"/>
  <c r="T39" i="27" s="1"/>
  <c r="T45" i="27" s="1"/>
  <c r="T23" i="26"/>
  <c r="L34" i="26"/>
  <c r="T39" i="26" s="1"/>
  <c r="T5" i="26" s="1"/>
  <c r="AM35" i="26"/>
  <c r="AJ40" i="26" s="1"/>
  <c r="H7" i="25"/>
  <c r="S23" i="25"/>
  <c r="Z4" i="14" l="1"/>
  <c r="AF18" i="14"/>
  <c r="Z18" i="14" s="1"/>
  <c r="AA18" i="14"/>
  <c r="AF17" i="14"/>
  <c r="Z17" i="14" s="1"/>
  <c r="AA17" i="14"/>
  <c r="Z15" i="14"/>
  <c r="AA15" i="14"/>
  <c r="M7" i="14"/>
  <c r="M35" i="14" s="1"/>
  <c r="L7" i="14"/>
  <c r="R16" i="14"/>
  <c r="R42" i="14" s="1"/>
  <c r="O15" i="15"/>
  <c r="M15" i="15"/>
  <c r="P15" i="15" s="1"/>
  <c r="P34" i="15"/>
  <c r="AM35" i="29"/>
  <c r="AJ40" i="29" s="1"/>
  <c r="L34" i="29"/>
  <c r="T39" i="29" s="1"/>
  <c r="M11" i="15"/>
  <c r="P11" i="15" s="1"/>
  <c r="O17" i="15"/>
  <c r="M17" i="15"/>
  <c r="P17" i="15" s="1"/>
  <c r="J31" i="15"/>
  <c r="N31" i="15" s="1"/>
  <c r="P31" i="15" s="1"/>
  <c r="H6" i="15"/>
  <c r="C27" i="14"/>
  <c r="C2" i="14" s="1"/>
  <c r="K17" i="14"/>
  <c r="G6" i="29"/>
  <c r="J10" i="14"/>
  <c r="B9" i="14"/>
  <c r="B2" i="14" s="1"/>
  <c r="G5" i="27"/>
  <c r="S17" i="14"/>
  <c r="D28" i="14"/>
  <c r="U16" i="14"/>
  <c r="J17" i="14"/>
  <c r="B27" i="14"/>
  <c r="H29" i="15"/>
  <c r="H12" i="15"/>
  <c r="J30" i="15"/>
  <c r="N30" i="15" s="1"/>
  <c r="P30" i="15" s="1"/>
  <c r="AC14" i="14"/>
  <c r="O16" i="15"/>
  <c r="M16" i="15"/>
  <c r="P16" i="15" s="1"/>
  <c r="G5" i="25"/>
  <c r="E28" i="14"/>
  <c r="T17" i="14"/>
  <c r="J20" i="15"/>
  <c r="F27" i="14"/>
  <c r="N17" i="14"/>
  <c r="J55" i="15"/>
  <c r="N55" i="15" s="1"/>
  <c r="P55" i="15" s="1"/>
  <c r="H63" i="15"/>
  <c r="H64" i="15" s="1"/>
  <c r="H66" i="15" s="1"/>
  <c r="N10" i="14"/>
  <c r="F9" i="14"/>
  <c r="O13" i="15"/>
  <c r="M13" i="15"/>
  <c r="P13" i="15" s="1"/>
  <c r="I29" i="15"/>
  <c r="I63" i="15" s="1"/>
  <c r="I66" i="15" s="1"/>
  <c r="C7" i="25"/>
  <c r="C5" i="25" s="1"/>
  <c r="K35" i="25"/>
  <c r="E29" i="14"/>
  <c r="M18" i="14" s="1"/>
  <c r="H34" i="25"/>
  <c r="C47" i="14"/>
  <c r="G6" i="28"/>
  <c r="E47" i="14"/>
  <c r="G6" i="25"/>
  <c r="AJ23" i="29"/>
  <c r="AJ5" i="29" s="1"/>
  <c r="AJ6" i="29" s="1"/>
  <c r="AK5" i="29"/>
  <c r="AO23" i="28"/>
  <c r="AO5" i="28" s="1"/>
  <c r="AK23" i="28"/>
  <c r="AL23" i="28"/>
  <c r="AL5" i="28" s="1"/>
  <c r="AN23" i="28"/>
  <c r="AN5" i="28" s="1"/>
  <c r="AM23" i="28"/>
  <c r="AM5" i="28" s="1"/>
  <c r="T5" i="28"/>
  <c r="T6" i="28" s="1"/>
  <c r="AO23" i="27"/>
  <c r="AO5" i="27" s="1"/>
  <c r="T5" i="27"/>
  <c r="T6" i="27" s="1"/>
  <c r="AL23" i="27"/>
  <c r="AL5" i="27" s="1"/>
  <c r="AK23" i="27"/>
  <c r="AN23" i="27"/>
  <c r="AN5" i="27" s="1"/>
  <c r="AM23" i="27"/>
  <c r="AM5" i="27" s="1"/>
  <c r="T45" i="26"/>
  <c r="T6" i="26"/>
  <c r="T33" i="26"/>
  <c r="AN23" i="26"/>
  <c r="AN5" i="26" s="1"/>
  <c r="AL23" i="26"/>
  <c r="AL5" i="26" s="1"/>
  <c r="AK23" i="26"/>
  <c r="AM23" i="26"/>
  <c r="AM5" i="26" s="1"/>
  <c r="AO23" i="26"/>
  <c r="AO5" i="26" s="1"/>
  <c r="T23" i="25"/>
  <c r="AC8" i="14" l="1"/>
  <c r="AB8" i="14"/>
  <c r="Z14" i="14"/>
  <c r="AA14" i="14"/>
  <c r="N16" i="14"/>
  <c r="N42" i="14" s="1"/>
  <c r="L38" i="14"/>
  <c r="L36" i="14"/>
  <c r="L34" i="14"/>
  <c r="L40" i="14"/>
  <c r="L39" i="14"/>
  <c r="L37" i="14"/>
  <c r="L33" i="14"/>
  <c r="J7" i="14"/>
  <c r="J35" i="14"/>
  <c r="Q16" i="14"/>
  <c r="R45" i="14"/>
  <c r="R46" i="14"/>
  <c r="R47" i="14"/>
  <c r="R43" i="14"/>
  <c r="R44" i="14"/>
  <c r="R2" i="14"/>
  <c r="K16" i="14"/>
  <c r="K42" i="14"/>
  <c r="N7" i="14"/>
  <c r="N35" i="14" s="1"/>
  <c r="U2" i="14"/>
  <c r="U45" i="14"/>
  <c r="U47" i="14"/>
  <c r="U44" i="14"/>
  <c r="U46" i="14"/>
  <c r="U43" i="14"/>
  <c r="J16" i="14"/>
  <c r="S16" i="14"/>
  <c r="S42" i="14" s="1"/>
  <c r="U42" i="14"/>
  <c r="L35" i="14"/>
  <c r="M34" i="14"/>
  <c r="M36" i="14"/>
  <c r="M40" i="14"/>
  <c r="M33" i="14"/>
  <c r="M38" i="14"/>
  <c r="M37" i="14"/>
  <c r="M39" i="14"/>
  <c r="M6" i="15"/>
  <c r="O6" i="15"/>
  <c r="H20" i="15"/>
  <c r="H21" i="15" s="1"/>
  <c r="F2" i="14"/>
  <c r="J21" i="15"/>
  <c r="J29" i="15"/>
  <c r="G6" i="27"/>
  <c r="D47" i="14"/>
  <c r="N68" i="15"/>
  <c r="T18" i="14"/>
  <c r="AM35" i="25"/>
  <c r="AJ40" i="25" s="1"/>
  <c r="L34" i="25"/>
  <c r="T39" i="25" s="1"/>
  <c r="T45" i="25" s="1"/>
  <c r="O12" i="15"/>
  <c r="M12" i="15"/>
  <c r="P12" i="15" s="1"/>
  <c r="AI21" i="14"/>
  <c r="B40" i="14"/>
  <c r="B46" i="14"/>
  <c r="T45" i="29"/>
  <c r="T5" i="29"/>
  <c r="T6" i="29" s="1"/>
  <c r="AM5" i="29"/>
  <c r="M17" i="14"/>
  <c r="E27" i="14"/>
  <c r="E2" i="14" s="1"/>
  <c r="D27" i="14"/>
  <c r="D2" i="14" s="1"/>
  <c r="L17" i="14"/>
  <c r="C46" i="14"/>
  <c r="C40" i="14"/>
  <c r="AJ23" i="28"/>
  <c r="AJ5" i="28" s="1"/>
  <c r="AK5" i="28"/>
  <c r="AJ23" i="27"/>
  <c r="AJ5" i="27" s="1"/>
  <c r="AJ6" i="27" s="1"/>
  <c r="AK5" i="27"/>
  <c r="T33" i="25"/>
  <c r="AJ23" i="26"/>
  <c r="AJ5" i="26" s="1"/>
  <c r="AJ6" i="26" s="1"/>
  <c r="AK5" i="26"/>
  <c r="AO23" i="25"/>
  <c r="AO5" i="25" s="1"/>
  <c r="AL23" i="25"/>
  <c r="AL5" i="25" s="1"/>
  <c r="AK23" i="25"/>
  <c r="AN23" i="25"/>
  <c r="AN5" i="25" s="1"/>
  <c r="AM23" i="25"/>
  <c r="AM5" i="25" s="1"/>
  <c r="Z8" i="14" l="1"/>
  <c r="Q2" i="14"/>
  <c r="Q24" i="14" s="1"/>
  <c r="Q44" i="14"/>
  <c r="Q47" i="14"/>
  <c r="Q45" i="14"/>
  <c r="Q46" i="14"/>
  <c r="Q42" i="14"/>
  <c r="T16" i="14"/>
  <c r="S2" i="14"/>
  <c r="S24" i="14" s="1"/>
  <c r="S45" i="14"/>
  <c r="S46" i="14"/>
  <c r="S47" i="14"/>
  <c r="S43" i="14"/>
  <c r="S44" i="14"/>
  <c r="J34" i="14"/>
  <c r="J40" i="14"/>
  <c r="J39" i="14"/>
  <c r="J36" i="14"/>
  <c r="J38" i="14"/>
  <c r="J33" i="14"/>
  <c r="J37" i="14"/>
  <c r="J47" i="14"/>
  <c r="J46" i="14"/>
  <c r="J44" i="14"/>
  <c r="J45" i="14"/>
  <c r="J43" i="14"/>
  <c r="N2" i="14"/>
  <c r="N40" i="14"/>
  <c r="N34" i="14"/>
  <c r="N36" i="14"/>
  <c r="N37" i="14"/>
  <c r="N38" i="14"/>
  <c r="N39" i="14"/>
  <c r="N33" i="14"/>
  <c r="J2" i="14"/>
  <c r="L16" i="14"/>
  <c r="M16" i="14"/>
  <c r="M42" i="14" s="1"/>
  <c r="J42" i="14"/>
  <c r="K2" i="14"/>
  <c r="K47" i="14"/>
  <c r="K44" i="14"/>
  <c r="K45" i="14"/>
  <c r="K46" i="14"/>
  <c r="K43" i="14"/>
  <c r="Q43" i="14"/>
  <c r="N46" i="14"/>
  <c r="N43" i="14"/>
  <c r="N44" i="14"/>
  <c r="N45" i="14"/>
  <c r="N47" i="14"/>
  <c r="P6" i="15"/>
  <c r="M20" i="15"/>
  <c r="U24" i="14"/>
  <c r="F40" i="14"/>
  <c r="F46" i="14"/>
  <c r="D46" i="14"/>
  <c r="D40" i="14"/>
  <c r="E40" i="14"/>
  <c r="E46" i="14"/>
  <c r="AJ6" i="28"/>
  <c r="R24" i="14"/>
  <c r="N29" i="15"/>
  <c r="J63" i="15"/>
  <c r="O20" i="15"/>
  <c r="T5" i="25"/>
  <c r="T6" i="25" s="1"/>
  <c r="AJ23" i="25"/>
  <c r="AJ5" i="25" s="1"/>
  <c r="AJ6" i="25" s="1"/>
  <c r="AK5" i="25"/>
  <c r="L2" i="14" l="1"/>
  <c r="L47" i="14"/>
  <c r="L45" i="14"/>
  <c r="L43" i="14"/>
  <c r="L44" i="14"/>
  <c r="L46" i="14"/>
  <c r="T2" i="14"/>
  <c r="T24" i="14" s="1"/>
  <c r="T47" i="14"/>
  <c r="T44" i="14"/>
  <c r="T46" i="14"/>
  <c r="T45" i="14"/>
  <c r="T42" i="14"/>
  <c r="M2" i="14"/>
  <c r="M47" i="14"/>
  <c r="M46" i="14"/>
  <c r="M44" i="14"/>
  <c r="M45" i="14"/>
  <c r="M43" i="14"/>
  <c r="L42" i="14"/>
  <c r="T43" i="14"/>
  <c r="P20" i="15"/>
  <c r="N70" i="15"/>
  <c r="P29" i="15"/>
  <c r="P63" i="15" s="1"/>
  <c r="P66" i="15" s="1"/>
  <c r="N63" i="15"/>
  <c r="N66" i="15" s="1"/>
  <c r="F130" i="16"/>
  <c r="I119" i="16"/>
  <c r="M21" i="15" l="1"/>
  <c r="F262" i="16"/>
  <c r="J248" i="16"/>
  <c r="I12" i="17"/>
  <c r="I13" i="17"/>
  <c r="I14" i="17"/>
  <c r="I15" i="17"/>
  <c r="I16" i="17"/>
  <c r="I18" i="17"/>
  <c r="I19" i="17"/>
  <c r="I22" i="17"/>
  <c r="I30" i="17"/>
  <c r="I37" i="17"/>
  <c r="I33" i="17"/>
  <c r="I34" i="17"/>
  <c r="I35" i="17"/>
  <c r="I36" i="17"/>
  <c r="I32" i="17"/>
</calcChain>
</file>

<file path=xl/comments1.xml><?xml version="1.0" encoding="utf-8"?>
<comments xmlns="http://schemas.openxmlformats.org/spreadsheetml/2006/main">
  <authors>
    <author>Gaël CALLONNEC</author>
  </authors>
  <commentList>
    <comment ref="K35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pertes des step</t>
        </r>
      </text>
    </comment>
  </commentList>
</comments>
</file>

<file path=xl/comments2.xml><?xml version="1.0" encoding="utf-8"?>
<comments xmlns="http://schemas.openxmlformats.org/spreadsheetml/2006/main">
  <authors>
    <author>MEUNIER Laurent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conso énergétiques incluses
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conso non énergétiques incluses
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conso non énergétiques incluses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pertes réseaux T&amp;D incluses
viser ces quantités majorées de 5% pour tenir compte de la consommation d'électricité utilisée pour la production d'énergie (raffineries, enrichissement de l'uranium…) hors auto-consommation du secteur électricité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pertes réseaux T&amp;D incluses
viser ces quantités majorées de 5% pour tenir compte de la consommation d'électricité utilisée pour la production d'énergie (raffineries, enrichissement de l'uranium…) hors auto-consommation du secteur électricité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pertes réseaux T&amp;D incluses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coke inclus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coke inclus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Hors conso non énergétiques 
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Hors conso non énergétiques 
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pertes réseaux T&amp;D incluses
viser ces quantités majorées de 5% pour tenir compte de la consommation d'électricité utilisée pour la production d'énergie (raffineries, enrichissement de l'uranium…) hors auto-consommation du secteur électricité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pertes réseaux T&amp;D incluses
viser ces quantités majorées de 5% pour tenir compte de la consommation d'électricité utilisée pour la production d'énergie (raffineries, enrichissement de l'uranium…) hors auto-consommation du secteur électricité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coke inclus</t>
        </r>
      </text>
    </comment>
    <comment ref="I48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coke inclus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MEUNIER Laurent:</t>
        </r>
        <r>
          <rPr>
            <sz val="9"/>
            <color indexed="81"/>
            <rFont val="Tahoma"/>
            <family val="2"/>
          </rPr>
          <t xml:space="preserve">
coke inclus</t>
        </r>
      </text>
    </comment>
  </commentList>
</comments>
</file>

<file path=xl/comments3.xml><?xml version="1.0" encoding="utf-8"?>
<comments xmlns="http://schemas.openxmlformats.org/spreadsheetml/2006/main">
  <authors>
    <author>Gaël CALLONNEC</author>
    <author>NAULEAU Marie-Laure</author>
  </authors>
  <commentList>
    <comment ref="T6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cela correspond aux écarts d'électricité entre la feuille elec et la feuille bilan complet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retranche les pertes dans le réseau de distribution de gaz produit par le gaz et le bois énergie</t>
        </r>
      </text>
    </comment>
    <comment ref="AB35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=&gt; préséance du bilan complet</t>
        </r>
      </text>
    </comment>
    <comment ref="T3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retire des conso finales les consommations de combustibles non énergétiques : le fioul lourd (plasturgie, chimie) et le gaz dans l'industrie (engrais)</t>
        </r>
      </text>
    </comment>
    <comment ref="AB40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due à la non prise en compte du chauffage dans les résidences secondaires et du transport international =&gt; préséance du bilan complet pour les inputs 3ME
</t>
        </r>
      </text>
    </comment>
    <comment ref="G45" authorId="0" shapeId="0">
      <text>
        <r>
          <rPr>
            <b/>
            <sz val="8"/>
            <color indexed="81"/>
            <rFont val="Tahoma"/>
            <charset val="1"/>
          </rPr>
          <t>Gaël CALLONNEC:</t>
        </r>
        <r>
          <rPr>
            <sz val="8"/>
            <color indexed="81"/>
            <rFont val="Tahoma"/>
            <charset val="1"/>
          </rPr>
          <t xml:space="preserve">
la différence avec le bilan complet s'explique par l'écart de production d'élec avec les centrales au fioul dans le bilan de 0.1
. </t>
        </r>
      </text>
    </comment>
  </commentList>
</comments>
</file>

<file path=xl/comments4.xml><?xml version="1.0" encoding="utf-8"?>
<comments xmlns="http://schemas.openxmlformats.org/spreadsheetml/2006/main">
  <authors>
    <author>Gaël CALLONNEC</author>
    <author>NAULEAU Marie-Laure</author>
  </authors>
  <commentList>
    <comment ref="T6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cela correspond aux écarts d'électricité entre la feuille elec et la feuille bilan complet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retranche les pertes dans le réseau de distribution de gaz produit par le gaz et le bois énergie</t>
        </r>
      </text>
    </comment>
    <comment ref="AB35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=&gt; préséance du bilan complet</t>
        </r>
      </text>
    </comment>
    <comment ref="T3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retire des conso finales les consommations de combustibles non énergétiques : le fioul lourd (plasturgie, chimie) et le gaz dans l'industrie (engrais)</t>
        </r>
      </text>
    </comment>
    <comment ref="AB40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due à la non prise en compte du chauffage dans les résidences secondaires et du transport international =&gt; préséance du bilan complet pour les inputs 3ME
</t>
        </r>
      </text>
    </comment>
    <comment ref="G45" authorId="0" shapeId="0">
      <text>
        <r>
          <rPr>
            <b/>
            <sz val="8"/>
            <color indexed="81"/>
            <rFont val="Tahoma"/>
            <charset val="1"/>
          </rPr>
          <t>Gaël CALLONNEC:</t>
        </r>
        <r>
          <rPr>
            <sz val="8"/>
            <color indexed="81"/>
            <rFont val="Tahoma"/>
            <charset val="1"/>
          </rPr>
          <t xml:space="preserve">
la différence avec le bilan complet s'explique par l'écart de production d'élec avec les centrales au fioul dans le bilan de 0.1
. </t>
        </r>
      </text>
    </comment>
  </commentList>
</comments>
</file>

<file path=xl/comments5.xml><?xml version="1.0" encoding="utf-8"?>
<comments xmlns="http://schemas.openxmlformats.org/spreadsheetml/2006/main">
  <authors>
    <author>Gaël CALLONNEC</author>
    <author>NAULEAU Marie-Laure</author>
  </authors>
  <commentList>
    <comment ref="T6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cela correspond aux écarts d'électricité entre la feuille elec et la feuille bilan complet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retranche les pertes dans le réseau de distribution de gaz produit par le gaz et le bois énergie</t>
        </r>
      </text>
    </comment>
    <comment ref="AB35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=&gt; préséance du bilan complet</t>
        </r>
      </text>
    </comment>
    <comment ref="T3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retire des conso finales les consommations de combustibles non énergétiques : le fioul lourd (plasturgie, chimie) et le gaz dans l'industrie (engrais)</t>
        </r>
      </text>
    </comment>
    <comment ref="AB40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due à la non prise en compte du chauffage dans les résidences secondaires et du transport international =&gt; préséance du bilan complet pour les inputs 3ME
</t>
        </r>
      </text>
    </comment>
    <comment ref="G45" authorId="0" shapeId="0">
      <text>
        <r>
          <rPr>
            <b/>
            <sz val="8"/>
            <color indexed="81"/>
            <rFont val="Tahoma"/>
            <charset val="1"/>
          </rPr>
          <t>Gaël CALLONNEC:</t>
        </r>
        <r>
          <rPr>
            <sz val="8"/>
            <color indexed="81"/>
            <rFont val="Tahoma"/>
            <charset val="1"/>
          </rPr>
          <t xml:space="preserve">
la différence avec le bilan complet s'explique par l'écart de production d'élec avec les centrales au fioul dans le bilan de 0.1
. </t>
        </r>
      </text>
    </comment>
  </commentList>
</comments>
</file>

<file path=xl/comments6.xml><?xml version="1.0" encoding="utf-8"?>
<comments xmlns="http://schemas.openxmlformats.org/spreadsheetml/2006/main">
  <authors>
    <author>Gaël CALLONNEC</author>
    <author>NAULEAU Marie-Laure</author>
  </authors>
  <commentList>
    <comment ref="T6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cela correspond aux écarts d'électricité entre la feuille elec et la feuille bilan complet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retranche les pertes dans le réseau de distribution de gaz produit par le gaz et le bois énergie</t>
        </r>
      </text>
    </comment>
    <comment ref="AB35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=&gt; préséance du bilan complet</t>
        </r>
      </text>
    </comment>
    <comment ref="T3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retire des conso finales les consommations de combustibles non énergétiques : le fioul lourd (plasturgie, chimie) et le gaz dans l'industrie (engrais)</t>
        </r>
      </text>
    </comment>
    <comment ref="AB40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due à la non prise en compte du chauffage dans les résidences secondaires et du transport international =&gt; préséance du bilan complet pour les inputs 3ME
</t>
        </r>
      </text>
    </comment>
    <comment ref="G45" authorId="0" shapeId="0">
      <text>
        <r>
          <rPr>
            <b/>
            <sz val="8"/>
            <color indexed="81"/>
            <rFont val="Tahoma"/>
            <charset val="1"/>
          </rPr>
          <t>Gaël CALLONNEC:</t>
        </r>
        <r>
          <rPr>
            <sz val="8"/>
            <color indexed="81"/>
            <rFont val="Tahoma"/>
            <charset val="1"/>
          </rPr>
          <t xml:space="preserve">
la différence avec le bilan complet s'explique par l'écart de production d'élec avec les centrales au fioul dans le bilan de 0.1
. </t>
        </r>
      </text>
    </comment>
  </commentList>
</comments>
</file>

<file path=xl/comments7.xml><?xml version="1.0" encoding="utf-8"?>
<comments xmlns="http://schemas.openxmlformats.org/spreadsheetml/2006/main">
  <authors>
    <author>Gaël CALLONNEC</author>
    <author>NAULEAU Marie-Laure</author>
  </authors>
  <commentList>
    <comment ref="T6" authorId="0" shapeId="0">
      <text>
        <r>
          <rPr>
            <b/>
            <sz val="8"/>
            <color indexed="81"/>
            <rFont val="Tahoma"/>
            <family val="2"/>
          </rPr>
          <t>Gaël CALLONNEC:</t>
        </r>
        <r>
          <rPr>
            <sz val="8"/>
            <color indexed="81"/>
            <rFont val="Tahoma"/>
            <family val="2"/>
          </rPr>
          <t xml:space="preserve">
cela correspond aux écarts d'électricité entre la feuille elec et la feuille bilan complet</t>
        </r>
      </text>
    </comment>
    <comment ref="G1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retranche les pertes dans le réseau de distribution de gaz produit par le gaz et le bois énergie</t>
        </r>
      </text>
    </comment>
    <comment ref="AB35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=&gt; préséance du bilan complet</t>
        </r>
      </text>
    </comment>
    <comment ref="T39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On retire des conso finales les consommations de combustibles non énergétiques : le fioul lourd (plasturgie, chimie) et le gaz dans l'industrie (engrais)</t>
        </r>
      </text>
    </comment>
    <comment ref="AB40" authorId="1" shapeId="0">
      <text>
        <r>
          <rPr>
            <b/>
            <sz val="9"/>
            <color indexed="81"/>
            <rFont val="Tahoma"/>
            <charset val="1"/>
          </rPr>
          <t>NAULEAU Marie-Laure:</t>
        </r>
        <r>
          <rPr>
            <sz val="9"/>
            <color indexed="81"/>
            <rFont val="Tahoma"/>
            <charset val="1"/>
          </rPr>
          <t xml:space="preserve">
Sous-estimation dans Scenario Demande par rapport au Bilan complet due à la non prise en compte du chauffage dans les résidences secondaires et du transport international =&gt; préséance du bilan complet pour les inputs 3ME
</t>
        </r>
      </text>
    </comment>
    <comment ref="G45" authorId="0" shapeId="0">
      <text>
        <r>
          <rPr>
            <b/>
            <sz val="8"/>
            <color indexed="81"/>
            <rFont val="Tahoma"/>
            <charset val="1"/>
          </rPr>
          <t>Gaël CALLONNEC:</t>
        </r>
        <r>
          <rPr>
            <sz val="8"/>
            <color indexed="81"/>
            <rFont val="Tahoma"/>
            <charset val="1"/>
          </rPr>
          <t xml:space="preserve">
la différence avec les 248.2 du bilan complet s'explique par l'écart de production d'élec avec les centrales au fioul dans le bilan de 0.1
. </t>
        </r>
      </text>
    </comment>
  </commentList>
</comments>
</file>

<file path=xl/comments8.xml><?xml version="1.0" encoding="utf-8"?>
<comments xmlns="http://schemas.openxmlformats.org/spreadsheetml/2006/main">
  <authors>
    <author>Auteur</author>
  </authors>
  <commentList>
    <comment ref="C17" authorId="0" shapeId="0">
      <text>
        <r>
          <rPr>
            <b/>
            <sz val="8"/>
            <color indexed="81"/>
            <rFont val="Tahoma"/>
            <family val="2"/>
          </rPr>
          <t>Auteur:</t>
        </r>
        <r>
          <rPr>
            <sz val="8"/>
            <color indexed="81"/>
            <rFont val="Tahoma"/>
            <family val="2"/>
          </rPr>
          <t xml:space="preserve">
En 2010 ce chiffre inclut aussi une partie de la production </t>
        </r>
      </text>
    </comment>
  </commentList>
</comments>
</file>

<file path=xl/sharedStrings.xml><?xml version="1.0" encoding="utf-8"?>
<sst xmlns="http://schemas.openxmlformats.org/spreadsheetml/2006/main" count="1908" uniqueCount="548">
  <si>
    <t>Production énergie pour injection réseau</t>
  </si>
  <si>
    <t>Flux réseaux</t>
  </si>
  <si>
    <t>Usages finals énergétiques</t>
  </si>
  <si>
    <t>Utilisation</t>
  </si>
  <si>
    <t>Injections</t>
  </si>
  <si>
    <t>Soutirages</t>
  </si>
  <si>
    <t xml:space="preserve">Pertes </t>
  </si>
  <si>
    <t>Réseau</t>
  </si>
  <si>
    <t>source</t>
  </si>
  <si>
    <t>Total</t>
  </si>
  <si>
    <t>Pertes</t>
  </si>
  <si>
    <t>Exports</t>
  </si>
  <si>
    <t>RG</t>
  </si>
  <si>
    <t>RC</t>
  </si>
  <si>
    <t>RE</t>
  </si>
  <si>
    <t>Conso fin.nat.</t>
  </si>
  <si>
    <t>Agr</t>
  </si>
  <si>
    <t>Ind</t>
  </si>
  <si>
    <t>Rés</t>
  </si>
  <si>
    <t>Ter</t>
  </si>
  <si>
    <t>Tra</t>
  </si>
  <si>
    <t>Eolien</t>
  </si>
  <si>
    <t>Hydroélectricité</t>
  </si>
  <si>
    <t>PV</t>
  </si>
  <si>
    <t>Nucléaire</t>
  </si>
  <si>
    <t>Méthanisation</t>
  </si>
  <si>
    <t>UIOM</t>
  </si>
  <si>
    <t>Bois énergie</t>
  </si>
  <si>
    <t>Géothermie</t>
  </si>
  <si>
    <t>Energies marines</t>
  </si>
  <si>
    <t>Chaleur fatale</t>
  </si>
  <si>
    <t>Réseau de gaz</t>
  </si>
  <si>
    <t>BtG</t>
  </si>
  <si>
    <t>Hydrogène</t>
  </si>
  <si>
    <t>Gaz naturel</t>
  </si>
  <si>
    <t>Solaire thermique</t>
  </si>
  <si>
    <t>Usage direct</t>
  </si>
  <si>
    <t>Ess/Dies/Jet</t>
  </si>
  <si>
    <t>Autres PP</t>
  </si>
  <si>
    <t>Déchets</t>
  </si>
  <si>
    <t>Charbon</t>
  </si>
  <si>
    <t>Chaleur PAC géothermiques</t>
  </si>
  <si>
    <t>Chaleur PAC aérothermiques</t>
  </si>
  <si>
    <t>Bilan primaire</t>
  </si>
  <si>
    <t xml:space="preserve">Source énergétiques primaires </t>
  </si>
  <si>
    <t>EnR</t>
  </si>
  <si>
    <t>Combustible solide biosourcé</t>
  </si>
  <si>
    <t>Biogaz</t>
  </si>
  <si>
    <t>Calories air</t>
  </si>
  <si>
    <t>Energie marines</t>
  </si>
  <si>
    <t>Non renouvelable</t>
  </si>
  <si>
    <t>Pétrole</t>
  </si>
  <si>
    <t>Production</t>
  </si>
  <si>
    <t>GPL</t>
  </si>
  <si>
    <t>Electricité</t>
  </si>
  <si>
    <t>Chaleur</t>
  </si>
  <si>
    <t>Tertiaire</t>
  </si>
  <si>
    <t>Transports</t>
  </si>
  <si>
    <t>Agriculture</t>
  </si>
  <si>
    <t>Industrie</t>
  </si>
  <si>
    <t>H2</t>
  </si>
  <si>
    <t>Résidentiel</t>
  </si>
  <si>
    <t>Matières biocarburants hors bois</t>
  </si>
  <si>
    <t>Biocarburants liquides</t>
  </si>
  <si>
    <t>Mtep</t>
  </si>
  <si>
    <t>Biocarburants liquides et gazeux</t>
  </si>
  <si>
    <t>Produits pétroliers et biocarburants</t>
  </si>
  <si>
    <t>Produits pétroliers</t>
  </si>
  <si>
    <t>Fioul</t>
  </si>
  <si>
    <t>Eolien &amp; énergie marine</t>
  </si>
  <si>
    <t>Photovoltaïque</t>
  </si>
  <si>
    <t>Autres (méthanisation, UIOM, bois, géothermie, énergie fatale)</t>
  </si>
  <si>
    <t>Gaz et chaleur</t>
  </si>
  <si>
    <t>Gaz naturel (réseau de gaz et de chaleur)</t>
  </si>
  <si>
    <t>UIOM et déchets directs</t>
  </si>
  <si>
    <t xml:space="preserve">Géothermie </t>
  </si>
  <si>
    <t>Bois énergie direct et réseau chaleur</t>
  </si>
  <si>
    <t>Biogaz, biométhane, BtG et H2 direct et réseau de chaleur</t>
  </si>
  <si>
    <t>Autres (solaire thermique, chaleur fatale)</t>
  </si>
  <si>
    <t>Conso hors usages énergétiques</t>
  </si>
  <si>
    <t>Vérification</t>
  </si>
  <si>
    <t>PAC aérothermiques</t>
  </si>
  <si>
    <t>Total calculé onglet flux</t>
  </si>
  <si>
    <t>GNV</t>
  </si>
  <si>
    <t>Chaleur fatale -  élec</t>
  </si>
  <si>
    <t>Chaleur fatale - réseau chaleur</t>
  </si>
  <si>
    <t>Matière pour production biocarburants liquides</t>
  </si>
  <si>
    <t xml:space="preserve">Biocarburants liquides </t>
  </si>
  <si>
    <t>Biocarburants gazeux</t>
  </si>
  <si>
    <t>Bois</t>
  </si>
  <si>
    <t>Energie fatale</t>
  </si>
  <si>
    <t>Biométhane</t>
  </si>
  <si>
    <t>Bois énergie (direct et réseau chaleur)</t>
  </si>
  <si>
    <t>Biogaz, biométhane, BtG direct et réseau de chaleur</t>
  </si>
  <si>
    <t>Autres (solaire thermique, chaleur fatale, PAC aéro)</t>
  </si>
  <si>
    <t>Total primaire</t>
  </si>
  <si>
    <t>Total final</t>
  </si>
  <si>
    <t>Géothermie et  PAC géothermique</t>
  </si>
  <si>
    <t>Géothermie et PAC géothermique</t>
  </si>
  <si>
    <t>Autres (méthanisation, UIOM, bois, géothermie, énergie fatale, PAC aérothermique)</t>
  </si>
  <si>
    <t>alpha_int_uses_2201</t>
  </si>
  <si>
    <t>alpha_int_uses_2202</t>
  </si>
  <si>
    <t>alpha_int_uses_2301</t>
  </si>
  <si>
    <t>alpha_int_uses_2302</t>
  </si>
  <si>
    <t>alpha_int_uses_2303</t>
  </si>
  <si>
    <t>alpha_int_uses_2304</t>
  </si>
  <si>
    <t>alpha_int_uses_2305</t>
  </si>
  <si>
    <t>alpha_int_uses_2306</t>
  </si>
  <si>
    <t>alpha_int_uses_2307</t>
  </si>
  <si>
    <t>alpha_int_uses_2308</t>
  </si>
  <si>
    <t>alpha_int_uses_2401</t>
  </si>
  <si>
    <t>alpha_int_uses_2402</t>
  </si>
  <si>
    <t>alpha_int_uses_2403</t>
  </si>
  <si>
    <t>alpha_int_uses_2404</t>
  </si>
  <si>
    <t>alpha_int_uses_2405</t>
  </si>
  <si>
    <t>alpha_int_uses_2406</t>
  </si>
  <si>
    <t>Q_Mtep_int_uses</t>
  </si>
  <si>
    <t>Q_Mtep_int_uses_2201</t>
  </si>
  <si>
    <t>Q_Mtep_int_uses_2202</t>
  </si>
  <si>
    <t>Q_Mtep_int_uses_2301</t>
  </si>
  <si>
    <t>Q_Mtep_int_uses_2302</t>
  </si>
  <si>
    <t>Q_Mtep_int_uses_2303</t>
  </si>
  <si>
    <t>Q_Mtep_int_uses_2304</t>
  </si>
  <si>
    <t>Q_Mtep_int_uses_2305</t>
  </si>
  <si>
    <t>Q_Mtep_int_uses_2306</t>
  </si>
  <si>
    <t>Q_Mtep_int_uses_2307</t>
  </si>
  <si>
    <t>Q_Mtep_int_uses_2308</t>
  </si>
  <si>
    <t>Q_Mtep_int_uses_2401</t>
  </si>
  <si>
    <t>Q_Mtep_int_uses_2402</t>
  </si>
  <si>
    <t>Q_Mtep_int_uses_2403</t>
  </si>
  <si>
    <t>Q_Mtep_int_uses_2404</t>
  </si>
  <si>
    <t>Q_Mtep_int_uses_2405</t>
  </si>
  <si>
    <t>Q_Mtep_int_uses_2406</t>
  </si>
  <si>
    <t>Q_Mtep_losses_losses</t>
  </si>
  <si>
    <t>Autres (solaire thermique, chaleur fatale, pac AEROTHERMIQUE)</t>
  </si>
  <si>
    <t xml:space="preserve">Primaire </t>
  </si>
  <si>
    <t xml:space="preserve">Tableau entrée de ThreeME </t>
  </si>
  <si>
    <t>Energie primaire nette des CI</t>
  </si>
  <si>
    <t>perte et autoconsommations</t>
  </si>
  <si>
    <t>Pertes de distribution et stockage</t>
  </si>
  <si>
    <t>Consommation intermédiaire</t>
  </si>
  <si>
    <t>final avec industrie</t>
  </si>
  <si>
    <t>final Iors MP</t>
  </si>
  <si>
    <t xml:space="preserve"> primaire en Mtep </t>
  </si>
  <si>
    <t>final en Mtep</t>
  </si>
  <si>
    <t>TOTAL</t>
  </si>
  <si>
    <t xml:space="preserve">Liquid Fuel  </t>
  </si>
  <si>
    <t>fuel</t>
  </si>
  <si>
    <t>biofuel and biogaz</t>
  </si>
  <si>
    <t>nuclear power</t>
  </si>
  <si>
    <t>Centrale Combiné gaz  et cogé gaz nat</t>
  </si>
  <si>
    <t>fuel power</t>
  </si>
  <si>
    <t>gaz power</t>
  </si>
  <si>
    <t>Eolien, hydrolien</t>
  </si>
  <si>
    <t>Electricity</t>
  </si>
  <si>
    <t>coal power</t>
  </si>
  <si>
    <t>Solaire</t>
  </si>
  <si>
    <t>wind power</t>
  </si>
  <si>
    <t>Hydraulique et step, énergies marines</t>
  </si>
  <si>
    <t>solar power</t>
  </si>
  <si>
    <t>Cogénération</t>
  </si>
  <si>
    <t>hydrolic</t>
  </si>
  <si>
    <t>other</t>
  </si>
  <si>
    <t>Combustibles gazeux, distribution de vapeur et bois</t>
  </si>
  <si>
    <t>natural gaz</t>
  </si>
  <si>
    <t>Incinération (UIOM)</t>
  </si>
  <si>
    <t>Natural gaz and heating</t>
  </si>
  <si>
    <t>wood and biomass</t>
  </si>
  <si>
    <t>biogaz</t>
  </si>
  <si>
    <t>waste</t>
  </si>
  <si>
    <t>geothermal</t>
  </si>
  <si>
    <t xml:space="preserve">coal </t>
  </si>
  <si>
    <t>coal</t>
  </si>
  <si>
    <t xml:space="preserve">TOTAL </t>
  </si>
  <si>
    <t>primaire</t>
  </si>
  <si>
    <t>pertes et autoconsommation</t>
  </si>
  <si>
    <t>primaire hors autoconsommation</t>
  </si>
  <si>
    <t>perte de tranformation</t>
  </si>
  <si>
    <t>perte stockage et distribution</t>
  </si>
  <si>
    <t>final</t>
  </si>
  <si>
    <t>MP</t>
  </si>
  <si>
    <t>final hors MP</t>
  </si>
  <si>
    <t>charbon</t>
  </si>
  <si>
    <t xml:space="preserve">pétrole </t>
  </si>
  <si>
    <t>pétrole hors CI des centrales électriques</t>
  </si>
  <si>
    <t>dont CI centrale électrique</t>
  </si>
  <si>
    <t>gaz fossile</t>
  </si>
  <si>
    <t>gaz fossile hors CI des centrales électriques</t>
  </si>
  <si>
    <t>gaz fossile  CI des centrales électriques</t>
  </si>
  <si>
    <t>gaz fossile cogé électrique</t>
  </si>
  <si>
    <t>uranium</t>
  </si>
  <si>
    <t xml:space="preserve">solaire thermique </t>
  </si>
  <si>
    <t>hydraulique</t>
  </si>
  <si>
    <t xml:space="preserve">énergies marine </t>
  </si>
  <si>
    <t>éolien</t>
  </si>
  <si>
    <t>solaire PV</t>
  </si>
  <si>
    <t xml:space="preserve">géothermie </t>
  </si>
  <si>
    <t>géothermie cogé élec</t>
  </si>
  <si>
    <t>géothermie (chaleur)</t>
  </si>
  <si>
    <t xml:space="preserve">biomasse solide </t>
  </si>
  <si>
    <t>biomasse solide gazeïfié</t>
  </si>
  <si>
    <t>dont combustible gazeux</t>
  </si>
  <si>
    <t>dont gaz carburant</t>
  </si>
  <si>
    <t>cogénération électrique</t>
  </si>
  <si>
    <t>cogénération gaz</t>
  </si>
  <si>
    <t>biomasse liquide</t>
  </si>
  <si>
    <t>combustible liquide</t>
  </si>
  <si>
    <t>carburant liquide</t>
  </si>
  <si>
    <t xml:space="preserve">biogaz </t>
  </si>
  <si>
    <t xml:space="preserve"> gaz réseaux</t>
  </si>
  <si>
    <t>Cogé électricité</t>
  </si>
  <si>
    <t xml:space="preserve">Déchets </t>
  </si>
  <si>
    <t xml:space="preserve"> Cogé élec </t>
  </si>
  <si>
    <t>Cogé chaleur</t>
  </si>
  <si>
    <t xml:space="preserve">Chaleur récupérée </t>
  </si>
  <si>
    <t>Cogénération électricité in situ</t>
  </si>
  <si>
    <t>combustible gazeux</t>
  </si>
  <si>
    <t>gaz carburant</t>
  </si>
  <si>
    <t xml:space="preserve">Primaire hors cogé </t>
  </si>
  <si>
    <t>Méthanation/hydrogene</t>
  </si>
  <si>
    <t>primaire en Mtep</t>
  </si>
  <si>
    <t>Biocarburants et biogaz +GNV</t>
  </si>
  <si>
    <t>Alpha_losses_2201</t>
  </si>
  <si>
    <t>Alpha_losses_2202</t>
  </si>
  <si>
    <t>Alpha_losses_2301</t>
  </si>
  <si>
    <t>Alpha_losses_2302</t>
  </si>
  <si>
    <t>Alpha_losses_2303</t>
  </si>
  <si>
    <t>Alpha_losses_2304</t>
  </si>
  <si>
    <t>Alpha_losses_2305</t>
  </si>
  <si>
    <t>Alpha_losses_2306</t>
  </si>
  <si>
    <t>Alpha_losses_2307</t>
  </si>
  <si>
    <t>Alpha_losses_2308</t>
  </si>
  <si>
    <t>Alpha_losses_2401</t>
  </si>
  <si>
    <t>Alpha_losses_2402</t>
  </si>
  <si>
    <t>Alpha_losses_2403</t>
  </si>
  <si>
    <t>Alpha_losses_2404</t>
  </si>
  <si>
    <t>Alpha_losses_2405</t>
  </si>
  <si>
    <t>Alpha_losses_2406</t>
  </si>
  <si>
    <t>Projections DGEC France 2035</t>
  </si>
  <si>
    <t xml:space="preserve">Scenario: </t>
  </si>
  <si>
    <t>AME</t>
  </si>
  <si>
    <t>Version :</t>
  </si>
  <si>
    <t>Date :</t>
  </si>
  <si>
    <t>Bilans énergétiques (format SOeS)</t>
  </si>
  <si>
    <t>Bilan 2010</t>
  </si>
  <si>
    <t>Gaz</t>
  </si>
  <si>
    <t>ENRt et déchets</t>
  </si>
  <si>
    <t>Houille, lignite</t>
  </si>
  <si>
    <t>Coke, agglomérés</t>
  </si>
  <si>
    <t>Brut</t>
  </si>
  <si>
    <t>Raffiné</t>
  </si>
  <si>
    <t>Naturel</t>
  </si>
  <si>
    <t>Industriels</t>
  </si>
  <si>
    <t>Production brute</t>
  </si>
  <si>
    <t>Consommation</t>
  </si>
  <si>
    <t>APPROVISIONNEMENT</t>
  </si>
  <si>
    <t>Production Energie Primaire (P)</t>
  </si>
  <si>
    <t/>
  </si>
  <si>
    <t>H : 6.73 | N : 111.67</t>
  </si>
  <si>
    <t>Importations</t>
  </si>
  <si>
    <t>Exportations</t>
  </si>
  <si>
    <t>Balance (imports - exports)</t>
  </si>
  <si>
    <t>Stocks (+=déstockage, -=stockage)</t>
  </si>
  <si>
    <t>Soutes maritimes internationales</t>
  </si>
  <si>
    <t>TOTAL disponibilités (D)</t>
  </si>
  <si>
    <t>Indépendance énergétique (P/D)</t>
  </si>
  <si>
    <t>EMPLOIS</t>
  </si>
  <si>
    <t>Consommation de la branche énergie</t>
  </si>
  <si>
    <t>Raffinage</t>
  </si>
  <si>
    <t>Production d'électricité thermique</t>
  </si>
  <si>
    <t>Usages internes de la branche</t>
  </si>
  <si>
    <t>1.90 | 2.77</t>
  </si>
  <si>
    <t>Pertes et ajustement</t>
  </si>
  <si>
    <t>TOTAL (A)</t>
  </si>
  <si>
    <t>Consommation finale énergétique (corrigée du climat)</t>
  </si>
  <si>
    <t>TOTAL (B)</t>
  </si>
  <si>
    <t>Consommation finale non énergétique</t>
  </si>
  <si>
    <t xml:space="preserve">TOTAL (C) </t>
  </si>
  <si>
    <t>Consommation total d'énergie primaire (corrigée du climat)</t>
  </si>
  <si>
    <t>TOTAL (A+B+C)</t>
  </si>
  <si>
    <t>Dont corrections climatiques</t>
  </si>
  <si>
    <t>Bilan 2015</t>
  </si>
  <si>
    <t>H = 8.28; N = 112.15</t>
  </si>
  <si>
    <t>Bilan 2020</t>
  </si>
  <si>
    <t>H = 9.96; N = 105.77</t>
  </si>
  <si>
    <t>Bilan 2025</t>
  </si>
  <si>
    <t>H = 11.86; N = 95.87</t>
  </si>
  <si>
    <t>Bilan 2030</t>
  </si>
  <si>
    <t>H = 13.1; N = 86.64</t>
  </si>
  <si>
    <t>Bilan 2035</t>
  </si>
  <si>
    <t>H = 14.17; N = 80.7</t>
  </si>
  <si>
    <t>Consommation combustibles du secteur électrique  (Mtep, hors nucléaire)</t>
  </si>
  <si>
    <t>COALINEL[FRA]</t>
  </si>
  <si>
    <t>GAFINEL[FRA]</t>
  </si>
  <si>
    <t>LIFINEL[FRA]</t>
  </si>
  <si>
    <t>BIOINEL[fra]</t>
  </si>
  <si>
    <t>Biomasse et déchets</t>
  </si>
  <si>
    <t>Production d'électricité (TWh)</t>
  </si>
  <si>
    <t>EPCOAL[FRA]</t>
  </si>
  <si>
    <t>dont CCS</t>
  </si>
  <si>
    <t>EPGAS2[FRA]</t>
  </si>
  <si>
    <t>EP[FRA,GGT]</t>
  </si>
  <si>
    <t>dont pointe</t>
  </si>
  <si>
    <t>EP[FRA,GCT]</t>
  </si>
  <si>
    <t>dont conventionnel</t>
  </si>
  <si>
    <t>EP[FRA,GGC]</t>
  </si>
  <si>
    <t>dont cycles combinés</t>
  </si>
  <si>
    <t>EP[FRA,GGS]</t>
  </si>
  <si>
    <t>EPOIL[fra]</t>
  </si>
  <si>
    <t>dont base</t>
  </si>
  <si>
    <t>EP[fra,CHP]</t>
  </si>
  <si>
    <t>EPBIO[fra]</t>
  </si>
  <si>
    <t xml:space="preserve">Biomasse et déchets </t>
  </si>
  <si>
    <t>EP[fra,nuc]</t>
  </si>
  <si>
    <t>Nucléaire Conv</t>
  </si>
  <si>
    <t>EP[fra,NND]</t>
  </si>
  <si>
    <t>EPR</t>
  </si>
  <si>
    <t>EPHYT[fra]</t>
  </si>
  <si>
    <t>Hydro</t>
  </si>
  <si>
    <t>EPSOL[fra]</t>
  </si>
  <si>
    <t>EPWIN[fra]</t>
  </si>
  <si>
    <t>EP[FRA,WND]</t>
  </si>
  <si>
    <t>dont terrestre</t>
  </si>
  <si>
    <t>EP[FRA,WNO]</t>
  </si>
  <si>
    <t>dont maritime</t>
  </si>
  <si>
    <t>EP[FRA,OCE]</t>
  </si>
  <si>
    <t>Hydrolien</t>
  </si>
  <si>
    <t>EPTD[FRA]</t>
  </si>
  <si>
    <t>Pertes Transport et Distribution (TWh)</t>
  </si>
  <si>
    <t>EPAP[FRA]</t>
  </si>
  <si>
    <t>Autoconsommation (TWh)</t>
  </si>
  <si>
    <t>XMELEC[FRA]</t>
  </si>
  <si>
    <t>Exporations nettes (TWh)</t>
  </si>
  <si>
    <t>NCELETOT[FRA]</t>
  </si>
  <si>
    <t>FCFUEL[FRA,ELE]</t>
  </si>
  <si>
    <t>Consommation finale (TWh)</t>
  </si>
  <si>
    <t>ACIPTOT[fra]</t>
  </si>
  <si>
    <t>Capacités installées (GW)</t>
  </si>
  <si>
    <t>ACIPCOAL[fra]</t>
  </si>
  <si>
    <t>ACIPGAS2[fra]</t>
  </si>
  <si>
    <t>ACIP[FRA,GGT]</t>
  </si>
  <si>
    <t>ACIP[FRA,GCT]</t>
  </si>
  <si>
    <t>ACIP[FRA,GGC]</t>
  </si>
  <si>
    <t>ACIP[FRA,GGS]</t>
  </si>
  <si>
    <t>ACIPOIL[fra]</t>
  </si>
  <si>
    <t>ACIP ALL[FRA,CHP]</t>
  </si>
  <si>
    <t>ACIPBIO[fra]</t>
  </si>
  <si>
    <t>ACIPNUT[FRA]</t>
  </si>
  <si>
    <t>ACIP[FRA,NUC]</t>
  </si>
  <si>
    <t>Conv</t>
  </si>
  <si>
    <t>ACIP all[FRA,NND]</t>
  </si>
  <si>
    <t>ACIPHYT[FRA,]</t>
  </si>
  <si>
    <t>ACIPSOL[fra]</t>
  </si>
  <si>
    <t>ACIPWIN[fra]</t>
  </si>
  <si>
    <t>ACIP ALL[FRA,WND]</t>
  </si>
  <si>
    <t>Terrestre</t>
  </si>
  <si>
    <t>ACIP ALL[FRA,WNO]</t>
  </si>
  <si>
    <t>Maritime</t>
  </si>
  <si>
    <t>ACIP ALL[FRA,OCE]</t>
  </si>
  <si>
    <t>HOURS TOT[FRA]</t>
  </si>
  <si>
    <t>Heures de fonctionnement (h)</t>
  </si>
  <si>
    <t>HOURS COALTOT[FRA]</t>
  </si>
  <si>
    <t>HOURS GAS[FRA]</t>
  </si>
  <si>
    <t>HOURS OIL[FRA]</t>
  </si>
  <si>
    <t>n.a.</t>
  </si>
  <si>
    <t>HOURS[FRA,CHP]</t>
  </si>
  <si>
    <t>HOURS BIO[FRA]</t>
  </si>
  <si>
    <t>HOURS NUT[FRA]</t>
  </si>
  <si>
    <t>HOURS HYT[FRA]</t>
  </si>
  <si>
    <t>HOURS WIN[FRA]</t>
  </si>
  <si>
    <t>1 - Consommations énergétiques de l'industrie</t>
  </si>
  <si>
    <t>1.1 Ensemble des branches, usages énergétiques</t>
  </si>
  <si>
    <t>2000-2010</t>
  </si>
  <si>
    <t>2010-2015</t>
  </si>
  <si>
    <t>2015-2020</t>
  </si>
  <si>
    <t>2020-2025</t>
  </si>
  <si>
    <t>2025-2030</t>
  </si>
  <si>
    <t>2030-2035</t>
  </si>
  <si>
    <t>Elec</t>
  </si>
  <si>
    <t>Autres (ENR, déchets)</t>
  </si>
  <si>
    <t>1.2 Ensemble des branches, usages non énergétiques</t>
  </si>
  <si>
    <t>1.3 Total énergie, par branche</t>
  </si>
  <si>
    <t>métaux-primaires</t>
  </si>
  <si>
    <t xml:space="preserve">      sidérurgie</t>
  </si>
  <si>
    <t xml:space="preserve">      aluminium</t>
  </si>
  <si>
    <t>chimie</t>
  </si>
  <si>
    <t xml:space="preserve">       ammoniac</t>
  </si>
  <si>
    <t xml:space="preserve">       pétrochimie base</t>
  </si>
  <si>
    <t xml:space="preserve">        chlore</t>
  </si>
  <si>
    <t>non_metalliques</t>
  </si>
  <si>
    <t xml:space="preserve">        ciment</t>
  </si>
  <si>
    <t xml:space="preserve">         verre</t>
  </si>
  <si>
    <t>iaa</t>
  </si>
  <si>
    <t xml:space="preserve">        sucre</t>
  </si>
  <si>
    <t>équipement</t>
  </si>
  <si>
    <t>autres</t>
  </si>
  <si>
    <t xml:space="preserve">         papier-pâtes</t>
  </si>
  <si>
    <t>Total IGCE</t>
  </si>
  <si>
    <t>1.4 Electricité, par branche</t>
  </si>
  <si>
    <t>TWh</t>
  </si>
  <si>
    <t>1.5 Combustibles, par branche</t>
  </si>
  <si>
    <t>1.6 Indicateurs</t>
  </si>
  <si>
    <t>Coefficient budgétaire</t>
  </si>
  <si>
    <t>Intensité énergétique de la VA (kep/€2005)</t>
  </si>
  <si>
    <t>2 - Consommations énergétiques du résidentiel</t>
  </si>
  <si>
    <t>2.1 Consommation totale par énergie</t>
  </si>
  <si>
    <t>Autres (biomasse, ECS solaire )</t>
  </si>
  <si>
    <t>2.2 Consommation totale par usage</t>
  </si>
  <si>
    <t>Chauffage</t>
  </si>
  <si>
    <t>Eau chaude</t>
  </si>
  <si>
    <t>Cuisson</t>
  </si>
  <si>
    <t>Eclairage</t>
  </si>
  <si>
    <t>Elec specif.</t>
  </si>
  <si>
    <t>Climatisation</t>
  </si>
  <si>
    <t>2.3 Usages thermiques</t>
  </si>
  <si>
    <t>2.4 Chauffage</t>
  </si>
  <si>
    <t>Autres (biomasse)</t>
  </si>
  <si>
    <t>2.5 Eau chaude</t>
  </si>
  <si>
    <t>2.6 Indicateurs</t>
  </si>
  <si>
    <t>Logements</t>
  </si>
  <si>
    <t>Energie/capita (tep)</t>
  </si>
  <si>
    <t>Electricité/capita (kWh)</t>
  </si>
  <si>
    <t>Intensité énergétique de la consommation privée des ménages (kep/€2005)</t>
  </si>
  <si>
    <t>3 - Consommations énergétiques du tertiaire</t>
  </si>
  <si>
    <t>3.1 Consommation totale par énergie</t>
  </si>
  <si>
    <t>Autres (ENR)</t>
  </si>
  <si>
    <t>3.2 Consommation totale par usage</t>
  </si>
  <si>
    <t>Autres usages thermiques</t>
  </si>
  <si>
    <t>Elec specifique</t>
  </si>
  <si>
    <t>3.3 Usages thermiques</t>
  </si>
  <si>
    <t>3.4 Chauffage</t>
  </si>
  <si>
    <t>3.5 Autres usages thermiques</t>
  </si>
  <si>
    <t>3.6 Indicateurs</t>
  </si>
  <si>
    <t>Employés (millions)</t>
  </si>
  <si>
    <t>Energie/employé (tep)</t>
  </si>
  <si>
    <t>Electricité/employé (kWh)</t>
  </si>
  <si>
    <t>4 - Consommations énergétiques des transports</t>
  </si>
  <si>
    <t>4.1 Trafics (yc transit)</t>
  </si>
  <si>
    <t>Route</t>
  </si>
  <si>
    <t xml:space="preserve">  Voiture , VUL   Gvkm</t>
  </si>
  <si>
    <t xml:space="preserve">  Camions            Gtkm</t>
  </si>
  <si>
    <t xml:space="preserve">  Bus-taxis           Gpkm</t>
  </si>
  <si>
    <t>Fer</t>
  </si>
  <si>
    <t xml:space="preserve">  Passagers         Gpkm</t>
  </si>
  <si>
    <t xml:space="preserve">  Marchandises  Gtkm</t>
  </si>
  <si>
    <t>Voies d'eau    Gtkm</t>
  </si>
  <si>
    <t>Air                  Mpas</t>
  </si>
  <si>
    <t>4.2 Ensemble des transports, par énergie</t>
  </si>
  <si>
    <t>Essence (yc carb. subst.)</t>
  </si>
  <si>
    <t>Gazole (yc carb. subs)</t>
  </si>
  <si>
    <t>Carburéacteurs</t>
  </si>
  <si>
    <t>4.3 Ensemble des transports, par infrastructure</t>
  </si>
  <si>
    <t>Voies d'eau,divers</t>
  </si>
  <si>
    <t>Air</t>
  </si>
  <si>
    <t>4.4 Transports routiers</t>
  </si>
  <si>
    <t>Voiture particulière</t>
  </si>
  <si>
    <t>Camions</t>
  </si>
  <si>
    <t>Bus-Taxis</t>
  </si>
  <si>
    <t>2 roues</t>
  </si>
  <si>
    <t xml:space="preserve">Total </t>
  </si>
  <si>
    <t>4.5 Indicateurs</t>
  </si>
  <si>
    <t>Parcs VP, VUL (Millions)</t>
  </si>
  <si>
    <t>Intensité énergétique du PIB (kep/€2005)</t>
  </si>
  <si>
    <t>5 - Consommations énergétiques de l'agriculture</t>
  </si>
  <si>
    <t>5.1 Consommation totale par énergie</t>
  </si>
  <si>
    <t>6 - Consommations énergétiques de l'ensemble des secteurs</t>
  </si>
  <si>
    <t>6.1 Consommation totale par énergie</t>
  </si>
  <si>
    <t>ENR</t>
  </si>
  <si>
    <t>6.2 Consommation totale par secteur</t>
  </si>
  <si>
    <t>Transport</t>
  </si>
  <si>
    <t>6.3 Indicateurs</t>
  </si>
  <si>
    <t>Intensité électrique du PIB (kWh/k€2005)</t>
  </si>
  <si>
    <t>gaz</t>
  </si>
  <si>
    <t>fioul</t>
  </si>
  <si>
    <t>auto-consommation</t>
  </si>
  <si>
    <t>Données sources</t>
  </si>
  <si>
    <t>Bouquet énergétique des réseaux de chaleur en 2010</t>
  </si>
  <si>
    <t>Source : SNCU, 2012, Enquête nationale sur les réseaux de chaleur et de froid - Année 2010</t>
  </si>
  <si>
    <t>Energie consommée</t>
  </si>
  <si>
    <t>Energie produite</t>
  </si>
  <si>
    <t>Rendement</t>
  </si>
  <si>
    <t>GWh</t>
  </si>
  <si>
    <t>%</t>
  </si>
  <si>
    <t>Biomasse</t>
  </si>
  <si>
    <t>Autres</t>
  </si>
  <si>
    <t>Modélisation</t>
  </si>
  <si>
    <t>Chaleur consommée</t>
  </si>
  <si>
    <t>Chaleur consommée via les réseaux de chaleur</t>
  </si>
  <si>
    <t>Parts de marché</t>
  </si>
  <si>
    <t>Chaleur produite à partir de…</t>
  </si>
  <si>
    <t>Rendements des réseaux de chaleur</t>
  </si>
  <si>
    <t>Energie consommée par les réseaux de chaleur</t>
  </si>
  <si>
    <t>Energie consommée par les réseaux de chaleur attribuée au secteur résidentiel (comptabilisation bilan format SOeS)</t>
  </si>
  <si>
    <t>Energie consommée par les réseaux de chaleur attribuée au secteur tertiaire (comptabilisation bilan format SOeS)</t>
  </si>
  <si>
    <t>finale</t>
  </si>
  <si>
    <t>chaleur en Mtep pour les besoins de chauffage hors autres usages thermiques</t>
  </si>
  <si>
    <t xml:space="preserve">total </t>
  </si>
  <si>
    <t>elec</t>
  </si>
  <si>
    <t xml:space="preserve">UIOM et ENR </t>
  </si>
  <si>
    <t xml:space="preserve">Conso finale </t>
  </si>
  <si>
    <t>Indicateurs %</t>
  </si>
  <si>
    <t>Part EnR consommation finale brute</t>
  </si>
  <si>
    <t>n.a</t>
  </si>
  <si>
    <t>Part EnR dans la production d'électricité</t>
  </si>
  <si>
    <t>Part EnR dans la consommation finale brute d'électricité</t>
  </si>
  <si>
    <t>Variation de la consommation finale d'énergie par rapport à 2012 (périmètrre SOeS)</t>
  </si>
  <si>
    <t>Détail des calculs</t>
  </si>
  <si>
    <t>Consommation finale SOeS 2012 corrigée du climat Mtep</t>
  </si>
  <si>
    <t>Pompes à chaleur, partie EnR Mtep</t>
  </si>
  <si>
    <t>Production elec EnR tot hors pompage TWh</t>
  </si>
  <si>
    <t>Production elec EnR tot TWh</t>
  </si>
  <si>
    <t>Pompage TWh (supposé constant)</t>
  </si>
  <si>
    <t>Production elec totale nouvelle version TWh</t>
  </si>
  <si>
    <t>Perte+autoconsommation (supposée inchangée entre versions)</t>
  </si>
  <si>
    <t>Conso finale   (entrée ThreeME)</t>
  </si>
  <si>
    <t>Conso finale   (feuille demande) Medpro</t>
  </si>
  <si>
    <t>bilan complêt SOES</t>
  </si>
  <si>
    <t>ss total</t>
  </si>
  <si>
    <t xml:space="preserve">PP </t>
  </si>
  <si>
    <t>SANKEY 2035 en Mtep</t>
  </si>
  <si>
    <t>PP</t>
  </si>
  <si>
    <t>Q_Mtep_int_uses_21</t>
  </si>
  <si>
    <t>Alpha_losses_21</t>
  </si>
  <si>
    <t>alpha_int_uses_21</t>
  </si>
  <si>
    <t>QMtep_losses_losses</t>
  </si>
  <si>
    <t>QMtep_losses_2201</t>
  </si>
  <si>
    <t>QMtep_losses_2202</t>
  </si>
  <si>
    <t>QMtep_losses_2301</t>
  </si>
  <si>
    <t>QMtep_losses_2302</t>
  </si>
  <si>
    <t>QMtep_losses_2303</t>
  </si>
  <si>
    <t>QMtep_losses_2304</t>
  </si>
  <si>
    <t>QMtep_losses_2305</t>
  </si>
  <si>
    <t>QMtep_losses_2306</t>
  </si>
  <si>
    <t>QMtep_losses_2307</t>
  </si>
  <si>
    <t>QMtep_losses_2308</t>
  </si>
  <si>
    <t>QMtep_losses_2401</t>
  </si>
  <si>
    <t>QMtep_losses_2402</t>
  </si>
  <si>
    <t>QMtep_losses_2403</t>
  </si>
  <si>
    <t>QMtep_losses_2404</t>
  </si>
  <si>
    <t>QMtep_losses_2405</t>
  </si>
  <si>
    <t>QMtep_losses_2406</t>
  </si>
  <si>
    <t>QMtep_losses_21</t>
  </si>
  <si>
    <t>Production énergétique en pourcentage de la production énergétique finale de chaque vecteur (hors consommation non énergétique)</t>
  </si>
  <si>
    <t>Centrale au fioul</t>
  </si>
  <si>
    <t>Centrale au gaz naturel</t>
  </si>
  <si>
    <t>Centrale au charbon</t>
  </si>
  <si>
    <t>Source bilan AMS2</t>
  </si>
  <si>
    <t>Production énergétique en pourcentage de la production énergétique primaire de chaque vecteur (hors consommation non énergétique)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</si>
</sst>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\ _€_-;\-* #,##0.00\ _€_-;_-* &quot;-&quot;??\ _€_-;_-@_-"/>
    <numFmt numFmtId="164" formatCode="0.0"/>
    <numFmt numFmtId="165" formatCode="0.000"/>
    <numFmt numFmtId="166" formatCode="0.00000000000000"/>
    <numFmt numFmtId="167" formatCode="#,##0.00\ &quot;€&quot;"/>
    <numFmt numFmtId="168" formatCode="0.000000000000"/>
    <numFmt numFmtId="169" formatCode="0.0000000000000"/>
    <numFmt numFmtId="170" formatCode="0.0%"/>
    <numFmt numFmtId="171" formatCode="_-* #,##0\ _€_-;\-* #,##0\ _€_-;_-* &quot;-&quot;??\ _€_-;_-@_-"/>
    <numFmt numFmtId="172" formatCode="_-* #,##0.0\ _€_-;\-* #,##0.0\ _€_-;_-* &quot;-&quot;??\ _€_-;_-@_-"/>
    <numFmt numFmtId="173" formatCode="dd/mm/yy;@"/>
    <numFmt numFmtId="174" formatCode="0.000%"/>
    <numFmt numFmtId="175" formatCode="#,##0.000"/>
    <numFmt numFmtId="176" formatCode="#,##0.0"/>
    <numFmt numFmtId="177" formatCode="#,##0_ ;\-#,##0\ "/>
    <numFmt numFmtId="178" formatCode="#,##0.0_ ;\-#,##0.0\ "/>
  </numFmts>
  <fonts count="7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i/>
      <sz val="8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 tint="0.34998626667073579"/>
      <name val="Arial"/>
      <family val="2"/>
    </font>
    <font>
      <sz val="11"/>
      <color theme="1" tint="0.34998626667073579"/>
      <name val="Arial"/>
      <family val="2"/>
    </font>
    <font>
      <sz val="11"/>
      <color theme="3" tint="0.3999755851924192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i/>
      <sz val="11"/>
      <color rgb="FF00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Times New Roman"/>
      <family val="1"/>
    </font>
    <font>
      <b/>
      <sz val="22"/>
      <color indexed="9"/>
      <name val="Calibri"/>
      <family val="2"/>
    </font>
    <font>
      <i/>
      <sz val="10"/>
      <color indexed="9"/>
      <name val="Calibri"/>
      <family val="2"/>
    </font>
    <font>
      <i/>
      <sz val="14"/>
      <color indexed="9"/>
      <name val="Calibri"/>
      <family val="2"/>
    </font>
    <font>
      <b/>
      <sz val="14"/>
      <color indexed="9"/>
      <name val="Calibri"/>
      <family val="2"/>
    </font>
    <font>
      <sz val="14"/>
      <color indexed="9"/>
      <name val="Calibri"/>
      <family val="2"/>
    </font>
    <font>
      <b/>
      <sz val="16"/>
      <color indexed="9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sz val="11"/>
      <color indexed="9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i/>
      <sz val="16"/>
      <name val="Calibri"/>
      <family val="2"/>
    </font>
    <font>
      <b/>
      <sz val="10"/>
      <name val="Calibri"/>
      <family val="2"/>
    </font>
    <font>
      <i/>
      <sz val="8"/>
      <name val="Calibri"/>
      <family val="2"/>
    </font>
    <font>
      <sz val="8"/>
      <name val="Calibri"/>
      <family val="2"/>
    </font>
    <font>
      <i/>
      <sz val="9"/>
      <name val="Calibri"/>
      <family val="2"/>
    </font>
    <font>
      <sz val="10"/>
      <color indexed="9"/>
      <name val="Calibri"/>
      <family val="2"/>
    </font>
    <font>
      <sz val="12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b/>
      <sz val="12"/>
      <color indexed="8"/>
      <name val="Calibri"/>
      <family val="2"/>
    </font>
    <font>
      <i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23"/>
      <name val="Calibri"/>
      <family val="2"/>
    </font>
    <font>
      <sz val="10"/>
      <color theme="0" tint="-0.249977111117893"/>
      <name val="Calibri"/>
      <family val="2"/>
      <scheme val="minor"/>
    </font>
    <font>
      <i/>
      <sz val="10"/>
      <color theme="0" tint="-0.249977111117893"/>
      <name val="Calibri"/>
      <family val="2"/>
      <scheme val="minor"/>
    </font>
    <font>
      <b/>
      <sz val="12"/>
      <color indexed="9"/>
      <name val="Calibri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0"/>
      <color theme="0" tint="-0.499984740745262"/>
      <name val="Calibri"/>
      <family val="2"/>
      <scheme val="minor"/>
    </font>
    <font>
      <sz val="10"/>
      <color theme="3" tint="0.39997558519241921"/>
      <name val="Arial"/>
      <family val="2"/>
    </font>
    <font>
      <sz val="12"/>
      <name val="Arial"/>
      <family val="2"/>
    </font>
    <font>
      <i/>
      <sz val="10"/>
      <color theme="0" tint="-0.249977111117893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</cellStyleXfs>
  <cellXfs count="677">
    <xf numFmtId="0" fontId="0" fillId="0" borderId="0" xfId="0"/>
    <xf numFmtId="0" fontId="6" fillId="0" borderId="0" xfId="8" applyFont="1" applyBorder="1"/>
    <xf numFmtId="164" fontId="6" fillId="0" borderId="0" xfId="8" applyNumberFormat="1" applyFont="1" applyBorder="1"/>
    <xf numFmtId="164" fontId="6" fillId="0" borderId="1" xfId="8" applyNumberFormat="1" applyFont="1" applyBorder="1"/>
    <xf numFmtId="0" fontId="6" fillId="0" borderId="0" xfId="8" applyFont="1" applyBorder="1" applyAlignment="1">
      <alignment horizontal="center" vertical="center" wrapText="1"/>
    </xf>
    <xf numFmtId="2" fontId="6" fillId="0" borderId="0" xfId="8" applyNumberFormat="1" applyFont="1" applyBorder="1"/>
    <xf numFmtId="164" fontId="5" fillId="0" borderId="0" xfId="8" applyNumberFormat="1" applyFont="1" applyBorder="1"/>
    <xf numFmtId="164" fontId="6" fillId="0" borderId="0" xfId="8" applyNumberFormat="1" applyFont="1" applyBorder="1" applyAlignment="1">
      <alignment horizontal="center" vertical="center"/>
    </xf>
    <xf numFmtId="164" fontId="8" fillId="0" borderId="1" xfId="8" applyNumberFormat="1" applyFont="1" applyBorder="1"/>
    <xf numFmtId="164" fontId="9" fillId="0" borderId="1" xfId="8" applyNumberFormat="1" applyFont="1" applyBorder="1"/>
    <xf numFmtId="0" fontId="8" fillId="0" borderId="0" xfId="8" applyFont="1" applyBorder="1"/>
    <xf numFmtId="164" fontId="9" fillId="0" borderId="3" xfId="8" applyNumberFormat="1" applyFont="1" applyBorder="1"/>
    <xf numFmtId="0" fontId="8" fillId="0" borderId="3" xfId="8" applyFont="1" applyBorder="1"/>
    <xf numFmtId="0" fontId="8" fillId="0" borderId="2" xfId="8" applyFont="1" applyBorder="1"/>
    <xf numFmtId="0" fontId="8" fillId="0" borderId="1" xfId="8" applyFont="1" applyBorder="1"/>
    <xf numFmtId="164" fontId="8" fillId="0" borderId="1" xfId="8" applyNumberFormat="1" applyFont="1" applyBorder="1" applyAlignment="1">
      <alignment horizontal="center"/>
    </xf>
    <xf numFmtId="164" fontId="8" fillId="0" borderId="0" xfId="8" applyNumberFormat="1" applyFont="1" applyBorder="1" applyAlignment="1">
      <alignment horizontal="center"/>
    </xf>
    <xf numFmtId="0" fontId="6" fillId="0" borderId="0" xfId="8" applyFont="1" applyBorder="1" applyAlignment="1">
      <alignment horizontal="right"/>
    </xf>
    <xf numFmtId="0" fontId="5" fillId="0" borderId="1" xfId="8" applyFont="1" applyBorder="1" applyAlignment="1">
      <alignment horizontal="right"/>
    </xf>
    <xf numFmtId="0" fontId="5" fillId="0" borderId="0" xfId="8" applyFont="1" applyBorder="1" applyAlignment="1">
      <alignment horizontal="right"/>
    </xf>
    <xf numFmtId="0" fontId="8" fillId="5" borderId="1" xfId="8" applyFont="1" applyFill="1" applyBorder="1"/>
    <xf numFmtId="0" fontId="8" fillId="2" borderId="1" xfId="8" applyFont="1" applyFill="1" applyBorder="1" applyAlignment="1">
      <alignment horizontal="center" vertical="center" wrapText="1"/>
    </xf>
    <xf numFmtId="0" fontId="8" fillId="3" borderId="0" xfId="8" applyFont="1" applyFill="1" applyBorder="1"/>
    <xf numFmtId="0" fontId="6" fillId="0" borderId="0" xfId="8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/>
    <xf numFmtId="164" fontId="6" fillId="0" borderId="0" xfId="0" applyNumberFormat="1" applyFont="1" applyBorder="1"/>
    <xf numFmtId="0" fontId="6" fillId="0" borderId="0" xfId="0" applyFont="1" applyBorder="1" applyAlignment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2" borderId="0" xfId="0" applyFont="1" applyFill="1" applyBorder="1"/>
    <xf numFmtId="0" fontId="5" fillId="2" borderId="0" xfId="0" applyFont="1" applyFill="1" applyBorder="1"/>
    <xf numFmtId="164" fontId="5" fillId="0" borderId="0" xfId="8" applyNumberFormat="1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1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/>
    <xf numFmtId="0" fontId="6" fillId="0" borderId="1" xfId="0" applyFont="1" applyBorder="1"/>
    <xf numFmtId="164" fontId="6" fillId="0" borderId="3" xfId="0" applyNumberFormat="1" applyFont="1" applyBorder="1"/>
    <xf numFmtId="2" fontId="6" fillId="0" borderId="0" xfId="0" applyNumberFormat="1" applyFont="1" applyBorder="1" applyAlignment="1">
      <alignment horizontal="center" vertical="center"/>
    </xf>
    <xf numFmtId="0" fontId="0" fillId="0" borderId="8" xfId="0" applyBorder="1"/>
    <xf numFmtId="0" fontId="13" fillId="0" borderId="0" xfId="0" applyFont="1"/>
    <xf numFmtId="164" fontId="13" fillId="0" borderId="0" xfId="0" applyNumberFormat="1" applyFont="1"/>
    <xf numFmtId="164" fontId="8" fillId="12" borderId="8" xfId="0" applyNumberFormat="1" applyFont="1" applyFill="1" applyBorder="1"/>
    <xf numFmtId="164" fontId="6" fillId="6" borderId="2" xfId="8" applyNumberFormat="1" applyFont="1" applyFill="1" applyBorder="1" applyAlignment="1">
      <alignment horizontal="center" vertical="center"/>
    </xf>
    <xf numFmtId="164" fontId="6" fillId="6" borderId="1" xfId="8" applyNumberFormat="1" applyFont="1" applyFill="1" applyBorder="1" applyAlignment="1">
      <alignment horizontal="center" vertical="center"/>
    </xf>
    <xf numFmtId="164" fontId="6" fillId="12" borderId="8" xfId="0" applyNumberFormat="1" applyFont="1" applyFill="1" applyBorder="1"/>
    <xf numFmtId="164" fontId="6" fillId="0" borderId="8" xfId="0" applyNumberFormat="1" applyFont="1" applyBorder="1"/>
    <xf numFmtId="164" fontId="15" fillId="0" borderId="0" xfId="0" applyNumberFormat="1" applyFont="1" applyBorder="1" applyAlignment="1">
      <alignment horizontal="right"/>
    </xf>
    <xf numFmtId="0" fontId="15" fillId="0" borderId="0" xfId="0" applyFont="1" applyAlignment="1">
      <alignment horizontal="right"/>
    </xf>
    <xf numFmtId="0" fontId="2" fillId="2" borderId="0" xfId="8" applyFont="1" applyFill="1" applyBorder="1" applyAlignment="1">
      <alignment horizontal="center" vertical="center" wrapText="1"/>
    </xf>
    <xf numFmtId="164" fontId="15" fillId="0" borderId="3" xfId="0" applyNumberFormat="1" applyFont="1" applyBorder="1"/>
    <xf numFmtId="164" fontId="15" fillId="0" borderId="3" xfId="0" quotePrefix="1" applyNumberFormat="1" applyFont="1" applyBorder="1"/>
    <xf numFmtId="0" fontId="13" fillId="0" borderId="3" xfId="0" applyFont="1" applyBorder="1"/>
    <xf numFmtId="164" fontId="13" fillId="0" borderId="3" xfId="0" applyNumberFormat="1" applyFont="1" applyBorder="1"/>
    <xf numFmtId="164" fontId="8" fillId="12" borderId="7" xfId="0" applyNumberFormat="1" applyFont="1" applyFill="1" applyBorder="1"/>
    <xf numFmtId="164" fontId="6" fillId="12" borderId="7" xfId="0" applyNumberFormat="1" applyFont="1" applyFill="1" applyBorder="1"/>
    <xf numFmtId="164" fontId="6" fillId="0" borderId="7" xfId="0" applyNumberFormat="1" applyFont="1" applyBorder="1"/>
    <xf numFmtId="0" fontId="13" fillId="0" borderId="8" xfId="0" applyFont="1" applyBorder="1"/>
    <xf numFmtId="0" fontId="0" fillId="0" borderId="7" xfId="0" applyBorder="1"/>
    <xf numFmtId="0" fontId="13" fillId="0" borderId="0" xfId="0" applyFont="1" applyBorder="1"/>
    <xf numFmtId="2" fontId="13" fillId="0" borderId="0" xfId="0" applyNumberFormat="1" applyFont="1"/>
    <xf numFmtId="166" fontId="13" fillId="0" borderId="0" xfId="0" applyNumberFormat="1" applyFont="1"/>
    <xf numFmtId="164" fontId="13" fillId="0" borderId="0" xfId="0" applyNumberFormat="1" applyFont="1" applyBorder="1"/>
    <xf numFmtId="0" fontId="0" fillId="13" borderId="0" xfId="0" applyFill="1"/>
    <xf numFmtId="0" fontId="0" fillId="13" borderId="12" xfId="0" applyFill="1" applyBorder="1"/>
    <xf numFmtId="0" fontId="0" fillId="13" borderId="13" xfId="0" applyFill="1" applyBorder="1"/>
    <xf numFmtId="167" fontId="0" fillId="0" borderId="8" xfId="0" applyNumberFormat="1" applyBorder="1" applyAlignment="1">
      <alignment wrapText="1" shrinkToFit="1"/>
    </xf>
    <xf numFmtId="0" fontId="0" fillId="0" borderId="8" xfId="0" applyBorder="1" applyAlignment="1">
      <alignment wrapText="1" shrinkToFit="1"/>
    </xf>
    <xf numFmtId="167" fontId="0" fillId="0" borderId="8" xfId="0" applyNumberFormat="1" applyFill="1" applyBorder="1" applyAlignment="1">
      <alignment wrapText="1" shrinkToFit="1"/>
    </xf>
    <xf numFmtId="164" fontId="0" fillId="0" borderId="8" xfId="0" applyNumberFormat="1" applyFill="1" applyBorder="1" applyAlignment="1">
      <alignment wrapText="1" shrinkToFit="1"/>
    </xf>
    <xf numFmtId="0" fontId="17" fillId="13" borderId="13" xfId="0" applyFont="1" applyFill="1" applyBorder="1" applyAlignment="1">
      <alignment vertical="center"/>
    </xf>
    <xf numFmtId="164" fontId="0" fillId="0" borderId="8" xfId="0" applyNumberFormat="1" applyBorder="1"/>
    <xf numFmtId="164" fontId="18" fillId="0" borderId="0" xfId="0" applyNumberFormat="1" applyFont="1"/>
    <xf numFmtId="164" fontId="0" fillId="0" borderId="0" xfId="0" applyNumberFormat="1"/>
    <xf numFmtId="0" fontId="17" fillId="13" borderId="15" xfId="0" applyFont="1" applyFill="1" applyBorder="1" applyAlignment="1">
      <alignment vertical="center"/>
    </xf>
    <xf numFmtId="0" fontId="0" fillId="13" borderId="16" xfId="0" applyFont="1" applyFill="1" applyBorder="1" applyAlignment="1">
      <alignment vertical="center" wrapText="1"/>
    </xf>
    <xf numFmtId="0" fontId="17" fillId="13" borderId="17" xfId="0" applyFont="1" applyFill="1" applyBorder="1" applyAlignment="1">
      <alignment vertical="center"/>
    </xf>
    <xf numFmtId="0" fontId="0" fillId="13" borderId="18" xfId="0" applyFont="1" applyFill="1" applyBorder="1" applyAlignment="1">
      <alignment vertical="center" wrapText="1"/>
    </xf>
    <xf numFmtId="0" fontId="18" fillId="0" borderId="0" xfId="0" applyFont="1"/>
    <xf numFmtId="0" fontId="17" fillId="13" borderId="19" xfId="0" applyFont="1" applyFill="1" applyBorder="1" applyAlignment="1">
      <alignment vertical="center" wrapText="1"/>
    </xf>
    <xf numFmtId="0" fontId="17" fillId="13" borderId="16" xfId="0" applyFont="1" applyFill="1" applyBorder="1" applyAlignment="1">
      <alignment vertical="center" wrapText="1"/>
    </xf>
    <xf numFmtId="164" fontId="0" fillId="0" borderId="0" xfId="0" applyNumberFormat="1" applyBorder="1"/>
    <xf numFmtId="0" fontId="17" fillId="13" borderId="18" xfId="0" applyFont="1" applyFill="1" applyBorder="1" applyAlignment="1">
      <alignment vertical="center" wrapText="1"/>
    </xf>
    <xf numFmtId="0" fontId="19" fillId="0" borderId="0" xfId="0" applyFont="1"/>
    <xf numFmtId="164" fontId="19" fillId="0" borderId="0" xfId="0" applyNumberFormat="1" applyFont="1"/>
    <xf numFmtId="0" fontId="17" fillId="13" borderId="14" xfId="0" applyFont="1" applyFill="1" applyBorder="1"/>
    <xf numFmtId="0" fontId="17" fillId="13" borderId="20" xfId="0" applyFont="1" applyFill="1" applyBorder="1"/>
    <xf numFmtId="0" fontId="17" fillId="13" borderId="17" xfId="0" applyFont="1" applyFill="1" applyBorder="1"/>
    <xf numFmtId="0" fontId="17" fillId="13" borderId="21" xfId="0" applyFont="1" applyFill="1" applyBorder="1"/>
    <xf numFmtId="0" fontId="17" fillId="13" borderId="22" xfId="0" applyFont="1" applyFill="1" applyBorder="1"/>
    <xf numFmtId="0" fontId="0" fillId="0" borderId="8" xfId="0" applyFill="1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0" fillId="13" borderId="8" xfId="0" applyFill="1" applyBorder="1"/>
    <xf numFmtId="0" fontId="20" fillId="0" borderId="8" xfId="0" applyFont="1" applyBorder="1"/>
    <xf numFmtId="0" fontId="0" fillId="13" borderId="8" xfId="0" applyFont="1" applyFill="1" applyBorder="1" applyAlignment="1"/>
    <xf numFmtId="164" fontId="21" fillId="0" borderId="8" xfId="0" applyNumberFormat="1" applyFont="1" applyBorder="1"/>
    <xf numFmtId="0" fontId="0" fillId="13" borderId="8" xfId="0" applyFont="1" applyFill="1" applyBorder="1" applyAlignment="1">
      <alignment horizontal="left" indent="3"/>
    </xf>
    <xf numFmtId="164" fontId="20" fillId="0" borderId="8" xfId="0" applyNumberFormat="1" applyFont="1" applyBorder="1"/>
    <xf numFmtId="164" fontId="22" fillId="0" borderId="8" xfId="0" applyNumberFormat="1" applyFon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2" fontId="0" fillId="0" borderId="8" xfId="0" applyNumberFormat="1" applyBorder="1"/>
    <xf numFmtId="0" fontId="0" fillId="0" borderId="8" xfId="0" applyFill="1" applyBorder="1" applyAlignment="1">
      <alignment horizontal="left"/>
    </xf>
    <xf numFmtId="164" fontId="0" fillId="0" borderId="2" xfId="0" applyNumberFormat="1" applyFill="1" applyBorder="1"/>
    <xf numFmtId="1" fontId="0" fillId="0" borderId="0" xfId="0" applyNumberFormat="1"/>
    <xf numFmtId="1" fontId="0" fillId="0" borderId="0" xfId="0" applyNumberFormat="1" applyBorder="1"/>
    <xf numFmtId="164" fontId="23" fillId="0" borderId="0" xfId="0" applyNumberFormat="1" applyFont="1"/>
    <xf numFmtId="168" fontId="0" fillId="0" borderId="0" xfId="0" applyNumberFormat="1"/>
    <xf numFmtId="164" fontId="4" fillId="0" borderId="8" xfId="0" applyNumberFormat="1" applyFont="1" applyBorder="1"/>
    <xf numFmtId="0" fontId="4" fillId="0" borderId="8" xfId="0" applyFont="1" applyBorder="1"/>
    <xf numFmtId="167" fontId="4" fillId="0" borderId="8" xfId="0" applyNumberFormat="1" applyFont="1" applyBorder="1" applyAlignment="1">
      <alignment wrapText="1" shrinkToFit="1"/>
    </xf>
    <xf numFmtId="0" fontId="4" fillId="13" borderId="8" xfId="0" applyFont="1" applyFill="1" applyBorder="1" applyAlignment="1">
      <alignment horizontal="left" indent="3"/>
    </xf>
    <xf numFmtId="0" fontId="4" fillId="0" borderId="7" xfId="0" applyFont="1" applyBorder="1"/>
    <xf numFmtId="169" fontId="0" fillId="0" borderId="0" xfId="0" applyNumberFormat="1"/>
    <xf numFmtId="0" fontId="28" fillId="14" borderId="0" xfId="2" applyFont="1" applyFill="1" applyAlignment="1">
      <alignment horizontal="left"/>
    </xf>
    <xf numFmtId="0" fontId="29" fillId="14" borderId="0" xfId="2" applyFont="1" applyFill="1" applyAlignment="1">
      <alignment horizontal="center"/>
    </xf>
    <xf numFmtId="0" fontId="30" fillId="14" borderId="0" xfId="2" applyFont="1" applyFill="1" applyAlignment="1">
      <alignment horizontal="center"/>
    </xf>
    <xf numFmtId="0" fontId="31" fillId="14" borderId="0" xfId="2" applyFont="1" applyFill="1" applyAlignment="1">
      <alignment horizontal="right"/>
    </xf>
    <xf numFmtId="0" fontId="31" fillId="14" borderId="0" xfId="2" applyFont="1" applyFill="1" applyAlignment="1">
      <alignment horizontal="left"/>
    </xf>
    <xf numFmtId="14" fontId="31" fillId="14" borderId="0" xfId="2" applyNumberFormat="1" applyFont="1" applyFill="1" applyAlignment="1">
      <alignment horizontal="left"/>
    </xf>
    <xf numFmtId="0" fontId="32" fillId="14" borderId="0" xfId="2" applyFont="1" applyFill="1" applyAlignment="1">
      <alignment horizontal="center"/>
    </xf>
    <xf numFmtId="0" fontId="0" fillId="15" borderId="0" xfId="0" applyFill="1"/>
    <xf numFmtId="0" fontId="33" fillId="16" borderId="0" xfId="2" applyFont="1" applyFill="1"/>
    <xf numFmtId="0" fontId="34" fillId="17" borderId="0" xfId="2" applyFont="1" applyFill="1"/>
    <xf numFmtId="0" fontId="35" fillId="17" borderId="0" xfId="2" applyFont="1" applyFill="1" applyAlignment="1">
      <alignment horizontal="center"/>
    </xf>
    <xf numFmtId="0" fontId="36" fillId="17" borderId="0" xfId="2" applyFont="1" applyFill="1" applyAlignment="1">
      <alignment horizontal="center"/>
    </xf>
    <xf numFmtId="0" fontId="0" fillId="15" borderId="23" xfId="0" applyFill="1" applyBorder="1" applyAlignment="1"/>
    <xf numFmtId="0" fontId="0" fillId="15" borderId="24" xfId="0" applyFill="1" applyBorder="1" applyAlignment="1"/>
    <xf numFmtId="0" fontId="0" fillId="15" borderId="25" xfId="0" applyFill="1" applyBorder="1" applyAlignment="1">
      <alignment vertical="center"/>
    </xf>
    <xf numFmtId="0" fontId="17" fillId="15" borderId="25" xfId="0" applyFont="1" applyFill="1" applyBorder="1" applyAlignment="1">
      <alignment horizontal="center" vertical="center"/>
    </xf>
    <xf numFmtId="0" fontId="0" fillId="15" borderId="26" xfId="0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0" fontId="0" fillId="15" borderId="28" xfId="0" applyFill="1" applyBorder="1" applyAlignment="1">
      <alignment vertical="center"/>
    </xf>
    <xf numFmtId="0" fontId="17" fillId="15" borderId="28" xfId="0" applyFont="1" applyFill="1" applyBorder="1" applyAlignment="1">
      <alignment horizontal="center" vertical="center"/>
    </xf>
    <xf numFmtId="0" fontId="17" fillId="15" borderId="0" xfId="0" applyFont="1" applyFill="1" applyAlignment="1"/>
    <xf numFmtId="0" fontId="17" fillId="15" borderId="0" xfId="0" applyFont="1" applyFill="1" applyAlignment="1">
      <alignment horizontal="center"/>
    </xf>
    <xf numFmtId="0" fontId="0" fillId="15" borderId="29" xfId="0" applyFill="1" applyBorder="1"/>
    <xf numFmtId="0" fontId="0" fillId="15" borderId="30" xfId="0" applyFill="1" applyBorder="1" applyAlignment="1">
      <alignment horizontal="center"/>
    </xf>
    <xf numFmtId="0" fontId="0" fillId="15" borderId="31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17" fillId="15" borderId="29" xfId="0" applyFont="1" applyFill="1" applyBorder="1" applyAlignment="1">
      <alignment horizontal="center"/>
    </xf>
    <xf numFmtId="0" fontId="0" fillId="15" borderId="32" xfId="0" applyFill="1" applyBorder="1"/>
    <xf numFmtId="0" fontId="0" fillId="15" borderId="33" xfId="0" applyFill="1" applyBorder="1" applyAlignment="1">
      <alignment horizontal="center"/>
    </xf>
    <xf numFmtId="0" fontId="0" fillId="15" borderId="34" xfId="0" applyFill="1" applyBorder="1" applyAlignment="1">
      <alignment horizontal="center"/>
    </xf>
    <xf numFmtId="0" fontId="0" fillId="15" borderId="32" xfId="0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37" fillId="15" borderId="32" xfId="0" applyFont="1" applyFill="1" applyBorder="1"/>
    <xf numFmtId="0" fontId="37" fillId="15" borderId="33" xfId="0" applyFont="1" applyFill="1" applyBorder="1" applyAlignment="1">
      <alignment horizontal="center"/>
    </xf>
    <xf numFmtId="0" fontId="37" fillId="15" borderId="34" xfId="0" applyFont="1" applyFill="1" applyBorder="1" applyAlignment="1">
      <alignment horizontal="center"/>
    </xf>
    <xf numFmtId="0" fontId="37" fillId="15" borderId="32" xfId="0" applyFont="1" applyFill="1" applyBorder="1" applyAlignment="1">
      <alignment horizontal="center"/>
    </xf>
    <xf numFmtId="0" fontId="38" fillId="15" borderId="32" xfId="0" applyFont="1" applyFill="1" applyBorder="1" applyAlignment="1">
      <alignment horizontal="center"/>
    </xf>
    <xf numFmtId="0" fontId="0" fillId="15" borderId="35" xfId="0" applyFill="1" applyBorder="1"/>
    <xf numFmtId="0" fontId="0" fillId="15" borderId="36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35" xfId="0" applyFill="1" applyBorder="1" applyAlignment="1">
      <alignment horizontal="center"/>
    </xf>
    <xf numFmtId="0" fontId="17" fillId="15" borderId="35" xfId="0" applyFont="1" applyFill="1" applyBorder="1" applyAlignment="1">
      <alignment horizontal="center"/>
    </xf>
    <xf numFmtId="0" fontId="17" fillId="15" borderId="38" xfId="0" applyFont="1" applyFill="1" applyBorder="1"/>
    <xf numFmtId="0" fontId="17" fillId="15" borderId="9" xfId="0" applyFont="1" applyFill="1" applyBorder="1" applyAlignment="1"/>
    <xf numFmtId="0" fontId="17" fillId="15" borderId="11" xfId="0" applyFont="1" applyFill="1" applyBorder="1" applyAlignment="1"/>
    <xf numFmtId="0" fontId="17" fillId="15" borderId="39" xfId="0" applyFont="1" applyFill="1" applyBorder="1" applyAlignment="1">
      <alignment horizontal="center"/>
    </xf>
    <xf numFmtId="0" fontId="17" fillId="15" borderId="40" xfId="0" applyFont="1" applyFill="1" applyBorder="1" applyAlignment="1">
      <alignment horizontal="center"/>
    </xf>
    <xf numFmtId="0" fontId="17" fillId="15" borderId="38" xfId="0" applyFont="1" applyFill="1" applyBorder="1" applyAlignment="1">
      <alignment horizontal="center"/>
    </xf>
    <xf numFmtId="0" fontId="0" fillId="15" borderId="0" xfId="0" applyFill="1" applyAlignment="1">
      <alignment horizontal="center"/>
    </xf>
    <xf numFmtId="170" fontId="17" fillId="15" borderId="9" xfId="11" applyNumberFormat="1" applyFont="1" applyFill="1" applyBorder="1" applyAlignment="1"/>
    <xf numFmtId="170" fontId="17" fillId="15" borderId="11" xfId="11" applyNumberFormat="1" applyFont="1" applyFill="1" applyBorder="1" applyAlignment="1"/>
    <xf numFmtId="170" fontId="17" fillId="15" borderId="38" xfId="11" applyNumberFormat="1" applyFont="1" applyFill="1" applyBorder="1" applyAlignment="1">
      <alignment horizontal="center"/>
    </xf>
    <xf numFmtId="0" fontId="17" fillId="15" borderId="0" xfId="0" applyFont="1" applyFill="1"/>
    <xf numFmtId="2" fontId="0" fillId="15" borderId="36" xfId="0" applyNumberFormat="1" applyFill="1" applyBorder="1" applyAlignment="1">
      <alignment horizontal="center"/>
    </xf>
    <xf numFmtId="2" fontId="0" fillId="15" borderId="37" xfId="0" applyNumberFormat="1" applyFill="1" applyBorder="1" applyAlignment="1">
      <alignment horizontal="center"/>
    </xf>
    <xf numFmtId="2" fontId="17" fillId="15" borderId="40" xfId="0" applyNumberFormat="1" applyFont="1" applyFill="1" applyBorder="1" applyAlignment="1">
      <alignment horizontal="center"/>
    </xf>
    <xf numFmtId="2" fontId="17" fillId="15" borderId="39" xfId="0" applyNumberFormat="1" applyFont="1" applyFill="1" applyBorder="1" applyAlignment="1">
      <alignment horizontal="center"/>
    </xf>
    <xf numFmtId="0" fontId="0" fillId="15" borderId="32" xfId="0" applyFill="1" applyBorder="1" applyAlignment="1">
      <alignment horizontal="left"/>
    </xf>
    <xf numFmtId="2" fontId="0" fillId="15" borderId="33" xfId="0" applyNumberFormat="1" applyFill="1" applyBorder="1" applyAlignment="1">
      <alignment horizontal="center"/>
    </xf>
    <xf numFmtId="2" fontId="0" fillId="15" borderId="34" xfId="0" applyNumberFormat="1" applyFill="1" applyBorder="1" applyAlignment="1">
      <alignment horizontal="center"/>
    </xf>
    <xf numFmtId="2" fontId="0" fillId="15" borderId="32" xfId="0" applyNumberFormat="1" applyFill="1" applyBorder="1" applyAlignment="1">
      <alignment horizontal="center"/>
    </xf>
    <xf numFmtId="2" fontId="17" fillId="15" borderId="41" xfId="0" applyNumberFormat="1" applyFont="1" applyFill="1" applyBorder="1" applyAlignment="1">
      <alignment horizontal="center"/>
    </xf>
    <xf numFmtId="0" fontId="0" fillId="15" borderId="35" xfId="0" applyFill="1" applyBorder="1" applyAlignment="1">
      <alignment horizontal="left"/>
    </xf>
    <xf numFmtId="0" fontId="17" fillId="15" borderId="38" xfId="0" applyFont="1" applyFill="1" applyBorder="1" applyAlignment="1">
      <alignment horizontal="left"/>
    </xf>
    <xf numFmtId="2" fontId="17" fillId="15" borderId="38" xfId="0" applyNumberFormat="1" applyFont="1" applyFill="1" applyBorder="1" applyAlignment="1">
      <alignment horizontal="center"/>
    </xf>
    <xf numFmtId="2" fontId="17" fillId="15" borderId="11" xfId="0" applyNumberFormat="1" applyFont="1" applyFill="1" applyBorder="1" applyAlignment="1">
      <alignment horizontal="center"/>
    </xf>
    <xf numFmtId="0" fontId="17" fillId="15" borderId="11" xfId="0" applyFont="1" applyFill="1" applyBorder="1" applyAlignment="1">
      <alignment horizontal="center"/>
    </xf>
    <xf numFmtId="2" fontId="17" fillId="15" borderId="9" xfId="0" applyNumberFormat="1" applyFont="1" applyFill="1" applyBorder="1" applyAlignment="1"/>
    <xf numFmtId="2" fontId="17" fillId="15" borderId="11" xfId="0" applyNumberFormat="1" applyFont="1" applyFill="1" applyBorder="1" applyAlignment="1"/>
    <xf numFmtId="0" fontId="38" fillId="15" borderId="38" xfId="0" applyFont="1" applyFill="1" applyBorder="1" applyAlignment="1">
      <alignment horizontal="left"/>
    </xf>
    <xf numFmtId="0" fontId="38" fillId="15" borderId="9" xfId="0" applyFont="1" applyFill="1" applyBorder="1" applyAlignment="1"/>
    <xf numFmtId="0" fontId="38" fillId="15" borderId="11" xfId="0" applyFont="1" applyFill="1" applyBorder="1" applyAlignment="1"/>
    <xf numFmtId="0" fontId="38" fillId="15" borderId="38" xfId="0" applyFont="1" applyFill="1" applyBorder="1" applyAlignment="1">
      <alignment horizontal="center"/>
    </xf>
    <xf numFmtId="0" fontId="38" fillId="15" borderId="11" xfId="0" applyFont="1" applyFill="1" applyBorder="1" applyAlignment="1">
      <alignment horizontal="center"/>
    </xf>
    <xf numFmtId="2" fontId="0" fillId="15" borderId="30" xfId="0" applyNumberFormat="1" applyFill="1" applyBorder="1" applyAlignment="1">
      <alignment horizontal="center"/>
    </xf>
    <xf numFmtId="2" fontId="0" fillId="16" borderId="30" xfId="0" applyNumberFormat="1" applyFill="1" applyBorder="1" applyAlignment="1">
      <alignment horizontal="center"/>
    </xf>
    <xf numFmtId="0" fontId="0" fillId="16" borderId="31" xfId="0" applyFill="1" applyBorder="1" applyAlignment="1">
      <alignment horizontal="center"/>
    </xf>
    <xf numFmtId="2" fontId="0" fillId="15" borderId="29" xfId="0" applyNumberFormat="1" applyFill="1" applyBorder="1" applyAlignment="1">
      <alignment horizontal="center"/>
    </xf>
    <xf numFmtId="2" fontId="17" fillId="15" borderId="29" xfId="0" applyNumberFormat="1" applyFont="1" applyFill="1" applyBorder="1" applyAlignment="1">
      <alignment horizontal="center"/>
    </xf>
    <xf numFmtId="0" fontId="0" fillId="18" borderId="33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0" fontId="0" fillId="18" borderId="32" xfId="0" applyFill="1" applyBorder="1" applyAlignment="1">
      <alignment horizontal="center"/>
    </xf>
    <xf numFmtId="0" fontId="17" fillId="18" borderId="32" xfId="0" applyFont="1" applyFill="1" applyBorder="1" applyAlignment="1">
      <alignment horizontal="center"/>
    </xf>
    <xf numFmtId="2" fontId="37" fillId="15" borderId="42" xfId="0" applyNumberFormat="1" applyFont="1" applyFill="1" applyBorder="1" applyAlignment="1"/>
    <xf numFmtId="2" fontId="37" fillId="15" borderId="41" xfId="0" applyNumberFormat="1" applyFont="1" applyFill="1" applyBorder="1" applyAlignment="1"/>
    <xf numFmtId="2" fontId="37" fillId="15" borderId="33" xfId="0" applyNumberFormat="1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2" fontId="37" fillId="15" borderId="32" xfId="0" applyNumberFormat="1" applyFont="1" applyFill="1" applyBorder="1" applyAlignment="1">
      <alignment horizontal="center"/>
    </xf>
    <xf numFmtId="2" fontId="38" fillId="15" borderId="32" xfId="0" applyNumberFormat="1" applyFont="1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170" fontId="17" fillId="15" borderId="11" xfId="11" applyNumberFormat="1" applyFont="1" applyFill="1" applyBorder="1" applyAlignment="1">
      <alignment horizontal="center"/>
    </xf>
    <xf numFmtId="0" fontId="0" fillId="19" borderId="30" xfId="0" applyFill="1" applyBorder="1" applyAlignment="1">
      <alignment horizontal="center"/>
    </xf>
    <xf numFmtId="0" fontId="0" fillId="19" borderId="31" xfId="0" applyFill="1" applyBorder="1" applyAlignment="1">
      <alignment horizontal="center"/>
    </xf>
    <xf numFmtId="2" fontId="17" fillId="15" borderId="32" xfId="0" applyNumberFormat="1" applyFont="1" applyFill="1" applyBorder="1" applyAlignment="1">
      <alignment horizontal="center"/>
    </xf>
    <xf numFmtId="0" fontId="0" fillId="16" borderId="33" xfId="0" applyFill="1" applyBorder="1" applyAlignment="1">
      <alignment horizontal="center"/>
    </xf>
    <xf numFmtId="0" fontId="0" fillId="16" borderId="32" xfId="0" applyFill="1" applyBorder="1" applyAlignment="1">
      <alignment horizontal="center"/>
    </xf>
    <xf numFmtId="2" fontId="0" fillId="15" borderId="35" xfId="0" applyNumberFormat="1" applyFill="1" applyBorder="1" applyAlignment="1">
      <alignment horizontal="center"/>
    </xf>
    <xf numFmtId="2" fontId="17" fillId="15" borderId="35" xfId="0" applyNumberFormat="1" applyFont="1" applyFill="1" applyBorder="1" applyAlignment="1">
      <alignment horizontal="center"/>
    </xf>
    <xf numFmtId="2" fontId="0" fillId="15" borderId="0" xfId="0" applyNumberFormat="1" applyFill="1"/>
    <xf numFmtId="2" fontId="0" fillId="19" borderId="37" xfId="0" applyNumberFormat="1" applyFill="1" applyBorder="1" applyAlignment="1">
      <alignment horizontal="center"/>
    </xf>
    <xf numFmtId="0" fontId="39" fillId="14" borderId="43" xfId="0" applyFont="1" applyFill="1" applyBorder="1"/>
    <xf numFmtId="0" fontId="39" fillId="14" borderId="43" xfId="0" applyFont="1" applyFill="1" applyBorder="1" applyAlignment="1">
      <alignment horizontal="center"/>
    </xf>
    <xf numFmtId="0" fontId="40" fillId="15" borderId="10" xfId="0" applyFont="1" applyFill="1" applyBorder="1"/>
    <xf numFmtId="1" fontId="40" fillId="15" borderId="10" xfId="0" applyNumberFormat="1" applyFont="1" applyFill="1" applyBorder="1"/>
    <xf numFmtId="0" fontId="41" fillId="15" borderId="0" xfId="0" applyFont="1" applyFill="1" applyBorder="1"/>
    <xf numFmtId="0" fontId="42" fillId="20" borderId="44" xfId="0" applyFont="1" applyFill="1" applyBorder="1" applyAlignment="1">
      <alignment wrapText="1"/>
    </xf>
    <xf numFmtId="171" fontId="42" fillId="20" borderId="44" xfId="0" applyNumberFormat="1" applyFont="1" applyFill="1" applyBorder="1"/>
    <xf numFmtId="0" fontId="42" fillId="15" borderId="0" xfId="0" applyFont="1" applyFill="1" applyBorder="1" applyAlignment="1">
      <alignment horizontal="left" indent="1"/>
    </xf>
    <xf numFmtId="171" fontId="40" fillId="15" borderId="0" xfId="0" applyNumberFormat="1" applyFont="1" applyFill="1" applyBorder="1"/>
    <xf numFmtId="0" fontId="42" fillId="21" borderId="0" xfId="0" applyFont="1" applyFill="1" applyBorder="1" applyAlignment="1">
      <alignment horizontal="left" indent="1"/>
    </xf>
    <xf numFmtId="171" fontId="40" fillId="21" borderId="0" xfId="0" applyNumberFormat="1" applyFont="1" applyFill="1" applyBorder="1"/>
    <xf numFmtId="43" fontId="40" fillId="15" borderId="0" xfId="0" applyNumberFormat="1" applyFont="1" applyFill="1" applyBorder="1"/>
    <xf numFmtId="0" fontId="40" fillId="15" borderId="44" xfId="0" applyFont="1" applyFill="1" applyBorder="1"/>
    <xf numFmtId="9" fontId="40" fillId="15" borderId="44" xfId="11" applyFont="1" applyFill="1" applyBorder="1"/>
    <xf numFmtId="0" fontId="42" fillId="20" borderId="44" xfId="0" applyFont="1" applyFill="1" applyBorder="1"/>
    <xf numFmtId="171" fontId="42" fillId="20" borderId="44" xfId="10" applyNumberFormat="1" applyFont="1" applyFill="1" applyBorder="1"/>
    <xf numFmtId="172" fontId="40" fillId="15" borderId="0" xfId="0" applyNumberFormat="1" applyFont="1" applyFill="1" applyBorder="1"/>
    <xf numFmtId="9" fontId="40" fillId="15" borderId="0" xfId="11" applyFont="1" applyFill="1" applyBorder="1"/>
    <xf numFmtId="0" fontId="43" fillId="15" borderId="0" xfId="0" applyFont="1" applyFill="1" applyBorder="1" applyAlignment="1">
      <alignment horizontal="left" indent="2"/>
    </xf>
    <xf numFmtId="172" fontId="40" fillId="21" borderId="0" xfId="0" applyNumberFormat="1" applyFont="1" applyFill="1" applyBorder="1"/>
    <xf numFmtId="0" fontId="43" fillId="21" borderId="0" xfId="0" applyFont="1" applyFill="1" applyBorder="1" applyAlignment="1">
      <alignment horizontal="left" indent="2"/>
    </xf>
    <xf numFmtId="0" fontId="43" fillId="15" borderId="0" xfId="0" applyFont="1" applyFill="1" applyBorder="1" applyAlignment="1">
      <alignment horizontal="left" indent="1"/>
    </xf>
    <xf numFmtId="0" fontId="40" fillId="15" borderId="0" xfId="0" applyFont="1" applyFill="1" applyBorder="1"/>
    <xf numFmtId="0" fontId="42" fillId="20" borderId="10" xfId="0" applyFont="1" applyFill="1" applyBorder="1" applyAlignment="1">
      <alignment horizontal="left"/>
    </xf>
    <xf numFmtId="171" fontId="42" fillId="20" borderId="10" xfId="0" applyNumberFormat="1" applyFont="1" applyFill="1" applyBorder="1"/>
    <xf numFmtId="0" fontId="42" fillId="15" borderId="10" xfId="0" applyFont="1" applyFill="1" applyBorder="1" applyAlignment="1">
      <alignment horizontal="left"/>
    </xf>
    <xf numFmtId="171" fontId="42" fillId="15" borderId="10" xfId="0" applyNumberFormat="1" applyFont="1" applyFill="1" applyBorder="1"/>
    <xf numFmtId="43" fontId="40" fillId="15" borderId="10" xfId="10" applyFont="1" applyFill="1" applyBorder="1"/>
    <xf numFmtId="171" fontId="40" fillId="15" borderId="10" xfId="10" applyNumberFormat="1" applyFont="1" applyFill="1" applyBorder="1"/>
    <xf numFmtId="172" fontId="40" fillId="15" borderId="10" xfId="10" applyNumberFormat="1" applyFont="1" applyFill="1" applyBorder="1"/>
    <xf numFmtId="0" fontId="42" fillId="20" borderId="44" xfId="0" applyFont="1" applyFill="1" applyBorder="1" applyAlignment="1">
      <alignment horizontal="left"/>
    </xf>
    <xf numFmtId="0" fontId="40" fillId="15" borderId="44" xfId="0" applyFont="1" applyFill="1" applyBorder="1" applyAlignment="1">
      <alignment horizontal="left"/>
    </xf>
    <xf numFmtId="172" fontId="40" fillId="15" borderId="10" xfId="0" applyNumberFormat="1" applyFont="1" applyFill="1" applyBorder="1"/>
    <xf numFmtId="43" fontId="40" fillId="15" borderId="10" xfId="0" applyNumberFormat="1" applyFont="1" applyFill="1" applyBorder="1"/>
    <xf numFmtId="171" fontId="40" fillId="15" borderId="44" xfId="0" applyNumberFormat="1" applyFont="1" applyFill="1" applyBorder="1"/>
    <xf numFmtId="171" fontId="40" fillId="15" borderId="0" xfId="10" applyNumberFormat="1" applyFont="1" applyFill="1" applyBorder="1"/>
    <xf numFmtId="171" fontId="40" fillId="21" borderId="0" xfId="10" applyNumberFormat="1" applyFont="1" applyFill="1" applyBorder="1"/>
    <xf numFmtId="171" fontId="40" fillId="15" borderId="0" xfId="10" applyNumberFormat="1" applyFont="1" applyFill="1" applyBorder="1" applyAlignment="1">
      <alignment horizontal="right"/>
    </xf>
    <xf numFmtId="171" fontId="40" fillId="21" borderId="0" xfId="10" applyNumberFormat="1" applyFont="1" applyFill="1" applyBorder="1" applyAlignment="1">
      <alignment horizontal="right"/>
    </xf>
    <xf numFmtId="0" fontId="35" fillId="15" borderId="0" xfId="2" applyFont="1" applyFill="1"/>
    <xf numFmtId="0" fontId="44" fillId="15" borderId="0" xfId="2" applyFont="1" applyFill="1" applyAlignment="1">
      <alignment horizontal="center"/>
    </xf>
    <xf numFmtId="0" fontId="36" fillId="15" borderId="0" xfId="2" applyFont="1" applyFill="1" applyAlignment="1">
      <alignment horizontal="center"/>
    </xf>
    <xf numFmtId="0" fontId="35" fillId="15" borderId="0" xfId="2" applyFont="1" applyFill="1" applyAlignment="1">
      <alignment horizontal="center"/>
    </xf>
    <xf numFmtId="0" fontId="45" fillId="15" borderId="0" xfId="2" applyFont="1" applyFill="1"/>
    <xf numFmtId="0" fontId="46" fillId="15" borderId="0" xfId="2" applyFont="1" applyFill="1" applyAlignment="1">
      <alignment horizontal="center"/>
    </xf>
    <xf numFmtId="0" fontId="45" fillId="15" borderId="0" xfId="0" applyFont="1" applyFill="1"/>
    <xf numFmtId="173" fontId="46" fillId="15" borderId="0" xfId="2" applyNumberFormat="1" applyFont="1" applyFill="1" applyAlignment="1">
      <alignment horizontal="center"/>
    </xf>
    <xf numFmtId="0" fontId="35" fillId="16" borderId="0" xfId="2" applyFont="1" applyFill="1" applyAlignment="1">
      <alignment horizontal="center"/>
    </xf>
    <xf numFmtId="0" fontId="35" fillId="15" borderId="38" xfId="2" applyFont="1" applyFill="1" applyBorder="1"/>
    <xf numFmtId="0" fontId="47" fillId="15" borderId="10" xfId="2" applyFont="1" applyFill="1" applyBorder="1" applyAlignment="1">
      <alignment horizontal="center"/>
    </xf>
    <xf numFmtId="0" fontId="47" fillId="15" borderId="9" xfId="2" applyFont="1" applyFill="1" applyBorder="1" applyAlignment="1">
      <alignment horizontal="center"/>
    </xf>
    <xf numFmtId="0" fontId="47" fillId="15" borderId="11" xfId="2" applyFont="1" applyFill="1" applyBorder="1" applyAlignment="1">
      <alignment horizontal="center"/>
    </xf>
    <xf numFmtId="0" fontId="35" fillId="15" borderId="45" xfId="2" applyFont="1" applyFill="1" applyBorder="1"/>
    <xf numFmtId="164" fontId="35" fillId="15" borderId="0" xfId="2" applyNumberFormat="1" applyFont="1" applyFill="1" applyBorder="1" applyAlignment="1">
      <alignment horizontal="center"/>
    </xf>
    <xf numFmtId="170" fontId="35" fillId="15" borderId="46" xfId="5" applyNumberFormat="1" applyFont="1" applyFill="1" applyBorder="1" applyAlignment="1">
      <alignment horizontal="center"/>
    </xf>
    <xf numFmtId="170" fontId="35" fillId="15" borderId="47" xfId="5" applyNumberFormat="1" applyFont="1" applyFill="1" applyBorder="1" applyAlignment="1">
      <alignment horizontal="center"/>
    </xf>
    <xf numFmtId="170" fontId="35" fillId="15" borderId="48" xfId="5" applyNumberFormat="1" applyFont="1" applyFill="1" applyBorder="1" applyAlignment="1">
      <alignment horizontal="center"/>
    </xf>
    <xf numFmtId="170" fontId="35" fillId="15" borderId="49" xfId="5" applyNumberFormat="1" applyFont="1" applyFill="1" applyBorder="1" applyAlignment="1">
      <alignment horizontal="center"/>
    </xf>
    <xf numFmtId="170" fontId="35" fillId="15" borderId="0" xfId="5" applyNumberFormat="1" applyFont="1" applyFill="1" applyBorder="1" applyAlignment="1">
      <alignment horizontal="center"/>
    </xf>
    <xf numFmtId="170" fontId="35" fillId="15" borderId="50" xfId="5" applyNumberFormat="1" applyFont="1" applyFill="1" applyBorder="1" applyAlignment="1">
      <alignment horizontal="center"/>
    </xf>
    <xf numFmtId="164" fontId="35" fillId="15" borderId="0" xfId="2" applyNumberFormat="1" applyFont="1" applyFill="1"/>
    <xf numFmtId="0" fontId="35" fillId="15" borderId="28" xfId="2" applyFont="1" applyFill="1" applyBorder="1"/>
    <xf numFmtId="164" fontId="35" fillId="15" borderId="44" xfId="2" applyNumberFormat="1" applyFont="1" applyFill="1" applyBorder="1" applyAlignment="1">
      <alignment horizontal="center"/>
    </xf>
    <xf numFmtId="170" fontId="35" fillId="15" borderId="51" xfId="5" applyNumberFormat="1" applyFont="1" applyFill="1" applyBorder="1" applyAlignment="1">
      <alignment horizontal="center"/>
    </xf>
    <xf numFmtId="170" fontId="35" fillId="15" borderId="44" xfId="5" applyNumberFormat="1" applyFont="1" applyFill="1" applyBorder="1" applyAlignment="1">
      <alignment horizontal="center"/>
    </xf>
    <xf numFmtId="170" fontId="35" fillId="15" borderId="52" xfId="5" applyNumberFormat="1" applyFont="1" applyFill="1" applyBorder="1" applyAlignment="1">
      <alignment horizontal="center"/>
    </xf>
    <xf numFmtId="14" fontId="35" fillId="15" borderId="0" xfId="2" applyNumberFormat="1" applyFont="1" applyFill="1"/>
    <xf numFmtId="10" fontId="36" fillId="15" borderId="0" xfId="11" applyNumberFormat="1" applyFont="1" applyFill="1" applyAlignment="1">
      <alignment horizontal="center"/>
    </xf>
    <xf numFmtId="0" fontId="48" fillId="15" borderId="9" xfId="2" applyFont="1" applyFill="1" applyBorder="1" applyAlignment="1">
      <alignment horizontal="center"/>
    </xf>
    <xf numFmtId="0" fontId="48" fillId="15" borderId="10" xfId="2" applyFont="1" applyFill="1" applyBorder="1" applyAlignment="1">
      <alignment horizontal="center"/>
    </xf>
    <xf numFmtId="0" fontId="48" fillId="15" borderId="11" xfId="2" applyFont="1" applyFill="1" applyBorder="1" applyAlignment="1">
      <alignment horizontal="center"/>
    </xf>
    <xf numFmtId="2" fontId="35" fillId="15" borderId="0" xfId="2" applyNumberFormat="1" applyFont="1" applyFill="1" applyBorder="1" applyAlignment="1">
      <alignment horizontal="center"/>
    </xf>
    <xf numFmtId="164" fontId="35" fillId="15" borderId="0" xfId="2" applyNumberFormat="1" applyFont="1" applyFill="1" applyAlignment="1">
      <alignment horizontal="center"/>
    </xf>
    <xf numFmtId="170" fontId="48" fillId="15" borderId="46" xfId="5" applyNumberFormat="1" applyFont="1" applyFill="1" applyBorder="1" applyAlignment="1">
      <alignment horizontal="center"/>
    </xf>
    <xf numFmtId="170" fontId="48" fillId="15" borderId="47" xfId="5" applyNumberFormat="1" applyFont="1" applyFill="1" applyBorder="1" applyAlignment="1">
      <alignment horizontal="center"/>
    </xf>
    <xf numFmtId="170" fontId="48" fillId="15" borderId="48" xfId="5" applyNumberFormat="1" applyFont="1" applyFill="1" applyBorder="1" applyAlignment="1">
      <alignment horizontal="center"/>
    </xf>
    <xf numFmtId="165" fontId="35" fillId="15" borderId="0" xfId="2" applyNumberFormat="1" applyFont="1" applyFill="1"/>
    <xf numFmtId="2" fontId="35" fillId="15" borderId="0" xfId="2" applyNumberFormat="1" applyFont="1" applyFill="1"/>
    <xf numFmtId="170" fontId="48" fillId="15" borderId="49" xfId="5" applyNumberFormat="1" applyFont="1" applyFill="1" applyBorder="1" applyAlignment="1">
      <alignment horizontal="center"/>
    </xf>
    <xf numFmtId="170" fontId="48" fillId="15" borderId="0" xfId="5" applyNumberFormat="1" applyFont="1" applyFill="1" applyBorder="1" applyAlignment="1">
      <alignment horizontal="center"/>
    </xf>
    <xf numFmtId="170" fontId="48" fillId="15" borderId="50" xfId="5" applyNumberFormat="1" applyFont="1" applyFill="1" applyBorder="1" applyAlignment="1">
      <alignment horizontal="center"/>
    </xf>
    <xf numFmtId="164" fontId="35" fillId="15" borderId="50" xfId="2" applyNumberFormat="1" applyFont="1" applyFill="1" applyBorder="1" applyAlignment="1">
      <alignment horizontal="center"/>
    </xf>
    <xf numFmtId="170" fontId="48" fillId="15" borderId="51" xfId="5" applyNumberFormat="1" applyFont="1" applyFill="1" applyBorder="1" applyAlignment="1">
      <alignment horizontal="center"/>
    </xf>
    <xf numFmtId="170" fontId="48" fillId="15" borderId="44" xfId="5" applyNumberFormat="1" applyFont="1" applyFill="1" applyBorder="1" applyAlignment="1">
      <alignment horizontal="center"/>
    </xf>
    <xf numFmtId="170" fontId="48" fillId="15" borderId="52" xfId="5" applyNumberFormat="1" applyFont="1" applyFill="1" applyBorder="1" applyAlignment="1">
      <alignment horizontal="center"/>
    </xf>
    <xf numFmtId="43" fontId="35" fillId="15" borderId="45" xfId="1" applyFont="1" applyFill="1" applyBorder="1"/>
    <xf numFmtId="164" fontId="49" fillId="15" borderId="0" xfId="2" applyNumberFormat="1" applyFont="1" applyFill="1" applyBorder="1" applyAlignment="1">
      <alignment horizontal="center"/>
    </xf>
    <xf numFmtId="170" fontId="35" fillId="15" borderId="0" xfId="11" applyNumberFormat="1" applyFont="1" applyFill="1"/>
    <xf numFmtId="174" fontId="35" fillId="15" borderId="0" xfId="11" applyNumberFormat="1" applyFont="1" applyFill="1"/>
    <xf numFmtId="43" fontId="48" fillId="15" borderId="45" xfId="1" applyFont="1" applyFill="1" applyBorder="1"/>
    <xf numFmtId="164" fontId="48" fillId="15" borderId="0" xfId="2" applyNumberFormat="1" applyFont="1" applyFill="1" applyBorder="1" applyAlignment="1">
      <alignment horizontal="center"/>
    </xf>
    <xf numFmtId="14" fontId="35" fillId="15" borderId="38" xfId="3" applyNumberFormat="1" applyFont="1" applyFill="1" applyBorder="1"/>
    <xf numFmtId="164" fontId="50" fillId="15" borderId="10" xfId="3" applyNumberFormat="1" applyFont="1" applyFill="1" applyBorder="1" applyAlignment="1">
      <alignment horizontal="center"/>
    </xf>
    <xf numFmtId="170" fontId="48" fillId="15" borderId="9" xfId="5" applyNumberFormat="1" applyFont="1" applyFill="1" applyBorder="1" applyAlignment="1">
      <alignment horizontal="center"/>
    </xf>
    <xf numFmtId="170" fontId="48" fillId="15" borderId="10" xfId="5" applyNumberFormat="1" applyFont="1" applyFill="1" applyBorder="1" applyAlignment="1">
      <alignment horizontal="center"/>
    </xf>
    <xf numFmtId="170" fontId="48" fillId="15" borderId="11" xfId="5" applyNumberFormat="1" applyFont="1" applyFill="1" applyBorder="1" applyAlignment="1">
      <alignment horizontal="center"/>
    </xf>
    <xf numFmtId="14" fontId="35" fillId="15" borderId="0" xfId="3" applyNumberFormat="1" applyFont="1" applyFill="1" applyBorder="1"/>
    <xf numFmtId="164" fontId="50" fillId="15" borderId="0" xfId="3" applyNumberFormat="1" applyFont="1" applyFill="1" applyBorder="1" applyAlignment="1">
      <alignment horizontal="center"/>
    </xf>
    <xf numFmtId="1" fontId="36" fillId="15" borderId="0" xfId="2" applyNumberFormat="1" applyFont="1" applyFill="1" applyAlignment="1">
      <alignment horizontal="center"/>
    </xf>
    <xf numFmtId="0" fontId="35" fillId="15" borderId="38" xfId="2" applyFont="1" applyFill="1" applyBorder="1" applyAlignment="1">
      <alignment horizontal="left"/>
    </xf>
    <xf numFmtId="170" fontId="35" fillId="15" borderId="0" xfId="2" applyNumberFormat="1" applyFont="1" applyFill="1" applyBorder="1" applyAlignment="1">
      <alignment horizontal="center"/>
    </xf>
    <xf numFmtId="165" fontId="35" fillId="15" borderId="44" xfId="2" applyNumberFormat="1" applyFont="1" applyFill="1" applyBorder="1" applyAlignment="1">
      <alignment horizontal="center"/>
    </xf>
    <xf numFmtId="0" fontId="49" fillId="15" borderId="0" xfId="2" applyFont="1" applyFill="1"/>
    <xf numFmtId="0" fontId="29" fillId="16" borderId="0" xfId="2" applyFont="1" applyFill="1" applyAlignment="1">
      <alignment horizontal="center"/>
    </xf>
    <xf numFmtId="0" fontId="51" fillId="16" borderId="0" xfId="2" applyFont="1" applyFill="1" applyAlignment="1">
      <alignment horizontal="center"/>
    </xf>
    <xf numFmtId="0" fontId="47" fillId="15" borderId="28" xfId="2" applyFont="1" applyFill="1" applyBorder="1"/>
    <xf numFmtId="164" fontId="47" fillId="15" borderId="44" xfId="2" applyNumberFormat="1" applyFont="1" applyFill="1" applyBorder="1" applyAlignment="1">
      <alignment horizontal="center"/>
    </xf>
    <xf numFmtId="2" fontId="47" fillId="15" borderId="44" xfId="2" applyNumberFormat="1" applyFont="1" applyFill="1" applyBorder="1" applyAlignment="1">
      <alignment horizontal="center"/>
    </xf>
    <xf numFmtId="0" fontId="35" fillId="15" borderId="38" xfId="0" applyFont="1" applyFill="1" applyBorder="1"/>
    <xf numFmtId="164" fontId="0" fillId="15" borderId="0" xfId="0" applyNumberFormat="1" applyFill="1" applyAlignment="1">
      <alignment horizontal="center"/>
    </xf>
    <xf numFmtId="2" fontId="35" fillId="15" borderId="0" xfId="1" applyNumberFormat="1" applyFont="1" applyFill="1" applyBorder="1" applyAlignment="1">
      <alignment horizontal="center"/>
    </xf>
    <xf numFmtId="3" fontId="35" fillId="15" borderId="0" xfId="1" applyNumberFormat="1" applyFont="1" applyFill="1" applyBorder="1" applyAlignment="1">
      <alignment horizontal="center"/>
    </xf>
    <xf numFmtId="165" fontId="35" fillId="15" borderId="44" xfId="1" applyNumberFormat="1" applyFont="1" applyFill="1" applyBorder="1" applyAlignment="1">
      <alignment horizontal="center"/>
    </xf>
    <xf numFmtId="164" fontId="35" fillId="17" borderId="0" xfId="2" applyNumberFormat="1" applyFont="1" applyFill="1" applyAlignment="1">
      <alignment horizontal="center"/>
    </xf>
    <xf numFmtId="1" fontId="47" fillId="15" borderId="10" xfId="2" applyNumberFormat="1" applyFont="1" applyFill="1" applyBorder="1" applyAlignment="1">
      <alignment horizontal="center"/>
    </xf>
    <xf numFmtId="165" fontId="35" fillId="15" borderId="0" xfId="1" applyNumberFormat="1" applyFont="1" applyFill="1" applyBorder="1" applyAlignment="1">
      <alignment horizontal="center"/>
    </xf>
    <xf numFmtId="175" fontId="35" fillId="15" borderId="0" xfId="1" applyNumberFormat="1" applyFont="1" applyFill="1" applyBorder="1" applyAlignment="1">
      <alignment horizontal="center"/>
    </xf>
    <xf numFmtId="4" fontId="35" fillId="15" borderId="0" xfId="2" applyNumberFormat="1" applyFont="1" applyFill="1" applyBorder="1" applyAlignment="1">
      <alignment horizontal="center"/>
    </xf>
    <xf numFmtId="3" fontId="35" fillId="15" borderId="44" xfId="2" applyNumberFormat="1" applyFont="1" applyFill="1" applyBorder="1" applyAlignment="1">
      <alignment horizontal="center"/>
    </xf>
    <xf numFmtId="0" fontId="47" fillId="15" borderId="45" xfId="2" applyFont="1" applyFill="1" applyBorder="1"/>
    <xf numFmtId="176" fontId="35" fillId="15" borderId="0" xfId="2" applyNumberFormat="1" applyFont="1" applyFill="1" applyBorder="1" applyAlignment="1">
      <alignment horizontal="center"/>
    </xf>
    <xf numFmtId="0" fontId="35" fillId="15" borderId="49" xfId="2" applyFont="1" applyFill="1" applyBorder="1" applyAlignment="1">
      <alignment horizontal="center"/>
    </xf>
    <xf numFmtId="0" fontId="35" fillId="15" borderId="0" xfId="2" applyFont="1" applyFill="1" applyBorder="1" applyAlignment="1">
      <alignment horizontal="center"/>
    </xf>
    <xf numFmtId="0" fontId="35" fillId="15" borderId="50" xfId="2" applyFont="1" applyFill="1" applyBorder="1" applyAlignment="1">
      <alignment horizontal="center"/>
    </xf>
    <xf numFmtId="1" fontId="35" fillId="15" borderId="0" xfId="2" applyNumberFormat="1" applyFont="1" applyFill="1" applyBorder="1" applyAlignment="1">
      <alignment horizontal="center"/>
    </xf>
    <xf numFmtId="176" fontId="35" fillId="15" borderId="50" xfId="2" applyNumberFormat="1" applyFont="1" applyFill="1" applyBorder="1" applyAlignment="1">
      <alignment horizontal="center"/>
    </xf>
    <xf numFmtId="1" fontId="35" fillId="15" borderId="50" xfId="2" applyNumberFormat="1" applyFont="1" applyFill="1" applyBorder="1" applyAlignment="1">
      <alignment horizontal="center"/>
    </xf>
    <xf numFmtId="10" fontId="35" fillId="15" borderId="0" xfId="11" applyNumberFormat="1" applyFont="1" applyFill="1"/>
    <xf numFmtId="1" fontId="35" fillId="15" borderId="44" xfId="2" applyNumberFormat="1" applyFont="1" applyFill="1" applyBorder="1" applyAlignment="1">
      <alignment horizontal="center"/>
    </xf>
    <xf numFmtId="3" fontId="35" fillId="15" borderId="0" xfId="2" applyNumberFormat="1" applyFont="1" applyFill="1" applyBorder="1" applyAlignment="1">
      <alignment horizontal="center"/>
    </xf>
    <xf numFmtId="3" fontId="35" fillId="17" borderId="0" xfId="2" applyNumberFormat="1" applyFont="1" applyFill="1" applyBorder="1" applyAlignment="1">
      <alignment horizontal="center"/>
    </xf>
    <xf numFmtId="164" fontId="27" fillId="15" borderId="0" xfId="0" applyNumberFormat="1" applyFont="1" applyFill="1" applyAlignment="1">
      <alignment horizontal="center"/>
    </xf>
    <xf numFmtId="14" fontId="35" fillId="15" borderId="0" xfId="2" applyNumberFormat="1" applyFont="1" applyFill="1" applyAlignment="1">
      <alignment horizontal="center"/>
    </xf>
    <xf numFmtId="0" fontId="34" fillId="17" borderId="0" xfId="2" applyFont="1" applyFill="1" applyAlignment="1">
      <alignment horizontal="center"/>
    </xf>
    <xf numFmtId="0" fontId="49" fillId="15" borderId="0" xfId="2" applyFont="1" applyFill="1" applyBorder="1"/>
    <xf numFmtId="165" fontId="35" fillId="15" borderId="0" xfId="2" applyNumberFormat="1" applyFont="1" applyFill="1" applyBorder="1" applyAlignment="1">
      <alignment horizontal="center"/>
    </xf>
    <xf numFmtId="0" fontId="52" fillId="15" borderId="0" xfId="0" applyFont="1" applyFill="1"/>
    <xf numFmtId="170" fontId="35" fillId="15" borderId="0" xfId="2" applyNumberFormat="1" applyFont="1" applyFill="1"/>
    <xf numFmtId="0" fontId="47" fillId="15" borderId="47" xfId="2" applyFont="1" applyFill="1" applyBorder="1"/>
    <xf numFmtId="49" fontId="36" fillId="15" borderId="0" xfId="2" applyNumberFormat="1" applyFont="1" applyFill="1" applyAlignment="1">
      <alignment horizontal="center"/>
    </xf>
    <xf numFmtId="0" fontId="47" fillId="15" borderId="0" xfId="2" applyFont="1" applyFill="1" applyBorder="1"/>
    <xf numFmtId="0" fontId="35" fillId="15" borderId="45" xfId="2" applyFont="1" applyFill="1" applyBorder="1" applyAlignment="1">
      <alignment horizontal="left"/>
    </xf>
    <xf numFmtId="0" fontId="35" fillId="15" borderId="28" xfId="2" applyFont="1" applyFill="1" applyBorder="1" applyAlignment="1">
      <alignment horizontal="left"/>
    </xf>
    <xf numFmtId="3" fontId="35" fillId="15" borderId="44" xfId="5" applyNumberFormat="1" applyFont="1" applyFill="1" applyBorder="1" applyAlignment="1">
      <alignment horizontal="center"/>
    </xf>
    <xf numFmtId="1" fontId="35" fillId="15" borderId="0" xfId="2" applyNumberFormat="1" applyFont="1" applyFill="1"/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2" fontId="0" fillId="4" borderId="30" xfId="0" applyNumberFormat="1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6" fillId="9" borderId="0" xfId="0" applyFont="1" applyFill="1" applyBorder="1"/>
    <xf numFmtId="164" fontId="6" fillId="9" borderId="1" xfId="0" applyNumberFormat="1" applyFont="1" applyFill="1" applyBorder="1"/>
    <xf numFmtId="0" fontId="6" fillId="9" borderId="2" xfId="0" applyFont="1" applyFill="1" applyBorder="1"/>
    <xf numFmtId="0" fontId="6" fillId="9" borderId="3" xfId="0" applyFont="1" applyFill="1" applyBorder="1"/>
    <xf numFmtId="164" fontId="6" fillId="9" borderId="2" xfId="0" applyNumberFormat="1" applyFont="1" applyFill="1" applyBorder="1"/>
    <xf numFmtId="164" fontId="6" fillId="9" borderId="3" xfId="0" applyNumberFormat="1" applyFont="1" applyFill="1" applyBorder="1"/>
    <xf numFmtId="164" fontId="6" fillId="9" borderId="0" xfId="0" applyNumberFormat="1" applyFont="1" applyFill="1" applyBorder="1"/>
    <xf numFmtId="0" fontId="6" fillId="9" borderId="0" xfId="8" applyFont="1" applyFill="1" applyBorder="1"/>
    <xf numFmtId="164" fontId="6" fillId="9" borderId="1" xfId="8" applyNumberFormat="1" applyFont="1" applyFill="1" applyBorder="1"/>
    <xf numFmtId="2" fontId="6" fillId="9" borderId="2" xfId="8" applyNumberFormat="1" applyFont="1" applyFill="1" applyBorder="1"/>
    <xf numFmtId="172" fontId="0" fillId="15" borderId="0" xfId="0" applyNumberFormat="1" applyFill="1"/>
    <xf numFmtId="43" fontId="0" fillId="15" borderId="0" xfId="0" applyNumberFormat="1" applyFill="1"/>
    <xf numFmtId="2" fontId="6" fillId="0" borderId="1" xfId="0" applyNumberFormat="1" applyFont="1" applyBorder="1"/>
    <xf numFmtId="0" fontId="5" fillId="2" borderId="0" xfId="8" applyFont="1" applyFill="1" applyBorder="1"/>
    <xf numFmtId="0" fontId="5" fillId="2" borderId="0" xfId="0" applyFont="1" applyFill="1" applyBorder="1" applyAlignment="1">
      <alignment horizontal="center" vertical="center" wrapText="1"/>
    </xf>
    <xf numFmtId="164" fontId="16" fillId="0" borderId="0" xfId="8" applyNumberFormat="1" applyFont="1" applyBorder="1"/>
    <xf numFmtId="2" fontId="38" fillId="15" borderId="9" xfId="0" applyNumberFormat="1" applyFont="1" applyFill="1" applyBorder="1" applyAlignment="1"/>
    <xf numFmtId="0" fontId="4" fillId="5" borderId="33" xfId="0" applyFont="1" applyFill="1" applyBorder="1" applyAlignment="1">
      <alignment horizontal="center"/>
    </xf>
    <xf numFmtId="2" fontId="0" fillId="5" borderId="30" xfId="0" applyNumberFormat="1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164" fontId="55" fillId="9" borderId="0" xfId="0" applyNumberFormat="1" applyFont="1" applyFill="1" applyBorder="1"/>
    <xf numFmtId="164" fontId="55" fillId="9" borderId="1" xfId="0" applyNumberFormat="1" applyFont="1" applyFill="1" applyBorder="1"/>
    <xf numFmtId="164" fontId="55" fillId="9" borderId="2" xfId="0" applyNumberFormat="1" applyFont="1" applyFill="1" applyBorder="1"/>
    <xf numFmtId="164" fontId="57" fillId="0" borderId="0" xfId="8" applyNumberFormat="1" applyFont="1" applyBorder="1"/>
    <xf numFmtId="0" fontId="13" fillId="0" borderId="4" xfId="0" applyFont="1" applyBorder="1" applyAlignment="1">
      <alignment horizontal="center" vertical="center"/>
    </xf>
    <xf numFmtId="0" fontId="28" fillId="14" borderId="0" xfId="8" applyFont="1" applyFill="1" applyAlignment="1">
      <alignment horizontal="left"/>
    </xf>
    <xf numFmtId="0" fontId="29" fillId="14" borderId="0" xfId="8" applyFont="1" applyFill="1" applyAlignment="1">
      <alignment horizontal="center"/>
    </xf>
    <xf numFmtId="0" fontId="30" fillId="14" borderId="0" xfId="8" applyFont="1" applyFill="1" applyAlignment="1">
      <alignment horizontal="center"/>
    </xf>
    <xf numFmtId="0" fontId="31" fillId="14" borderId="0" xfId="8" applyFont="1" applyFill="1" applyAlignment="1">
      <alignment horizontal="right"/>
    </xf>
    <xf numFmtId="0" fontId="31" fillId="14" borderId="0" xfId="8" applyFont="1" applyFill="1" applyAlignment="1">
      <alignment horizontal="left"/>
    </xf>
    <xf numFmtId="14" fontId="31" fillId="14" borderId="0" xfId="8" applyNumberFormat="1" applyFont="1" applyFill="1" applyAlignment="1">
      <alignment horizontal="left"/>
    </xf>
    <xf numFmtId="0" fontId="32" fillId="14" borderId="0" xfId="8" applyFont="1" applyFill="1" applyAlignment="1">
      <alignment horizontal="center"/>
    </xf>
    <xf numFmtId="0" fontId="0" fillId="15" borderId="0" xfId="0" applyFont="1" applyFill="1"/>
    <xf numFmtId="0" fontId="33" fillId="16" borderId="0" xfId="0" applyFont="1" applyFill="1"/>
    <xf numFmtId="0" fontId="59" fillId="17" borderId="0" xfId="0" applyFont="1" applyFill="1"/>
    <xf numFmtId="0" fontId="17" fillId="17" borderId="0" xfId="0" applyFont="1" applyFill="1"/>
    <xf numFmtId="0" fontId="60" fillId="15" borderId="0" xfId="0" applyFont="1" applyFill="1"/>
    <xf numFmtId="0" fontId="61" fillId="15" borderId="25" xfId="0" applyFont="1" applyFill="1" applyBorder="1"/>
    <xf numFmtId="0" fontId="35" fillId="15" borderId="46" xfId="0" applyFont="1" applyFill="1" applyBorder="1" applyAlignment="1">
      <alignment horizontal="right" wrapText="1"/>
    </xf>
    <xf numFmtId="0" fontId="35" fillId="15" borderId="47" xfId="0" applyFont="1" applyFill="1" applyBorder="1" applyAlignment="1">
      <alignment horizontal="right" wrapText="1"/>
    </xf>
    <xf numFmtId="0" fontId="35" fillId="15" borderId="48" xfId="0" applyFont="1" applyFill="1" applyBorder="1" applyAlignment="1">
      <alignment horizontal="right" wrapText="1"/>
    </xf>
    <xf numFmtId="0" fontId="61" fillId="15" borderId="28" xfId="0" applyFont="1" applyFill="1" applyBorder="1"/>
    <xf numFmtId="0" fontId="61" fillId="15" borderId="51" xfId="0" applyFont="1" applyFill="1" applyBorder="1" applyAlignment="1">
      <alignment horizontal="right"/>
    </xf>
    <xf numFmtId="0" fontId="61" fillId="15" borderId="44" xfId="0" applyFont="1" applyFill="1" applyBorder="1" applyAlignment="1">
      <alignment horizontal="right"/>
    </xf>
    <xf numFmtId="0" fontId="61" fillId="15" borderId="52" xfId="0" applyFont="1" applyFill="1" applyBorder="1" applyAlignment="1">
      <alignment horizontal="right"/>
    </xf>
    <xf numFmtId="0" fontId="35" fillId="15" borderId="25" xfId="0" applyFont="1" applyFill="1" applyBorder="1"/>
    <xf numFmtId="3" fontId="61" fillId="15" borderId="46" xfId="0" applyNumberFormat="1" applyFont="1" applyFill="1" applyBorder="1"/>
    <xf numFmtId="3" fontId="61" fillId="15" borderId="47" xfId="0" applyNumberFormat="1" applyFont="1" applyFill="1" applyBorder="1"/>
    <xf numFmtId="2" fontId="61" fillId="15" borderId="48" xfId="0" applyNumberFormat="1" applyFont="1" applyFill="1" applyBorder="1"/>
    <xf numFmtId="0" fontId="35" fillId="15" borderId="45" xfId="0" applyFont="1" applyFill="1" applyBorder="1"/>
    <xf numFmtId="3" fontId="61" fillId="15" borderId="49" xfId="0" applyNumberFormat="1" applyFont="1" applyFill="1" applyBorder="1"/>
    <xf numFmtId="3" fontId="61" fillId="15" borderId="0" xfId="0" applyNumberFormat="1" applyFont="1" applyFill="1" applyBorder="1"/>
    <xf numFmtId="2" fontId="61" fillId="15" borderId="50" xfId="0" applyNumberFormat="1" applyFont="1" applyFill="1" applyBorder="1"/>
    <xf numFmtId="0" fontId="0" fillId="15" borderId="0" xfId="0" applyFont="1" applyFill="1" applyAlignment="1"/>
    <xf numFmtId="9" fontId="62" fillId="15" borderId="0" xfId="11" applyFont="1" applyFill="1"/>
    <xf numFmtId="0" fontId="35" fillId="15" borderId="28" xfId="0" applyFont="1" applyFill="1" applyBorder="1"/>
    <xf numFmtId="3" fontId="61" fillId="15" borderId="51" xfId="0" applyNumberFormat="1" applyFont="1" applyFill="1" applyBorder="1"/>
    <xf numFmtId="3" fontId="61" fillId="15" borderId="44" xfId="0" applyNumberFormat="1" applyFont="1" applyFill="1" applyBorder="1"/>
    <xf numFmtId="0" fontId="61" fillId="15" borderId="52" xfId="0" applyFont="1" applyFill="1" applyBorder="1"/>
    <xf numFmtId="0" fontId="61" fillId="15" borderId="38" xfId="0" applyFont="1" applyFill="1" applyBorder="1"/>
    <xf numFmtId="0" fontId="63" fillId="15" borderId="9" xfId="0" applyFont="1" applyFill="1" applyBorder="1"/>
    <xf numFmtId="0" fontId="63" fillId="15" borderId="10" xfId="0" applyFont="1" applyFill="1" applyBorder="1"/>
    <xf numFmtId="0" fontId="63" fillId="15" borderId="11" xfId="0" applyFont="1" applyFill="1" applyBorder="1"/>
    <xf numFmtId="2" fontId="61" fillId="15" borderId="46" xfId="0" applyNumberFormat="1" applyFont="1" applyFill="1" applyBorder="1"/>
    <xf numFmtId="2" fontId="61" fillId="15" borderId="47" xfId="0" applyNumberFormat="1" applyFont="1" applyFill="1" applyBorder="1"/>
    <xf numFmtId="0" fontId="61" fillId="15" borderId="45" xfId="0" applyFont="1" applyFill="1" applyBorder="1"/>
    <xf numFmtId="2" fontId="61" fillId="15" borderId="49" xfId="0" applyNumberFormat="1" applyFont="1" applyFill="1" applyBorder="1"/>
    <xf numFmtId="2" fontId="61" fillId="15" borderId="0" xfId="0" applyNumberFormat="1" applyFont="1" applyFill="1" applyBorder="1"/>
    <xf numFmtId="2" fontId="61" fillId="15" borderId="51" xfId="0" applyNumberFormat="1" applyFont="1" applyFill="1" applyBorder="1"/>
    <xf numFmtId="2" fontId="61" fillId="15" borderId="44" xfId="0" applyNumberFormat="1" applyFont="1" applyFill="1" applyBorder="1"/>
    <xf numFmtId="2" fontId="61" fillId="15" borderId="52" xfId="0" applyNumberFormat="1" applyFont="1" applyFill="1" applyBorder="1"/>
    <xf numFmtId="2" fontId="61" fillId="15" borderId="9" xfId="0" applyNumberFormat="1" applyFont="1" applyFill="1" applyBorder="1"/>
    <xf numFmtId="2" fontId="61" fillId="15" borderId="10" xfId="0" applyNumberFormat="1" applyFont="1" applyFill="1" applyBorder="1"/>
    <xf numFmtId="2" fontId="61" fillId="15" borderId="11" xfId="0" applyNumberFormat="1" applyFont="1" applyFill="1" applyBorder="1"/>
    <xf numFmtId="9" fontId="64" fillId="15" borderId="46" xfId="11" applyFont="1" applyFill="1" applyBorder="1"/>
    <xf numFmtId="9" fontId="61" fillId="15" borderId="47" xfId="11" applyFont="1" applyFill="1" applyBorder="1"/>
    <xf numFmtId="9" fontId="61" fillId="15" borderId="48" xfId="11" applyFont="1" applyFill="1" applyBorder="1"/>
    <xf numFmtId="9" fontId="64" fillId="15" borderId="49" xfId="11" applyFont="1" applyFill="1" applyBorder="1"/>
    <xf numFmtId="9" fontId="61" fillId="15" borderId="0" xfId="11" applyFont="1" applyFill="1" applyBorder="1"/>
    <xf numFmtId="9" fontId="61" fillId="15" borderId="50" xfId="11" applyFont="1" applyFill="1" applyBorder="1"/>
    <xf numFmtId="9" fontId="61" fillId="15" borderId="0" xfId="11" applyNumberFormat="1" applyFont="1" applyFill="1" applyBorder="1"/>
    <xf numFmtId="9" fontId="61" fillId="15" borderId="50" xfId="11" applyNumberFormat="1" applyFont="1" applyFill="1" applyBorder="1"/>
    <xf numFmtId="9" fontId="61" fillId="15" borderId="51" xfId="0" applyNumberFormat="1" applyFont="1" applyFill="1" applyBorder="1"/>
    <xf numFmtId="9" fontId="61" fillId="15" borderId="44" xfId="0" applyNumberFormat="1" applyFont="1" applyFill="1" applyBorder="1"/>
    <xf numFmtId="9" fontId="61" fillId="15" borderId="52" xfId="0" applyNumberFormat="1" applyFont="1" applyFill="1" applyBorder="1"/>
    <xf numFmtId="2" fontId="35" fillId="15" borderId="46" xfId="0" applyNumberFormat="1" applyFont="1" applyFill="1" applyBorder="1"/>
    <xf numFmtId="2" fontId="35" fillId="15" borderId="47" xfId="0" applyNumberFormat="1" applyFont="1" applyFill="1" applyBorder="1"/>
    <xf numFmtId="2" fontId="35" fillId="15" borderId="48" xfId="0" applyNumberFormat="1" applyFont="1" applyFill="1" applyBorder="1"/>
    <xf numFmtId="2" fontId="35" fillId="15" borderId="49" xfId="0" applyNumberFormat="1" applyFont="1" applyFill="1" applyBorder="1"/>
    <xf numFmtId="2" fontId="35" fillId="15" borderId="0" xfId="0" applyNumberFormat="1" applyFont="1" applyFill="1" applyBorder="1"/>
    <xf numFmtId="2" fontId="35" fillId="15" borderId="50" xfId="0" applyNumberFormat="1" applyFont="1" applyFill="1" applyBorder="1"/>
    <xf numFmtId="0" fontId="61" fillId="15" borderId="51" xfId="0" applyFont="1" applyFill="1" applyBorder="1"/>
    <xf numFmtId="0" fontId="61" fillId="15" borderId="44" xfId="0" applyFont="1" applyFill="1" applyBorder="1"/>
    <xf numFmtId="0" fontId="35" fillId="15" borderId="0" xfId="0" applyFont="1" applyFill="1" applyAlignment="1">
      <alignment horizontal="left" indent="1"/>
    </xf>
    <xf numFmtId="2" fontId="0" fillId="15" borderId="0" xfId="0" applyNumberFormat="1" applyFont="1" applyFill="1"/>
    <xf numFmtId="2" fontId="16" fillId="0" borderId="0" xfId="8" applyNumberFormat="1" applyFont="1" applyBorder="1"/>
    <xf numFmtId="0" fontId="6" fillId="0" borderId="0" xfId="8" applyFont="1" applyFill="1" applyBorder="1"/>
    <xf numFmtId="164" fontId="5" fillId="0" borderId="0" xfId="8" applyNumberFormat="1" applyFont="1" applyFill="1" applyBorder="1" applyAlignment="1">
      <alignment horizontal="right" vertical="center"/>
    </xf>
    <xf numFmtId="0" fontId="6" fillId="0" borderId="0" xfId="0" applyFont="1" applyFill="1" applyBorder="1"/>
    <xf numFmtId="0" fontId="5" fillId="0" borderId="0" xfId="8" quotePrefix="1" applyFont="1" applyFill="1" applyBorder="1"/>
    <xf numFmtId="164" fontId="5" fillId="0" borderId="0" xfId="8" applyNumberFormat="1" applyFont="1" applyFill="1" applyBorder="1"/>
    <xf numFmtId="164" fontId="6" fillId="0" borderId="0" xfId="8" applyNumberFormat="1" applyFont="1" applyFill="1" applyBorder="1"/>
    <xf numFmtId="0" fontId="10" fillId="0" borderId="0" xfId="8" applyFont="1" applyFill="1" applyBorder="1"/>
    <xf numFmtId="9" fontId="10" fillId="0" borderId="0" xfId="9" applyFont="1" applyFill="1" applyBorder="1"/>
    <xf numFmtId="0" fontId="6" fillId="0" borderId="8" xfId="8" applyFont="1" applyBorder="1"/>
    <xf numFmtId="0" fontId="5" fillId="0" borderId="8" xfId="8" applyFont="1" applyFill="1" applyBorder="1"/>
    <xf numFmtId="0" fontId="6" fillId="0" borderId="8" xfId="8" applyFont="1" applyFill="1" applyBorder="1"/>
    <xf numFmtId="2" fontId="6" fillId="0" borderId="8" xfId="8" applyNumberFormat="1" applyFont="1" applyBorder="1"/>
    <xf numFmtId="164" fontId="6" fillId="0" borderId="8" xfId="8" applyNumberFormat="1" applyFont="1" applyBorder="1"/>
    <xf numFmtId="2" fontId="6" fillId="0" borderId="8" xfId="8" applyNumberFormat="1" applyFont="1" applyFill="1" applyBorder="1"/>
    <xf numFmtId="170" fontId="6" fillId="0" borderId="8" xfId="11" applyNumberFormat="1" applyFont="1" applyFill="1" applyBorder="1"/>
    <xf numFmtId="164" fontId="6" fillId="7" borderId="54" xfId="8" applyNumberFormat="1" applyFont="1" applyFill="1" applyBorder="1" applyAlignment="1">
      <alignment horizontal="center" vertical="center"/>
    </xf>
    <xf numFmtId="164" fontId="6" fillId="7" borderId="55" xfId="8" applyNumberFormat="1" applyFont="1" applyFill="1" applyBorder="1" applyAlignment="1">
      <alignment horizontal="center" vertical="center"/>
    </xf>
    <xf numFmtId="0" fontId="6" fillId="7" borderId="3" xfId="0" applyFont="1" applyFill="1" applyBorder="1"/>
    <xf numFmtId="164" fontId="6" fillId="7" borderId="56" xfId="8" applyNumberFormat="1" applyFont="1" applyFill="1" applyBorder="1" applyAlignment="1">
      <alignment horizontal="center" vertical="center"/>
    </xf>
    <xf numFmtId="164" fontId="6" fillId="7" borderId="6" xfId="8" applyNumberFormat="1" applyFont="1" applyFill="1" applyBorder="1" applyAlignment="1">
      <alignment horizontal="center" vertical="center"/>
    </xf>
    <xf numFmtId="0" fontId="6" fillId="7" borderId="2" xfId="0" applyFont="1" applyFill="1" applyBorder="1"/>
    <xf numFmtId="0" fontId="6" fillId="8" borderId="54" xfId="0" applyFont="1" applyFill="1" applyBorder="1"/>
    <xf numFmtId="164" fontId="6" fillId="8" borderId="56" xfId="8" applyNumberFormat="1" applyFont="1" applyFill="1" applyBorder="1" applyAlignment="1">
      <alignment horizontal="center" vertical="center"/>
    </xf>
    <xf numFmtId="164" fontId="5" fillId="8" borderId="2" xfId="8" applyNumberFormat="1" applyFont="1" applyFill="1" applyBorder="1" applyAlignment="1">
      <alignment horizontal="center" vertical="center"/>
    </xf>
    <xf numFmtId="164" fontId="5" fillId="8" borderId="56" xfId="8" applyNumberFormat="1" applyFont="1" applyFill="1" applyBorder="1" applyAlignment="1">
      <alignment horizontal="center" vertical="center"/>
    </xf>
    <xf numFmtId="164" fontId="6" fillId="8" borderId="6" xfId="8" applyNumberFormat="1" applyFont="1" applyFill="1" applyBorder="1" applyAlignment="1">
      <alignment horizontal="center" vertical="center"/>
    </xf>
    <xf numFmtId="164" fontId="6" fillId="8" borderId="0" xfId="0" applyNumberFormat="1" applyFont="1" applyFill="1" applyBorder="1" applyAlignment="1">
      <alignment horizontal="center"/>
    </xf>
    <xf numFmtId="2" fontId="6" fillId="8" borderId="2" xfId="0" applyNumberFormat="1" applyFont="1" applyFill="1" applyBorder="1" applyAlignment="1">
      <alignment horizontal="center"/>
    </xf>
    <xf numFmtId="164" fontId="6" fillId="8" borderId="2" xfId="0" applyNumberFormat="1" applyFont="1" applyFill="1" applyBorder="1" applyAlignment="1">
      <alignment horizontal="center"/>
    </xf>
    <xf numFmtId="164" fontId="6" fillId="7" borderId="2" xfId="0" applyNumberFormat="1" applyFont="1" applyFill="1" applyBorder="1"/>
    <xf numFmtId="171" fontId="6" fillId="0" borderId="0" xfId="10" applyNumberFormat="1" applyFont="1" applyBorder="1"/>
    <xf numFmtId="171" fontId="6" fillId="0" borderId="0" xfId="10" applyNumberFormat="1" applyFont="1" applyBorder="1" applyAlignment="1"/>
    <xf numFmtId="171" fontId="6" fillId="0" borderId="0" xfId="10" applyNumberFormat="1" applyFont="1" applyBorder="1" applyAlignment="1">
      <alignment horizontal="right"/>
    </xf>
    <xf numFmtId="164" fontId="6" fillId="0" borderId="0" xfId="0" applyNumberFormat="1" applyFont="1" applyFill="1" applyBorder="1"/>
    <xf numFmtId="0" fontId="6" fillId="8" borderId="57" xfId="0" applyFont="1" applyFill="1" applyBorder="1" applyAlignment="1">
      <alignment horizontal="center"/>
    </xf>
    <xf numFmtId="0" fontId="6" fillId="9" borderId="2" xfId="8" applyFont="1" applyFill="1" applyBorder="1"/>
    <xf numFmtId="164" fontId="58" fillId="0" borderId="0" xfId="8" applyNumberFormat="1" applyFont="1" applyBorder="1"/>
    <xf numFmtId="0" fontId="6" fillId="9" borderId="54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56" xfId="0" applyFont="1" applyFill="1" applyBorder="1" applyAlignment="1">
      <alignment horizontal="center" vertical="center"/>
    </xf>
    <xf numFmtId="164" fontId="6" fillId="9" borderId="2" xfId="0" applyNumberFormat="1" applyFont="1" applyFill="1" applyBorder="1" applyAlignment="1">
      <alignment horizontal="center" vertical="center"/>
    </xf>
    <xf numFmtId="0" fontId="6" fillId="6" borderId="54" xfId="8" applyFont="1" applyFill="1" applyBorder="1"/>
    <xf numFmtId="0" fontId="6" fillId="6" borderId="2" xfId="8" applyFont="1" applyFill="1" applyBorder="1"/>
    <xf numFmtId="0" fontId="6" fillId="6" borderId="56" xfId="8" applyFont="1" applyFill="1" applyBorder="1"/>
    <xf numFmtId="164" fontId="6" fillId="6" borderId="54" xfId="8" applyNumberFormat="1" applyFont="1" applyFill="1" applyBorder="1"/>
    <xf numFmtId="164" fontId="6" fillId="6" borderId="2" xfId="8" applyNumberFormat="1" applyFont="1" applyFill="1" applyBorder="1"/>
    <xf numFmtId="164" fontId="6" fillId="6" borderId="56" xfId="8" applyNumberFormat="1" applyFont="1" applyFill="1" applyBorder="1"/>
    <xf numFmtId="164" fontId="66" fillId="0" borderId="0" xfId="8" applyNumberFormat="1" applyFont="1" applyBorder="1"/>
    <xf numFmtId="0" fontId="65" fillId="0" borderId="0" xfId="8" applyFont="1" applyBorder="1"/>
    <xf numFmtId="177" fontId="66" fillId="0" borderId="0" xfId="10" applyNumberFormat="1" applyFont="1" applyBorder="1"/>
    <xf numFmtId="2" fontId="66" fillId="0" borderId="0" xfId="8" applyNumberFormat="1" applyFont="1" applyBorder="1"/>
    <xf numFmtId="43" fontId="66" fillId="0" borderId="0" xfId="10" applyFont="1" applyBorder="1" applyAlignment="1">
      <alignment horizontal="right"/>
    </xf>
    <xf numFmtId="0" fontId="6" fillId="0" borderId="53" xfId="0" applyFont="1" applyBorder="1"/>
    <xf numFmtId="165" fontId="6" fillId="0" borderId="1" xfId="0" applyNumberFormat="1" applyFont="1" applyBorder="1"/>
    <xf numFmtId="0" fontId="6" fillId="0" borderId="4" xfId="0" applyFont="1" applyBorder="1"/>
    <xf numFmtId="0" fontId="6" fillId="11" borderId="55" xfId="0" applyFont="1" applyFill="1" applyBorder="1"/>
    <xf numFmtId="0" fontId="6" fillId="11" borderId="3" xfId="0" applyFont="1" applyFill="1" applyBorder="1"/>
    <xf numFmtId="0" fontId="6" fillId="11" borderId="6" xfId="0" applyFont="1" applyFill="1" applyBorder="1"/>
    <xf numFmtId="164" fontId="6" fillId="0" borderId="1" xfId="0" applyNumberFormat="1" applyFont="1" applyFill="1" applyBorder="1" applyAlignment="1">
      <alignment horizontal="center"/>
    </xf>
    <xf numFmtId="164" fontId="6" fillId="11" borderId="3" xfId="8" applyNumberFormat="1" applyFont="1" applyFill="1" applyBorder="1" applyAlignment="1">
      <alignment horizontal="center" vertical="center"/>
    </xf>
    <xf numFmtId="164" fontId="6" fillId="0" borderId="1" xfId="8" applyNumberFormat="1" applyFont="1" applyBorder="1" applyAlignment="1">
      <alignment horizontal="center"/>
    </xf>
    <xf numFmtId="164" fontId="6" fillId="11" borderId="3" xfId="8" applyNumberFormat="1" applyFont="1" applyFill="1" applyBorder="1" applyAlignment="1">
      <alignment horizontal="center"/>
    </xf>
    <xf numFmtId="0" fontId="6" fillId="11" borderId="54" xfId="0" applyFont="1" applyFill="1" applyBorder="1"/>
    <xf numFmtId="0" fontId="6" fillId="11" borderId="2" xfId="0" applyFont="1" applyFill="1" applyBorder="1"/>
    <xf numFmtId="164" fontId="6" fillId="11" borderId="2" xfId="8" applyNumberFormat="1" applyFont="1" applyFill="1" applyBorder="1" applyAlignment="1">
      <alignment horizontal="center" vertical="center"/>
    </xf>
    <xf numFmtId="164" fontId="6" fillId="11" borderId="2" xfId="8" applyNumberFormat="1" applyFont="1" applyFill="1" applyBorder="1" applyAlignment="1">
      <alignment horizontal="center"/>
    </xf>
    <xf numFmtId="0" fontId="6" fillId="11" borderId="56" xfId="0" applyFont="1" applyFill="1" applyBorder="1"/>
    <xf numFmtId="0" fontId="6" fillId="22" borderId="53" xfId="0" applyFont="1" applyFill="1" applyBorder="1"/>
    <xf numFmtId="164" fontId="6" fillId="22" borderId="55" xfId="0" applyNumberFormat="1" applyFont="1" applyFill="1" applyBorder="1"/>
    <xf numFmtId="0" fontId="6" fillId="22" borderId="4" xfId="0" applyFont="1" applyFill="1" applyBorder="1"/>
    <xf numFmtId="0" fontId="6" fillId="22" borderId="6" xfId="0" applyFont="1" applyFill="1" applyBorder="1"/>
    <xf numFmtId="164" fontId="6" fillId="22" borderId="54" xfId="0" applyNumberFormat="1" applyFont="1" applyFill="1" applyBorder="1"/>
    <xf numFmtId="0" fontId="6" fillId="22" borderId="56" xfId="0" applyFont="1" applyFill="1" applyBorder="1"/>
    <xf numFmtId="164" fontId="6" fillId="22" borderId="56" xfId="0" applyNumberFormat="1" applyFont="1" applyFill="1" applyBorder="1"/>
    <xf numFmtId="164" fontId="66" fillId="0" borderId="0" xfId="8" applyNumberFormat="1" applyFont="1" applyFill="1" applyBorder="1"/>
    <xf numFmtId="14" fontId="67" fillId="14" borderId="0" xfId="2" applyNumberFormat="1" applyFont="1" applyFill="1" applyAlignment="1">
      <alignment horizontal="left"/>
    </xf>
    <xf numFmtId="0" fontId="34" fillId="17" borderId="0" xfId="2" applyFont="1" applyFill="1" applyBorder="1"/>
    <xf numFmtId="0" fontId="47" fillId="17" borderId="0" xfId="2" applyFont="1" applyFill="1" applyBorder="1" applyAlignment="1">
      <alignment horizontal="center"/>
    </xf>
    <xf numFmtId="0" fontId="35" fillId="15" borderId="0" xfId="2" applyFont="1" applyFill="1" applyBorder="1"/>
    <xf numFmtId="0" fontId="47" fillId="15" borderId="0" xfId="2" applyFont="1" applyFill="1" applyBorder="1" applyAlignment="1">
      <alignment horizontal="center"/>
    </xf>
    <xf numFmtId="170" fontId="47" fillId="15" borderId="0" xfId="11" applyNumberFormat="1" applyFont="1" applyFill="1" applyBorder="1" applyAlignment="1">
      <alignment horizontal="center"/>
    </xf>
    <xf numFmtId="170" fontId="35" fillId="15" borderId="0" xfId="11" applyNumberFormat="1" applyFont="1" applyFill="1" applyBorder="1" applyAlignment="1">
      <alignment horizontal="right"/>
    </xf>
    <xf numFmtId="170" fontId="35" fillId="15" borderId="0" xfId="11" quotePrefix="1" applyNumberFormat="1" applyFont="1" applyFill="1" applyBorder="1" applyAlignment="1">
      <alignment horizontal="center"/>
    </xf>
    <xf numFmtId="170" fontId="35" fillId="15" borderId="0" xfId="11" applyNumberFormat="1" applyFont="1" applyFill="1" applyBorder="1" applyAlignment="1">
      <alignment horizontal="center"/>
    </xf>
    <xf numFmtId="2" fontId="35" fillId="15" borderId="0" xfId="11" applyNumberFormat="1" applyFont="1" applyFill="1" applyBorder="1" applyAlignment="1">
      <alignment horizontal="right"/>
    </xf>
    <xf numFmtId="43" fontId="35" fillId="15" borderId="0" xfId="10" applyFont="1" applyFill="1" applyBorder="1" applyAlignment="1">
      <alignment horizontal="right"/>
    </xf>
    <xf numFmtId="1" fontId="35" fillId="15" borderId="0" xfId="2" applyNumberFormat="1" applyFont="1" applyFill="1" applyAlignment="1">
      <alignment horizontal="right"/>
    </xf>
    <xf numFmtId="0" fontId="0" fillId="15" borderId="0" xfId="0" applyFill="1" applyAlignment="1">
      <alignment horizontal="right"/>
    </xf>
    <xf numFmtId="1" fontId="0" fillId="15" borderId="0" xfId="0" applyNumberFormat="1" applyFill="1" applyAlignment="1">
      <alignment horizontal="right"/>
    </xf>
    <xf numFmtId="0" fontId="6" fillId="7" borderId="54" xfId="0" applyFont="1" applyFill="1" applyBorder="1"/>
    <xf numFmtId="164" fontId="5" fillId="7" borderId="2" xfId="8" applyNumberFormat="1" applyFont="1" applyFill="1" applyBorder="1" applyAlignment="1">
      <alignment horizontal="center" vertical="center"/>
    </xf>
    <xf numFmtId="164" fontId="5" fillId="7" borderId="56" xfId="8" applyNumberFormat="1" applyFont="1" applyFill="1" applyBorder="1" applyAlignment="1">
      <alignment horizontal="center" vertical="center"/>
    </xf>
    <xf numFmtId="0" fontId="6" fillId="6" borderId="54" xfId="0" applyFont="1" applyFill="1" applyBorder="1"/>
    <xf numFmtId="0" fontId="6" fillId="6" borderId="55" xfId="8" applyFont="1" applyFill="1" applyBorder="1"/>
    <xf numFmtId="0" fontId="6" fillId="6" borderId="3" xfId="8" applyFont="1" applyFill="1" applyBorder="1"/>
    <xf numFmtId="164" fontId="6" fillId="6" borderId="3" xfId="8" applyNumberFormat="1" applyFont="1" applyFill="1" applyBorder="1"/>
    <xf numFmtId="0" fontId="6" fillId="6" borderId="6" xfId="8" applyFont="1" applyFill="1" applyBorder="1"/>
    <xf numFmtId="164" fontId="6" fillId="7" borderId="3" xfId="0" applyNumberFormat="1" applyFont="1" applyFill="1" applyBorder="1"/>
    <xf numFmtId="1" fontId="8" fillId="12" borderId="8" xfId="0" applyNumberFormat="1" applyFont="1" applyFill="1" applyBorder="1"/>
    <xf numFmtId="1" fontId="6" fillId="12" borderId="8" xfId="0" applyNumberFormat="1" applyFont="1" applyFill="1" applyBorder="1"/>
    <xf numFmtId="1" fontId="6" fillId="0" borderId="8" xfId="0" applyNumberFormat="1" applyFont="1" applyBorder="1"/>
    <xf numFmtId="1" fontId="16" fillId="0" borderId="1" xfId="0" applyNumberFormat="1" applyFont="1" applyBorder="1"/>
    <xf numFmtId="1" fontId="14" fillId="0" borderId="1" xfId="0" applyNumberFormat="1" applyFont="1" applyBorder="1"/>
    <xf numFmtId="164" fontId="14" fillId="0" borderId="0" xfId="0" applyNumberFormat="1" applyFont="1"/>
    <xf numFmtId="169" fontId="13" fillId="0" borderId="0" xfId="0" applyNumberFormat="1" applyFont="1"/>
    <xf numFmtId="1" fontId="6" fillId="0" borderId="8" xfId="0" quotePrefix="1" applyNumberFormat="1" applyFont="1" applyBorder="1"/>
    <xf numFmtId="1" fontId="13" fillId="0" borderId="0" xfId="0" applyNumberFormat="1" applyFont="1"/>
    <xf numFmtId="0" fontId="6" fillId="7" borderId="1" xfId="0" applyFont="1" applyFill="1" applyBorder="1"/>
    <xf numFmtId="0" fontId="8" fillId="11" borderId="1" xfId="8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8" fillId="11" borderId="1" xfId="8" applyFont="1" applyFill="1" applyBorder="1"/>
    <xf numFmtId="0" fontId="8" fillId="11" borderId="2" xfId="8" applyFont="1" applyFill="1" applyBorder="1"/>
    <xf numFmtId="0" fontId="8" fillId="11" borderId="3" xfId="8" applyFont="1" applyFill="1" applyBorder="1"/>
    <xf numFmtId="0" fontId="6" fillId="11" borderId="0" xfId="0" applyFont="1" applyFill="1" applyBorder="1"/>
    <xf numFmtId="0" fontId="6" fillId="23" borderId="0" xfId="0" applyFont="1" applyFill="1" applyBorder="1" applyAlignment="1">
      <alignment horizontal="center" vertical="center" wrapText="1"/>
    </xf>
    <xf numFmtId="178" fontId="66" fillId="0" borderId="0" xfId="10" applyNumberFormat="1" applyFont="1" applyBorder="1"/>
    <xf numFmtId="164" fontId="6" fillId="7" borderId="2" xfId="8" applyNumberFormat="1" applyFont="1" applyFill="1" applyBorder="1" applyAlignment="1">
      <alignment horizontal="center" vertical="center"/>
    </xf>
    <xf numFmtId="164" fontId="5" fillId="9" borderId="0" xfId="8" applyNumberFormat="1" applyFont="1" applyFill="1" applyBorder="1" applyAlignment="1">
      <alignment horizontal="center" vertical="center"/>
    </xf>
    <xf numFmtId="0" fontId="5" fillId="9" borderId="0" xfId="0" applyFont="1" applyFill="1" applyBorder="1" applyAlignment="1"/>
    <xf numFmtId="0" fontId="6" fillId="0" borderId="0" xfId="0" applyFont="1" applyAlignment="1">
      <alignment horizontal="center" vertical="center"/>
    </xf>
    <xf numFmtId="164" fontId="6" fillId="8" borderId="2" xfId="8" applyNumberFormat="1" applyFont="1" applyFill="1" applyBorder="1" applyAlignment="1">
      <alignment horizontal="center" vertical="center"/>
    </xf>
    <xf numFmtId="164" fontId="6" fillId="8" borderId="3" xfId="8" applyNumberFormat="1" applyFont="1" applyFill="1" applyBorder="1" applyAlignment="1">
      <alignment horizontal="center" vertical="center"/>
    </xf>
    <xf numFmtId="164" fontId="6" fillId="7" borderId="3" xfId="8" applyNumberFormat="1" applyFont="1" applyFill="1" applyBorder="1" applyAlignment="1">
      <alignment horizontal="center" vertical="center"/>
    </xf>
    <xf numFmtId="164" fontId="6" fillId="6" borderId="3" xfId="8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5" fillId="6" borderId="2" xfId="8" applyNumberFormat="1" applyFont="1" applyFill="1" applyBorder="1" applyAlignment="1">
      <alignment horizontal="center" vertical="center"/>
    </xf>
    <xf numFmtId="164" fontId="5" fillId="6" borderId="56" xfId="8" applyNumberFormat="1" applyFont="1" applyFill="1" applyBorder="1" applyAlignment="1">
      <alignment horizontal="center" vertical="center"/>
    </xf>
    <xf numFmtId="0" fontId="55" fillId="9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164" fontId="6" fillId="9" borderId="2" xfId="0" quotePrefix="1" applyNumberFormat="1" applyFont="1" applyFill="1" applyBorder="1"/>
    <xf numFmtId="164" fontId="68" fillId="9" borderId="1" xfId="8" applyNumberFormat="1" applyFont="1" applyFill="1" applyBorder="1"/>
    <xf numFmtId="2" fontId="6" fillId="9" borderId="3" xfId="8" quotePrefix="1" applyNumberFormat="1" applyFont="1" applyFill="1" applyBorder="1"/>
    <xf numFmtId="164" fontId="68" fillId="9" borderId="2" xfId="0" applyNumberFormat="1" applyFont="1" applyFill="1" applyBorder="1"/>
    <xf numFmtId="164" fontId="68" fillId="9" borderId="1" xfId="0" applyNumberFormat="1" applyFont="1" applyFill="1" applyBorder="1"/>
    <xf numFmtId="164" fontId="68" fillId="9" borderId="3" xfId="0" applyNumberFormat="1" applyFont="1" applyFill="1" applyBorder="1"/>
    <xf numFmtId="0" fontId="68" fillId="9" borderId="2" xfId="0" applyFont="1" applyFill="1" applyBorder="1"/>
    <xf numFmtId="0" fontId="6" fillId="9" borderId="1" xfId="0" applyFont="1" applyFill="1" applyBorder="1"/>
    <xf numFmtId="0" fontId="13" fillId="0" borderId="5" xfId="0" applyFont="1" applyBorder="1" applyAlignment="1">
      <alignment horizontal="center" vertical="center"/>
    </xf>
    <xf numFmtId="2" fontId="6" fillId="9" borderId="0" xfId="8" applyNumberFormat="1" applyFont="1" applyFill="1" applyBorder="1"/>
    <xf numFmtId="0" fontId="6" fillId="9" borderId="1" xfId="8" applyFont="1" applyFill="1" applyBorder="1"/>
    <xf numFmtId="0" fontId="1" fillId="2" borderId="0" xfId="8" applyFont="1" applyFill="1" applyBorder="1" applyAlignment="1">
      <alignment horizontal="center" vertical="center" wrapText="1"/>
    </xf>
    <xf numFmtId="164" fontId="56" fillId="0" borderId="0" xfId="8" applyNumberFormat="1" applyFont="1" applyBorder="1"/>
    <xf numFmtId="178" fontId="71" fillId="0" borderId="0" xfId="10" applyNumberFormat="1" applyFont="1" applyBorder="1" applyAlignment="1">
      <alignment horizontal="right"/>
    </xf>
    <xf numFmtId="2" fontId="6" fillId="22" borderId="56" xfId="0" applyNumberFormat="1" applyFont="1" applyFill="1" applyBorder="1"/>
    <xf numFmtId="164" fontId="71" fillId="0" borderId="0" xfId="8" applyNumberFormat="1" applyFont="1" applyBorder="1"/>
    <xf numFmtId="2" fontId="71" fillId="0" borderId="0" xfId="8" applyNumberFormat="1" applyFont="1" applyBorder="1"/>
    <xf numFmtId="43" fontId="56" fillId="0" borderId="0" xfId="10" applyFont="1" applyBorder="1"/>
    <xf numFmtId="164" fontId="16" fillId="0" borderId="1" xfId="0" applyNumberFormat="1" applyFont="1" applyBorder="1"/>
    <xf numFmtId="164" fontId="14" fillId="0" borderId="1" xfId="0" applyNumberFormat="1" applyFont="1" applyBorder="1"/>
    <xf numFmtId="164" fontId="6" fillId="0" borderId="8" xfId="0" quotePrefix="1" applyNumberFormat="1" applyFont="1" applyBorder="1"/>
    <xf numFmtId="164" fontId="72" fillId="0" borderId="8" xfId="0" applyNumberFormat="1" applyFont="1" applyBorder="1"/>
    <xf numFmtId="164" fontId="73" fillId="0" borderId="8" xfId="0" applyNumberFormat="1" applyFont="1" applyBorder="1"/>
    <xf numFmtId="164" fontId="74" fillId="0" borderId="0" xfId="0" applyNumberFormat="1" applyFont="1" applyFill="1"/>
    <xf numFmtId="0" fontId="74" fillId="0" borderId="0" xfId="0" applyFont="1" applyFill="1"/>
    <xf numFmtId="0" fontId="74" fillId="0" borderId="0" xfId="0" applyFont="1"/>
    <xf numFmtId="0" fontId="13" fillId="0" borderId="5" xfId="0" applyFont="1" applyBorder="1" applyAlignment="1">
      <alignment horizontal="center" vertical="center"/>
    </xf>
    <xf numFmtId="0" fontId="47" fillId="15" borderId="0" xfId="2" applyFont="1" applyFill="1"/>
    <xf numFmtId="164" fontId="8" fillId="12" borderId="8" xfId="0" applyNumberFormat="1" applyFont="1" applyFill="1" applyBorder="1" applyAlignment="1">
      <alignment wrapText="1" shrinkToFit="1"/>
    </xf>
    <xf numFmtId="170" fontId="6" fillId="0" borderId="8" xfId="9" applyNumberFormat="1" applyFont="1" applyBorder="1"/>
    <xf numFmtId="2" fontId="13" fillId="0" borderId="8" xfId="0" applyNumberFormat="1" applyFont="1" applyBorder="1"/>
    <xf numFmtId="0" fontId="17" fillId="13" borderId="14" xfId="0" applyFont="1" applyFill="1" applyBorder="1" applyAlignment="1">
      <alignment vertical="center"/>
    </xf>
    <xf numFmtId="0" fontId="17" fillId="13" borderId="14" xfId="0" applyFont="1" applyFill="1" applyBorder="1" applyAlignment="1">
      <alignment vertical="center" wrapText="1"/>
    </xf>
    <xf numFmtId="0" fontId="17" fillId="13" borderId="12" xfId="0" applyFont="1" applyFill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8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3" borderId="0" xfId="8" applyFont="1" applyFill="1" applyBorder="1" applyAlignment="1">
      <alignment horizontal="center" vertical="center"/>
    </xf>
    <xf numFmtId="0" fontId="6" fillId="0" borderId="0" xfId="0" applyFont="1" applyAlignment="1"/>
    <xf numFmtId="0" fontId="8" fillId="3" borderId="1" xfId="8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4" borderId="1" xfId="8" applyFont="1" applyFill="1" applyBorder="1" applyAlignment="1">
      <alignment horizontal="center" vertical="center"/>
    </xf>
    <xf numFmtId="0" fontId="8" fillId="2" borderId="1" xfId="8" applyFont="1" applyFill="1" applyBorder="1" applyAlignment="1">
      <alignment horizontal="center" vertical="center"/>
    </xf>
    <xf numFmtId="164" fontId="5" fillId="6" borderId="53" xfId="8" applyNumberFormat="1" applyFont="1" applyFill="1" applyBorder="1" applyAlignment="1">
      <alignment horizontal="center" vertical="center"/>
    </xf>
    <xf numFmtId="164" fontId="5" fillId="6" borderId="1" xfId="8" applyNumberFormat="1" applyFont="1" applyFill="1" applyBorder="1" applyAlignment="1">
      <alignment horizontal="center" vertical="center"/>
    </xf>
    <xf numFmtId="164" fontId="5" fillId="6" borderId="4" xfId="8" applyNumberFormat="1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6" borderId="0" xfId="8" applyFont="1" applyFill="1" applyBorder="1" applyAlignment="1">
      <alignment horizontal="center" vertical="center" wrapText="1"/>
    </xf>
    <xf numFmtId="164" fontId="5" fillId="6" borderId="0" xfId="8" applyNumberFormat="1" applyFont="1" applyFill="1" applyBorder="1" applyAlignment="1">
      <alignment horizontal="center" vertical="center"/>
    </xf>
    <xf numFmtId="164" fontId="6" fillId="6" borderId="0" xfId="8" applyNumberFormat="1" applyFont="1" applyFill="1" applyBorder="1" applyAlignment="1">
      <alignment horizontal="center" vertical="center"/>
    </xf>
    <xf numFmtId="164" fontId="5" fillId="8" borderId="0" xfId="8" applyNumberFormat="1" applyFont="1" applyFill="1" applyBorder="1" applyAlignment="1">
      <alignment horizontal="center" vertical="center"/>
    </xf>
    <xf numFmtId="164" fontId="6" fillId="8" borderId="1" xfId="8" applyNumberFormat="1" applyFont="1" applyFill="1" applyBorder="1" applyAlignment="1">
      <alignment horizontal="center" vertical="center"/>
    </xf>
    <xf numFmtId="164" fontId="5" fillId="6" borderId="54" xfId="8" applyNumberFormat="1" applyFont="1" applyFill="1" applyBorder="1" applyAlignment="1">
      <alignment horizontal="center" vertical="center"/>
    </xf>
    <xf numFmtId="164" fontId="5" fillId="6" borderId="2" xfId="8" applyNumberFormat="1" applyFont="1" applyFill="1" applyBorder="1" applyAlignment="1">
      <alignment horizontal="center" vertical="center"/>
    </xf>
    <xf numFmtId="164" fontId="5" fillId="6" borderId="56" xfId="8" applyNumberFormat="1" applyFont="1" applyFill="1" applyBorder="1" applyAlignment="1">
      <alignment horizontal="center" vertical="center"/>
    </xf>
    <xf numFmtId="0" fontId="6" fillId="7" borderId="0" xfId="8" applyFont="1" applyFill="1" applyBorder="1" applyAlignment="1">
      <alignment horizontal="center" vertical="center" wrapText="1"/>
    </xf>
    <xf numFmtId="164" fontId="5" fillId="7" borderId="3" xfId="8" applyNumberFormat="1" applyFont="1" applyFill="1" applyBorder="1" applyAlignment="1">
      <alignment horizontal="center" vertical="center"/>
    </xf>
    <xf numFmtId="164" fontId="5" fillId="7" borderId="0" xfId="8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7" borderId="1" xfId="8" applyNumberFormat="1" applyFont="1" applyFill="1" applyBorder="1" applyAlignment="1">
      <alignment horizontal="center" vertical="center"/>
    </xf>
    <xf numFmtId="164" fontId="5" fillId="7" borderId="53" xfId="8" applyNumberFormat="1" applyFont="1" applyFill="1" applyBorder="1" applyAlignment="1">
      <alignment horizontal="center" vertical="center"/>
    </xf>
    <xf numFmtId="164" fontId="5" fillId="7" borderId="1" xfId="8" applyNumberFormat="1" applyFont="1" applyFill="1" applyBorder="1" applyAlignment="1">
      <alignment horizontal="center" vertical="center"/>
    </xf>
    <xf numFmtId="164" fontId="5" fillId="7" borderId="4" xfId="8" applyNumberFormat="1" applyFont="1" applyFill="1" applyBorder="1" applyAlignment="1">
      <alignment horizontal="center" vertical="center"/>
    </xf>
    <xf numFmtId="164" fontId="6" fillId="6" borderId="3" xfId="8" applyNumberFormat="1" applyFont="1" applyFill="1" applyBorder="1" applyAlignment="1">
      <alignment horizontal="center" vertical="center"/>
    </xf>
    <xf numFmtId="164" fontId="5" fillId="9" borderId="0" xfId="8" applyNumberFormat="1" applyFont="1" applyFill="1" applyBorder="1" applyAlignment="1">
      <alignment horizontal="center" vertical="center"/>
    </xf>
    <xf numFmtId="0" fontId="5" fillId="9" borderId="0" xfId="0" applyFont="1" applyFill="1" applyBorder="1" applyAlignment="1"/>
    <xf numFmtId="164" fontId="5" fillId="9" borderId="3" xfId="8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/>
    <xf numFmtId="0" fontId="6" fillId="8" borderId="0" xfId="8" applyFont="1" applyFill="1" applyBorder="1" applyAlignment="1">
      <alignment horizontal="center" vertical="center" wrapText="1"/>
    </xf>
    <xf numFmtId="164" fontId="6" fillId="8" borderId="0" xfId="8" applyNumberFormat="1" applyFont="1" applyFill="1" applyBorder="1" applyAlignment="1">
      <alignment horizontal="center" vertical="center"/>
    </xf>
    <xf numFmtId="164" fontId="6" fillId="8" borderId="2" xfId="8" applyNumberFormat="1" applyFont="1" applyFill="1" applyBorder="1" applyAlignment="1">
      <alignment horizontal="center" vertical="center"/>
    </xf>
    <xf numFmtId="164" fontId="6" fillId="8" borderId="3" xfId="8" applyNumberFormat="1" applyFont="1" applyFill="1" applyBorder="1" applyAlignment="1">
      <alignment horizontal="center" vertical="center"/>
    </xf>
    <xf numFmtId="0" fontId="1" fillId="2" borderId="0" xfId="8" applyFont="1" applyFill="1" applyBorder="1" applyAlignment="1">
      <alignment horizontal="center" vertical="center"/>
    </xf>
    <xf numFmtId="2" fontId="14" fillId="0" borderId="0" xfId="0" applyNumberFormat="1" applyFont="1"/>
  </cellXfs>
  <cellStyles count="12">
    <cellStyle name="Milliers" xfId="10" builtinId="3"/>
    <cellStyle name="Milliers 2" xfId="1"/>
    <cellStyle name="Milliers 3" xfId="6"/>
    <cellStyle name="Normal" xfId="0" builtinId="0"/>
    <cellStyle name="Normal 2" xfId="2"/>
    <cellStyle name="Normal 2 2" xfId="8"/>
    <cellStyle name="Normal 3" xfId="3"/>
    <cellStyle name="Normal 4" xfId="4"/>
    <cellStyle name="Normal 5" xfId="7"/>
    <cellStyle name="Pourcentage" xfId="11" builtinId="5"/>
    <cellStyle name="Pourcentage 2" xfId="5"/>
    <cellStyle name="Pourcentage 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eme.intra\PARIS$\windows\temp\notes39779E\summaryvADEME_20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5"/>
      <sheetName val="Feuil3"/>
      <sheetName val="tab_labor"/>
      <sheetName val="Shock_data"/>
      <sheetName val="Baseline_data"/>
      <sheetName val="t_Macro_B"/>
      <sheetName val="t_Macro_S"/>
      <sheetName val="Feuil1"/>
      <sheetName val="t_Emp_ProdSect_B"/>
      <sheetName val="t_Emp_ProdSect_S"/>
      <sheetName val="t_CO2Sect_B"/>
      <sheetName val="t_CO2Sect_S"/>
      <sheetName val="tCO2Sect_10"/>
      <sheetName val="t_PartNRJ_B"/>
      <sheetName val="t_PartNRJ_S"/>
      <sheetName val="t_Mtep_B"/>
      <sheetName val="Graph8"/>
      <sheetName val="Graph3"/>
      <sheetName val="Feuil2"/>
      <sheetName val="EN_buil"/>
      <sheetName val="Graph4"/>
      <sheetName val="coût de prod énergie"/>
      <sheetName val="t_Mtep_S"/>
      <sheetName val="d INV"/>
      <sheetName val="prix énergie"/>
      <sheetName val="EMS"/>
      <sheetName val="voiture"/>
      <sheetName val="ex élasticité"/>
      <sheetName val="tab_PIB"/>
      <sheetName val="scénario ADEME"/>
      <sheetName val="Feuil4"/>
      <sheetName val="Feuil5"/>
      <sheetName val="SIock_data"/>
      <sheetName val="SNock_data"/>
    </sheetNames>
    <sheetDataSet>
      <sheetData sheetId="0" refreshError="1"/>
      <sheetData sheetId="1" refreshError="1"/>
      <sheetData sheetId="2" refreshError="1"/>
      <sheetData sheetId="3" refreshError="1">
        <row r="1">
          <cell r="B1">
            <v>2004</v>
          </cell>
        </row>
        <row r="143">
          <cell r="A143" t="str">
            <v>Q_MTEP_22_2</v>
          </cell>
        </row>
        <row r="144">
          <cell r="A144" t="str">
            <v>Q_MTEP_2201_2</v>
          </cell>
        </row>
        <row r="145">
          <cell r="A145" t="str">
            <v>Q_MTEP_2202_2</v>
          </cell>
        </row>
        <row r="146">
          <cell r="A146" t="str">
            <v>Q_MTEP_23_2</v>
          </cell>
        </row>
        <row r="147">
          <cell r="A147" t="str">
            <v>Q_MTEP_EP_2301_2</v>
          </cell>
        </row>
        <row r="148">
          <cell r="A148" t="str">
            <v>Q_MTEP_2302_2</v>
          </cell>
        </row>
        <row r="149">
          <cell r="A149" t="str">
            <v>Q_MTEP_2303_2</v>
          </cell>
        </row>
        <row r="150">
          <cell r="A150" t="str">
            <v>Q_MTEP_2304_2</v>
          </cell>
        </row>
        <row r="151">
          <cell r="A151" t="str">
            <v>Q_MTEP_2305_2</v>
          </cell>
        </row>
        <row r="152">
          <cell r="A152" t="str">
            <v>Q_MTEP_2306_2</v>
          </cell>
        </row>
        <row r="153">
          <cell r="A153" t="str">
            <v>Q_MTEP_2307_2</v>
          </cell>
        </row>
        <row r="154">
          <cell r="A154" t="str">
            <v>Q_MTEP_2308_2</v>
          </cell>
        </row>
        <row r="155">
          <cell r="A155" t="str">
            <v>Q_MTEP_24_2</v>
          </cell>
        </row>
        <row r="156">
          <cell r="A156" t="str">
            <v>Q_MTEP_2401_2</v>
          </cell>
        </row>
        <row r="157">
          <cell r="A157" t="str">
            <v>Q_MTEP_2402_2</v>
          </cell>
        </row>
        <row r="158">
          <cell r="A158" t="str">
            <v>Q_MTEP_2403_2</v>
          </cell>
        </row>
        <row r="159">
          <cell r="A159" t="str">
            <v>Q_MTEP_2404_2</v>
          </cell>
        </row>
        <row r="160">
          <cell r="A160" t="str">
            <v>Q_MTEP_2405_2</v>
          </cell>
        </row>
        <row r="161">
          <cell r="A161" t="str">
            <v>Q_MTEP_2406_2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71"/>
  <sheetViews>
    <sheetView topLeftCell="G1" workbookViewId="0">
      <pane xSplit="1" ySplit="1" topLeftCell="H14" activePane="bottomRight" state="frozen"/>
      <selection activeCell="G1" sqref="G1"/>
      <selection pane="topRight" activeCell="H1" sqref="H1"/>
      <selection pane="bottomLeft" activeCell="G2" sqref="G2"/>
      <selection pane="bottomRight" activeCell="I25" sqref="I25"/>
    </sheetView>
  </sheetViews>
  <sheetFormatPr baseColWidth="10" defaultRowHeight="12.75" x14ac:dyDescent="0.2"/>
  <cols>
    <col min="1" max="1" width="3" customWidth="1"/>
    <col min="2" max="2" width="12.5703125" hidden="1" customWidth="1"/>
    <col min="3" max="4" width="0" hidden="1" customWidth="1"/>
    <col min="5" max="5" width="3.7109375" customWidth="1"/>
    <col min="6" max="6" width="0" hidden="1" customWidth="1"/>
    <col min="7" max="7" width="47.85546875" customWidth="1"/>
    <col min="8" max="10" width="12.5703125" customWidth="1"/>
    <col min="11" max="11" width="13.85546875" customWidth="1"/>
    <col min="12" max="12" width="18.85546875" customWidth="1"/>
    <col min="13" max="13" width="12.5703125" customWidth="1"/>
    <col min="14" max="14" width="24" bestFit="1" customWidth="1"/>
    <col min="16" max="16" width="18.85546875" bestFit="1" customWidth="1"/>
  </cols>
  <sheetData>
    <row r="1" spans="1:21" ht="39" thickBot="1" x14ac:dyDescent="0.25">
      <c r="B1" s="65"/>
      <c r="C1" s="66"/>
      <c r="D1" s="66"/>
      <c r="E1" s="66"/>
      <c r="F1" s="67"/>
      <c r="G1" s="94" t="s">
        <v>136</v>
      </c>
      <c r="H1" s="112" t="s">
        <v>220</v>
      </c>
      <c r="I1" s="69" t="s">
        <v>137</v>
      </c>
      <c r="J1" s="68" t="s">
        <v>138</v>
      </c>
      <c r="K1" s="68" t="s">
        <v>139</v>
      </c>
      <c r="L1" s="70" t="s">
        <v>140</v>
      </c>
      <c r="M1" s="68" t="s">
        <v>141</v>
      </c>
      <c r="N1" s="68" t="s">
        <v>142</v>
      </c>
      <c r="O1" s="71" t="s">
        <v>143</v>
      </c>
      <c r="P1" s="71" t="s">
        <v>144</v>
      </c>
    </row>
    <row r="2" spans="1:21" ht="15.75" thickBot="1" x14ac:dyDescent="0.25">
      <c r="A2" t="e">
        <f>[1]SIock_data!A142</f>
        <v>#REF!</v>
      </c>
      <c r="B2" s="65"/>
      <c r="C2" s="626">
        <v>22</v>
      </c>
      <c r="D2" s="72"/>
      <c r="E2" s="627" t="s">
        <v>67</v>
      </c>
      <c r="F2" s="81" t="s">
        <v>145</v>
      </c>
      <c r="G2" s="98" t="s">
        <v>51</v>
      </c>
      <c r="H2" s="73">
        <f>H27</f>
        <v>73.679044312824345</v>
      </c>
      <c r="I2" s="41"/>
      <c r="J2" s="73">
        <f>I27+K27</f>
        <v>5.4802139050634961</v>
      </c>
      <c r="K2" s="73">
        <f>L27</f>
        <v>0</v>
      </c>
      <c r="L2" s="73"/>
      <c r="M2" s="73">
        <f>H2-J2-K2+L2</f>
        <v>68.198830407760852</v>
      </c>
      <c r="N2" s="73"/>
      <c r="O2" s="73">
        <f>H2</f>
        <v>73.679044312824345</v>
      </c>
      <c r="P2" s="73">
        <f>M2</f>
        <v>68.198830407760852</v>
      </c>
      <c r="Q2" s="74"/>
      <c r="R2" s="74"/>
      <c r="S2" s="74"/>
      <c r="T2" s="75"/>
      <c r="U2" s="75"/>
    </row>
    <row r="3" spans="1:21" ht="15.75" thickBot="1" x14ac:dyDescent="0.25">
      <c r="A3" t="str">
        <f>[1]Shock_data!A143</f>
        <v>Q_MTEP_22_2</v>
      </c>
      <c r="B3" s="65"/>
      <c r="C3" s="626"/>
      <c r="D3" s="76" t="s">
        <v>146</v>
      </c>
      <c r="E3" s="627"/>
      <c r="F3" s="77" t="s">
        <v>147</v>
      </c>
      <c r="G3" s="113" t="s">
        <v>221</v>
      </c>
      <c r="H3" s="73">
        <f>H46+H51</f>
        <v>5.4100717534313203</v>
      </c>
      <c r="I3" s="73"/>
      <c r="J3" s="73">
        <f>I46+I51+K46+K51</f>
        <v>0</v>
      </c>
      <c r="K3" s="73">
        <f>L46+L51</f>
        <v>0</v>
      </c>
      <c r="L3" s="73">
        <f>-M51</f>
        <v>0</v>
      </c>
      <c r="M3" s="73">
        <f t="shared" ref="M3:M19" si="0">H3-J3-K3+L3</f>
        <v>5.4100717534313203</v>
      </c>
      <c r="N3" s="73"/>
      <c r="O3" s="73">
        <f t="shared" ref="O3:O19" si="1">H3</f>
        <v>5.4100717534313203</v>
      </c>
      <c r="P3" s="73">
        <f t="shared" ref="P3:P19" si="2">M3</f>
        <v>5.4100717534313203</v>
      </c>
      <c r="Q3" s="74"/>
      <c r="R3" s="74"/>
      <c r="S3" s="74"/>
      <c r="T3" s="75"/>
      <c r="U3" s="75"/>
    </row>
    <row r="4" spans="1:21" ht="26.25" thickBot="1" x14ac:dyDescent="0.25">
      <c r="A4" t="str">
        <f>[1]Shock_data!A144</f>
        <v>Q_MTEP_2201_2</v>
      </c>
      <c r="B4" s="65"/>
      <c r="C4" s="626"/>
      <c r="D4" s="78"/>
      <c r="E4" s="627"/>
      <c r="F4" s="79" t="s">
        <v>148</v>
      </c>
      <c r="G4" s="98" t="s">
        <v>24</v>
      </c>
      <c r="H4" s="73">
        <f>H33</f>
        <v>78.98</v>
      </c>
      <c r="I4" s="41"/>
      <c r="J4" s="73">
        <f>I33+K33</f>
        <v>54.067324587594683</v>
      </c>
      <c r="K4" s="73">
        <f>L33</f>
        <v>7.1036978419556789</v>
      </c>
      <c r="L4" s="73"/>
      <c r="M4" s="73">
        <f t="shared" si="0"/>
        <v>17.808977570449642</v>
      </c>
      <c r="N4" s="73"/>
      <c r="O4" s="73">
        <f t="shared" si="1"/>
        <v>78.98</v>
      </c>
      <c r="P4" s="73">
        <f t="shared" si="2"/>
        <v>17.808977570449642</v>
      </c>
      <c r="Q4" s="74"/>
      <c r="R4" s="80"/>
      <c r="S4" s="74"/>
      <c r="T4" s="75"/>
      <c r="U4" s="75"/>
    </row>
    <row r="5" spans="1:21" ht="15.75" thickBot="1" x14ac:dyDescent="0.25">
      <c r="A5" t="str">
        <f>[1]Shock_data!A145</f>
        <v>Q_MTEP_2202_2</v>
      </c>
      <c r="B5" s="65"/>
      <c r="C5" s="626">
        <v>23</v>
      </c>
      <c r="D5" s="72"/>
      <c r="E5" s="627" t="s">
        <v>54</v>
      </c>
      <c r="F5" s="81" t="s">
        <v>145</v>
      </c>
      <c r="G5" s="98" t="s">
        <v>68</v>
      </c>
      <c r="H5" s="73">
        <f>H28</f>
        <v>4.2883472442626955E-2</v>
      </c>
      <c r="I5" s="41"/>
      <c r="J5" s="73">
        <f>I28+K28</f>
        <v>2.5683472442626955E-2</v>
      </c>
      <c r="K5" s="73">
        <f>L28</f>
        <v>0</v>
      </c>
      <c r="L5" s="73"/>
      <c r="M5" s="73">
        <f t="shared" si="0"/>
        <v>1.72E-2</v>
      </c>
      <c r="N5" s="73"/>
      <c r="O5" s="73">
        <f t="shared" si="1"/>
        <v>4.2883472442626955E-2</v>
      </c>
      <c r="P5" s="73">
        <f t="shared" si="2"/>
        <v>1.72E-2</v>
      </c>
      <c r="Q5" s="74"/>
      <c r="R5" s="74"/>
      <c r="S5" s="74"/>
      <c r="T5" s="75"/>
      <c r="U5" s="75"/>
    </row>
    <row r="6" spans="1:21" ht="26.25" thickBot="1" x14ac:dyDescent="0.25">
      <c r="A6" t="str">
        <f>[1]Shock_data!A146</f>
        <v>Q_MTEP_23_2</v>
      </c>
      <c r="B6" s="65"/>
      <c r="C6" s="626"/>
      <c r="D6" s="76"/>
      <c r="E6" s="627"/>
      <c r="F6" s="77" t="s">
        <v>149</v>
      </c>
      <c r="G6" s="98" t="s">
        <v>150</v>
      </c>
      <c r="H6" s="73">
        <f>H31+H32</f>
        <v>20.375309573266282</v>
      </c>
      <c r="I6" s="41"/>
      <c r="J6" s="73">
        <f>I31+K31+I32+K32</f>
        <v>11.688574542016283</v>
      </c>
      <c r="K6" s="73">
        <f>L31+L32</f>
        <v>0.56584814889140156</v>
      </c>
      <c r="L6" s="73">
        <f>+M31+M32</f>
        <v>0</v>
      </c>
      <c r="M6" s="73">
        <f t="shared" si="0"/>
        <v>8.1208868823585973</v>
      </c>
      <c r="N6" s="73"/>
      <c r="O6" s="73">
        <f t="shared" si="1"/>
        <v>20.375309573266282</v>
      </c>
      <c r="P6" s="73">
        <f t="shared" si="2"/>
        <v>8.1208868823585973</v>
      </c>
      <c r="Q6" s="74"/>
      <c r="R6" s="74"/>
      <c r="S6" s="74"/>
      <c r="T6" s="75"/>
      <c r="U6" s="75"/>
    </row>
    <row r="7" spans="1:21" ht="15.75" thickBot="1" x14ac:dyDescent="0.25">
      <c r="A7" t="str">
        <f>[1]Shock_data!A147</f>
        <v>Q_MTEP_EP_2301_2</v>
      </c>
      <c r="B7" s="65"/>
      <c r="C7" s="626"/>
      <c r="D7" s="76"/>
      <c r="E7" s="627"/>
      <c r="F7" s="77" t="s">
        <v>151</v>
      </c>
      <c r="G7" s="98" t="s">
        <v>40</v>
      </c>
      <c r="H7" s="73">
        <v>0</v>
      </c>
      <c r="I7" s="41"/>
      <c r="J7" s="73">
        <v>0</v>
      </c>
      <c r="K7" s="73">
        <v>0</v>
      </c>
      <c r="L7" s="73">
        <v>0</v>
      </c>
      <c r="M7" s="73">
        <f t="shared" si="0"/>
        <v>0</v>
      </c>
      <c r="N7" s="73"/>
      <c r="O7" s="73">
        <f t="shared" si="1"/>
        <v>0</v>
      </c>
      <c r="P7" s="73">
        <f t="shared" si="2"/>
        <v>0</v>
      </c>
      <c r="Q7" s="74"/>
      <c r="R7" s="80"/>
      <c r="S7" s="74"/>
      <c r="T7" s="75"/>
      <c r="U7" s="75"/>
    </row>
    <row r="8" spans="1:21" ht="15.75" thickBot="1" x14ac:dyDescent="0.25">
      <c r="A8" t="str">
        <f>[1]Shock_data!A148</f>
        <v>Q_MTEP_2302_2</v>
      </c>
      <c r="B8" s="65"/>
      <c r="C8" s="626"/>
      <c r="D8" s="76"/>
      <c r="E8" s="627"/>
      <c r="F8" s="77" t="s">
        <v>152</v>
      </c>
      <c r="G8" s="98" t="s">
        <v>153</v>
      </c>
      <c r="H8" s="73">
        <f>H37</f>
        <v>5.8230781406249994</v>
      </c>
      <c r="I8" s="41"/>
      <c r="J8" s="73">
        <f>I37+K37</f>
        <v>0</v>
      </c>
      <c r="K8" s="73">
        <f t="shared" ref="K8:L9" si="3">L37</f>
        <v>0.37931144151043611</v>
      </c>
      <c r="L8" s="73">
        <f>-M37</f>
        <v>0</v>
      </c>
      <c r="M8" s="73">
        <f t="shared" si="0"/>
        <v>5.4437666991145637</v>
      </c>
      <c r="N8" s="73"/>
      <c r="O8" s="73">
        <f t="shared" si="1"/>
        <v>5.8230781406249994</v>
      </c>
      <c r="P8" s="73">
        <f t="shared" si="2"/>
        <v>5.4437666991145637</v>
      </c>
      <c r="Q8" s="74"/>
      <c r="R8" s="74"/>
      <c r="S8" s="74"/>
      <c r="T8" s="75"/>
      <c r="U8" s="75"/>
    </row>
    <row r="9" spans="1:21" ht="15.75" thickBot="1" x14ac:dyDescent="0.25">
      <c r="A9" t="str">
        <f>[1]Shock_data!A149</f>
        <v>Q_MTEP_2303_2</v>
      </c>
      <c r="B9" s="65"/>
      <c r="C9" s="626"/>
      <c r="D9" s="76" t="s">
        <v>154</v>
      </c>
      <c r="E9" s="627"/>
      <c r="F9" s="77" t="s">
        <v>155</v>
      </c>
      <c r="G9" s="98" t="s">
        <v>156</v>
      </c>
      <c r="H9" s="73">
        <f>H38</f>
        <v>2.7230235429687499</v>
      </c>
      <c r="I9" s="41"/>
      <c r="J9" s="73">
        <f>I38+K38</f>
        <v>0</v>
      </c>
      <c r="K9" s="73">
        <f t="shared" si="3"/>
        <v>0.17737594454459299</v>
      </c>
      <c r="L9" s="73">
        <f t="shared" si="3"/>
        <v>0</v>
      </c>
      <c r="M9" s="73">
        <f t="shared" si="0"/>
        <v>2.5456475984241571</v>
      </c>
      <c r="N9" s="73"/>
      <c r="O9" s="73">
        <f t="shared" si="1"/>
        <v>2.7230235429687499</v>
      </c>
      <c r="P9" s="73">
        <f t="shared" si="2"/>
        <v>2.5456475984241571</v>
      </c>
      <c r="Q9" s="74"/>
      <c r="R9" s="74"/>
      <c r="S9" s="74"/>
      <c r="T9" s="75"/>
      <c r="U9" s="75"/>
    </row>
    <row r="10" spans="1:21" ht="15.75" thickBot="1" x14ac:dyDescent="0.25">
      <c r="A10" t="str">
        <f>[1]Shock_data!A150</f>
        <v>Q_MTEP_2304_2</v>
      </c>
      <c r="B10" s="65"/>
      <c r="C10" s="626"/>
      <c r="D10" s="76"/>
      <c r="E10" s="627"/>
      <c r="F10" s="77" t="s">
        <v>157</v>
      </c>
      <c r="G10" s="98" t="s">
        <v>158</v>
      </c>
      <c r="H10" s="73">
        <f>H35+H36</f>
        <v>5.6278360440859974</v>
      </c>
      <c r="I10" s="41"/>
      <c r="J10" s="73">
        <f>I35+K35+I36+K36</f>
        <v>0</v>
      </c>
      <c r="K10" s="73">
        <f>L35+L36</f>
        <v>0.36659350105123772</v>
      </c>
      <c r="L10" s="73">
        <f>M35+M36</f>
        <v>0</v>
      </c>
      <c r="M10" s="73">
        <f t="shared" si="0"/>
        <v>5.2612425430347596</v>
      </c>
      <c r="N10" s="73"/>
      <c r="O10" s="73">
        <f t="shared" si="1"/>
        <v>5.6278360440859974</v>
      </c>
      <c r="P10" s="73">
        <f t="shared" si="2"/>
        <v>5.2612425430347596</v>
      </c>
      <c r="Q10" s="74"/>
      <c r="R10" s="74"/>
      <c r="S10" s="74"/>
      <c r="T10" s="75"/>
      <c r="U10" s="75"/>
    </row>
    <row r="11" spans="1:21" ht="15.75" thickBot="1" x14ac:dyDescent="0.25">
      <c r="A11" t="str">
        <f>[1]Shock_data!A151</f>
        <v>Q_MTEP_2305_2</v>
      </c>
      <c r="B11" s="65"/>
      <c r="C11" s="626"/>
      <c r="D11" s="76"/>
      <c r="E11" s="627"/>
      <c r="F11" s="77" t="s">
        <v>159</v>
      </c>
      <c r="G11" s="98" t="s">
        <v>160</v>
      </c>
      <c r="H11" s="73">
        <f>H40+H47+H54+H56+H59</f>
        <v>4.5787325278608888</v>
      </c>
      <c r="I11" s="41"/>
      <c r="J11" s="73">
        <f>+I40+I47+I54+I56+I59+K40+K47+K54+K56+K59</f>
        <v>2.6793252739546389</v>
      </c>
      <c r="K11" s="73">
        <f>L40+L47+L54+L56+L59</f>
        <v>0.12372612664566268</v>
      </c>
      <c r="L11" s="73">
        <f>M40+M47+M54+M56+M59</f>
        <v>0</v>
      </c>
      <c r="M11" s="73">
        <f t="shared" si="0"/>
        <v>1.7756811272605872</v>
      </c>
      <c r="N11" s="73"/>
      <c r="O11" s="73">
        <f t="shared" si="1"/>
        <v>4.5787325278608888</v>
      </c>
      <c r="P11" s="73">
        <f t="shared" si="2"/>
        <v>1.7756811272605872</v>
      </c>
      <c r="Q11" s="74"/>
      <c r="R11" s="74"/>
      <c r="S11" s="74"/>
      <c r="T11" s="75"/>
      <c r="U11" s="75"/>
    </row>
    <row r="12" spans="1:21" ht="15.75" thickBot="1" x14ac:dyDescent="0.25">
      <c r="A12" t="str">
        <f>[1]Shock_data!A152</f>
        <v>Q_MTEP_2306_2</v>
      </c>
      <c r="B12" s="65"/>
      <c r="C12" s="626"/>
      <c r="D12" s="76"/>
      <c r="E12" s="627"/>
      <c r="F12" s="77" t="s">
        <v>161</v>
      </c>
      <c r="G12" s="98" t="s">
        <v>34</v>
      </c>
      <c r="H12" s="73">
        <f>H30</f>
        <v>31.80405496213703</v>
      </c>
      <c r="I12" s="41"/>
      <c r="J12" s="73">
        <f>I30+K30</f>
        <v>0.41929182669779652</v>
      </c>
      <c r="K12" s="73">
        <f>L30</f>
        <v>0</v>
      </c>
      <c r="L12" s="73">
        <f>M30</f>
        <v>0</v>
      </c>
      <c r="M12" s="73">
        <f t="shared" si="0"/>
        <v>31.384763135439233</v>
      </c>
      <c r="N12" s="73"/>
      <c r="O12" s="73">
        <f t="shared" si="1"/>
        <v>31.80405496213703</v>
      </c>
      <c r="P12" s="73">
        <f t="shared" si="2"/>
        <v>31.384763135439233</v>
      </c>
      <c r="Q12" s="74"/>
      <c r="R12" s="74"/>
      <c r="S12" s="74"/>
      <c r="T12" s="75"/>
      <c r="U12" s="75"/>
    </row>
    <row r="13" spans="1:21" ht="15.75" thickBot="1" x14ac:dyDescent="0.25">
      <c r="A13" t="str">
        <f>[1]Shock_data!A153</f>
        <v>Q_MTEP_2307_2</v>
      </c>
      <c r="B13" s="65"/>
      <c r="C13" s="626"/>
      <c r="D13" s="78"/>
      <c r="E13" s="627"/>
      <c r="F13" s="79" t="s">
        <v>162</v>
      </c>
      <c r="G13" s="98" t="s">
        <v>89</v>
      </c>
      <c r="H13" s="73">
        <f>H43+H50</f>
        <v>15.237702247549423</v>
      </c>
      <c r="I13" s="41"/>
      <c r="J13" s="73">
        <f>I43+K43+I50+K50</f>
        <v>0.15056177433997808</v>
      </c>
      <c r="K13" s="73">
        <f>L43+L50</f>
        <v>0</v>
      </c>
      <c r="L13" s="73">
        <f>M43+M50</f>
        <v>0</v>
      </c>
      <c r="M13" s="73">
        <f t="shared" si="0"/>
        <v>15.087140473209445</v>
      </c>
      <c r="N13" s="73"/>
      <c r="O13" s="73">
        <f t="shared" si="1"/>
        <v>15.237702247549423</v>
      </c>
      <c r="P13" s="73">
        <f t="shared" si="2"/>
        <v>15.087140473209445</v>
      </c>
      <c r="Q13" s="74"/>
      <c r="R13" s="74"/>
      <c r="S13" s="74"/>
      <c r="T13" s="75"/>
      <c r="U13" s="75"/>
    </row>
    <row r="14" spans="1:21" ht="15.75" thickBot="1" x14ac:dyDescent="0.25">
      <c r="A14" t="str">
        <f>[1]Shock_data!A154</f>
        <v>Q_MTEP_2308_2</v>
      </c>
      <c r="B14" s="65"/>
      <c r="C14" s="628">
        <v>24</v>
      </c>
      <c r="D14" s="72"/>
      <c r="E14" s="627" t="s">
        <v>163</v>
      </c>
      <c r="F14" s="81" t="s">
        <v>145</v>
      </c>
      <c r="G14" s="98" t="s">
        <v>47</v>
      </c>
      <c r="H14" s="73">
        <f>H45+H53</f>
        <v>0</v>
      </c>
      <c r="I14" s="73"/>
      <c r="J14" s="73">
        <f>I45+I53+I60+K45+K53+K60</f>
        <v>0</v>
      </c>
      <c r="K14" s="73">
        <f>L45+L53+L60</f>
        <v>0</v>
      </c>
      <c r="L14" s="73">
        <f>-M53</f>
        <v>0</v>
      </c>
      <c r="M14" s="73">
        <f t="shared" si="0"/>
        <v>0</v>
      </c>
      <c r="N14" s="73"/>
      <c r="O14" s="73">
        <f t="shared" si="1"/>
        <v>0</v>
      </c>
      <c r="P14" s="73">
        <f t="shared" si="2"/>
        <v>0</v>
      </c>
      <c r="Q14" s="74"/>
      <c r="R14" s="74"/>
      <c r="S14" s="74"/>
      <c r="T14" s="75"/>
      <c r="U14" s="75"/>
    </row>
    <row r="15" spans="1:21" ht="15.75" thickBot="1" x14ac:dyDescent="0.25">
      <c r="A15" t="str">
        <f>[1]Shock_data!A155</f>
        <v>Q_MTEP_24_2</v>
      </c>
      <c r="B15" s="65"/>
      <c r="C15" s="628"/>
      <c r="D15" s="76"/>
      <c r="E15" s="627"/>
      <c r="F15" s="82" t="s">
        <v>164</v>
      </c>
      <c r="G15" s="98" t="s">
        <v>165</v>
      </c>
      <c r="H15" s="73">
        <f>H57</f>
        <v>0.89897650426520914</v>
      </c>
      <c r="I15" s="41"/>
      <c r="J15" s="73">
        <f>I57+K57</f>
        <v>0</v>
      </c>
      <c r="K15" s="73">
        <f>L57</f>
        <v>0</v>
      </c>
      <c r="L15" s="73">
        <f>M57</f>
        <v>0</v>
      </c>
      <c r="M15" s="73">
        <f t="shared" si="0"/>
        <v>0.89897650426520914</v>
      </c>
      <c r="N15" s="73"/>
      <c r="O15" s="73">
        <f t="shared" si="1"/>
        <v>0.89897650426520914</v>
      </c>
      <c r="P15" s="73">
        <f t="shared" si="2"/>
        <v>0.89897650426520914</v>
      </c>
      <c r="Q15" s="74"/>
      <c r="R15" s="74"/>
      <c r="S15" s="74"/>
      <c r="T15" s="75"/>
      <c r="U15" s="75"/>
    </row>
    <row r="16" spans="1:21" ht="30.75" thickBot="1" x14ac:dyDescent="0.25">
      <c r="A16" t="str">
        <f>[1]Shock_data!A156</f>
        <v>Q_MTEP_2401_2</v>
      </c>
      <c r="B16" s="65"/>
      <c r="C16" s="628"/>
      <c r="D16" s="76" t="s">
        <v>166</v>
      </c>
      <c r="E16" s="627"/>
      <c r="F16" s="82" t="s">
        <v>167</v>
      </c>
      <c r="G16" s="98" t="s">
        <v>28</v>
      </c>
      <c r="H16" s="73">
        <f>H41</f>
        <v>0.15800065494576065</v>
      </c>
      <c r="J16" s="73">
        <f>I41+K41</f>
        <v>0</v>
      </c>
      <c r="K16" s="73">
        <f>L41</f>
        <v>0</v>
      </c>
      <c r="L16" s="73">
        <f>M41</f>
        <v>0</v>
      </c>
      <c r="M16" s="73">
        <f t="shared" si="0"/>
        <v>0.15800065494576065</v>
      </c>
      <c r="N16" s="73"/>
      <c r="O16" s="73">
        <f t="shared" si="1"/>
        <v>0.15800065494576065</v>
      </c>
      <c r="P16" s="73">
        <f t="shared" si="2"/>
        <v>0.15800065494576065</v>
      </c>
      <c r="Q16" s="74"/>
      <c r="R16" s="74"/>
      <c r="S16" s="74"/>
      <c r="T16" s="75"/>
      <c r="U16" s="75"/>
    </row>
    <row r="17" spans="1:21" ht="15.75" thickBot="1" x14ac:dyDescent="0.25">
      <c r="A17" t="str">
        <f>[1]Shock_data!A157</f>
        <v>Q_MTEP_2402_2</v>
      </c>
      <c r="B17" s="65"/>
      <c r="C17" s="628"/>
      <c r="D17" s="76"/>
      <c r="E17" s="627"/>
      <c r="F17" s="82" t="s">
        <v>168</v>
      </c>
      <c r="G17" s="98" t="s">
        <v>35</v>
      </c>
      <c r="H17" s="73">
        <f>H34</f>
        <v>0.54093958086900806</v>
      </c>
      <c r="I17" s="41"/>
      <c r="J17" s="41">
        <f>I34+K34</f>
        <v>0</v>
      </c>
      <c r="K17" s="73">
        <f>L34</f>
        <v>0</v>
      </c>
      <c r="L17" s="73">
        <f>M33</f>
        <v>0</v>
      </c>
      <c r="M17" s="73">
        <f t="shared" si="0"/>
        <v>0.54093958086900806</v>
      </c>
      <c r="N17" s="73"/>
      <c r="O17" s="73">
        <f t="shared" si="1"/>
        <v>0.54093958086900806</v>
      </c>
      <c r="P17" s="73">
        <f t="shared" si="2"/>
        <v>0.54093958086900806</v>
      </c>
      <c r="Q17" s="74"/>
      <c r="R17" s="74"/>
      <c r="S17" s="74"/>
      <c r="T17" s="75"/>
      <c r="U17" s="75"/>
    </row>
    <row r="18" spans="1:21" ht="15.75" thickBot="1" x14ac:dyDescent="0.25">
      <c r="A18" t="str">
        <f>[1]Shock_data!A158</f>
        <v>Q_MTEP_2403_2</v>
      </c>
      <c r="B18" s="65"/>
      <c r="C18" s="628"/>
      <c r="D18" s="76"/>
      <c r="E18" s="627"/>
      <c r="F18" s="82" t="s">
        <v>169</v>
      </c>
      <c r="G18" s="98" t="s">
        <v>160</v>
      </c>
      <c r="H18" s="73">
        <f>H48+H58</f>
        <v>0</v>
      </c>
      <c r="I18" s="41"/>
      <c r="J18" s="73">
        <f>I48+I58+K48+K58</f>
        <v>0</v>
      </c>
      <c r="K18" s="73">
        <f>L48+L58</f>
        <v>0</v>
      </c>
      <c r="L18" s="73">
        <f>M48</f>
        <v>0</v>
      </c>
      <c r="M18" s="73">
        <f t="shared" si="0"/>
        <v>0</v>
      </c>
      <c r="N18" s="73"/>
      <c r="O18" s="73">
        <f t="shared" si="1"/>
        <v>0</v>
      </c>
      <c r="P18" s="73">
        <f t="shared" si="2"/>
        <v>0</v>
      </c>
      <c r="Q18" s="74"/>
      <c r="R18" s="74"/>
      <c r="S18" s="74"/>
      <c r="T18" s="75"/>
      <c r="U18" s="75"/>
    </row>
    <row r="19" spans="1:21" ht="15.75" thickBot="1" x14ac:dyDescent="0.25">
      <c r="A19" t="str">
        <f>[1]Shock_data!A159</f>
        <v>Q_MTEP_2404_2</v>
      </c>
      <c r="B19" s="65"/>
      <c r="C19" s="628"/>
      <c r="D19" s="76"/>
      <c r="E19" s="627"/>
      <c r="F19" s="82" t="s">
        <v>170</v>
      </c>
      <c r="G19" s="94" t="s">
        <v>40</v>
      </c>
      <c r="H19" s="73">
        <f>H25</f>
        <v>9.1777698991923522</v>
      </c>
      <c r="I19" s="41"/>
      <c r="J19" s="73">
        <f>I25+K25</f>
        <v>2.6710912126579265</v>
      </c>
      <c r="K19" s="73">
        <f>L25</f>
        <v>0</v>
      </c>
      <c r="L19" s="73">
        <f>M25</f>
        <v>0</v>
      </c>
      <c r="M19" s="73">
        <f t="shared" si="0"/>
        <v>6.5066786865344257</v>
      </c>
      <c r="N19" s="73"/>
      <c r="O19" s="73">
        <f t="shared" si="1"/>
        <v>9.1777698991923522</v>
      </c>
      <c r="P19" s="73">
        <f t="shared" si="2"/>
        <v>6.5066786865344257</v>
      </c>
      <c r="Q19" s="74"/>
      <c r="R19" s="80"/>
      <c r="S19" s="74"/>
      <c r="T19" s="75"/>
      <c r="U19" s="75"/>
    </row>
    <row r="20" spans="1:21" ht="15.75" thickBot="1" x14ac:dyDescent="0.25">
      <c r="B20" s="65"/>
      <c r="C20" s="628"/>
      <c r="D20" s="76"/>
      <c r="E20" s="627"/>
      <c r="F20" s="82"/>
      <c r="H20" s="75">
        <f>SUM(H2:H3,H4:H11,H12:H19)</f>
        <v>255.05742321646406</v>
      </c>
      <c r="I20" s="75">
        <f t="shared" ref="I20:O20" si="4">SUM(I2:I3,I4:I11,I12:I19)</f>
        <v>0</v>
      </c>
      <c r="J20" s="75">
        <f t="shared" si="4"/>
        <v>77.182066594767434</v>
      </c>
      <c r="K20" s="75">
        <f t="shared" si="4"/>
        <v>8.7165530045990103</v>
      </c>
      <c r="L20" s="75">
        <f>SUM(L2:L3,L4:L11,L12:L19)</f>
        <v>0</v>
      </c>
      <c r="M20" s="75">
        <f t="shared" si="4"/>
        <v>169.15880361709759</v>
      </c>
      <c r="N20" s="75">
        <f t="shared" si="4"/>
        <v>0</v>
      </c>
      <c r="O20" s="75">
        <f t="shared" si="4"/>
        <v>255.05742321646406</v>
      </c>
      <c r="P20" s="83">
        <f>M20</f>
        <v>169.15880361709759</v>
      </c>
      <c r="R20" s="74"/>
      <c r="T20" s="75"/>
      <c r="U20" s="75"/>
    </row>
    <row r="21" spans="1:21" ht="15.75" thickBot="1" x14ac:dyDescent="0.25">
      <c r="A21" t="str">
        <f>[1]Shock_data!A160</f>
        <v>Q_MTEP_2405_2</v>
      </c>
      <c r="B21" s="65"/>
      <c r="C21" s="628"/>
      <c r="D21" s="76"/>
      <c r="E21" s="627"/>
      <c r="F21" s="84" t="s">
        <v>162</v>
      </c>
      <c r="H21" s="74">
        <f>H20-H63</f>
        <v>0</v>
      </c>
      <c r="I21" s="85"/>
      <c r="J21" s="74">
        <f>J20-I63-K63</f>
        <v>0</v>
      </c>
      <c r="K21" s="74">
        <f>K20-L63</f>
        <v>0</v>
      </c>
      <c r="L21" s="86"/>
      <c r="M21" s="74">
        <f>M20-N63</f>
        <v>0</v>
      </c>
      <c r="N21" s="74"/>
      <c r="T21" s="75"/>
      <c r="U21" s="75"/>
    </row>
    <row r="22" spans="1:21" ht="15.75" thickBot="1" x14ac:dyDescent="0.3">
      <c r="A22" t="str">
        <f>[1]Shock_data!A161</f>
        <v>Q_MTEP_2406_2</v>
      </c>
      <c r="B22" s="65"/>
      <c r="C22" s="87">
        <v>21</v>
      </c>
      <c r="D22" s="87" t="s">
        <v>171</v>
      </c>
      <c r="E22" s="88"/>
      <c r="F22" s="87" t="s">
        <v>172</v>
      </c>
      <c r="N22" s="75"/>
      <c r="T22" s="75"/>
      <c r="U22" s="75"/>
    </row>
    <row r="23" spans="1:21" ht="15.75" thickBot="1" x14ac:dyDescent="0.3">
      <c r="B23" s="65"/>
      <c r="C23" s="89"/>
      <c r="D23" s="89" t="s">
        <v>173</v>
      </c>
      <c r="E23" s="90"/>
      <c r="F23" s="91"/>
      <c r="G23" t="s">
        <v>519</v>
      </c>
      <c r="T23" s="75"/>
      <c r="U23" s="75"/>
    </row>
    <row r="24" spans="1:21" ht="38.25" x14ac:dyDescent="0.2">
      <c r="G24" s="73"/>
      <c r="H24" s="69" t="s">
        <v>174</v>
      </c>
      <c r="I24" s="69" t="s">
        <v>175</v>
      </c>
      <c r="J24" s="69" t="s">
        <v>176</v>
      </c>
      <c r="K24" s="69" t="s">
        <v>177</v>
      </c>
      <c r="L24" s="69" t="s">
        <v>178</v>
      </c>
      <c r="M24" s="92" t="s">
        <v>140</v>
      </c>
      <c r="N24" s="69" t="s">
        <v>179</v>
      </c>
      <c r="O24" s="69" t="s">
        <v>180</v>
      </c>
      <c r="P24" s="69" t="s">
        <v>181</v>
      </c>
      <c r="Q24" s="93"/>
      <c r="R24" s="93"/>
      <c r="T24" s="75"/>
      <c r="U24" s="75"/>
    </row>
    <row r="25" spans="1:21" ht="14.25" x14ac:dyDescent="0.2">
      <c r="G25" s="94" t="s">
        <v>182</v>
      </c>
      <c r="H25" s="97">
        <f>'FLUX 2035'!G44+'FLUX 2035'!G18</f>
        <v>9.1777698991923522</v>
      </c>
      <c r="I25" s="97">
        <f>'FLUX 2035'!I18</f>
        <v>2.6710912126579265</v>
      </c>
      <c r="J25" s="73">
        <f>H25-I25</f>
        <v>6.5066786865344257</v>
      </c>
      <c r="K25" s="41"/>
      <c r="L25" s="110">
        <v>0</v>
      </c>
      <c r="M25" s="41"/>
      <c r="N25" s="73">
        <f>J25-K25-L25-M25</f>
        <v>6.5066786865344257</v>
      </c>
      <c r="O25" s="95"/>
      <c r="P25" s="73">
        <f t="shared" ref="P25:P62" si="5">N25-O25</f>
        <v>6.5066786865344257</v>
      </c>
      <c r="Q25" s="83"/>
      <c r="R25" s="83"/>
      <c r="T25" s="75"/>
      <c r="U25" s="75"/>
    </row>
    <row r="26" spans="1:21" ht="14.25" x14ac:dyDescent="0.2">
      <c r="G26" s="96" t="s">
        <v>183</v>
      </c>
      <c r="H26" s="97">
        <f>SUM(H27:H28)</f>
        <v>73.721927785266971</v>
      </c>
      <c r="I26" s="97">
        <f>SUM(I27:I28)</f>
        <v>5.5058973775061233</v>
      </c>
      <c r="J26" s="73">
        <f t="shared" ref="J26:J62" si="6">H26-I26</f>
        <v>68.216030407760854</v>
      </c>
      <c r="K26" s="41"/>
      <c r="L26" s="110">
        <f>SUM(L27:L28)</f>
        <v>0</v>
      </c>
      <c r="M26" s="41"/>
      <c r="N26" s="73">
        <f t="shared" ref="N26:N62" si="7">J26-K26-L26-M26</f>
        <v>68.216030407760854</v>
      </c>
      <c r="O26" s="97">
        <f>O27</f>
        <v>13.47979378973306</v>
      </c>
      <c r="P26" s="73">
        <f t="shared" si="5"/>
        <v>54.736236618027796</v>
      </c>
      <c r="Q26" s="83"/>
      <c r="R26" s="83"/>
      <c r="T26" s="75"/>
      <c r="U26" s="75"/>
    </row>
    <row r="27" spans="1:21" ht="14.25" x14ac:dyDescent="0.2">
      <c r="G27" s="98" t="s">
        <v>184</v>
      </c>
      <c r="H27" s="110">
        <f>'FLUX 2035'!G40+'FLUX 2035'!G17+'FLUX 2035'!G41</f>
        <v>73.679044312824345</v>
      </c>
      <c r="I27" s="97">
        <f>'FLUX 2035'!I41+'FLUX 2035'!I40+'FLUX 2035'!I17</f>
        <v>5.4802139050634961</v>
      </c>
      <c r="J27" s="73">
        <f t="shared" si="6"/>
        <v>68.198830407760852</v>
      </c>
      <c r="K27" s="41"/>
      <c r="L27" s="110">
        <v>0</v>
      </c>
      <c r="M27" s="41"/>
      <c r="N27" s="73">
        <f t="shared" si="7"/>
        <v>68.198830407760852</v>
      </c>
      <c r="O27" s="616">
        <f>'FLUX 2035'!K41</f>
        <v>13.47979378973306</v>
      </c>
      <c r="P27" s="73">
        <f t="shared" si="5"/>
        <v>54.719036618027793</v>
      </c>
      <c r="Q27" s="83"/>
      <c r="R27" s="83"/>
      <c r="T27" s="75"/>
      <c r="U27" s="75"/>
    </row>
    <row r="28" spans="1:21" ht="14.25" x14ac:dyDescent="0.2">
      <c r="G28" s="98" t="s">
        <v>185</v>
      </c>
      <c r="H28" s="110">
        <f>'FLUX 2035'!G17</f>
        <v>4.2883472442626955E-2</v>
      </c>
      <c r="I28" s="110">
        <f>'FLUX 2035'!I17</f>
        <v>2.5683472442626955E-2</v>
      </c>
      <c r="J28" s="73">
        <f>H28-I28</f>
        <v>1.72E-2</v>
      </c>
      <c r="K28" s="100"/>
      <c r="L28" s="97">
        <v>0</v>
      </c>
      <c r="M28" s="41"/>
      <c r="N28" s="73">
        <f t="shared" si="7"/>
        <v>1.72E-2</v>
      </c>
      <c r="O28" s="95"/>
      <c r="P28" s="73">
        <f t="shared" si="5"/>
        <v>1.72E-2</v>
      </c>
      <c r="Q28" s="83"/>
      <c r="R28" s="83"/>
      <c r="T28" s="75"/>
      <c r="U28" s="75"/>
    </row>
    <row r="29" spans="1:21" ht="15" x14ac:dyDescent="0.2">
      <c r="G29" s="41" t="s">
        <v>186</v>
      </c>
      <c r="H29" s="97">
        <f>SUM(H30:H32)</f>
        <v>52.179364535403309</v>
      </c>
      <c r="I29" s="97">
        <f>SUM(I30:I32)</f>
        <v>12.107866368714079</v>
      </c>
      <c r="J29" s="73">
        <f t="shared" si="6"/>
        <v>40.071498166689231</v>
      </c>
      <c r="K29" s="73"/>
      <c r="L29" s="617">
        <f>L30+L31+L32</f>
        <v>0.56584814889140156</v>
      </c>
      <c r="M29" s="41"/>
      <c r="N29" s="73">
        <f>J29-K29-L29-M29</f>
        <v>39.505650017797826</v>
      </c>
      <c r="O29" s="97">
        <f>O30</f>
        <v>1.6935393320234915</v>
      </c>
      <c r="P29" s="73">
        <f t="shared" si="5"/>
        <v>37.812110685774336</v>
      </c>
      <c r="Q29" s="83"/>
      <c r="R29" s="83"/>
      <c r="T29" s="75"/>
      <c r="U29" s="75"/>
    </row>
    <row r="30" spans="1:21" ht="14.25" x14ac:dyDescent="0.2">
      <c r="G30" s="101" t="s">
        <v>187</v>
      </c>
      <c r="H30" s="110">
        <f>'FLUX 2035'!G24-'FLUX 2035'!G19+'FLUX 2035'!G32+'FLUX 2035'!G43</f>
        <v>31.80405496213703</v>
      </c>
      <c r="I30" s="110">
        <f>'FLUX 2035'!I32</f>
        <v>0.41929182669779652</v>
      </c>
      <c r="J30" s="73">
        <f t="shared" si="6"/>
        <v>31.384763135439233</v>
      </c>
      <c r="K30" s="73"/>
      <c r="L30" s="97">
        <f>'FLUX 2035'!O21*'FLUX 2035'!K24/'FLUX 2035'!L21</f>
        <v>0</v>
      </c>
      <c r="M30" s="73"/>
      <c r="N30" s="73">
        <f t="shared" si="7"/>
        <v>31.384763135439233</v>
      </c>
      <c r="O30" s="616">
        <f>'FLUX 2035'!K43</f>
        <v>1.6935393320234915</v>
      </c>
      <c r="P30" s="73">
        <f>N30-O30</f>
        <v>29.691223803415742</v>
      </c>
      <c r="Q30" s="83"/>
      <c r="R30" s="83"/>
      <c r="T30" s="75"/>
      <c r="U30" s="75"/>
    </row>
    <row r="31" spans="1:21" ht="14.25" x14ac:dyDescent="0.2">
      <c r="G31" s="101" t="s">
        <v>188</v>
      </c>
      <c r="H31" s="110">
        <f>'FLUX 2035'!G19</f>
        <v>20.375309573266282</v>
      </c>
      <c r="I31" s="110">
        <f>'FLUX 2035'!I19</f>
        <v>11.688574542016283</v>
      </c>
      <c r="J31" s="73">
        <f t="shared" si="6"/>
        <v>8.6867350312499987</v>
      </c>
      <c r="K31" s="100"/>
      <c r="L31" s="110">
        <f>'FLUX 2035'!O12*'FLUX 2035'!K19/'FLUX 2035'!L7</f>
        <v>0.56584814889140156</v>
      </c>
      <c r="M31" s="41"/>
      <c r="N31" s="73">
        <f t="shared" si="7"/>
        <v>8.1208868823585973</v>
      </c>
      <c r="O31" s="95"/>
      <c r="P31" s="73">
        <f t="shared" si="5"/>
        <v>8.1208868823585973</v>
      </c>
      <c r="Q31" s="83"/>
      <c r="R31" s="83"/>
      <c r="T31" s="75"/>
      <c r="U31" s="75"/>
    </row>
    <row r="32" spans="1:21" ht="14.25" x14ac:dyDescent="0.2">
      <c r="G32" s="101" t="s">
        <v>189</v>
      </c>
      <c r="H32" s="110">
        <v>0</v>
      </c>
      <c r="I32" s="110">
        <f>0</f>
        <v>0</v>
      </c>
      <c r="J32" s="73">
        <f t="shared" si="6"/>
        <v>0</v>
      </c>
      <c r="K32" s="100"/>
      <c r="L32" s="110">
        <v>0</v>
      </c>
      <c r="M32" s="41"/>
      <c r="N32" s="73">
        <f t="shared" si="7"/>
        <v>0</v>
      </c>
      <c r="O32" s="95"/>
      <c r="P32" s="73">
        <f t="shared" si="5"/>
        <v>0</v>
      </c>
      <c r="Q32" s="83"/>
      <c r="R32" s="83"/>
      <c r="T32" s="75"/>
      <c r="U32" s="75"/>
    </row>
    <row r="33" spans="7:21" ht="14.25" x14ac:dyDescent="0.2">
      <c r="G33" s="41" t="s">
        <v>190</v>
      </c>
      <c r="H33" s="97">
        <f>'FLUX 2035'!G10</f>
        <v>78.98</v>
      </c>
      <c r="I33" s="97">
        <f>'FLUX 2035'!I10</f>
        <v>54.067324587594683</v>
      </c>
      <c r="J33" s="73">
        <f t="shared" si="6"/>
        <v>24.912675412405321</v>
      </c>
      <c r="K33" s="41"/>
      <c r="L33" s="110">
        <f>'FLUX 2035'!M13+'FLUX 2035'!O12*'FLUX 2035'!K10/SUM('FLUX 2035'!K7:K19)</f>
        <v>7.1036978419556789</v>
      </c>
      <c r="M33" s="41"/>
      <c r="N33" s="73">
        <f t="shared" si="7"/>
        <v>17.808977570449642</v>
      </c>
      <c r="O33" s="95"/>
      <c r="P33" s="73">
        <f t="shared" si="5"/>
        <v>17.808977570449642</v>
      </c>
      <c r="Q33" s="83"/>
      <c r="R33" s="83"/>
      <c r="T33" s="75"/>
      <c r="U33" s="75"/>
    </row>
    <row r="34" spans="7:21" ht="14.25" x14ac:dyDescent="0.2">
      <c r="G34" s="41" t="s">
        <v>191</v>
      </c>
      <c r="H34" s="97">
        <f>'FLUX 2035'!G36+'FLUX 2035'!G31</f>
        <v>0.54093958086900806</v>
      </c>
      <c r="I34" s="97">
        <f>'FLUX 2035'!I31</f>
        <v>0</v>
      </c>
      <c r="J34" s="73">
        <f t="shared" si="6"/>
        <v>0.54093958086900806</v>
      </c>
      <c r="K34" s="41"/>
      <c r="L34" s="110">
        <f>'FLUX 2035'!O26*'FLUX 2035'!H54/'FLUX 2035'!L26</f>
        <v>0</v>
      </c>
      <c r="M34" s="41"/>
      <c r="N34" s="73">
        <f t="shared" si="7"/>
        <v>0.54093958086900806</v>
      </c>
      <c r="O34" s="95"/>
      <c r="P34" s="73">
        <f t="shared" si="5"/>
        <v>0.54093958086900806</v>
      </c>
      <c r="Q34" s="83"/>
      <c r="R34" s="83"/>
      <c r="T34" s="75"/>
      <c r="U34" s="75"/>
    </row>
    <row r="35" spans="7:21" ht="14.25" x14ac:dyDescent="0.2">
      <c r="G35" s="41" t="s">
        <v>192</v>
      </c>
      <c r="H35" s="97">
        <f>'FLUX 2035'!G8</f>
        <v>5.6278359687499995</v>
      </c>
      <c r="I35" s="97">
        <f>'FLUX 2035'!I8</f>
        <v>0</v>
      </c>
      <c r="J35" s="73">
        <f t="shared" si="6"/>
        <v>5.6278359687499995</v>
      </c>
      <c r="K35" s="95"/>
      <c r="L35" s="97">
        <f>'FLUX 2035'!O12*'FLUX 2035'!K8/SUM('FLUX 2035'!K7:K19)</f>
        <v>0.36659349614390085</v>
      </c>
      <c r="M35" s="41"/>
      <c r="N35" s="73">
        <f t="shared" si="7"/>
        <v>5.2612424726060985</v>
      </c>
      <c r="O35" s="95"/>
      <c r="P35" s="73">
        <f t="shared" si="5"/>
        <v>5.2612424726060985</v>
      </c>
      <c r="Q35" s="83"/>
      <c r="R35" s="83"/>
      <c r="T35" s="75"/>
      <c r="U35" s="75"/>
    </row>
    <row r="36" spans="7:21" ht="14.25" x14ac:dyDescent="0.2">
      <c r="G36" s="41" t="s">
        <v>193</v>
      </c>
      <c r="H36" s="97">
        <f>'FLUX 2035'!G15</f>
        <v>7.5335997971706095E-8</v>
      </c>
      <c r="I36" s="97">
        <f>'FLUX 2035'!I15</f>
        <v>0</v>
      </c>
      <c r="J36" s="73">
        <f t="shared" si="6"/>
        <v>7.5335997971706095E-8</v>
      </c>
      <c r="K36" s="41"/>
      <c r="L36" s="97">
        <f>'FLUX 2035'!O12*'FLUX 2035'!K15/SUM('FLUX 2035'!K7:K19)</f>
        <v>4.9073368583043006E-9</v>
      </c>
      <c r="M36" s="41"/>
      <c r="N36" s="73">
        <f t="shared" si="7"/>
        <v>7.0428661113401793E-8</v>
      </c>
      <c r="O36" s="95"/>
      <c r="P36" s="73">
        <f t="shared" si="5"/>
        <v>7.0428661113401793E-8</v>
      </c>
      <c r="Q36" s="83"/>
      <c r="R36" s="83"/>
      <c r="T36" s="75"/>
      <c r="U36" s="75"/>
    </row>
    <row r="37" spans="7:21" ht="14.25" x14ac:dyDescent="0.2">
      <c r="G37" s="41" t="s">
        <v>194</v>
      </c>
      <c r="H37" s="97">
        <f>'FLUX 2035'!G7</f>
        <v>5.8230781406249994</v>
      </c>
      <c r="I37" s="97">
        <f>'FLUX 2035'!I7</f>
        <v>0</v>
      </c>
      <c r="J37" s="73">
        <f t="shared" si="6"/>
        <v>5.8230781406249994</v>
      </c>
      <c r="K37" s="103">
        <f>'FLUX 2035'!I23</f>
        <v>0</v>
      </c>
      <c r="L37" s="97">
        <f>'FLUX 2035'!O12*'FLUX 2035'!K7/SUM('FLUX 2035'!K7:K19)</f>
        <v>0.37931144151043611</v>
      </c>
      <c r="M37" s="103">
        <f>'FLUX 2035'!K23</f>
        <v>0</v>
      </c>
      <c r="N37" s="73">
        <f t="shared" si="7"/>
        <v>5.4437666991145637</v>
      </c>
      <c r="O37" s="95"/>
      <c r="P37" s="73">
        <f t="shared" si="5"/>
        <v>5.4437666991145637</v>
      </c>
      <c r="Q37" s="83"/>
      <c r="R37" s="83"/>
      <c r="T37" s="75"/>
      <c r="U37" s="75"/>
    </row>
    <row r="38" spans="7:21" ht="14.25" x14ac:dyDescent="0.2">
      <c r="G38" s="41" t="s">
        <v>195</v>
      </c>
      <c r="H38" s="97">
        <f>'FLUX 2035'!G9</f>
        <v>2.7230235429687499</v>
      </c>
      <c r="I38" s="97">
        <f>'FLUX 2035'!I9</f>
        <v>0</v>
      </c>
      <c r="J38" s="73">
        <f t="shared" si="6"/>
        <v>2.7230235429687499</v>
      </c>
      <c r="K38" s="41"/>
      <c r="L38" s="97">
        <f>'FLUX 2035'!O12*'FLUX 2035'!K9/SUM('FLUX 2035'!K7:K19)</f>
        <v>0.17737594454459299</v>
      </c>
      <c r="M38" s="41"/>
      <c r="N38" s="73">
        <f t="shared" si="7"/>
        <v>2.5456475984241571</v>
      </c>
      <c r="O38" s="95"/>
      <c r="P38" s="73">
        <f t="shared" si="5"/>
        <v>2.5456475984241571</v>
      </c>
      <c r="Q38" s="83"/>
      <c r="R38" s="83"/>
      <c r="T38" s="75"/>
      <c r="U38" s="75"/>
    </row>
    <row r="39" spans="7:21" ht="14.25" x14ac:dyDescent="0.2">
      <c r="G39" s="41" t="s">
        <v>196</v>
      </c>
      <c r="H39" s="97">
        <f>SUM(H40:H41)</f>
        <v>0.15800065494576065</v>
      </c>
      <c r="I39" s="97">
        <f>SUM(I40:I41)</f>
        <v>0</v>
      </c>
      <c r="J39" s="73">
        <f t="shared" si="6"/>
        <v>0.15800065494576065</v>
      </c>
      <c r="K39" s="73"/>
      <c r="L39" s="110">
        <f>SUM(L40:L41)</f>
        <v>0</v>
      </c>
      <c r="M39" s="41"/>
      <c r="N39" s="73">
        <f t="shared" si="7"/>
        <v>0.15800065494576065</v>
      </c>
      <c r="O39" s="95"/>
      <c r="P39" s="73">
        <f t="shared" si="5"/>
        <v>0.15800065494576065</v>
      </c>
      <c r="Q39" s="83"/>
      <c r="R39" s="83"/>
      <c r="T39" s="75"/>
      <c r="U39" s="75"/>
    </row>
    <row r="40" spans="7:21" ht="14.25" x14ac:dyDescent="0.2">
      <c r="G40" s="101" t="s">
        <v>197</v>
      </c>
      <c r="H40" s="110">
        <f>'FLUX 2035'!G14</f>
        <v>0</v>
      </c>
      <c r="I40" s="110">
        <f>'FLUX 2035'!I14</f>
        <v>0</v>
      </c>
      <c r="J40" s="73">
        <f t="shared" si="6"/>
        <v>0</v>
      </c>
      <c r="K40" s="100"/>
      <c r="L40" s="97">
        <f>'FLUX 2035'!O12*'FLUX 2035'!K14/'FLUX 2035'!L7</f>
        <v>0</v>
      </c>
      <c r="M40" s="41"/>
      <c r="N40" s="73">
        <f t="shared" si="7"/>
        <v>0</v>
      </c>
      <c r="O40" s="95"/>
      <c r="P40" s="73">
        <f t="shared" si="5"/>
        <v>0</v>
      </c>
      <c r="Q40" s="83"/>
      <c r="R40" s="83"/>
      <c r="T40" s="75"/>
      <c r="U40" s="75"/>
    </row>
    <row r="41" spans="7:21" ht="14.25" x14ac:dyDescent="0.2">
      <c r="G41" s="101" t="s">
        <v>198</v>
      </c>
      <c r="H41" s="110">
        <f>'FLUX 2035'!G30+'FLUX 2035'!G37</f>
        <v>0.15800065494576065</v>
      </c>
      <c r="I41" s="110">
        <f>'FLUX 2035'!I30+'FLUX 2035'!I37+'FLUX 2035'!I38</f>
        <v>0</v>
      </c>
      <c r="J41" s="73">
        <f t="shared" si="6"/>
        <v>0.15800065494576065</v>
      </c>
      <c r="K41" s="100"/>
      <c r="L41" s="97">
        <f>'FLUX 2035'!O26*'FLUX 2035'!H53/'FLUX 2035'!L26</f>
        <v>0</v>
      </c>
      <c r="M41" s="41"/>
      <c r="N41" s="73">
        <f t="shared" si="7"/>
        <v>0.15800065494576065</v>
      </c>
      <c r="O41" s="95"/>
      <c r="P41" s="73">
        <f t="shared" si="5"/>
        <v>0.15800065494576065</v>
      </c>
      <c r="Q41" s="83"/>
      <c r="R41" s="83"/>
      <c r="T41" s="75"/>
      <c r="U41" s="75"/>
    </row>
    <row r="42" spans="7:21" ht="14.25" x14ac:dyDescent="0.2">
      <c r="G42" s="41" t="s">
        <v>199</v>
      </c>
      <c r="H42" s="97">
        <f>SUM(H43:H44,H47:H48)</f>
        <v>15.237702247549423</v>
      </c>
      <c r="I42" s="97">
        <f>SUM(I43:I44,I47:I48)</f>
        <v>0.15056177433997808</v>
      </c>
      <c r="J42" s="73">
        <f t="shared" si="6"/>
        <v>15.087140473209445</v>
      </c>
      <c r="K42" s="73"/>
      <c r="L42" s="110">
        <f>L43+L44+L47+L48</f>
        <v>0</v>
      </c>
      <c r="M42" s="41"/>
      <c r="N42" s="73">
        <f t="shared" si="7"/>
        <v>15.087140473209445</v>
      </c>
      <c r="O42" s="97"/>
      <c r="P42" s="73">
        <f t="shared" si="5"/>
        <v>15.087140473209445</v>
      </c>
      <c r="Q42" s="83"/>
      <c r="R42" s="83"/>
      <c r="T42" s="75"/>
      <c r="U42" s="75"/>
    </row>
    <row r="43" spans="7:21" ht="14.25" x14ac:dyDescent="0.2">
      <c r="G43" s="101" t="s">
        <v>199</v>
      </c>
      <c r="H43" s="110">
        <f>'FLUX 2035'!G35+'FLUX 2035'!G29</f>
        <v>15.237702247549423</v>
      </c>
      <c r="I43" s="110">
        <f>'FLUX 2035'!I29+'FLUX 2035'!I35</f>
        <v>0.15056177433997808</v>
      </c>
      <c r="J43" s="73">
        <f t="shared" si="6"/>
        <v>15.087140473209445</v>
      </c>
      <c r="K43" s="41"/>
      <c r="L43" s="110">
        <f>'FLUX 2035'!O26*'FLUX 2035'!H52/'FLUX 2035'!L26</f>
        <v>0</v>
      </c>
      <c r="M43" s="41"/>
      <c r="N43" s="73">
        <f t="shared" si="7"/>
        <v>15.087140473209445</v>
      </c>
      <c r="O43" s="99"/>
      <c r="P43" s="73">
        <f t="shared" si="5"/>
        <v>15.087140473209445</v>
      </c>
      <c r="Q43" s="83"/>
      <c r="R43" s="83"/>
      <c r="T43" s="75"/>
      <c r="U43" s="75"/>
    </row>
    <row r="44" spans="7:21" ht="14.25" x14ac:dyDescent="0.2">
      <c r="G44" s="101" t="s">
        <v>200</v>
      </c>
      <c r="H44" s="110">
        <f>'FLUX 2035'!G22</f>
        <v>0</v>
      </c>
      <c r="I44" s="110">
        <f>'FLUX 2035'!I22</f>
        <v>0</v>
      </c>
      <c r="J44" s="73">
        <f t="shared" si="6"/>
        <v>0</v>
      </c>
      <c r="K44" s="41"/>
      <c r="L44" s="97">
        <f>L45+L46</f>
        <v>0</v>
      </c>
      <c r="M44" s="41"/>
      <c r="N44" s="73">
        <f t="shared" si="7"/>
        <v>0</v>
      </c>
      <c r="O44" s="99"/>
      <c r="P44" s="73">
        <f t="shared" si="5"/>
        <v>0</v>
      </c>
      <c r="Q44" s="83"/>
      <c r="R44" s="83"/>
      <c r="T44" s="75"/>
      <c r="U44" s="75"/>
    </row>
    <row r="45" spans="7:21" ht="14.25" x14ac:dyDescent="0.2">
      <c r="G45" s="102" t="s">
        <v>201</v>
      </c>
      <c r="H45" s="110">
        <f>H44-H46</f>
        <v>0</v>
      </c>
      <c r="I45" s="110">
        <f t="shared" ref="I45" si="8">I44-I46</f>
        <v>0</v>
      </c>
      <c r="J45" s="73">
        <f t="shared" si="6"/>
        <v>0</v>
      </c>
      <c r="K45" s="41"/>
      <c r="L45" s="97">
        <f>'FLUX 2035'!O21*'FLUX 2035'!K22/'FLUX 2035'!L21</f>
        <v>0</v>
      </c>
      <c r="M45" s="41"/>
      <c r="N45" s="73">
        <f t="shared" si="7"/>
        <v>0</v>
      </c>
      <c r="O45" s="99"/>
      <c r="P45" s="73">
        <f t="shared" si="5"/>
        <v>0</v>
      </c>
      <c r="Q45" s="83"/>
      <c r="R45" s="83"/>
      <c r="T45" s="75"/>
      <c r="U45" s="75"/>
    </row>
    <row r="46" spans="7:21" ht="14.25" x14ac:dyDescent="0.2">
      <c r="G46" s="102" t="s">
        <v>202</v>
      </c>
      <c r="H46" s="110">
        <v>0</v>
      </c>
      <c r="I46" s="110">
        <v>0</v>
      </c>
      <c r="J46" s="73">
        <f t="shared" si="6"/>
        <v>0</v>
      </c>
      <c r="K46" s="41"/>
      <c r="L46" s="97">
        <v>0</v>
      </c>
      <c r="M46" s="41"/>
      <c r="N46" s="73">
        <f t="shared" si="7"/>
        <v>0</v>
      </c>
      <c r="O46" s="95"/>
      <c r="P46" s="73">
        <f t="shared" si="5"/>
        <v>0</v>
      </c>
      <c r="Q46" s="83"/>
      <c r="R46" s="83"/>
      <c r="T46" s="75"/>
      <c r="U46" s="75"/>
    </row>
    <row r="47" spans="7:21" ht="14.25" x14ac:dyDescent="0.2">
      <c r="G47" s="101" t="s">
        <v>203</v>
      </c>
      <c r="H47" s="110">
        <f>'FLUX 2035'!G13</f>
        <v>0</v>
      </c>
      <c r="I47" s="110">
        <f>'FLUX 2035'!I13</f>
        <v>0</v>
      </c>
      <c r="J47" s="73">
        <f t="shared" si="6"/>
        <v>0</v>
      </c>
      <c r="K47" s="100"/>
      <c r="L47" s="97">
        <f>'FLUX 2035'!O12*'FLUX 2035'!K13/'FLUX 2035'!L7+'FLUX 2035'!O12*('FLUX 2035'!K19*'FLUX 2035'!K22/'FLUX 2035'!L21)/'FLUX 2035'!L7</f>
        <v>0</v>
      </c>
      <c r="M47" s="41"/>
      <c r="N47" s="73">
        <f t="shared" si="7"/>
        <v>0</v>
      </c>
      <c r="O47" s="95"/>
      <c r="P47" s="73">
        <f t="shared" si="5"/>
        <v>0</v>
      </c>
      <c r="Q47" s="83"/>
      <c r="R47" s="83"/>
      <c r="T47" s="75"/>
      <c r="U47" s="75"/>
    </row>
    <row r="48" spans="7:21" ht="14.25" x14ac:dyDescent="0.2">
      <c r="G48" s="101" t="s">
        <v>204</v>
      </c>
      <c r="H48" s="110">
        <v>0</v>
      </c>
      <c r="I48" s="110"/>
      <c r="J48" s="73">
        <f t="shared" si="6"/>
        <v>0</v>
      </c>
      <c r="K48" s="41"/>
      <c r="L48" s="110">
        <v>0</v>
      </c>
      <c r="M48" s="41"/>
      <c r="N48" s="73">
        <f t="shared" si="7"/>
        <v>0</v>
      </c>
      <c r="O48" s="95"/>
      <c r="P48" s="73">
        <f t="shared" si="5"/>
        <v>0</v>
      </c>
      <c r="Q48" s="83"/>
      <c r="R48" s="83"/>
      <c r="T48" s="75"/>
      <c r="U48" s="75"/>
    </row>
    <row r="49" spans="7:21" ht="14.25" x14ac:dyDescent="0.2">
      <c r="G49" s="41" t="s">
        <v>205</v>
      </c>
      <c r="H49" s="97">
        <f>SUM(H50:H51)</f>
        <v>5.4100717534313203</v>
      </c>
      <c r="I49" s="97">
        <f>SUM(I50:I51)</f>
        <v>0</v>
      </c>
      <c r="J49" s="73">
        <f t="shared" si="6"/>
        <v>5.4100717534313203</v>
      </c>
      <c r="K49" s="41"/>
      <c r="L49" s="110">
        <f>L50+L51</f>
        <v>0</v>
      </c>
      <c r="M49" s="110">
        <f>M50+M51</f>
        <v>0</v>
      </c>
      <c r="N49" s="73">
        <f t="shared" si="7"/>
        <v>5.4100717534313203</v>
      </c>
      <c r="O49" s="97"/>
      <c r="P49" s="73">
        <f t="shared" si="5"/>
        <v>5.4100717534313203</v>
      </c>
      <c r="Q49" s="83"/>
      <c r="R49" s="83"/>
      <c r="T49" s="75"/>
      <c r="U49" s="75"/>
    </row>
    <row r="50" spans="7:21" ht="14.25" x14ac:dyDescent="0.2">
      <c r="G50" s="101" t="s">
        <v>206</v>
      </c>
      <c r="H50" s="110">
        <v>0</v>
      </c>
      <c r="I50" s="110">
        <v>0</v>
      </c>
      <c r="J50" s="73">
        <f t="shared" si="6"/>
        <v>0</v>
      </c>
      <c r="K50" s="41"/>
      <c r="L50" s="110">
        <f>0</f>
        <v>0</v>
      </c>
      <c r="M50" s="41"/>
      <c r="N50" s="73">
        <f t="shared" si="7"/>
        <v>0</v>
      </c>
      <c r="O50" s="99"/>
      <c r="P50" s="73">
        <f t="shared" si="5"/>
        <v>0</v>
      </c>
      <c r="Q50" s="83"/>
      <c r="R50" s="83"/>
      <c r="T50" s="75"/>
      <c r="U50" s="75"/>
    </row>
    <row r="51" spans="7:21" ht="14.25" x14ac:dyDescent="0.2">
      <c r="G51" s="101" t="s">
        <v>207</v>
      </c>
      <c r="H51" s="110">
        <f>'FLUX 2035'!G39</f>
        <v>5.4100717534313203</v>
      </c>
      <c r="I51" s="110">
        <f>'FLUX 2035'!I39</f>
        <v>0</v>
      </c>
      <c r="J51" s="73">
        <f t="shared" si="6"/>
        <v>5.4100717534313203</v>
      </c>
      <c r="K51" s="41"/>
      <c r="L51" s="110">
        <f>0</f>
        <v>0</v>
      </c>
      <c r="M51" s="73">
        <v>0</v>
      </c>
      <c r="N51" s="73">
        <f t="shared" si="7"/>
        <v>5.4100717534313203</v>
      </c>
      <c r="O51" s="95"/>
      <c r="P51" s="73">
        <f t="shared" si="5"/>
        <v>5.4100717534313203</v>
      </c>
      <c r="Q51" s="83"/>
      <c r="R51" s="83"/>
      <c r="T51" s="75"/>
      <c r="U51" s="75"/>
    </row>
    <row r="52" spans="7:21" ht="14.25" x14ac:dyDescent="0.2">
      <c r="G52" s="41" t="s">
        <v>208</v>
      </c>
      <c r="H52" s="97">
        <f>SUM(H53:H54)</f>
        <v>0</v>
      </c>
      <c r="I52" s="97">
        <f>SUM(I53:I54)</f>
        <v>0</v>
      </c>
      <c r="J52" s="73">
        <f t="shared" si="6"/>
        <v>0</v>
      </c>
      <c r="K52" s="97"/>
      <c r="L52" s="97">
        <f>SUM(L53:L54)</f>
        <v>0</v>
      </c>
      <c r="M52" s="110">
        <v>0</v>
      </c>
      <c r="N52" s="73">
        <f t="shared" si="7"/>
        <v>0</v>
      </c>
      <c r="O52" s="97"/>
      <c r="P52" s="73">
        <f t="shared" si="5"/>
        <v>0</v>
      </c>
      <c r="Q52" s="83"/>
      <c r="R52" s="83"/>
      <c r="T52" s="75"/>
      <c r="U52" s="75"/>
    </row>
    <row r="53" spans="7:21" ht="15" customHeight="1" x14ac:dyDescent="0.2">
      <c r="G53" s="101" t="s">
        <v>209</v>
      </c>
      <c r="H53" s="110">
        <f>'FLUX 2035'!G21+'FLUX 2035'!G34</f>
        <v>0</v>
      </c>
      <c r="I53" s="110">
        <f>'FLUX 2035'!I21</f>
        <v>0</v>
      </c>
      <c r="J53" s="73">
        <f t="shared" si="6"/>
        <v>0</v>
      </c>
      <c r="K53" s="41"/>
      <c r="L53" s="110">
        <f>'FLUX 2035'!O26*'FLUX 2035'!H49/'FLUX 2035'!L26</f>
        <v>0</v>
      </c>
      <c r="M53" s="73">
        <v>0</v>
      </c>
      <c r="N53" s="73">
        <f t="shared" si="7"/>
        <v>0</v>
      </c>
      <c r="O53" s="99"/>
      <c r="P53" s="73">
        <f t="shared" si="5"/>
        <v>0</v>
      </c>
      <c r="Q53" s="83"/>
      <c r="R53" s="83"/>
      <c r="T53" s="75"/>
      <c r="U53" s="75"/>
    </row>
    <row r="54" spans="7:21" ht="14.25" x14ac:dyDescent="0.2">
      <c r="G54" s="101" t="s">
        <v>210</v>
      </c>
      <c r="H54" s="110">
        <f>'FLUX 2035'!G11</f>
        <v>0</v>
      </c>
      <c r="I54" s="110">
        <f>'FLUX 2035'!I11</f>
        <v>0</v>
      </c>
      <c r="J54" s="73">
        <f t="shared" si="6"/>
        <v>0</v>
      </c>
      <c r="K54" s="100"/>
      <c r="L54" s="97">
        <f>'FLUX 2035'!O12*'FLUX 2035'!K11/'FLUX 2035'!L7+'FLUX 2035'!O12*('FLUX 2035'!K19*SUM('FLUX 2035'!K21:K23)/'FLUX 2035'!L21)/'FLUX 2035'!L7</f>
        <v>0</v>
      </c>
      <c r="M54" s="41"/>
      <c r="N54" s="73">
        <f t="shared" si="7"/>
        <v>0</v>
      </c>
      <c r="O54" s="95"/>
      <c r="P54" s="73">
        <f t="shared" si="5"/>
        <v>0</v>
      </c>
      <c r="Q54" s="83"/>
      <c r="R54" s="83"/>
      <c r="T54" s="75"/>
      <c r="U54" s="75"/>
    </row>
    <row r="55" spans="7:21" ht="14.25" x14ac:dyDescent="0.2">
      <c r="G55" s="41" t="s">
        <v>211</v>
      </c>
      <c r="H55" s="97">
        <f>SUM(H56:H57)</f>
        <v>4.6263864657198486</v>
      </c>
      <c r="I55" s="97">
        <f>SUM(I56:I57)</f>
        <v>2.6793252739546389</v>
      </c>
      <c r="J55" s="73">
        <f t="shared" si="6"/>
        <v>1.9470611917652096</v>
      </c>
      <c r="K55" s="73"/>
      <c r="L55" s="110">
        <f>L56+L57</f>
        <v>6.8271540247263507E-2</v>
      </c>
      <c r="M55" s="41"/>
      <c r="N55" s="73">
        <f t="shared" si="7"/>
        <v>1.8787896515179461</v>
      </c>
      <c r="O55" s="95"/>
      <c r="P55" s="73">
        <f t="shared" si="5"/>
        <v>1.8787896515179461</v>
      </c>
      <c r="Q55" s="83"/>
      <c r="R55" s="83"/>
      <c r="T55" s="75"/>
      <c r="U55" s="75"/>
    </row>
    <row r="56" spans="7:21" ht="14.25" x14ac:dyDescent="0.2">
      <c r="G56" s="101" t="s">
        <v>212</v>
      </c>
      <c r="H56" s="110">
        <f>'FLUX 2035'!G12</f>
        <v>3.7274099614546392</v>
      </c>
      <c r="I56" s="110">
        <f>'FLUX 2035'!I12+'FLUX 2035'!I27+'FLUX 2035'!I42</f>
        <v>2.6793252739546389</v>
      </c>
      <c r="J56" s="73">
        <f t="shared" si="6"/>
        <v>1.0480846875000003</v>
      </c>
      <c r="K56" s="100"/>
      <c r="L56" s="97">
        <f>'FLUX 2035'!O12*'FLUX 2035'!K12/'FLUX 2035'!L7</f>
        <v>6.8271540247263507E-2</v>
      </c>
      <c r="M56" s="41"/>
      <c r="N56" s="73">
        <f t="shared" si="7"/>
        <v>0.97981314725273672</v>
      </c>
      <c r="O56" s="95"/>
      <c r="P56" s="73">
        <f t="shared" si="5"/>
        <v>0.97981314725273672</v>
      </c>
      <c r="Q56" s="83"/>
      <c r="R56" s="83"/>
      <c r="T56" s="75"/>
      <c r="U56" s="75"/>
    </row>
    <row r="57" spans="7:21" ht="14.25" x14ac:dyDescent="0.2">
      <c r="G57" s="101" t="s">
        <v>213</v>
      </c>
      <c r="H57" s="110">
        <f>'FLUX 2035'!G42+'FLUX 2035'!G27</f>
        <v>0.89897650426520914</v>
      </c>
      <c r="I57" s="110">
        <f>'FLUX 2035'!I27+'FLUX 2035'!I42</f>
        <v>0</v>
      </c>
      <c r="J57" s="73">
        <f t="shared" si="6"/>
        <v>0.89897650426520914</v>
      </c>
      <c r="K57" s="41"/>
      <c r="L57" s="110">
        <f>'FLUX 2035'!O26*'FLUX 2035'!H50/'FLUX 2035'!L26</f>
        <v>0</v>
      </c>
      <c r="M57" s="41"/>
      <c r="N57" s="73">
        <f t="shared" si="7"/>
        <v>0.89897650426520914</v>
      </c>
      <c r="O57" s="95"/>
      <c r="P57" s="73">
        <f t="shared" si="5"/>
        <v>0.89897650426520914</v>
      </c>
      <c r="Q57" s="83"/>
      <c r="R57" s="83"/>
      <c r="T57" s="75"/>
      <c r="U57" s="75"/>
    </row>
    <row r="58" spans="7:21" ht="14.25" x14ac:dyDescent="0.2">
      <c r="G58" s="104" t="s">
        <v>214</v>
      </c>
      <c r="H58" s="110">
        <f>'FLUX 2035'!G28</f>
        <v>0</v>
      </c>
      <c r="I58" s="110">
        <f>'FLUX 2035'!I28</f>
        <v>0</v>
      </c>
      <c r="J58" s="73">
        <f t="shared" si="6"/>
        <v>0</v>
      </c>
      <c r="K58" s="41"/>
      <c r="L58" s="110">
        <f>'FLUX 2035'!O26*'FLUX 2035'!H51/'FLUX 2035'!L26</f>
        <v>0</v>
      </c>
      <c r="M58" s="41"/>
      <c r="N58" s="73">
        <f t="shared" si="7"/>
        <v>0</v>
      </c>
      <c r="O58" s="95"/>
      <c r="P58" s="73">
        <f t="shared" si="5"/>
        <v>0</v>
      </c>
      <c r="Q58" s="83"/>
      <c r="R58" s="83"/>
      <c r="T58" s="75"/>
      <c r="U58" s="75"/>
    </row>
    <row r="59" spans="7:21" ht="14.25" x14ac:dyDescent="0.2">
      <c r="G59" s="104" t="s">
        <v>215</v>
      </c>
      <c r="H59" s="110">
        <f>'FLUX 2035'!K16</f>
        <v>0.85132256640624993</v>
      </c>
      <c r="I59" s="110">
        <f>+'FLUX 2035'!I16</f>
        <v>0</v>
      </c>
      <c r="J59" s="73">
        <f t="shared" si="6"/>
        <v>0.85132256640624993</v>
      </c>
      <c r="K59" s="41"/>
      <c r="L59" s="97">
        <f>'FLUX 2035'!O12*'FLUX 2035'!K16/'FLUX 2035'!L7</f>
        <v>5.5454586398399175E-2</v>
      </c>
      <c r="M59" s="41"/>
      <c r="N59" s="73">
        <f t="shared" si="7"/>
        <v>0.79586798000785075</v>
      </c>
      <c r="O59" s="95"/>
      <c r="P59" s="73">
        <f t="shared" si="5"/>
        <v>0.79586798000785075</v>
      </c>
      <c r="Q59" s="83"/>
      <c r="R59" s="83"/>
      <c r="T59" s="75"/>
      <c r="U59" s="75"/>
    </row>
    <row r="60" spans="7:21" ht="14.25" x14ac:dyDescent="0.2">
      <c r="G60" s="111" t="s">
        <v>219</v>
      </c>
      <c r="H60" s="97">
        <f>M37</f>
        <v>0</v>
      </c>
      <c r="I60" s="97">
        <f>SUM(I61:I62)</f>
        <v>0</v>
      </c>
      <c r="J60" s="73">
        <f t="shared" si="6"/>
        <v>0</v>
      </c>
      <c r="K60" s="99"/>
      <c r="L60" s="99">
        <f>SUM(L61:L62)</f>
        <v>0</v>
      </c>
      <c r="M60" s="41"/>
      <c r="N60" s="73">
        <f t="shared" si="7"/>
        <v>0</v>
      </c>
      <c r="O60" s="105"/>
      <c r="P60" s="73">
        <f t="shared" si="5"/>
        <v>0</v>
      </c>
      <c r="Q60" s="83"/>
      <c r="R60" s="83"/>
      <c r="T60" s="75"/>
      <c r="U60" s="75"/>
    </row>
    <row r="61" spans="7:21" ht="14.25" x14ac:dyDescent="0.2">
      <c r="G61" s="102" t="s">
        <v>216</v>
      </c>
      <c r="H61" s="110">
        <f>H60-H62</f>
        <v>0</v>
      </c>
      <c r="I61" s="110"/>
      <c r="J61" s="73">
        <f t="shared" si="6"/>
        <v>0</v>
      </c>
      <c r="K61" s="73"/>
      <c r="L61" s="110">
        <f>'FLUX 2035'!O21*'FLUX 2035'!K23/'FLUX 2035'!L21</f>
        <v>0</v>
      </c>
      <c r="M61" s="73"/>
      <c r="N61" s="73">
        <f t="shared" si="7"/>
        <v>0</v>
      </c>
      <c r="O61" s="99"/>
      <c r="P61" s="73">
        <f t="shared" si="5"/>
        <v>0</v>
      </c>
      <c r="Q61" s="83"/>
      <c r="R61" s="83"/>
      <c r="T61" s="75"/>
      <c r="U61" s="75"/>
    </row>
    <row r="62" spans="7:21" ht="14.25" x14ac:dyDescent="0.2">
      <c r="G62" s="102" t="s">
        <v>217</v>
      </c>
      <c r="H62" s="110">
        <v>0</v>
      </c>
      <c r="I62" s="110"/>
      <c r="J62" s="73">
        <f t="shared" si="6"/>
        <v>0</v>
      </c>
      <c r="K62" s="73"/>
      <c r="L62" s="110">
        <v>0</v>
      </c>
      <c r="M62" s="73"/>
      <c r="N62" s="73">
        <f t="shared" si="7"/>
        <v>0</v>
      </c>
      <c r="O62" s="95"/>
      <c r="P62" s="73">
        <f t="shared" si="5"/>
        <v>0</v>
      </c>
      <c r="Q62" s="83"/>
      <c r="R62" s="83"/>
      <c r="T62" s="75"/>
      <c r="U62" s="75"/>
    </row>
    <row r="63" spans="7:21" x14ac:dyDescent="0.2">
      <c r="G63" t="s">
        <v>145</v>
      </c>
      <c r="H63" s="106">
        <f>SUM(H58:H60,H55,H52,H49,H42,H33:H39,H29,H25:H26)</f>
        <v>255.05742321646403</v>
      </c>
      <c r="I63" s="75">
        <f>SUM(I25:I26,I29,I33:I39,I42,I49,I52,I55,I58:I60)</f>
        <v>77.182066594767434</v>
      </c>
      <c r="J63" s="106">
        <f>SUM(J25:J26,J29,J33:J39,J42,J49,J52,J55,J58:J60)</f>
        <v>177.87535662169657</v>
      </c>
      <c r="K63" s="75">
        <f>SUM(K25:K26,K29,K33:K39,K42,K49,K52,K55,K58:K60)</f>
        <v>0</v>
      </c>
      <c r="L63" s="75">
        <f>SUM(L25:L26,L29,L33:L39,L42,L49,L52,L55,L58:L60)</f>
        <v>8.7165530045990103</v>
      </c>
      <c r="M63" s="106"/>
      <c r="N63" s="75">
        <f>SUM(N25:N26,N29,N33:N39,N42,N49,N52,N55,N58:N59,M60)</f>
        <v>169.1588036170975</v>
      </c>
      <c r="O63" s="106">
        <f>SUM(O58:O59,O55,O52,O49,O42,O39,O33:O38,O29,O25:O26,O60)</f>
        <v>15.173333121756551</v>
      </c>
      <c r="P63" s="106">
        <f>SUM(P58:P59,P55,P52,P49,P42,P39,P33:P38,P29,P25:P26,P60,M62)</f>
        <v>153.98547049534102</v>
      </c>
      <c r="Q63" s="107"/>
      <c r="R63" s="107"/>
      <c r="T63" s="75"/>
      <c r="U63" s="75"/>
    </row>
    <row r="64" spans="7:21" ht="14.25" x14ac:dyDescent="0.2">
      <c r="G64" t="s">
        <v>218</v>
      </c>
      <c r="H64" s="106">
        <f>H63-H59-H58-H57-H54-H48</f>
        <v>253.30712414579256</v>
      </c>
      <c r="N64" s="115"/>
      <c r="O64" s="108"/>
      <c r="P64" s="109"/>
      <c r="T64" s="75"/>
      <c r="U64" s="75"/>
    </row>
    <row r="66" spans="7:16" x14ac:dyDescent="0.2">
      <c r="G66" s="619"/>
      <c r="H66" s="618">
        <f>H64-'FLUX 2035'!G5</f>
        <v>-0.41586459943715681</v>
      </c>
      <c r="I66" s="618">
        <f>I63-SUM('FLUX 2035'!I7:I44)+'FLUX 2035'!I23</f>
        <v>2.5683472442622701E-2</v>
      </c>
      <c r="J66" s="619"/>
      <c r="K66" s="619"/>
      <c r="L66" s="618">
        <f>L63-'FLUX 2035'!M13-'FLUX 2035'!O12-'FLUX 2035'!O21-'FLUX 2035'!O26</f>
        <v>-7.8297388193548034E-2</v>
      </c>
      <c r="M66" s="619"/>
      <c r="N66" s="618">
        <f>N63-O63-'FLUX 2035'!AJ5</f>
        <v>-0.27483949693208842</v>
      </c>
      <c r="O66" s="619"/>
      <c r="P66" s="618">
        <f>P63-'FLUX 2035'!AJ5</f>
        <v>-0.27483949693203158</v>
      </c>
    </row>
    <row r="67" spans="7:16" x14ac:dyDescent="0.2">
      <c r="G67" s="619"/>
      <c r="H67" s="619"/>
      <c r="I67" s="619"/>
      <c r="J67" s="619"/>
      <c r="K67" s="619"/>
      <c r="L67" s="619"/>
      <c r="M67" s="619"/>
      <c r="N67" s="619"/>
      <c r="O67" s="619"/>
      <c r="P67" s="619"/>
    </row>
    <row r="68" spans="7:16" x14ac:dyDescent="0.2">
      <c r="G68" s="619" t="s">
        <v>497</v>
      </c>
      <c r="H68" s="619"/>
      <c r="I68" s="619"/>
      <c r="J68" s="619"/>
      <c r="K68" s="619"/>
      <c r="L68" s="619"/>
      <c r="M68" s="619"/>
      <c r="N68" s="618">
        <f>SUM(N33:N38,N40,N47,N54,N56,N59,N25-'FLUX 2035'!G44,N28,N31)-'FLUX 2035'!AJ13</f>
        <v>-0.19132834844837987</v>
      </c>
      <c r="O68" s="619"/>
      <c r="P68" s="619"/>
    </row>
    <row r="69" spans="7:16" x14ac:dyDescent="0.2">
      <c r="G69" s="619" t="s">
        <v>520</v>
      </c>
      <c r="H69" s="619"/>
      <c r="I69" s="619"/>
      <c r="J69" s="619"/>
      <c r="K69" s="619"/>
      <c r="L69" s="619"/>
      <c r="M69" s="619"/>
      <c r="N69" s="618">
        <f>N27-O27-'FLUX 2035'!K40</f>
        <v>1.7199999999995441E-2</v>
      </c>
      <c r="O69" s="619"/>
      <c r="P69" s="619"/>
    </row>
    <row r="70" spans="7:16" x14ac:dyDescent="0.2">
      <c r="G70" s="619" t="s">
        <v>245</v>
      </c>
      <c r="H70" s="619"/>
      <c r="I70" s="619"/>
      <c r="J70" s="619"/>
      <c r="K70" s="619"/>
      <c r="L70" s="619"/>
      <c r="M70" s="619"/>
      <c r="N70" s="618">
        <f>N29-O29-('FLUX 2035'!K19+'FLUX 2035'!K24-'FLUX 2035'!R23-'FLUX 2035'!S23+'FLUX 2035'!K32+'FLUX 2035'!K43)</f>
        <v>6.0840951470460425E-2</v>
      </c>
      <c r="O70" s="619"/>
      <c r="P70" s="619"/>
    </row>
    <row r="71" spans="7:16" x14ac:dyDescent="0.2">
      <c r="G71" s="620" t="s">
        <v>467</v>
      </c>
    </row>
  </sheetData>
  <mergeCells count="6">
    <mergeCell ref="C2:C4"/>
    <mergeCell ref="E2:E4"/>
    <mergeCell ref="C5:C13"/>
    <mergeCell ref="E5:E13"/>
    <mergeCell ref="C14:C21"/>
    <mergeCell ref="E14:E2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50"/>
  <sheetViews>
    <sheetView tabSelected="1" topLeftCell="AT1" workbookViewId="0">
      <selection activeCell="AX24" sqref="AX24"/>
    </sheetView>
  </sheetViews>
  <sheetFormatPr baseColWidth="10" defaultRowHeight="12" x14ac:dyDescent="0.2"/>
  <cols>
    <col min="1" max="1" width="53.7109375" style="42" bestFit="1" customWidth="1"/>
    <col min="2" max="2" width="11" style="42" customWidth="1"/>
    <col min="3" max="3" width="7.7109375" style="568" bestFit="1" customWidth="1"/>
    <col min="4" max="4" width="7.7109375" style="568" customWidth="1"/>
    <col min="5" max="5" width="12.28515625" style="568" customWidth="1"/>
    <col min="6" max="6" width="8.7109375" style="42" customWidth="1"/>
    <col min="7" max="7" width="4.5703125" style="42" customWidth="1"/>
    <col min="8" max="8" width="6.5703125" style="42" customWidth="1"/>
    <col min="9" max="10" width="11.140625" style="42" customWidth="1"/>
    <col min="11" max="11" width="5.5703125" style="42" bestFit="1" customWidth="1"/>
    <col min="12" max="13" width="5.5703125" style="42" customWidth="1"/>
    <col min="14" max="14" width="9" style="42" bestFit="1" customWidth="1"/>
    <col min="15" max="15" width="11.42578125" style="42"/>
    <col min="16" max="16" width="40.28515625" style="42" customWidth="1"/>
    <col min="17" max="19" width="10.42578125" style="42" customWidth="1"/>
    <col min="20" max="20" width="14.85546875" style="42" bestFit="1" customWidth="1"/>
    <col min="21" max="22" width="11.42578125" style="42"/>
    <col min="23" max="23" width="17.5703125" style="42" customWidth="1"/>
    <col min="24" max="24" width="11.42578125" style="42" customWidth="1"/>
    <col min="25" max="25" width="19.42578125" style="42" customWidth="1"/>
    <col min="26" max="26" width="9.5703125" style="42" customWidth="1"/>
    <col min="27" max="28" width="11.42578125" style="42"/>
    <col min="29" max="29" width="11.42578125" style="42" customWidth="1"/>
    <col min="30" max="30" width="20.42578125" style="42" customWidth="1"/>
    <col min="31" max="31" width="20" style="42" customWidth="1"/>
    <col min="32" max="35" width="11.42578125" style="42" customWidth="1"/>
    <col min="36" max="36" width="19.140625" style="61" customWidth="1"/>
    <col min="37" max="37" width="11.42578125" style="42" customWidth="1"/>
    <col min="38" max="38" width="18.5703125" style="42" customWidth="1"/>
    <col min="39" max="39" width="10.7109375" style="42" customWidth="1"/>
    <col min="40" max="42" width="11.42578125" style="42" customWidth="1"/>
    <col min="43" max="45" width="11.42578125" style="42"/>
    <col min="46" max="46" width="16.85546875" style="42" customWidth="1"/>
    <col min="47" max="48" width="10.42578125" style="42" customWidth="1"/>
    <col min="49" max="16384" width="11.42578125" style="42"/>
  </cols>
  <sheetData>
    <row r="1" spans="1:50" ht="12.75" x14ac:dyDescent="0.2">
      <c r="B1" s="42">
        <v>2015</v>
      </c>
      <c r="C1" s="390">
        <v>2020</v>
      </c>
      <c r="D1" s="603">
        <v>2025</v>
      </c>
      <c r="E1" s="603">
        <v>2030</v>
      </c>
      <c r="F1" s="629">
        <v>2035</v>
      </c>
      <c r="G1" s="630"/>
      <c r="J1" s="42">
        <v>2015</v>
      </c>
      <c r="K1" s="390">
        <v>2020</v>
      </c>
      <c r="L1" s="603">
        <v>2025</v>
      </c>
      <c r="M1" s="603">
        <v>2030</v>
      </c>
      <c r="N1" s="603">
        <v>2035</v>
      </c>
      <c r="Q1" s="42">
        <v>2015</v>
      </c>
      <c r="R1" s="390">
        <v>2020</v>
      </c>
      <c r="S1" s="603">
        <v>2025</v>
      </c>
      <c r="T1" s="603">
        <v>2030</v>
      </c>
      <c r="U1" s="603">
        <v>2035</v>
      </c>
    </row>
    <row r="2" spans="1:50" ht="15" x14ac:dyDescent="0.25">
      <c r="A2" s="56" t="s">
        <v>9</v>
      </c>
      <c r="B2" s="560">
        <f>B3+B9+B27+B37</f>
        <v>265.89031010922099</v>
      </c>
      <c r="C2" s="560">
        <f>C3+C9+C27+C37</f>
        <v>263.27442363306085</v>
      </c>
      <c r="D2" s="560">
        <f>D3+D9+D27+D37</f>
        <v>259.0876704252766</v>
      </c>
      <c r="E2" s="560">
        <f>E3+E9+E27+E37</f>
        <v>255.67966335561516</v>
      </c>
      <c r="F2" s="560">
        <f>F3+F9+F27+F37</f>
        <v>253.71505447882512</v>
      </c>
      <c r="G2" s="52"/>
      <c r="I2" s="44" t="s">
        <v>95</v>
      </c>
      <c r="J2" s="44">
        <f>J3+J7+J16+J23</f>
        <v>265.89031010922099</v>
      </c>
      <c r="K2" s="44">
        <f>K3+K7+K16+K23</f>
        <v>263.27442363306085</v>
      </c>
      <c r="L2" s="44">
        <f t="shared" ref="L2:N2" si="0">L3+L7+L16+L23</f>
        <v>259.0876704252766</v>
      </c>
      <c r="M2" s="44">
        <f t="shared" si="0"/>
        <v>255.67966335561516</v>
      </c>
      <c r="N2" s="44">
        <f t="shared" si="0"/>
        <v>253.71505447882512</v>
      </c>
      <c r="P2" s="44" t="s">
        <v>96</v>
      </c>
      <c r="Q2" s="44">
        <f>Q3+Q7+Q16+Q23</f>
        <v>154.50658196170613</v>
      </c>
      <c r="R2" s="44">
        <f>R3+R7+R16+R23</f>
        <v>154.56740938785478</v>
      </c>
      <c r="S2" s="44">
        <f>S3+S7+S16+S23</f>
        <v>154.29986861564277</v>
      </c>
      <c r="T2" s="44">
        <f>T3+T7+T16+T23</f>
        <v>154.13751718756825</v>
      </c>
      <c r="U2" s="44">
        <f>U3+U7+U16+U23</f>
        <v>154.67960175753217</v>
      </c>
    </row>
    <row r="3" spans="1:50" ht="12.75" x14ac:dyDescent="0.2">
      <c r="A3" s="57" t="s">
        <v>66</v>
      </c>
      <c r="B3" s="561">
        <f>SUM(B4:B5)</f>
        <v>79.229273396774715</v>
      </c>
      <c r="C3" s="561">
        <f>SUM(C4:C5)</f>
        <v>76.867319892127256</v>
      </c>
      <c r="D3" s="561">
        <f>SUM(D4:D5)</f>
        <v>77.087208683039464</v>
      </c>
      <c r="E3" s="561">
        <f>SUM(E4:E5)</f>
        <v>77.516029331566216</v>
      </c>
      <c r="F3" s="561">
        <f>SUM(F4:F5)</f>
        <v>79.046232593813045</v>
      </c>
      <c r="G3" s="52"/>
      <c r="I3" s="47" t="s">
        <v>66</v>
      </c>
      <c r="J3" s="47">
        <f>SUM(J4:J6)</f>
        <v>79.229273396774715</v>
      </c>
      <c r="K3" s="47">
        <f>SUM(K4:K6)</f>
        <v>76.867319892127256</v>
      </c>
      <c r="L3" s="47">
        <f t="shared" ref="L3:N3" si="1">SUM(L4:L6)</f>
        <v>77.087208683039464</v>
      </c>
      <c r="M3" s="47">
        <f t="shared" si="1"/>
        <v>77.516029331566216</v>
      </c>
      <c r="N3" s="47">
        <f t="shared" si="1"/>
        <v>79.046232593813045</v>
      </c>
      <c r="P3" s="47" t="s">
        <v>66</v>
      </c>
      <c r="Q3" s="47">
        <f t="shared" ref="Q3:U3" si="2">SUM(Q4:Q6)</f>
        <v>61.870701071867941</v>
      </c>
      <c r="R3" s="47">
        <f t="shared" si="2"/>
        <v>59.813552014067994</v>
      </c>
      <c r="S3" s="47">
        <f t="shared" si="2"/>
        <v>59.413383260608569</v>
      </c>
      <c r="T3" s="47">
        <f t="shared" si="2"/>
        <v>59.207669878711187</v>
      </c>
      <c r="U3" s="47">
        <f t="shared" si="2"/>
        <v>60.111908371459116</v>
      </c>
      <c r="Y3" s="59"/>
      <c r="Z3" s="59">
        <v>2015</v>
      </c>
      <c r="AA3" s="59">
        <v>2020</v>
      </c>
      <c r="AB3" s="59">
        <v>2030</v>
      </c>
      <c r="AC3" s="59">
        <v>2035</v>
      </c>
      <c r="AE3" s="59" t="s">
        <v>116</v>
      </c>
      <c r="AF3" s="59">
        <v>2015</v>
      </c>
      <c r="AG3" s="59">
        <v>2020</v>
      </c>
      <c r="AH3" s="59">
        <v>2030</v>
      </c>
      <c r="AI3" s="59">
        <v>2035</v>
      </c>
      <c r="AL3" s="59" t="s">
        <v>133</v>
      </c>
      <c r="AM3" s="59">
        <v>2015</v>
      </c>
      <c r="AN3" s="59">
        <v>2020</v>
      </c>
      <c r="AO3" s="59">
        <v>2030</v>
      </c>
      <c r="AP3" s="59">
        <v>2035</v>
      </c>
      <c r="AT3" s="59" t="s">
        <v>524</v>
      </c>
      <c r="AU3" s="59">
        <v>2015</v>
      </c>
      <c r="AV3" s="59">
        <v>2020</v>
      </c>
      <c r="AW3" s="59">
        <v>2030</v>
      </c>
      <c r="AX3" s="59">
        <v>2035</v>
      </c>
    </row>
    <row r="4" spans="1:50" ht="12.75" x14ac:dyDescent="0.2">
      <c r="A4" s="58" t="s">
        <v>67</v>
      </c>
      <c r="B4" s="562">
        <f>'FLUX 2015'!$G$40+'FLUX 2015'!$G$41</f>
        <v>74.179135819622985</v>
      </c>
      <c r="C4" s="562">
        <f>'FLUX 2020'!$G$40+'FLUX 2020'!$G$41</f>
        <v>72.082235731001816</v>
      </c>
      <c r="D4" s="562">
        <f>'FLUX 2025'!$G$40+'FLUX 2025'!$G$41</f>
        <v>72.037071105887733</v>
      </c>
      <c r="E4" s="562">
        <f>'FLUX 2030'!$G$40+'FLUX 2030'!$G$41</f>
        <v>72.187339042482208</v>
      </c>
      <c r="F4" s="562">
        <f>'FLUX 2035'!$G$40+'FLUX 2035'!$G$41</f>
        <v>73.63616084038172</v>
      </c>
      <c r="G4" s="52"/>
      <c r="I4" s="48" t="s">
        <v>67</v>
      </c>
      <c r="J4" s="48">
        <f>B4</f>
        <v>74.179135819622985</v>
      </c>
      <c r="K4" s="48">
        <f>C4</f>
        <v>72.082235731001816</v>
      </c>
      <c r="L4" s="48">
        <f t="shared" ref="L4:N5" si="3">D4</f>
        <v>72.037071105887733</v>
      </c>
      <c r="M4" s="48">
        <f t="shared" si="3"/>
        <v>72.187339042482208</v>
      </c>
      <c r="N4" s="48">
        <f t="shared" si="3"/>
        <v>73.63616084038172</v>
      </c>
      <c r="O4" s="61">
        <f>2201</f>
        <v>2201</v>
      </c>
      <c r="P4" s="48" t="s">
        <v>67</v>
      </c>
      <c r="Q4" s="48">
        <f>'FLUX 2015'!$K$40</f>
        <v>57.539751996837182</v>
      </c>
      <c r="R4" s="48">
        <f>'FLUX 2020'!$K$40</f>
        <v>55.028467852942555</v>
      </c>
      <c r="S4" s="48">
        <f>'FLUX 2025'!$K$40</f>
        <v>54.363245683456839</v>
      </c>
      <c r="T4" s="48">
        <f>'FLUX 2030'!$K$40</f>
        <v>53.878979589627178</v>
      </c>
      <c r="U4" s="48">
        <f>'FLUX 2035'!$K$40</f>
        <v>54.701836618027798</v>
      </c>
      <c r="V4" s="43"/>
      <c r="W4" s="43"/>
      <c r="X4" s="43"/>
      <c r="Y4" s="41" t="s">
        <v>100</v>
      </c>
      <c r="Z4" s="59">
        <f>AF4/Q4</f>
        <v>9.5494864172434871E-2</v>
      </c>
      <c r="AA4" s="59">
        <f>AG4/R4</f>
        <v>9.7030229575573751E-2</v>
      </c>
      <c r="AB4" s="59">
        <f t="shared" ref="AB4" si="4">AH4/T4</f>
        <v>9.9244832403481073E-2</v>
      </c>
      <c r="AC4" s="59">
        <f>AI4/U4</f>
        <v>9.9713844540701368E-2</v>
      </c>
      <c r="AE4" s="60" t="s">
        <v>117</v>
      </c>
      <c r="AF4" s="625">
        <f>'FLUX 2015'!$I41+'FLUX 2015'!$I40</f>
        <v>5.4947508014535549</v>
      </c>
      <c r="AG4" s="625">
        <f>'FLUX 2020'!$I41+'FLUX 2020'!$I40</f>
        <v>5.3394248689630963</v>
      </c>
      <c r="AH4" s="625">
        <f>'FLUX 2030'!$I41+'FLUX 2030'!$I40</f>
        <v>5.3472102994431268</v>
      </c>
      <c r="AI4" s="625">
        <f>'FLUX 2035'!$I41+'FLUX 2035'!$I40</f>
        <v>5.454530432620869</v>
      </c>
      <c r="AJ4" s="64"/>
      <c r="AL4" s="114" t="s">
        <v>222</v>
      </c>
      <c r="AM4" s="59">
        <f>AU4/Q4</f>
        <v>0</v>
      </c>
      <c r="AN4" s="59">
        <f>AV4/R4</f>
        <v>0</v>
      </c>
      <c r="AO4" s="59">
        <f t="shared" ref="AO4:AP5" si="5">AW4/T4</f>
        <v>0</v>
      </c>
      <c r="AP4" s="59">
        <f>AX4/U4</f>
        <v>0</v>
      </c>
      <c r="AQ4" s="43"/>
      <c r="AR4" s="43"/>
      <c r="AS4" s="43"/>
      <c r="AT4" s="114" t="s">
        <v>525</v>
      </c>
      <c r="AU4" s="59">
        <f t="shared" ref="AU4:AX19" si="6">AV4</f>
        <v>0</v>
      </c>
      <c r="AV4" s="59">
        <f t="shared" si="6"/>
        <v>0</v>
      </c>
      <c r="AW4" s="59">
        <f t="shared" si="6"/>
        <v>0</v>
      </c>
      <c r="AX4" s="59">
        <f t="shared" si="6"/>
        <v>0</v>
      </c>
    </row>
    <row r="5" spans="1:50" ht="12.75" x14ac:dyDescent="0.2">
      <c r="A5" s="58" t="s">
        <v>65</v>
      </c>
      <c r="B5" s="48">
        <f>'FLUX 2025'!$K$39</f>
        <v>5.0501375771517285</v>
      </c>
      <c r="C5" s="48">
        <f>'FLUX 2020'!$K$39</f>
        <v>4.7850841611254396</v>
      </c>
      <c r="D5" s="48">
        <f>'FLUX 2025'!$K$39</f>
        <v>5.0501375771517285</v>
      </c>
      <c r="E5" s="48">
        <f>'FLUX 2030'!$K$39</f>
        <v>5.3286902890840064</v>
      </c>
      <c r="F5" s="48">
        <f>'FLUX 2035'!$K$39</f>
        <v>5.4100717534313203</v>
      </c>
      <c r="G5" s="53"/>
      <c r="I5" s="48" t="s">
        <v>65</v>
      </c>
      <c r="J5" s="48">
        <f>B5</f>
        <v>5.0501375771517285</v>
      </c>
      <c r="K5" s="48">
        <f>C5</f>
        <v>4.7850841611254396</v>
      </c>
      <c r="L5" s="48">
        <f t="shared" si="3"/>
        <v>5.0501375771517285</v>
      </c>
      <c r="M5" s="48">
        <f t="shared" si="3"/>
        <v>5.3286902890840064</v>
      </c>
      <c r="N5" s="48">
        <f t="shared" si="3"/>
        <v>5.4100717534313203</v>
      </c>
      <c r="O5" s="61">
        <f>O4+1</f>
        <v>2202</v>
      </c>
      <c r="P5" s="48" t="s">
        <v>65</v>
      </c>
      <c r="Q5" s="48">
        <f>'FLUX 2015'!$K$39</f>
        <v>4.3309490750307562</v>
      </c>
      <c r="R5" s="48">
        <f>'FLUX 2020'!$K$39</f>
        <v>4.7850841611254396</v>
      </c>
      <c r="S5" s="48">
        <f>'FLUX 2025'!$K$39</f>
        <v>5.0501375771517285</v>
      </c>
      <c r="T5" s="48">
        <f>'FLUX 2030'!$K$39</f>
        <v>5.3286902890840064</v>
      </c>
      <c r="U5" s="48">
        <f>'FLUX 2035'!$K$39</f>
        <v>5.4100717534313203</v>
      </c>
      <c r="V5" s="43"/>
      <c r="Y5" s="41" t="s">
        <v>101</v>
      </c>
      <c r="Z5" s="59">
        <f t="shared" ref="Z5" si="7">AF5/R5</f>
        <v>0</v>
      </c>
      <c r="AA5" s="59">
        <f>AG5/R5</f>
        <v>0</v>
      </c>
      <c r="AB5" s="59">
        <f t="shared" ref="AB5" si="8">AH5/T5</f>
        <v>0</v>
      </c>
      <c r="AC5" s="59">
        <f>AI5/U5</f>
        <v>0</v>
      </c>
      <c r="AE5" s="60" t="s">
        <v>118</v>
      </c>
      <c r="AF5" s="59">
        <f t="shared" ref="AF5:AI19" si="9">AG5</f>
        <v>0</v>
      </c>
      <c r="AG5" s="59">
        <f t="shared" si="9"/>
        <v>0</v>
      </c>
      <c r="AH5" s="59">
        <f t="shared" si="9"/>
        <v>0</v>
      </c>
      <c r="AI5" s="59">
        <f t="shared" si="9"/>
        <v>0</v>
      </c>
      <c r="AJ5" s="64"/>
      <c r="AL5" s="60" t="s">
        <v>223</v>
      </c>
      <c r="AM5" s="59">
        <f>AU5/Q5</f>
        <v>0</v>
      </c>
      <c r="AN5" s="59">
        <f>AV5/R5</f>
        <v>0</v>
      </c>
      <c r="AO5" s="59">
        <f t="shared" si="5"/>
        <v>0</v>
      </c>
      <c r="AP5" s="59">
        <f t="shared" si="5"/>
        <v>0</v>
      </c>
      <c r="AQ5" s="43"/>
      <c r="AR5" s="43"/>
      <c r="AS5" s="43"/>
      <c r="AT5" s="60" t="s">
        <v>526</v>
      </c>
      <c r="AU5" s="59">
        <f t="shared" si="6"/>
        <v>0</v>
      </c>
      <c r="AV5" s="59">
        <f t="shared" si="6"/>
        <v>0</v>
      </c>
      <c r="AW5" s="59">
        <f t="shared" si="6"/>
        <v>0</v>
      </c>
      <c r="AX5" s="59">
        <f t="shared" si="6"/>
        <v>0</v>
      </c>
    </row>
    <row r="6" spans="1:50" ht="12.75" x14ac:dyDescent="0.2">
      <c r="A6" s="49" t="s">
        <v>87</v>
      </c>
      <c r="B6" s="563"/>
      <c r="C6" s="563"/>
      <c r="D6" s="563"/>
      <c r="E6" s="563"/>
      <c r="F6" s="563"/>
      <c r="G6" s="52">
        <f>'FLUX 2035'!$G39</f>
        <v>5.4100717534313203</v>
      </c>
      <c r="I6" s="48" t="s">
        <v>83</v>
      </c>
      <c r="J6" s="48"/>
      <c r="K6" s="48"/>
      <c r="L6" s="48"/>
      <c r="M6" s="48"/>
      <c r="N6" s="48"/>
      <c r="O6" s="61"/>
      <c r="P6" s="48" t="s">
        <v>83</v>
      </c>
      <c r="Q6" s="48"/>
      <c r="R6" s="48"/>
      <c r="S6" s="48"/>
      <c r="T6" s="48"/>
      <c r="U6" s="48"/>
      <c r="V6" s="43"/>
      <c r="Y6" s="41" t="s">
        <v>102</v>
      </c>
      <c r="Z6" s="59">
        <f>AF6/Q8</f>
        <v>2.6327836690468618</v>
      </c>
      <c r="AA6" s="59">
        <f>AG6/R8</f>
        <v>2.5745710186832835</v>
      </c>
      <c r="AB6" s="59">
        <f t="shared" ref="AB6" si="10">AH6/T8</f>
        <v>2.4945331527295491</v>
      </c>
      <c r="AC6" s="59">
        <f>AI6/U8</f>
        <v>2.4895557007621036</v>
      </c>
      <c r="AE6" s="60" t="s">
        <v>119</v>
      </c>
      <c r="AF6" s="59">
        <f>'FLUX 2015'!$I10</f>
        <v>75.141450816287886</v>
      </c>
      <c r="AG6" s="59">
        <f>'FLUX 2020'!$I10</f>
        <v>70.864153943359369</v>
      </c>
      <c r="AH6" s="59">
        <f>'FLUX 2030'!$I10</f>
        <v>58.051480904119302</v>
      </c>
      <c r="AI6" s="59">
        <f>'FLUX 2035'!$I10</f>
        <v>54.067324587594683</v>
      </c>
      <c r="AJ6" s="64"/>
      <c r="AL6" s="60" t="s">
        <v>224</v>
      </c>
      <c r="AM6" s="59">
        <f>AU6/Q8</f>
        <v>0.21191101943804211</v>
      </c>
      <c r="AN6" s="59">
        <f>AV6/R8</f>
        <v>0.2090821422012063</v>
      </c>
      <c r="AO6" s="59">
        <f>AW6/T8</f>
        <v>0.20540301870437705</v>
      </c>
      <c r="AP6" s="59">
        <f>AX6/U8</f>
        <v>0.20505372439600827</v>
      </c>
      <c r="AQ6" s="43"/>
      <c r="AR6" s="43"/>
      <c r="AS6" s="43"/>
      <c r="AT6" s="60" t="s">
        <v>527</v>
      </c>
      <c r="AU6" s="59">
        <f>('FLUX 2015'!$M13+'FLUX 2015'!$O12)*'FLUX 2015'!$K10/SUM('FLUX 2015'!$K7:K19)</f>
        <v>6.048085770107245</v>
      </c>
      <c r="AV6" s="59">
        <f>('FLUX 2020'!$M13+'FLUX 2020'!$O12)*'FLUX 2020'!$K10/SUM('FLUX 2020'!$K7:$K19)</f>
        <v>5.7549117908315557</v>
      </c>
      <c r="AW6" s="59">
        <f>('FLUX 2030'!$M13+'FLUX 2030'!$O12)*'FLUX 2030'!$K10/SUM('FLUX 2030'!$K7:$K19)</f>
        <v>4.7800324501272993</v>
      </c>
      <c r="AX6" s="59">
        <f>('FLUX 2035'!$M13+'FLUX 2035'!$O12)*'FLUX 2035'!$K10/SUM('FLUX 2035'!$K7:$K19)</f>
        <v>4.4532870951311896</v>
      </c>
    </row>
    <row r="7" spans="1:50" ht="12.75" x14ac:dyDescent="0.2">
      <c r="A7" s="50" t="s">
        <v>88</v>
      </c>
      <c r="B7" s="564"/>
      <c r="C7" s="564"/>
      <c r="D7" s="564"/>
      <c r="E7" s="564"/>
      <c r="F7" s="564"/>
      <c r="G7" s="52">
        <f>'FLUX 2035'!$AA21*(SUM('FLUX 2035'!G21:G23)/'FLUX 2035'!H21)</f>
        <v>0</v>
      </c>
      <c r="I7" s="47" t="s">
        <v>54</v>
      </c>
      <c r="J7" s="47">
        <f>SUM(J8:J15)</f>
        <v>131.37635861438963</v>
      </c>
      <c r="K7" s="47">
        <f>SUM(K8:K15)</f>
        <v>130.45315926794871</v>
      </c>
      <c r="L7" s="47">
        <f t="shared" ref="L7:N7" si="11">SUM(L8:L15)</f>
        <v>126.74593823002142</v>
      </c>
      <c r="M7" s="47">
        <f t="shared" si="11"/>
        <v>123.6976188863113</v>
      </c>
      <c r="N7" s="47">
        <f t="shared" si="11"/>
        <v>121.1554305158606</v>
      </c>
      <c r="O7" s="61"/>
      <c r="P7" s="47" t="s">
        <v>54</v>
      </c>
      <c r="Q7" s="47">
        <f>SUM(Q8:Q15)</f>
        <v>39.022914638318092</v>
      </c>
      <c r="R7" s="47">
        <f>SUM(R8:R15)</f>
        <v>40.559180654732032</v>
      </c>
      <c r="S7" s="47">
        <f>SUM(S8:S15)</f>
        <v>41.41983051345526</v>
      </c>
      <c r="T7" s="47">
        <f>SUM(T8:T15)</f>
        <v>42.280480372279683</v>
      </c>
      <c r="U7" s="47">
        <f>SUM(U8:U15)</f>
        <v>42.890468856880425</v>
      </c>
      <c r="V7" s="43"/>
      <c r="Y7" s="41" t="s">
        <v>103</v>
      </c>
      <c r="Z7" s="59">
        <f t="shared" ref="Z7:Z12" si="12">AF7/Q9</f>
        <v>2.0075315225040233</v>
      </c>
      <c r="AA7" s="59">
        <f t="shared" ref="AA7:AA12" si="13">AG7/R9</f>
        <v>1.9390911404776183</v>
      </c>
      <c r="AB7" s="59">
        <f t="shared" ref="AB7:AC9" si="14">AH7/T9</f>
        <v>1.846664491121808</v>
      </c>
      <c r="AC7" s="59">
        <f t="shared" si="14"/>
        <v>1.830991290135348</v>
      </c>
      <c r="AE7" s="60" t="s">
        <v>120</v>
      </c>
      <c r="AF7" s="59">
        <f>'FLUX 2015'!$I17</f>
        <v>0.33206526708984374</v>
      </c>
      <c r="AG7" s="59">
        <f>'FLUX 2020'!$I17</f>
        <v>0.29318579223632812</v>
      </c>
      <c r="AH7" s="59">
        <f>'FLUX 2030'!$I17</f>
        <v>2.5851635742187497E-2</v>
      </c>
      <c r="AI7" s="59">
        <f>'FLUX 2035'!$I17</f>
        <v>2.5683472442626955E-2</v>
      </c>
      <c r="AJ7" s="64"/>
      <c r="AL7" s="60" t="s">
        <v>225</v>
      </c>
      <c r="AM7" s="59">
        <f t="shared" ref="AM7:AN13" si="15">AU7/Q9</f>
        <v>0</v>
      </c>
      <c r="AN7" s="59">
        <f t="shared" si="15"/>
        <v>0</v>
      </c>
      <c r="AO7" s="59">
        <f t="shared" ref="AO7:AP13" si="16">AW7/T9</f>
        <v>0</v>
      </c>
      <c r="AP7" s="59">
        <f t="shared" si="16"/>
        <v>0</v>
      </c>
      <c r="AQ7" s="43"/>
      <c r="AR7" s="43"/>
      <c r="AS7" s="43"/>
      <c r="AT7" s="60" t="s">
        <v>528</v>
      </c>
      <c r="AU7" s="59">
        <f t="shared" si="6"/>
        <v>0</v>
      </c>
      <c r="AV7" s="59">
        <f t="shared" si="6"/>
        <v>0</v>
      </c>
      <c r="AW7" s="59">
        <f t="shared" si="6"/>
        <v>0</v>
      </c>
      <c r="AX7" s="59">
        <f t="shared" si="6"/>
        <v>0</v>
      </c>
    </row>
    <row r="8" spans="1:50" ht="12.75" x14ac:dyDescent="0.2">
      <c r="A8" s="58" t="s">
        <v>83</v>
      </c>
      <c r="B8" s="562"/>
      <c r="C8" s="562"/>
      <c r="D8" s="562"/>
      <c r="E8" s="562"/>
      <c r="F8" s="562"/>
      <c r="G8" s="39"/>
      <c r="I8" s="48" t="s">
        <v>24</v>
      </c>
      <c r="J8" s="48">
        <f t="shared" ref="J8:N12" si="17">B10</f>
        <v>108.60034423828125</v>
      </c>
      <c r="K8" s="48">
        <f t="shared" si="17"/>
        <v>102.83022924804688</v>
      </c>
      <c r="L8" s="48">
        <f t="shared" si="17"/>
        <v>93.540114746093749</v>
      </c>
      <c r="M8" s="48">
        <f t="shared" si="17"/>
        <v>84.92</v>
      </c>
      <c r="N8" s="48">
        <f t="shared" si="17"/>
        <v>78.98</v>
      </c>
      <c r="O8" s="61">
        <v>2301</v>
      </c>
      <c r="P8" s="48" t="s">
        <v>24</v>
      </c>
      <c r="Q8" s="48">
        <f>'FLUX 2015'!$AJ$13*'FLUX 2015'!$K10/SUM('FLUX 2015'!$K$7:$K$19)</f>
        <v>28.540685548802081</v>
      </c>
      <c r="R8" s="48">
        <f>'FLUX 2020'!$AJ$13*'FLUX 2020'!$K$10/SUM('FLUX 2020'!$K$7:$K$19)</f>
        <v>27.524645243463326</v>
      </c>
      <c r="S8" s="48">
        <f>'FLUX 2025'!$AJ$13*'FLUX 2025'!$K$10/SUM('FLUX 2025'!$K$7:$K$19)</f>
        <v>25.370701575125921</v>
      </c>
      <c r="T8" s="48">
        <f>'FLUX 2030'!$AJ$13*'FLUX 2030'!$K$10/SUM('FLUX 2030'!$K$7:$K$19)</f>
        <v>23.271481014633398</v>
      </c>
      <c r="U8" s="48">
        <f>'FLUX 2035'!$AJ$13*'FLUX 2035'!$K$10/SUM('FLUX 2035'!$K$7:$K$19)</f>
        <v>21.717660131502008</v>
      </c>
      <c r="V8" s="43"/>
      <c r="Y8" s="41" t="s">
        <v>104</v>
      </c>
      <c r="Z8" s="59">
        <f>AF8/Q10</f>
        <v>1.4179529369449138</v>
      </c>
      <c r="AA8" s="59">
        <f>AG8/R10</f>
        <v>1.6901951065521643</v>
      </c>
      <c r="AB8" s="59">
        <f t="shared" si="14"/>
        <v>1.7224116547612647</v>
      </c>
      <c r="AC8" s="59">
        <f t="shared" ref="AC8" si="18">AI8/U10</f>
        <v>1.6499316782888227</v>
      </c>
      <c r="AE8" s="60" t="s">
        <v>121</v>
      </c>
      <c r="AF8" s="59">
        <f>'FLUX 2015'!$I19</f>
        <v>2.2341796021698594</v>
      </c>
      <c r="AG8" s="59">
        <f>'FLUX 2020'!$I19</f>
        <v>4.8601000646611965</v>
      </c>
      <c r="AH8" s="59">
        <f>'FLUX 2030'!$I19</f>
        <v>10.201960061539221</v>
      </c>
      <c r="AI8" s="59">
        <f>'FLUX 2035'!$I19</f>
        <v>11.688574542016283</v>
      </c>
      <c r="AJ8" s="64"/>
      <c r="AL8" s="60" t="s">
        <v>226</v>
      </c>
      <c r="AM8" s="59">
        <f t="shared" si="15"/>
        <v>0.21191101943804214</v>
      </c>
      <c r="AN8" s="59">
        <f t="shared" si="15"/>
        <v>0.2090821422012063</v>
      </c>
      <c r="AO8" s="59">
        <f t="shared" si="16"/>
        <v>0.20540301870437702</v>
      </c>
      <c r="AP8" s="59">
        <f t="shared" si="16"/>
        <v>0.20505372439600827</v>
      </c>
      <c r="AQ8" s="43"/>
      <c r="AR8" s="43"/>
      <c r="AS8" s="43"/>
      <c r="AT8" s="60" t="s">
        <v>529</v>
      </c>
      <c r="AU8" s="59">
        <f>('FLUX 2015'!$M13+'FLUX 2015'!$O12)*'FLUX 2015'!$K19/'FLUX 2015'!$L7</f>
        <v>0.33389491623295486</v>
      </c>
      <c r="AV8" s="59">
        <f>('FLUX 2020'!$M13+'FLUX 2020'!$O12)*'FLUX 2020'!$K19/'FLUX 2020'!$L7</f>
        <v>0.60120877695856856</v>
      </c>
      <c r="AW8" s="59">
        <f>('FLUX 2030'!$M13+'FLUX 2030'!$O12)*'FLUX 2030'!$K19/'FLUX 2030'!$L7</f>
        <v>1.21661589292491</v>
      </c>
      <c r="AX8" s="59">
        <f>('FLUX 2035'!$M13+'FLUX 2035'!$O12)*'FLUX 2035'!$K19/'FLUX 2035'!$L7</f>
        <v>1.4526575701646993</v>
      </c>
    </row>
    <row r="9" spans="1:50" ht="12.75" x14ac:dyDescent="0.2">
      <c r="A9" s="57" t="s">
        <v>54</v>
      </c>
      <c r="B9" s="561">
        <f>SUM(B10:B19)</f>
        <v>131.37635861438963</v>
      </c>
      <c r="C9" s="561">
        <f>SUM(C10:C19)</f>
        <v>130.45315926794871</v>
      </c>
      <c r="D9" s="561">
        <f>SUM(D10:D19)</f>
        <v>126.74593823002142</v>
      </c>
      <c r="E9" s="47">
        <f>SUM(E10:E19)</f>
        <v>123.6976188863113</v>
      </c>
      <c r="F9" s="561">
        <f>SUM(F10:F19)</f>
        <v>121.1554305158606</v>
      </c>
      <c r="G9" s="54"/>
      <c r="I9" s="48" t="s">
        <v>68</v>
      </c>
      <c r="J9" s="48">
        <f t="shared" si="17"/>
        <v>0.54655938720703123</v>
      </c>
      <c r="K9" s="48">
        <f t="shared" si="17"/>
        <v>0.4849151916503906</v>
      </c>
      <c r="L9" s="48">
        <f t="shared" si="17"/>
        <v>0.10049864959716796</v>
      </c>
      <c r="M9" s="48">
        <f t="shared" si="17"/>
        <v>4.3051635742187497E-2</v>
      </c>
      <c r="N9" s="48">
        <f t="shared" si="17"/>
        <v>4.2883472442626955E-2</v>
      </c>
      <c r="O9" s="61">
        <f>O8+1</f>
        <v>2302</v>
      </c>
      <c r="P9" s="48" t="s">
        <v>68</v>
      </c>
      <c r="Q9" s="48">
        <f>'FLUX 2015'!$AJ$13*'FLUX 2015'!$K$17/SUM('FLUX 2015'!$K$7:$K$19)</f>
        <v>0.16540973995549216</v>
      </c>
      <c r="R9" s="48">
        <f>'FLUX 2020'!$AJ$13*'FLUX 2020'!$K$17/SUM('FLUX 2020'!$K$7:$K$19)</f>
        <v>0.15119753069683636</v>
      </c>
      <c r="S9" s="48">
        <f>'FLUX 2025'!$AJ$13*'FLUX 2025'!$K$17/SUM('FLUX 2025'!$K$7:$K$19)</f>
        <v>3.204855514016601E-2</v>
      </c>
      <c r="T9" s="48">
        <f>'FLUX 2030'!$AJ$13*'FLUX 2030'!$K$17/SUM('FLUX 2030'!$K$7:$K$19)</f>
        <v>1.3999097219053147E-2</v>
      </c>
      <c r="U9" s="48">
        <f>'FLUX 2035'!$AJ$13*'FLUX 2035'!$K$17/SUM('FLUX 2035'!$K$7:$K$19)</f>
        <v>1.4027086082276458E-2</v>
      </c>
      <c r="V9" s="43"/>
      <c r="Y9" s="41" t="s">
        <v>105</v>
      </c>
      <c r="Z9" s="59">
        <f t="shared" si="12"/>
        <v>0</v>
      </c>
      <c r="AA9" s="59">
        <f t="shared" si="13"/>
        <v>0</v>
      </c>
      <c r="AB9" s="59">
        <f t="shared" si="14"/>
        <v>0</v>
      </c>
      <c r="AC9" s="59">
        <f t="shared" ref="AC9" si="19">AI9/U11</f>
        <v>0</v>
      </c>
      <c r="AE9" s="60" t="s">
        <v>122</v>
      </c>
      <c r="AF9" s="59">
        <f t="shared" si="9"/>
        <v>0</v>
      </c>
      <c r="AG9" s="59">
        <f t="shared" si="9"/>
        <v>0</v>
      </c>
      <c r="AH9" s="59">
        <f t="shared" si="9"/>
        <v>0</v>
      </c>
      <c r="AI9" s="59">
        <f t="shared" si="9"/>
        <v>0</v>
      </c>
      <c r="AJ9" s="64"/>
      <c r="AL9" s="60" t="s">
        <v>227</v>
      </c>
      <c r="AM9" s="59">
        <f t="shared" si="15"/>
        <v>0.21191101943804214</v>
      </c>
      <c r="AN9" s="59">
        <f t="shared" si="15"/>
        <v>0.20908214220120624</v>
      </c>
      <c r="AO9" s="59">
        <f t="shared" si="16"/>
        <v>0.20540301870437705</v>
      </c>
      <c r="AP9" s="59">
        <f t="shared" si="16"/>
        <v>0.20505372439600827</v>
      </c>
      <c r="AQ9" s="43"/>
      <c r="AR9" s="43"/>
      <c r="AS9" s="43"/>
      <c r="AT9" s="60" t="s">
        <v>530</v>
      </c>
      <c r="AU9" s="59">
        <f>('FLUX 2015'!$M13+'FLUX 2015'!$O12)*'FLUX 2015'!$K18/'FLUX 2015'!$L7</f>
        <v>0.3449235154993523</v>
      </c>
      <c r="AV9" s="59">
        <f>('FLUX 2020'!$M13+'FLUX 2020'!$O12)*'FLUX 2020'!$K18/'FLUX 2020'!$L7</f>
        <v>0.27569433950585609</v>
      </c>
      <c r="AW9" s="59">
        <f>('FLUX 2030'!$M13+'FLUX 2030'!$O12)*'FLUX 2030'!$K18/'FLUX 2030'!$L7</f>
        <v>0.22166389831081834</v>
      </c>
      <c r="AX9" s="59">
        <f>('FLUX 2035'!$M13+'FLUX 2035'!$O12)*'FLUX 2035'!$K18/'FLUX 2035'!$L7</f>
        <v>0.19813043718450812</v>
      </c>
    </row>
    <row r="10" spans="1:50" ht="12.75" x14ac:dyDescent="0.2">
      <c r="A10" s="58" t="s">
        <v>24</v>
      </c>
      <c r="B10" s="562">
        <f>'FLUX 2015'!$G10</f>
        <v>108.60034423828125</v>
      </c>
      <c r="C10" s="562">
        <f>'FLUX 2020'!$G10</f>
        <v>102.83022924804688</v>
      </c>
      <c r="D10" s="562">
        <f>'FLUX 2025'!$G10</f>
        <v>93.540114746093749</v>
      </c>
      <c r="E10" s="48">
        <f>'FLUX 2030'!$G10</f>
        <v>84.92</v>
      </c>
      <c r="F10" s="562">
        <f>'FLUX 2035'!$G10</f>
        <v>78.98</v>
      </c>
      <c r="G10" s="39"/>
      <c r="I10" s="48" t="s">
        <v>34</v>
      </c>
      <c r="J10" s="48">
        <f t="shared" si="17"/>
        <v>4.2773781842011092</v>
      </c>
      <c r="K10" s="48">
        <f t="shared" si="17"/>
        <v>8.5063999552861969</v>
      </c>
      <c r="L10" s="48">
        <f t="shared" si="17"/>
        <v>12.566931322423537</v>
      </c>
      <c r="M10" s="48">
        <f t="shared" si="17"/>
        <v>17.479340530289221</v>
      </c>
      <c r="N10" s="48">
        <f t="shared" si="17"/>
        <v>20.375309573266282</v>
      </c>
      <c r="O10" s="61">
        <f t="shared" ref="O10:O15" si="20">O9+1</f>
        <v>2303</v>
      </c>
      <c r="P10" s="48" t="s">
        <v>34</v>
      </c>
      <c r="Q10" s="48">
        <f>'FLUX 2015'!$AJ$13*'FLUX 2015'!$K$19/SUM('FLUX 2015'!$K$7:$K$19)</f>
        <v>1.575637345893558</v>
      </c>
      <c r="R10" s="48">
        <f>'FLUX 2020'!$AJ$13*'FLUX 2020'!$K$19/SUM('FLUX 2020'!$K$7:$K$19)</f>
        <v>2.8754668888938708</v>
      </c>
      <c r="S10" s="48">
        <f>'FLUX 2025'!$AJ$13*'FLUX 2025'!$K$19/SUM('FLUX 2025'!$K$7:$K$19)</f>
        <v>4.233171710423977</v>
      </c>
      <c r="T10" s="48">
        <f>'FLUX 2030'!$AJ$13*'FLUX 2030'!$K$19/SUM('FLUX 2030'!$K$7:$K$19)</f>
        <v>5.9230672489575475</v>
      </c>
      <c r="U10" s="48">
        <f>'FLUX 2035'!$AJ$13*'FLUX 2035'!$K$19/SUM('FLUX 2035'!$K$7:$K$19)</f>
        <v>7.0842779103064064</v>
      </c>
      <c r="V10" s="43"/>
      <c r="Y10" s="41" t="s">
        <v>106</v>
      </c>
      <c r="Z10" s="59">
        <f t="shared" si="12"/>
        <v>0</v>
      </c>
      <c r="AA10" s="59">
        <f t="shared" si="13"/>
        <v>0</v>
      </c>
      <c r="AB10" s="59">
        <f t="shared" ref="AB10:AB12" si="21">AH10/T12</f>
        <v>0</v>
      </c>
      <c r="AC10" s="59">
        <f t="shared" ref="AC10:AC13" si="22">AI10/U12</f>
        <v>0</v>
      </c>
      <c r="AE10" s="60" t="s">
        <v>123</v>
      </c>
      <c r="AF10" s="59">
        <f t="shared" si="9"/>
        <v>0</v>
      </c>
      <c r="AG10" s="59">
        <f t="shared" si="9"/>
        <v>0</v>
      </c>
      <c r="AH10" s="59">
        <f t="shared" si="9"/>
        <v>0</v>
      </c>
      <c r="AI10" s="59">
        <f t="shared" si="9"/>
        <v>0</v>
      </c>
      <c r="AJ10" s="64"/>
      <c r="AL10" s="60" t="s">
        <v>228</v>
      </c>
      <c r="AM10" s="59">
        <f t="shared" si="15"/>
        <v>0.21191101943804214</v>
      </c>
      <c r="AN10" s="59">
        <f t="shared" si="15"/>
        <v>0.2090821422012063</v>
      </c>
      <c r="AO10" s="59">
        <f t="shared" si="16"/>
        <v>0.20540301870437705</v>
      </c>
      <c r="AP10" s="59">
        <f t="shared" si="16"/>
        <v>0.20505372439600827</v>
      </c>
      <c r="AQ10" s="43"/>
      <c r="AR10" s="43"/>
      <c r="AS10" s="43"/>
      <c r="AT10" s="60" t="s">
        <v>531</v>
      </c>
      <c r="AU10" s="59">
        <f>('FLUX 2015'!$M13+'FLUX 2015'!$O12)*'FLUX 2015'!$K7/SUM('FLUX 2015'!$K7:K19)</f>
        <v>0.28892155525430901</v>
      </c>
      <c r="AV10" s="59">
        <f>('FLUX 2020'!$M13+'FLUX 2020'!$O12)*'FLUX 2020'!$K7/SUM('FLUX 2020'!$K7:$K19)</f>
        <v>0.54033394157646508</v>
      </c>
      <c r="AW10" s="59">
        <f>('FLUX 2030'!$M13+'FLUX 2030'!$O12)*'FLUX 2030'!$K7/SUM('FLUX 2030'!$K7:$K19)</f>
        <v>0.91456515911176772</v>
      </c>
      <c r="AX10" s="59">
        <f>('FLUX 2035'!$M13+'FLUX 2035'!$O12)*'FLUX 2035'!$K7/SUM('FLUX 2035'!$K7:$K19)</f>
        <v>0.97377651237305762</v>
      </c>
    </row>
    <row r="11" spans="1:50" ht="12.75" x14ac:dyDescent="0.2">
      <c r="A11" s="58" t="s">
        <v>68</v>
      </c>
      <c r="B11" s="562">
        <f>'FLUX 2015'!$G$17</f>
        <v>0.54655938720703123</v>
      </c>
      <c r="C11" s="562">
        <f>'FLUX 2020'!$G$17</f>
        <v>0.4849151916503906</v>
      </c>
      <c r="D11" s="562">
        <f>'FLUX 2025'!$G$17</f>
        <v>0.10049864959716796</v>
      </c>
      <c r="E11" s="48">
        <f>'FLUX 2030'!$G$17</f>
        <v>4.3051635742187497E-2</v>
      </c>
      <c r="F11" s="562">
        <f>'FLUX 2035'!$G$17</f>
        <v>4.2883472442626955E-2</v>
      </c>
      <c r="G11" s="39"/>
      <c r="I11" s="48" t="s">
        <v>40</v>
      </c>
      <c r="J11" s="48">
        <f t="shared" si="17"/>
        <v>6.5945407415605235</v>
      </c>
      <c r="K11" s="48">
        <f t="shared" si="17"/>
        <v>5.3267362681362478</v>
      </c>
      <c r="L11" s="48">
        <f t="shared" si="17"/>
        <v>4.7779369805368832</v>
      </c>
      <c r="M11" s="48">
        <f t="shared" si="17"/>
        <v>4.3125494653441105</v>
      </c>
      <c r="N11" s="48">
        <f t="shared" si="17"/>
        <v>3.8558897810173014</v>
      </c>
      <c r="O11" s="61">
        <f t="shared" si="20"/>
        <v>2304</v>
      </c>
      <c r="P11" s="48" t="s">
        <v>40</v>
      </c>
      <c r="Q11" s="48">
        <f>'FLUX 2015'!$AJ$13*'FLUX 2015'!$K$18/SUM('FLUX 2015'!$K$7:$K$19)</f>
        <v>1.6276808842411328</v>
      </c>
      <c r="R11" s="48">
        <f>'FLUX 2020'!$AJ$13*'FLUX 2020'!$K$18/SUM('FLUX 2020'!$K$7:$K$19)</f>
        <v>1.3185934322432322</v>
      </c>
      <c r="S11" s="48">
        <f>'FLUX 2025'!$AJ$13*'FLUX 2025'!$K$18/SUM('FLUX 2025'!$K$7:$K$19)</f>
        <v>1.1899379529284868</v>
      </c>
      <c r="T11" s="48">
        <f>'FLUX 2030'!$AJ$13*'FLUX 2030'!$K$18/SUM('FLUX 2030'!$K$7:$K$19)</f>
        <v>1.0791657284737597</v>
      </c>
      <c r="U11" s="48">
        <f>'FLUX 2035'!$AJ$13*'FLUX 2035'!$K$18/SUM('FLUX 2035'!$K$7:$K$19)</f>
        <v>0.9662367156124918</v>
      </c>
      <c r="V11" s="43"/>
      <c r="Y11" s="41" t="s">
        <v>107</v>
      </c>
      <c r="Z11" s="59">
        <f t="shared" si="12"/>
        <v>0</v>
      </c>
      <c r="AA11" s="59">
        <f t="shared" si="13"/>
        <v>0</v>
      </c>
      <c r="AB11" s="59">
        <f t="shared" si="21"/>
        <v>0</v>
      </c>
      <c r="AC11" s="59">
        <f t="shared" si="22"/>
        <v>0</v>
      </c>
      <c r="AE11" s="60" t="s">
        <v>124</v>
      </c>
      <c r="AF11" s="59">
        <f t="shared" si="9"/>
        <v>0</v>
      </c>
      <c r="AG11" s="59">
        <f t="shared" si="9"/>
        <v>0</v>
      </c>
      <c r="AH11" s="59">
        <f t="shared" si="9"/>
        <v>0</v>
      </c>
      <c r="AI11" s="59">
        <f t="shared" si="9"/>
        <v>0</v>
      </c>
      <c r="AJ11" s="64"/>
      <c r="AL11" s="60" t="s">
        <v>229</v>
      </c>
      <c r="AM11" s="59">
        <f t="shared" si="15"/>
        <v>0.21191101943804211</v>
      </c>
      <c r="AN11" s="59">
        <f t="shared" si="15"/>
        <v>0.20908214220120627</v>
      </c>
      <c r="AO11" s="59">
        <f t="shared" si="16"/>
        <v>0.20540301870437702</v>
      </c>
      <c r="AP11" s="59">
        <f t="shared" si="16"/>
        <v>0.20505372439600825</v>
      </c>
      <c r="AQ11" s="43"/>
      <c r="AR11" s="43"/>
      <c r="AS11" s="43"/>
      <c r="AT11" s="60" t="s">
        <v>532</v>
      </c>
      <c r="AU11" s="59">
        <f>('FLUX 2015'!$M13+'FLUX 2015'!$O12)*'FLUX 2015'!$K9/SUM('FLUX 2015'!$K7:K19)</f>
        <v>7.9727691992965838E-2</v>
      </c>
      <c r="AV11" s="59">
        <f>('FLUX 2020'!$M13+'FLUX 2020'!$O12)*'FLUX 2020'!$K9/SUM('FLUX 2020'!$K7:$K19)</f>
        <v>0.17447965499121146</v>
      </c>
      <c r="AW11" s="59">
        <f>('FLUX 2030'!$M13+'FLUX 2030'!$O12)*'FLUX 2030'!$K9/SUM('FLUX 2030'!$K7:$K19)</f>
        <v>0.33550184413721212</v>
      </c>
      <c r="AX11" s="59">
        <f>('FLUX 2035'!$M13+'FLUX 2035'!$O12)*'FLUX 2035'!$K9/SUM('FLUX 2035'!$K7:$K19)</f>
        <v>0.45536334988924504</v>
      </c>
    </row>
    <row r="12" spans="1:50" ht="12.75" x14ac:dyDescent="0.2">
      <c r="A12" s="58" t="s">
        <v>34</v>
      </c>
      <c r="B12" s="562">
        <f>'FLUX 2015'!$G$19</f>
        <v>4.2773781842011092</v>
      </c>
      <c r="C12" s="562">
        <f>'FLUX 2020'!$G$19</f>
        <v>8.5063999552861969</v>
      </c>
      <c r="D12" s="562">
        <f>'FLUX 2025'!$G$19</f>
        <v>12.566931322423537</v>
      </c>
      <c r="E12" s="48">
        <f>'FLUX 2030'!$G$19</f>
        <v>17.479340530289221</v>
      </c>
      <c r="F12" s="562">
        <f>'FLUX 2035'!$G$19</f>
        <v>20.375309573266282</v>
      </c>
      <c r="G12" s="39"/>
      <c r="I12" s="48" t="s">
        <v>69</v>
      </c>
      <c r="J12" s="48">
        <f t="shared" si="17"/>
        <v>1.7679937862734976</v>
      </c>
      <c r="K12" s="48">
        <f t="shared" si="17"/>
        <v>3.2770972628359978</v>
      </c>
      <c r="L12" s="48">
        <f t="shared" si="17"/>
        <v>4.7328901456484971</v>
      </c>
      <c r="M12" s="48">
        <f t="shared" si="17"/>
        <v>5.4706162862734971</v>
      </c>
      <c r="N12" s="48">
        <f t="shared" si="17"/>
        <v>5.8230782159609973</v>
      </c>
      <c r="O12" s="61">
        <f t="shared" si="20"/>
        <v>2305</v>
      </c>
      <c r="P12" s="48" t="s">
        <v>69</v>
      </c>
      <c r="Q12" s="48">
        <f>'FLUX 2015'!$AJ$13*'FLUX 2015'!$K$7/SUM('FLUX 2015'!$K$7:$K$19)</f>
        <v>1.3634097746331826</v>
      </c>
      <c r="R12" s="48">
        <f>'FLUX 2020'!$AJ$13*'FLUX 2020'!$K$7/SUM('FLUX 2020'!$K$7:$K$19)</f>
        <v>2.5843141642220444</v>
      </c>
      <c r="S12" s="48">
        <f>'FLUX 2025'!$AJ$13*'FLUX 2025'!$K$7/SUM('FLUX 2025'!$K$7:$K$19)</f>
        <v>3.7954061854715211</v>
      </c>
      <c r="T12" s="48">
        <f>'FLUX 2030'!$AJ$13*'FLUX 2030'!$K$7/SUM('FLUX 2030'!$K$7:$K$19)</f>
        <v>4.452540010758268</v>
      </c>
      <c r="U12" s="48">
        <f>'FLUX 2035'!$AJ$13*'FLUX 2035'!$K$7/SUM('FLUX 2035'!$K$7:$K$19)</f>
        <v>4.7488847873470466</v>
      </c>
      <c r="V12" s="43"/>
      <c r="Y12" s="41" t="s">
        <v>108</v>
      </c>
      <c r="Z12" s="59">
        <f t="shared" si="12"/>
        <v>0</v>
      </c>
      <c r="AA12" s="59">
        <f t="shared" si="13"/>
        <v>0</v>
      </c>
      <c r="AB12" s="59">
        <f t="shared" si="21"/>
        <v>0</v>
      </c>
      <c r="AC12" s="59">
        <f t="shared" si="22"/>
        <v>0</v>
      </c>
      <c r="AE12" s="60" t="s">
        <v>125</v>
      </c>
      <c r="AF12" s="59">
        <f t="shared" si="9"/>
        <v>0</v>
      </c>
      <c r="AG12" s="59">
        <f t="shared" si="9"/>
        <v>0</v>
      </c>
      <c r="AH12" s="59">
        <f t="shared" si="9"/>
        <v>0</v>
      </c>
      <c r="AI12" s="59">
        <f t="shared" si="9"/>
        <v>0</v>
      </c>
      <c r="AJ12" s="64"/>
      <c r="AL12" s="60" t="s">
        <v>230</v>
      </c>
      <c r="AM12" s="59">
        <f t="shared" si="15"/>
        <v>0.21191102208811596</v>
      </c>
      <c r="AN12" s="59">
        <f>AV12/R14</f>
        <v>0.20908214500145766</v>
      </c>
      <c r="AO12" s="59">
        <f t="shared" si="16"/>
        <v>0.20540302145416661</v>
      </c>
      <c r="AP12" s="59">
        <f t="shared" si="16"/>
        <v>0.20505372714092249</v>
      </c>
      <c r="AQ12" s="43"/>
      <c r="AR12" s="43"/>
      <c r="AS12" s="43"/>
      <c r="AT12" s="60" t="s">
        <v>533</v>
      </c>
      <c r="AU12" s="59">
        <f>('FLUX 2015'!$M13+'FLUX 2015'!$O12)*('FLUX 2015'!$K8)/SUM('FLUX 2015'!$K7:K19)+('FLUX 2015'!$M13+'FLUX 2015'!$O12)*'FLUX 2015'!$K15/SUM('FLUX 2015'!$K7:K19)</f>
        <v>0.98445835268670667</v>
      </c>
      <c r="AV12" s="59">
        <f>('FLUX 2020'!$M13+'FLUX 2020'!$O12)*('FLUX 2020'!$K8)/SUM('FLUX 2020'!$K7:$K19)+('FLUX 2020'!$M13+'FLUX 2020'!$O12)*'FLUX 2020'!$K15/SUM('FLUX 2020'!$K7:$K19)</f>
        <v>0.92746046781520064</v>
      </c>
      <c r="AW12" s="59">
        <f>('FLUX 2030'!$M13+'FLUX 2030'!$O12)*('FLUX 2030'!$K8)/SUM('FLUX 2030'!$K7:$K19)+('FLUX 2030'!$M13+'FLUX 2030'!$O12)*'FLUX 2030'!$K15/SUM('FLUX 2030'!$K7:$K19)</f>
        <v>0.94078052065819717</v>
      </c>
      <c r="AX12" s="59">
        <f>('FLUX 2035'!$M13+'FLUX 2035'!$O12)*('FLUX 2035'!$K8)/SUM('FLUX 2035'!$K7:$K19)+('FLUX 2035'!$M13+'FLUX 2035'!$O12)*'FLUX 2035'!$K15/SUM('FLUX 2035'!$K7:$K19)</f>
        <v>0.94112674136796737</v>
      </c>
    </row>
    <row r="13" spans="1:50" ht="12.75" x14ac:dyDescent="0.2">
      <c r="A13" s="58" t="s">
        <v>40</v>
      </c>
      <c r="B13" s="48">
        <f>'FLUX 2015'!$G$18</f>
        <v>6.5945407415605235</v>
      </c>
      <c r="C13" s="48">
        <f>'FLUX 2020'!$G$18</f>
        <v>5.3267362681362478</v>
      </c>
      <c r="D13" s="48">
        <f>'FLUX 2025'!$G$18</f>
        <v>4.7779369805368832</v>
      </c>
      <c r="E13" s="48">
        <f>'FLUX 2030'!$G$18</f>
        <v>4.3125494653441105</v>
      </c>
      <c r="F13" s="48">
        <f>'FLUX 2035'!$G$18</f>
        <v>3.8558897810173014</v>
      </c>
      <c r="G13" s="39"/>
      <c r="I13" s="48" t="s">
        <v>70</v>
      </c>
      <c r="J13" s="48">
        <f t="shared" ref="J13:N15" si="23">B17</f>
        <v>0.48787657226562497</v>
      </c>
      <c r="K13" s="48">
        <f t="shared" si="23"/>
        <v>1.0582100117187498</v>
      </c>
      <c r="L13" s="48">
        <f t="shared" si="23"/>
        <v>1.5050305703125</v>
      </c>
      <c r="M13" s="48">
        <f t="shared" si="23"/>
        <v>2.0068573671874996</v>
      </c>
      <c r="N13" s="48">
        <f t="shared" si="23"/>
        <v>2.7230235429687499</v>
      </c>
      <c r="O13" s="61">
        <f t="shared" si="20"/>
        <v>2306</v>
      </c>
      <c r="P13" s="48" t="s">
        <v>70</v>
      </c>
      <c r="Q13" s="48">
        <f>'FLUX 2015'!$AJ$13*'FLUX 2015'!$K$9/SUM('FLUX 2015'!$K$7:$K$19)</f>
        <v>0.37623193076222433</v>
      </c>
      <c r="R13" s="48">
        <f>'FLUX 2020'!$AJ$13*'FLUX 2020'!$K$9/SUM('FLUX 2020'!$K$7:$K$19)</f>
        <v>0.83450290471629207</v>
      </c>
      <c r="S13" s="48">
        <f>'FLUX 2025'!$AJ$13*'FLUX 2025'!$K$9/SUM('FLUX 2025'!$K$7:$K$19)</f>
        <v>1.2069163346341221</v>
      </c>
      <c r="T13" s="48">
        <f>'FLUX 2030'!$AJ$13*'FLUX 2030'!$K$9/SUM('FLUX 2030'!$K$7:$K$19)</f>
        <v>1.6333832202343517</v>
      </c>
      <c r="U13" s="48">
        <f>'FLUX 2035'!$AJ$13*'FLUX 2035'!$K$9/SUM('FLUX 2035'!$K$7:$K$19)</f>
        <v>2.2207026535632606</v>
      </c>
      <c r="V13" s="43"/>
      <c r="Y13" s="41" t="s">
        <v>109</v>
      </c>
      <c r="Z13" s="59">
        <f>AF13/Q15</f>
        <v>3.1857536441423928</v>
      </c>
      <c r="AA13" s="59">
        <f>AG13/R15</f>
        <v>2.940722465962089</v>
      </c>
      <c r="AB13" s="59">
        <f>AH13/T15</f>
        <v>2.085618161295149</v>
      </c>
      <c r="AC13" s="59">
        <f t="shared" si="22"/>
        <v>1.7296902335166229</v>
      </c>
      <c r="AE13" s="60" t="s">
        <v>126</v>
      </c>
      <c r="AF13" s="59">
        <f>'FLUX 2015'!$I14+'FLUX 2015'!$I13+'FLUX 2015'!$I11+'FLUX 2015'!$I12</f>
        <v>2.3199873042099748</v>
      </c>
      <c r="AG13" s="59">
        <f>'FLUX 2020'!$I14+'FLUX 2020'!$I13+'FLUX 2020'!$I11+'FLUX 2020'!$I12</f>
        <v>2.4543095080086395</v>
      </c>
      <c r="AH13" s="59">
        <f>'FLUX 2030'!$I14+'FLUX 2030'!$I13+'FLUX 2030'!$I11+'FLUX 2030'!$I12</f>
        <v>2.7669378944435428</v>
      </c>
      <c r="AI13" s="59">
        <f>'FLUX 2035'!$I14+'FLUX 2035'!$I13+'FLUX 2035'!$I11+'FLUX 2035'!$I12</f>
        <v>2.6793252739546389</v>
      </c>
      <c r="AJ13" s="64"/>
      <c r="AL13" s="60" t="s">
        <v>231</v>
      </c>
      <c r="AM13" s="59">
        <f t="shared" si="15"/>
        <v>0.21191101943804211</v>
      </c>
      <c r="AN13" s="59">
        <f t="shared" si="15"/>
        <v>0.2090821422012063</v>
      </c>
      <c r="AO13" s="59">
        <f t="shared" si="16"/>
        <v>0.20540301870437705</v>
      </c>
      <c r="AP13" s="59">
        <f t="shared" si="16"/>
        <v>0.20505372439600827</v>
      </c>
      <c r="AQ13" s="43"/>
      <c r="AR13" s="43"/>
      <c r="AS13" s="43"/>
      <c r="AT13" s="60" t="s">
        <v>534</v>
      </c>
      <c r="AU13" s="59">
        <f>('FLUX 2015'!$M13+'FLUX 2015'!$O12)*'FLUX 2015'!$K14/'FLUX 2015'!$L7+('FLUX 2015'!$O12+'FLUX 2015'!$M13)*'FLUX 2015'!$K13/'FLUX 2015'!$L7+('FLUX 2015'!$O12+'FLUX 2015'!$M13)*('FLUX 2015'!$K19*'FLUX 2015'!$K22/'FLUX 2015'!$L21)/'FLUX 2015'!$L7+('FLUX 2015'!$O12+'FLUX 2015'!$M13)*'FLUX 2015'!$K11/'FLUX 2015'!$L7+('FLUX 2015'!$O12+'FLUX 2015'!$M13)*('FLUX 2015'!$K19*SUM('FLUX 2015'!$K21:K23)/'FLUX 2015'!$L21)/'FLUX 2015'!$L7+('FLUX 2015'!$O12+'FLUX 2015'!$M13)*'FLUX 2015'!$K12/'FLUX 2015'!$L7+('FLUX 2015'!$O12+'FLUX 2015'!$M13)*'FLUX 2015'!$K16/'FLUX 2015'!$L7</f>
        <v>0.15432168636843802</v>
      </c>
      <c r="AV13" s="59">
        <f>('FLUX 2020'!$M13+'FLUX 2020'!$O12)*'FLUX 2020'!$K14/'FLUX 2020'!$L7+('FLUX 2020'!$O12+'FLUX 2020'!$M13)*'FLUX 2020'!$K13/'FLUX 2020'!$L7+('FLUX 2020'!$O12+'FLUX 2020'!$M13)*('FLUX 2020'!$K19*'FLUX 2020'!$K22/'FLUX 2020'!$L21)/'FLUX 2020'!$L7+('FLUX 2020'!$O12+'FLUX 2020'!$M13)*'FLUX 2020'!$K11/'FLUX 2020'!$L7+('FLUX 2020'!$O12+'FLUX 2020'!$M13)*('FLUX 2020'!$K19*SUM('FLUX 2020'!$K21:$K23)/'FLUX 2020'!$L21)/'FLUX 2020'!$L7+('FLUX 2020'!$O12+'FLUX 2020'!$M13)*'FLUX 2020'!$K12/'FLUX 2020'!$L7+('FLUX 2020'!$O12+'FLUX 2020'!$M13)*'FLUX 2020'!$K16/'FLUX 2020'!$L7</f>
        <v>0.17449871434615363</v>
      </c>
      <c r="AW13" s="59">
        <f>('FLUX 2030'!$M13+'FLUX 2030'!$O12)*'FLUX 2030'!$K14/'FLUX 2030'!$L7+('FLUX 2030'!$O12+'FLUX 2030'!$M13)*'FLUX 2030'!$K13/'FLUX 2030'!$L7+('FLUX 2030'!$O12+'FLUX 2030'!$M13)*('FLUX 2030'!$K19*'FLUX 2030'!$K22/'FLUX 2030'!$L21)/'FLUX 2030'!$L7+('FLUX 2030'!$O12+'FLUX 2030'!$M13)*'FLUX 2030'!$K11/'FLUX 2030'!$L7+('FLUX 2030'!$O12+'FLUX 2030'!$M13)*('FLUX 2030'!$K19*SUM('FLUX 2030'!$K21:$K23)/'FLUX 2030'!$L21)/'FLUX 2030'!$L7+('FLUX 2030'!$O12+'FLUX 2030'!$M13)*'FLUX 2030'!$K12/'FLUX 2030'!$L7+('FLUX 2030'!$O12+'FLUX 2030'!$M13)*'FLUX 2030'!$K16/'FLUX 2030'!$L7</f>
        <v>0.27250309123377819</v>
      </c>
      <c r="AX13" s="59">
        <f>('FLUX 2035'!$M13+'FLUX 2035'!$O12)*'FLUX 2035'!$K14/'FLUX 2035'!$L7+('FLUX 2035'!$O12+'FLUX 2035'!$M13)*'FLUX 2035'!$K13/'FLUX 2035'!$L7+('FLUX 2035'!$O12+'FLUX 2035'!$M13)*('FLUX 2035'!$K19*'FLUX 2035'!$K22/'FLUX 2035'!$L21)/'FLUX 2035'!$L7+('FLUX 2035'!$O12+'FLUX 2035'!$M13)*'FLUX 2035'!$K11/'FLUX 2035'!$L7+('FLUX 2035'!$O12+'FLUX 2035'!$M13)*('FLUX 2035'!$K19*SUM('FLUX 2035'!$K21:$K23)/'FLUX 2035'!$L21)/'FLUX 2035'!$L7+('FLUX 2035'!$O12+'FLUX 2035'!$M13)*'FLUX 2035'!$K12/'FLUX 2035'!$L7+('FLUX 2035'!$O12+'FLUX 2035'!$M13)*'FLUX 2035'!$K16/'FLUX 2035'!$L7</f>
        <v>0.31763238043829423</v>
      </c>
    </row>
    <row r="14" spans="1:50" ht="12.75" x14ac:dyDescent="0.2">
      <c r="A14" s="58" t="s">
        <v>69</v>
      </c>
      <c r="B14" s="562">
        <f>'FLUX 2015'!$G7+'FLUX 2015'!$G15</f>
        <v>1.7679937862734976</v>
      </c>
      <c r="C14" s="562">
        <f>'FLUX 2020'!$G7+'FLUX 2020'!$G15</f>
        <v>3.2770972628359978</v>
      </c>
      <c r="D14" s="562">
        <f>'FLUX 2025'!$G7+'FLUX 2025'!$G15</f>
        <v>4.7328901456484971</v>
      </c>
      <c r="E14" s="48">
        <f>'FLUX 2030'!$G7+'FLUX 2030'!$G15</f>
        <v>5.4706162862734971</v>
      </c>
      <c r="F14" s="562">
        <f>'FLUX 2035'!$G7+'FLUX 2035'!$G15</f>
        <v>5.8230782159609973</v>
      </c>
      <c r="G14" s="39"/>
      <c r="I14" s="48" t="s">
        <v>22</v>
      </c>
      <c r="J14" s="48">
        <f t="shared" si="23"/>
        <v>6.0241824218749995</v>
      </c>
      <c r="K14" s="48">
        <f t="shared" si="23"/>
        <v>5.6249993125</v>
      </c>
      <c r="L14" s="48">
        <f t="shared" si="23"/>
        <v>5.626609460937499</v>
      </c>
      <c r="M14" s="48">
        <f t="shared" si="23"/>
        <v>5.6274274687499997</v>
      </c>
      <c r="N14" s="48">
        <f t="shared" si="23"/>
        <v>5.6278359687499995</v>
      </c>
      <c r="O14" s="61">
        <f t="shared" si="20"/>
        <v>2307</v>
      </c>
      <c r="P14" s="48" t="s">
        <v>22</v>
      </c>
      <c r="Q14" s="48">
        <f>'FLUX 2015'!$AJ$13*'FLUX 2015'!$K$8/SUM('FLUX 2015'!$K$7:$K$19)</f>
        <v>4.6456212753169268</v>
      </c>
      <c r="R14" s="48">
        <f>'FLUX 2020'!$AJ$13*'FLUX 2020'!$K$8/SUM('FLUX 2020'!$K$7:$K$19)</f>
        <v>4.4358664285213578</v>
      </c>
      <c r="S14" s="48">
        <f>'FLUX 2025'!$AJ$13*'FLUX 2025'!$K$8/SUM('FLUX 2025'!$K$7:$K$19)</f>
        <v>4.5120989573004682</v>
      </c>
      <c r="T14" s="48">
        <f>'FLUX 2030'!$AJ$13*'FLUX 2030'!$K$8/SUM('FLUX 2030'!$K$7:$K$19)</f>
        <v>4.5801688504768263</v>
      </c>
      <c r="U14" s="48">
        <f>'FLUX 2035'!$AJ$13*'FLUX 2035'!$K$8/SUM('FLUX 2035'!$K$7:$K$19)</f>
        <v>4.5896592785225563</v>
      </c>
      <c r="V14" s="43"/>
      <c r="Y14" s="41" t="s">
        <v>110</v>
      </c>
      <c r="Z14" s="59">
        <f>AF14/Q17</f>
        <v>1.6864005166392089E-2</v>
      </c>
      <c r="AA14" s="59">
        <f>AG14/R17</f>
        <v>1.5682870288012251E-2</v>
      </c>
      <c r="AB14" s="59">
        <f t="shared" ref="AB14" si="24">AH14/T17</f>
        <v>1.5109261013146694E-2</v>
      </c>
      <c r="AC14" s="59">
        <f>AI14/U17</f>
        <v>1.5087711174574442E-2</v>
      </c>
      <c r="AE14" s="60" t="s">
        <v>127</v>
      </c>
      <c r="AF14" s="625">
        <f>'FLUX 2015'!$I32</f>
        <v>0.53453336776923788</v>
      </c>
      <c r="AG14" s="625">
        <f>'FLUX 2020'!$I32</f>
        <v>0.47795672404723311</v>
      </c>
      <c r="AH14" s="625">
        <f>'FLUX 2030'!$I32</f>
        <v>0.43388717762258699</v>
      </c>
      <c r="AI14" s="625">
        <f>'FLUX 2035'!$I32</f>
        <v>0.41929182669779652</v>
      </c>
      <c r="AJ14" s="64"/>
      <c r="AL14" s="60" t="s">
        <v>232</v>
      </c>
      <c r="AM14" s="59">
        <f>AU14/Q17</f>
        <v>0</v>
      </c>
      <c r="AN14" s="59">
        <f>AV14/R17</f>
        <v>0</v>
      </c>
      <c r="AO14" s="59">
        <f>AW14/T17</f>
        <v>0</v>
      </c>
      <c r="AP14" s="59">
        <f>AX14/U17</f>
        <v>0</v>
      </c>
      <c r="AQ14" s="43"/>
      <c r="AR14" s="43"/>
      <c r="AS14" s="43"/>
      <c r="AT14" s="60" t="s">
        <v>535</v>
      </c>
      <c r="AU14" s="59">
        <f t="shared" si="6"/>
        <v>0</v>
      </c>
      <c r="AV14" s="59">
        <f t="shared" si="6"/>
        <v>0</v>
      </c>
      <c r="AW14" s="59">
        <f t="shared" si="6"/>
        <v>0</v>
      </c>
      <c r="AX14" s="59">
        <f t="shared" si="6"/>
        <v>0</v>
      </c>
    </row>
    <row r="15" spans="1:50" ht="12.75" x14ac:dyDescent="0.2">
      <c r="A15" s="49" t="s">
        <v>21</v>
      </c>
      <c r="B15" s="563"/>
      <c r="C15" s="563"/>
      <c r="D15" s="563"/>
      <c r="E15" s="613"/>
      <c r="F15" s="563"/>
      <c r="G15" s="52"/>
      <c r="I15" s="48" t="s">
        <v>71</v>
      </c>
      <c r="J15" s="48">
        <f t="shared" si="23"/>
        <v>3.0774832827255998</v>
      </c>
      <c r="K15" s="48">
        <f t="shared" si="23"/>
        <v>3.3445720177742642</v>
      </c>
      <c r="L15" s="48">
        <f t="shared" si="23"/>
        <v>3.8959263544715892</v>
      </c>
      <c r="M15" s="48">
        <f t="shared" si="23"/>
        <v>3.8377761327247923</v>
      </c>
      <c r="N15" s="48">
        <f t="shared" si="23"/>
        <v>3.7274099614546392</v>
      </c>
      <c r="O15" s="61">
        <f t="shared" si="20"/>
        <v>2308</v>
      </c>
      <c r="P15" s="48" t="s">
        <v>99</v>
      </c>
      <c r="Q15" s="48">
        <f>'FLUX 2015'!$AJ$13*SUM('FLUX 2015'!$K$11:$K$14,'FLUX 2015'!$K$16)/SUM('FLUX 2015'!$K$7:$K$19)</f>
        <v>0.72823813871349019</v>
      </c>
      <c r="R15" s="48">
        <f>'FLUX 2020'!$AJ$13*SUM('FLUX 2020'!$K$11:$K$14,'FLUX 2020'!$K$16)/SUM('FLUX 2020'!$K$7:$K$19)</f>
        <v>0.83459406197506836</v>
      </c>
      <c r="S15" s="48">
        <f>'FLUX 2025'!$AJ$13*SUM('FLUX 2025'!$K$11:$K$14,'FLUX 2025'!$K$16)/SUM('FLUX 2025'!$K$7:$K$19)</f>
        <v>1.079549242430601</v>
      </c>
      <c r="T15" s="48">
        <f>'FLUX 2030'!$AJ$13*SUM('FLUX 2030'!$K$11:$K$14,'FLUX 2030'!$K$16)/SUM('FLUX 2030'!$K$7:$K$19)</f>
        <v>1.3266752015264869</v>
      </c>
      <c r="U15" s="48">
        <f>'FLUX 2035'!$AJ$13*SUM('FLUX 2035'!$K$11:$K$14,'FLUX 2035'!$K$16)/SUM('FLUX 2035'!$K$7:$K$19)</f>
        <v>1.549020293944378</v>
      </c>
      <c r="V15" s="43"/>
      <c r="W15" s="43"/>
      <c r="X15" s="43"/>
      <c r="Y15" s="41" t="s">
        <v>111</v>
      </c>
      <c r="Z15" s="59">
        <f t="shared" ref="Z15:Z19" si="25">AF15/Q18</f>
        <v>7.0604542376460867E-3</v>
      </c>
      <c r="AA15" s="59">
        <f t="shared" ref="AA15:AA19" si="26">AG15/R18</f>
        <v>9.700747561830602E-3</v>
      </c>
      <c r="AB15" s="59">
        <f t="shared" ref="AB15" si="27">AH15/T18</f>
        <v>9.7139731729647145E-3</v>
      </c>
      <c r="AC15" s="59">
        <f>AI15/U18</f>
        <v>9.9794771983023438E-3</v>
      </c>
      <c r="AE15" s="60" t="s">
        <v>128</v>
      </c>
      <c r="AF15" s="625">
        <f>'FLUX 2015'!$I29+'FLUX 2015'!$I35</f>
        <v>9.493334440963469E-2</v>
      </c>
      <c r="AG15" s="625">
        <f>'FLUX 2020'!$I29+'FLUX 2020'!$I35</f>
        <v>0.14573473282228711</v>
      </c>
      <c r="AH15" s="625">
        <f>'FLUX 2030'!$I29+'FLUX 2030'!$I35</f>
        <v>0.1487093656819185</v>
      </c>
      <c r="AI15" s="625">
        <f>'FLUX 2035'!$I29+'FLUX 2035'!$I35</f>
        <v>0.15056177433997808</v>
      </c>
      <c r="AJ15" s="64"/>
      <c r="AL15" s="60" t="s">
        <v>233</v>
      </c>
      <c r="AM15" s="59">
        <f t="shared" ref="AM15:AN20" si="28">AU15/Q18</f>
        <v>0</v>
      </c>
      <c r="AN15" s="59">
        <f t="shared" si="28"/>
        <v>0</v>
      </c>
      <c r="AO15" s="59">
        <f t="shared" ref="AO15:AP20" si="29">AW15/T18</f>
        <v>0</v>
      </c>
      <c r="AP15" s="59">
        <f t="shared" si="29"/>
        <v>0</v>
      </c>
      <c r="AQ15" s="43"/>
      <c r="AR15" s="43"/>
      <c r="AS15" s="43"/>
      <c r="AT15" s="60" t="s">
        <v>536</v>
      </c>
      <c r="AU15" s="59">
        <f t="shared" si="6"/>
        <v>0</v>
      </c>
      <c r="AV15" s="59">
        <f t="shared" si="6"/>
        <v>0</v>
      </c>
      <c r="AW15" s="59">
        <f t="shared" si="6"/>
        <v>0</v>
      </c>
      <c r="AX15" s="59">
        <f t="shared" si="6"/>
        <v>0</v>
      </c>
    </row>
    <row r="16" spans="1:50" ht="12.75" x14ac:dyDescent="0.2">
      <c r="A16" s="50" t="s">
        <v>29</v>
      </c>
      <c r="B16" s="564"/>
      <c r="C16" s="564"/>
      <c r="D16" s="564"/>
      <c r="E16" s="614"/>
      <c r="F16" s="564"/>
      <c r="G16" s="52"/>
      <c r="I16" s="47" t="s">
        <v>72</v>
      </c>
      <c r="J16" s="47">
        <f>SUM(J17:J22)</f>
        <v>49.607735236436326</v>
      </c>
      <c r="K16" s="47">
        <f>SUM(K17:K22)</f>
        <v>50.218153833703639</v>
      </c>
      <c r="L16" s="47">
        <f t="shared" ref="L16:N16" si="30">SUM(L17:L22)</f>
        <v>49.737253391207943</v>
      </c>
      <c r="M16" s="47">
        <f t="shared" si="30"/>
        <v>49.157127979186171</v>
      </c>
      <c r="N16" s="47">
        <f t="shared" si="30"/>
        <v>48.191511250976447</v>
      </c>
      <c r="O16" s="61"/>
      <c r="P16" s="47" t="s">
        <v>72</v>
      </c>
      <c r="Q16" s="47">
        <f>SUM(Q17:Q22)</f>
        <v>47.936023389899788</v>
      </c>
      <c r="R16" s="47">
        <f>SUM(R17:R22)</f>
        <v>48.458886079773528</v>
      </c>
      <c r="S16" s="47">
        <f>SUM(S17:S22)</f>
        <v>47.94938472057116</v>
      </c>
      <c r="T16" s="47">
        <f>SUM(T17:T22)</f>
        <v>47.34047977802588</v>
      </c>
      <c r="U16" s="47">
        <f>SUM(U17:U22)</f>
        <v>46.355344411017597</v>
      </c>
      <c r="V16" s="43"/>
      <c r="Y16" s="41" t="s">
        <v>112</v>
      </c>
      <c r="Z16" s="59">
        <v>0</v>
      </c>
      <c r="AA16" s="59">
        <v>0</v>
      </c>
      <c r="AB16" s="59">
        <f t="shared" ref="AB16" si="31">AC16</f>
        <v>0</v>
      </c>
      <c r="AC16" s="59">
        <v>0</v>
      </c>
      <c r="AE16" s="60" t="s">
        <v>129</v>
      </c>
      <c r="AF16" s="59">
        <f t="shared" si="9"/>
        <v>0</v>
      </c>
      <c r="AG16" s="59">
        <f t="shared" si="9"/>
        <v>0</v>
      </c>
      <c r="AH16" s="59">
        <f t="shared" si="9"/>
        <v>0</v>
      </c>
      <c r="AI16" s="59">
        <f t="shared" si="9"/>
        <v>0</v>
      </c>
      <c r="AJ16" s="64"/>
      <c r="AL16" s="60" t="s">
        <v>234</v>
      </c>
      <c r="AM16" s="59">
        <v>0</v>
      </c>
      <c r="AN16" s="59">
        <v>0</v>
      </c>
      <c r="AO16" s="59">
        <v>0</v>
      </c>
      <c r="AP16" s="59">
        <v>0</v>
      </c>
      <c r="AQ16" s="43"/>
      <c r="AR16" s="43"/>
      <c r="AS16" s="43"/>
      <c r="AT16" s="60" t="s">
        <v>537</v>
      </c>
      <c r="AU16" s="59">
        <f t="shared" si="6"/>
        <v>0</v>
      </c>
      <c r="AV16" s="59">
        <f t="shared" si="6"/>
        <v>0</v>
      </c>
      <c r="AW16" s="59">
        <f t="shared" si="6"/>
        <v>0</v>
      </c>
      <c r="AX16" s="59">
        <f t="shared" si="6"/>
        <v>0</v>
      </c>
    </row>
    <row r="17" spans="1:50" ht="12.75" x14ac:dyDescent="0.2">
      <c r="A17" s="58" t="s">
        <v>70</v>
      </c>
      <c r="B17" s="562">
        <f>'FLUX 2015'!$G9</f>
        <v>0.48787657226562497</v>
      </c>
      <c r="C17" s="562">
        <f>'FLUX 2020'!$G9</f>
        <v>1.0582100117187498</v>
      </c>
      <c r="D17" s="562">
        <f>'FLUX 2025'!$G9</f>
        <v>1.5050305703125</v>
      </c>
      <c r="E17" s="48">
        <f>'FLUX 2030'!$G9</f>
        <v>2.0068573671874996</v>
      </c>
      <c r="F17" s="562">
        <f>'FLUX 2035'!$G9</f>
        <v>2.7230235429687499</v>
      </c>
      <c r="G17" s="39"/>
      <c r="I17" s="48" t="s">
        <v>73</v>
      </c>
      <c r="J17" s="48">
        <f t="shared" ref="J17:N22" si="32">B28</f>
        <v>33.20569414280736</v>
      </c>
      <c r="K17" s="48">
        <f t="shared" si="32"/>
        <v>32.030370332208363</v>
      </c>
      <c r="L17" s="48">
        <f t="shared" si="32"/>
        <v>31.249263248198101</v>
      </c>
      <c r="M17" s="48">
        <f t="shared" si="32"/>
        <v>30.36918860059841</v>
      </c>
      <c r="N17" s="48">
        <f t="shared" si="32"/>
        <v>29.483826529751671</v>
      </c>
      <c r="O17" s="61">
        <v>2401</v>
      </c>
      <c r="P17" s="48" t="s">
        <v>73</v>
      </c>
      <c r="Q17" s="48">
        <f>'FLUX 2015'!$K$24-'FLUX 2015'!$S$23</f>
        <v>31.696703273935061</v>
      </c>
      <c r="R17" s="48">
        <f>'FLUX 2020'!$K$24-'FLUX 2020'!$S$23</f>
        <v>30.476355110363691</v>
      </c>
      <c r="S17" s="48">
        <f>'FLUX 2025'!$K$24-'FLUX 2025'!$S$23</f>
        <v>29.645980292650769</v>
      </c>
      <c r="T17" s="48">
        <f>'FLUX 2030'!$K$24-'FLUX 2030'!$S$23</f>
        <v>28.716637911348421</v>
      </c>
      <c r="U17" s="48">
        <f>'FLUX 2035'!$K$24-'FLUX 2035'!$S$23</f>
        <v>27.79028719772818</v>
      </c>
      <c r="V17" s="43"/>
      <c r="Y17" s="41" t="s">
        <v>113</v>
      </c>
      <c r="Z17" s="59">
        <f t="shared" si="25"/>
        <v>0</v>
      </c>
      <c r="AA17" s="59">
        <f t="shared" si="26"/>
        <v>0</v>
      </c>
      <c r="AB17" s="59">
        <f t="shared" ref="AB17" si="33">AH17/T20</f>
        <v>0</v>
      </c>
      <c r="AC17" s="59">
        <f t="shared" ref="AC17" si="34">AI17/U20</f>
        <v>0</v>
      </c>
      <c r="AE17" s="60" t="s">
        <v>130</v>
      </c>
      <c r="AF17" s="59">
        <f t="shared" si="9"/>
        <v>0</v>
      </c>
      <c r="AG17" s="59">
        <f t="shared" si="9"/>
        <v>0</v>
      </c>
      <c r="AH17" s="59">
        <f t="shared" si="9"/>
        <v>0</v>
      </c>
      <c r="AI17" s="59">
        <f t="shared" si="9"/>
        <v>0</v>
      </c>
      <c r="AJ17" s="64"/>
      <c r="AL17" s="60" t="s">
        <v>235</v>
      </c>
      <c r="AM17" s="59">
        <f t="shared" si="28"/>
        <v>0</v>
      </c>
      <c r="AN17" s="59">
        <f t="shared" si="28"/>
        <v>0</v>
      </c>
      <c r="AO17" s="59">
        <f t="shared" si="29"/>
        <v>0</v>
      </c>
      <c r="AP17" s="59">
        <f t="shared" si="29"/>
        <v>0</v>
      </c>
      <c r="AQ17" s="43"/>
      <c r="AR17" s="43"/>
      <c r="AS17" s="43"/>
      <c r="AT17" s="60" t="s">
        <v>538</v>
      </c>
      <c r="AU17" s="59">
        <f t="shared" si="6"/>
        <v>0</v>
      </c>
      <c r="AV17" s="59">
        <f t="shared" si="6"/>
        <v>0</v>
      </c>
      <c r="AW17" s="59">
        <f t="shared" si="6"/>
        <v>0</v>
      </c>
      <c r="AX17" s="59">
        <f t="shared" si="6"/>
        <v>0</v>
      </c>
    </row>
    <row r="18" spans="1:50" ht="12.75" x14ac:dyDescent="0.2">
      <c r="A18" s="58" t="s">
        <v>22</v>
      </c>
      <c r="B18" s="562">
        <f>'FLUX 2015'!$G8</f>
        <v>6.0241824218749995</v>
      </c>
      <c r="C18" s="562">
        <f>'FLUX 2020'!$G8</f>
        <v>5.6249993125</v>
      </c>
      <c r="D18" s="562">
        <f>'FLUX 2025'!$G8</f>
        <v>5.626609460937499</v>
      </c>
      <c r="E18" s="48">
        <f>'FLUX 2030'!$G8</f>
        <v>5.6274274687499997</v>
      </c>
      <c r="F18" s="562">
        <f>'FLUX 2035'!$G8</f>
        <v>5.6278359687499995</v>
      </c>
      <c r="G18" s="39"/>
      <c r="I18" s="48" t="s">
        <v>76</v>
      </c>
      <c r="J18" s="48">
        <f t="shared" si="32"/>
        <v>13.540717597702224</v>
      </c>
      <c r="K18" s="48">
        <f t="shared" si="32"/>
        <v>15.168776193637902</v>
      </c>
      <c r="L18" s="48">
        <f t="shared" si="32"/>
        <v>15.293736465383139</v>
      </c>
      <c r="M18" s="48">
        <f t="shared" si="32"/>
        <v>15.457518957188363</v>
      </c>
      <c r="N18" s="48">
        <f t="shared" si="32"/>
        <v>15.237702247549423</v>
      </c>
      <c r="O18" s="61">
        <f>O17+1</f>
        <v>2402</v>
      </c>
      <c r="P18" s="48" t="s">
        <v>76</v>
      </c>
      <c r="Q18" s="48">
        <f>'FLUX 2015'!$K$29+'FLUX 2015'!$K$35</f>
        <v>13.44578425329259</v>
      </c>
      <c r="R18" s="48">
        <f>'FLUX 2020'!$K$29+'FLUX 2020'!$K$35</f>
        <v>15.023041460815614</v>
      </c>
      <c r="S18" s="48">
        <f>'FLUX 2025'!$K$29+'FLUX 2025'!$K$35</f>
        <v>15.146557993071442</v>
      </c>
      <c r="T18" s="48">
        <f>'FLUX 2030'!$K$29+'FLUX 2030'!$K$35</f>
        <v>15.308809591506444</v>
      </c>
      <c r="U18" s="48">
        <f>'FLUX 2035'!$K$29+'FLUX 2035'!$K$35</f>
        <v>15.087140473209445</v>
      </c>
      <c r="V18" s="43"/>
      <c r="Y18" s="41" t="s">
        <v>114</v>
      </c>
      <c r="Z18" s="59">
        <f t="shared" si="25"/>
        <v>0</v>
      </c>
      <c r="AA18" s="59">
        <f t="shared" si="26"/>
        <v>0</v>
      </c>
      <c r="AB18" s="59">
        <f t="shared" ref="AB18:AB19" si="35">AH18/T21</f>
        <v>0</v>
      </c>
      <c r="AC18" s="59">
        <f t="shared" ref="AC18:AC19" si="36">AI18/U21</f>
        <v>0</v>
      </c>
      <c r="AE18" s="60" t="s">
        <v>131</v>
      </c>
      <c r="AF18" s="59">
        <f t="shared" si="9"/>
        <v>0</v>
      </c>
      <c r="AG18" s="59">
        <f t="shared" si="9"/>
        <v>0</v>
      </c>
      <c r="AH18" s="59">
        <f t="shared" si="9"/>
        <v>0</v>
      </c>
      <c r="AI18" s="59">
        <f t="shared" si="9"/>
        <v>0</v>
      </c>
      <c r="AJ18" s="64"/>
      <c r="AL18" s="60" t="s">
        <v>236</v>
      </c>
      <c r="AM18" s="59">
        <f t="shared" si="28"/>
        <v>0.67546925431565896</v>
      </c>
      <c r="AN18" s="59">
        <f t="shared" si="28"/>
        <v>0.71255684300964772</v>
      </c>
      <c r="AO18" s="59">
        <f t="shared" si="29"/>
        <v>0.73292622499248916</v>
      </c>
      <c r="AP18" s="59">
        <f t="shared" si="29"/>
        <v>0.74027108740245418</v>
      </c>
      <c r="AQ18" s="43"/>
      <c r="AR18" s="43"/>
      <c r="AS18" s="43"/>
      <c r="AT18" s="60" t="s">
        <v>539</v>
      </c>
      <c r="AU18" s="59">
        <f>('FLUX 2015'!$M13+'FLUX 2015'!$O26)*'FLUX 2015'!$H53/'FLUX 2015'!$L26</f>
        <v>9.3186153638649863E-2</v>
      </c>
      <c r="AV18" s="59">
        <f>('FLUX 2020'!$M13+'FLUX 2020'!$O26)*'FLUX 2020'!$H53/'FLUX 2020'!$L26</f>
        <v>0.10897496727769526</v>
      </c>
      <c r="AW18" s="59">
        <f>('FLUX 2030'!$M13+'FLUX 2030'!$O26)*'FLUX 2030'!$H53/'FLUX 2030'!$L26</f>
        <v>0.11437806517368061</v>
      </c>
      <c r="AX18" s="59">
        <f>('FLUX 2035'!$M13+'FLUX 2035'!$O26)*'FLUX 2035'!$H53/'FLUX 2035'!$L26</f>
        <v>0.11696331664699819</v>
      </c>
    </row>
    <row r="19" spans="1:50" ht="12.75" x14ac:dyDescent="0.2">
      <c r="A19" s="58" t="s">
        <v>71</v>
      </c>
      <c r="B19" s="562">
        <f>'FLUX 2015'!$G$12+'FLUX 2015'!$G$13+'FLUX 2015'!$G$14+'FLUX 2015'!$G$16</f>
        <v>3.0774832827255998</v>
      </c>
      <c r="C19" s="562">
        <f>'FLUX 2020'!$G$12+'FLUX 2020'!$G$13+'FLUX 2020'!$G$14+'FLUX 2020'!$G$16</f>
        <v>3.3445720177742642</v>
      </c>
      <c r="D19" s="562">
        <f>'FLUX 2025'!$G$12+'FLUX 2025'!$G$13+'FLUX 2025'!$G$14+'FLUX 2025'!$G$16</f>
        <v>3.8959263544715892</v>
      </c>
      <c r="E19" s="48">
        <f>'FLUX 2030'!$G$12+'FLUX 2030'!$G$13+'FLUX 2030'!$G$14+'FLUX 2030'!$G$16</f>
        <v>3.8377761327247923</v>
      </c>
      <c r="F19" s="562">
        <f>'FLUX 2035'!$G$12+'FLUX 2035'!$G$13+'FLUX 2035'!$G$14+'FLUX 2035'!$G$16</f>
        <v>3.7274099614546392</v>
      </c>
      <c r="G19" s="54"/>
      <c r="I19" s="48" t="s">
        <v>77</v>
      </c>
      <c r="J19" s="48">
        <f t="shared" si="32"/>
        <v>0.13795765394689941</v>
      </c>
      <c r="K19" s="48">
        <f t="shared" si="32"/>
        <v>0.15293512138261758</v>
      </c>
      <c r="L19" s="48">
        <f t="shared" si="32"/>
        <v>0.15445019242835842</v>
      </c>
      <c r="M19" s="48">
        <f t="shared" si="32"/>
        <v>0.15605672341012594</v>
      </c>
      <c r="N19" s="48">
        <f t="shared" si="32"/>
        <v>0.15800065494576065</v>
      </c>
      <c r="O19" s="61">
        <f t="shared" ref="O19:O22" si="37">O18+1</f>
        <v>2403</v>
      </c>
      <c r="P19" s="48" t="s">
        <v>77</v>
      </c>
      <c r="Q19" s="48">
        <f>'FLUX 2015'!$K$22+'FLUX 2015'!$K$21+'FLUX 2015'!$K$26+'FLUX 2015'!$K$34</f>
        <v>0</v>
      </c>
      <c r="R19" s="48">
        <f>'FLUX 2020'!$K$22+'FLUX 2020'!$K$21+'FLUX 2020'!$K$26+'FLUX 2020'!$K$34</f>
        <v>0</v>
      </c>
      <c r="S19" s="48">
        <f>'FLUX 2025'!$K$22+'FLUX 2025'!$K$21+'FLUX 2025'!$K$26+'FLUX 2025'!$K$34</f>
        <v>0</v>
      </c>
      <c r="T19" s="48">
        <f>'FLUX 2030'!$K$22+'FLUX 2030'!$K$21+'FLUX 2030'!$K$26+'FLUX 2030'!$K$34</f>
        <v>0</v>
      </c>
      <c r="U19" s="48">
        <f>'FLUX 2035'!$K$22+'FLUX 2035'!$K$21+'FLUX 2035'!$K$26+'FLUX 2035'!$K$34</f>
        <v>0</v>
      </c>
      <c r="V19" s="43"/>
      <c r="Y19" s="41" t="s">
        <v>115</v>
      </c>
      <c r="Z19" s="59">
        <f t="shared" si="25"/>
        <v>0</v>
      </c>
      <c r="AA19" s="59">
        <f t="shared" si="26"/>
        <v>0</v>
      </c>
      <c r="AB19" s="59">
        <f t="shared" si="35"/>
        <v>0</v>
      </c>
      <c r="AC19" s="59">
        <f t="shared" si="36"/>
        <v>0</v>
      </c>
      <c r="AE19" s="60" t="s">
        <v>132</v>
      </c>
      <c r="AF19" s="59">
        <f t="shared" si="9"/>
        <v>0</v>
      </c>
      <c r="AG19" s="59">
        <f t="shared" si="9"/>
        <v>0</v>
      </c>
      <c r="AH19" s="59">
        <f t="shared" si="9"/>
        <v>0</v>
      </c>
      <c r="AI19" s="59">
        <f t="shared" si="9"/>
        <v>0</v>
      </c>
      <c r="AJ19" s="64"/>
      <c r="AL19" s="60" t="s">
        <v>237</v>
      </c>
      <c r="AM19" s="59">
        <f t="shared" si="28"/>
        <v>0</v>
      </c>
      <c r="AN19" s="59">
        <f t="shared" si="28"/>
        <v>0</v>
      </c>
      <c r="AO19" s="59">
        <f t="shared" si="29"/>
        <v>0</v>
      </c>
      <c r="AP19" s="59">
        <f t="shared" si="29"/>
        <v>0</v>
      </c>
      <c r="AQ19" s="43"/>
      <c r="AR19" s="43"/>
      <c r="AS19" s="43"/>
      <c r="AT19" s="60" t="s">
        <v>540</v>
      </c>
      <c r="AU19" s="59">
        <f t="shared" si="6"/>
        <v>0</v>
      </c>
      <c r="AV19" s="59">
        <f t="shared" si="6"/>
        <v>0</v>
      </c>
      <c r="AW19" s="59">
        <f t="shared" si="6"/>
        <v>0</v>
      </c>
      <c r="AX19" s="59">
        <f t="shared" si="6"/>
        <v>0</v>
      </c>
    </row>
    <row r="20" spans="1:50" ht="12.75" x14ac:dyDescent="0.2">
      <c r="A20" s="49" t="s">
        <v>25</v>
      </c>
      <c r="B20" s="563"/>
      <c r="C20" s="563"/>
      <c r="D20" s="563"/>
      <c r="E20" s="613"/>
      <c r="F20" s="563"/>
      <c r="G20" s="52"/>
      <c r="I20" s="48" t="s">
        <v>74</v>
      </c>
      <c r="J20" s="48">
        <f t="shared" si="32"/>
        <v>0.89292703980625387</v>
      </c>
      <c r="K20" s="48">
        <f t="shared" si="32"/>
        <v>0.87015513225003804</v>
      </c>
      <c r="L20" s="48">
        <f t="shared" si="32"/>
        <v>0.87877543368411182</v>
      </c>
      <c r="M20" s="48">
        <f t="shared" si="32"/>
        <v>0.88791611481912924</v>
      </c>
      <c r="N20" s="48">
        <f t="shared" si="32"/>
        <v>0.89897650426520914</v>
      </c>
      <c r="O20" s="61">
        <f t="shared" si="37"/>
        <v>2404</v>
      </c>
      <c r="P20" s="48" t="s">
        <v>74</v>
      </c>
      <c r="Q20" s="48">
        <f>'FLUX 2015'!$K$27+'FLUX 2015'!$K$42</f>
        <v>0.89292703980625387</v>
      </c>
      <c r="R20" s="48">
        <f>'FLUX 2020'!$K$27+'FLUX 2020'!$K$42</f>
        <v>0.87015513225003804</v>
      </c>
      <c r="S20" s="48">
        <f>'FLUX 2025'!$K$27+'FLUX 2025'!$K$42</f>
        <v>0.87877543368411182</v>
      </c>
      <c r="T20" s="48">
        <f>'FLUX 2030'!$K$27+'FLUX 2030'!$K$42</f>
        <v>0.88791611481912924</v>
      </c>
      <c r="U20" s="48">
        <f>'FLUX 2035'!$K$27+'FLUX 2035'!$K$42</f>
        <v>0.89897650426520914</v>
      </c>
      <c r="V20" s="43"/>
      <c r="Y20" s="111" t="s">
        <v>523</v>
      </c>
      <c r="Z20" s="59">
        <f>AF20/Q23</f>
        <v>0.78983620455173698</v>
      </c>
      <c r="AA20" s="59">
        <f>AG20/'Cibles THREEME'!R23</f>
        <v>0.63716838725466973</v>
      </c>
      <c r="AB20" s="59">
        <f>AH20/'Cibles THREEME'!T23</f>
        <v>0.56257209741078373</v>
      </c>
      <c r="AC20" s="59">
        <f>AI20/'Cibles THREEME'!U23</f>
        <v>0.50190743747416122</v>
      </c>
      <c r="AE20" s="114" t="s">
        <v>521</v>
      </c>
      <c r="AF20" s="59">
        <f>'FLUX 2015'!$I18</f>
        <v>4.4838550032792739</v>
      </c>
      <c r="AG20" s="59">
        <f>'FLUX 2020'!$I18</f>
        <v>3.6546644712612482</v>
      </c>
      <c r="AH20" s="59">
        <f>'FLUX 2030'!$I18</f>
        <v>2.9866317837034857</v>
      </c>
      <c r="AI20" s="59">
        <f>'FLUX 2035'!$I18</f>
        <v>2.6710912126579265</v>
      </c>
      <c r="AJ20" s="64"/>
      <c r="AL20" s="114" t="s">
        <v>522</v>
      </c>
      <c r="AM20" s="59">
        <f t="shared" si="28"/>
        <v>0</v>
      </c>
      <c r="AN20" s="59">
        <f t="shared" si="28"/>
        <v>0</v>
      </c>
      <c r="AO20" s="59">
        <f t="shared" si="29"/>
        <v>0</v>
      </c>
      <c r="AP20" s="59">
        <f t="shared" si="29"/>
        <v>0</v>
      </c>
      <c r="AS20" s="43"/>
      <c r="AT20" s="114" t="s">
        <v>541</v>
      </c>
      <c r="AU20" s="59">
        <f t="shared" ref="AU20:AX22" si="38">AV20</f>
        <v>0</v>
      </c>
      <c r="AV20" s="59">
        <f t="shared" si="38"/>
        <v>0</v>
      </c>
      <c r="AW20" s="59">
        <f t="shared" si="38"/>
        <v>0</v>
      </c>
      <c r="AX20" s="59">
        <f t="shared" si="38"/>
        <v>0</v>
      </c>
    </row>
    <row r="21" spans="1:50" ht="12.75" x14ac:dyDescent="0.2">
      <c r="A21" s="50" t="s">
        <v>26</v>
      </c>
      <c r="B21" s="564"/>
      <c r="C21" s="564"/>
      <c r="D21" s="564"/>
      <c r="E21" s="614"/>
      <c r="F21" s="564"/>
      <c r="G21" s="52"/>
      <c r="I21" s="48" t="s">
        <v>98</v>
      </c>
      <c r="J21" s="48">
        <f t="shared" si="32"/>
        <v>0.13795765394689941</v>
      </c>
      <c r="K21" s="48">
        <f t="shared" si="32"/>
        <v>0.15293512138261758</v>
      </c>
      <c r="L21" s="48">
        <f t="shared" si="32"/>
        <v>0.15445019242835842</v>
      </c>
      <c r="M21" s="48">
        <f t="shared" si="32"/>
        <v>0.15605672341012594</v>
      </c>
      <c r="N21" s="48">
        <f t="shared" si="32"/>
        <v>0.15800065494576065</v>
      </c>
      <c r="O21" s="61">
        <f t="shared" si="37"/>
        <v>2405</v>
      </c>
      <c r="P21" s="48" t="s">
        <v>97</v>
      </c>
      <c r="Q21" s="48">
        <f>'FLUX 2015'!$K$37+'FLUX 2015'!$K$30</f>
        <v>0.13795765394689941</v>
      </c>
      <c r="R21" s="48">
        <f>'FLUX 2020'!$K$37+'FLUX 2020'!$K$30</f>
        <v>0.15293512138261758</v>
      </c>
      <c r="S21" s="48">
        <f>'FLUX 2025'!$K$37+'FLUX 2025'!$K$30</f>
        <v>0.15445019242835842</v>
      </c>
      <c r="T21" s="48">
        <f>'FLUX 2030'!$K$37+'FLUX 2030'!$K$30</f>
        <v>0.15605672341012594</v>
      </c>
      <c r="U21" s="48">
        <f>'FLUX 2035'!$K$37+'FLUX 2035'!$K$30</f>
        <v>0.15800065494576065</v>
      </c>
      <c r="V21" s="43"/>
      <c r="AH21" s="62"/>
      <c r="AI21" s="62">
        <f>SUM(AI4:AI20)-SUM('Sankey 2035'!J2:J19)</f>
        <v>-2.568347244260849E-2</v>
      </c>
    </row>
    <row r="22" spans="1:50" ht="12.75" x14ac:dyDescent="0.2">
      <c r="A22" s="49" t="s">
        <v>89</v>
      </c>
      <c r="B22" s="563"/>
      <c r="C22" s="563"/>
      <c r="D22" s="563"/>
      <c r="E22" s="613"/>
      <c r="F22" s="563"/>
      <c r="G22" s="52"/>
      <c r="I22" s="48" t="s">
        <v>78</v>
      </c>
      <c r="J22" s="48">
        <f t="shared" si="32"/>
        <v>1.6924811482266904</v>
      </c>
      <c r="K22" s="48">
        <f t="shared" si="32"/>
        <v>1.842981932842092</v>
      </c>
      <c r="L22" s="48">
        <f t="shared" si="32"/>
        <v>2.0065778590858763</v>
      </c>
      <c r="M22" s="48">
        <f t="shared" si="32"/>
        <v>2.1303908597600234</v>
      </c>
      <c r="N22" s="48">
        <f t="shared" si="32"/>
        <v>2.2550046595186286</v>
      </c>
      <c r="O22" s="61">
        <f t="shared" si="37"/>
        <v>2406</v>
      </c>
      <c r="P22" s="48" t="s">
        <v>134</v>
      </c>
      <c r="Q22" s="48">
        <f>'FLUX 2015'!$K$38+'FLUX 2015'!$K$36+'FLUX 2015'!$K$31+'FLUX 2015'!$K$28</f>
        <v>1.7626511689189859</v>
      </c>
      <c r="R22" s="48">
        <f>'FLUX 2020'!$K$38+'FLUX 2020'!$K$36+'FLUX 2020'!$K$31+'FLUX 2020'!$K$28</f>
        <v>1.9363992549615641</v>
      </c>
      <c r="S22" s="48">
        <f>'FLUX 2025'!$K$38+'FLUX 2025'!$K$36+'FLUX 2025'!$K$31+'FLUX 2025'!$K$28</f>
        <v>2.1236208087364825</v>
      </c>
      <c r="T22" s="48">
        <f>'FLUX 2030'!$K$38+'FLUX 2030'!$K$36+'FLUX 2030'!$K$31+'FLUX 2030'!$K$28</f>
        <v>2.2710594369417634</v>
      </c>
      <c r="U22" s="48">
        <f>'FLUX 2035'!$K$38+'FLUX 2035'!$K$36+'FLUX 2035'!$K$31+'FLUX 2035'!$K$28</f>
        <v>2.4209395808690082</v>
      </c>
      <c r="V22" s="43"/>
      <c r="W22" s="43"/>
      <c r="X22" s="43"/>
      <c r="AX22" s="676">
        <f>SUM(AX4:AX20)-'Sankey 2035'!K20</f>
        <v>0.19238439859694978</v>
      </c>
    </row>
    <row r="23" spans="1:50" ht="12.75" x14ac:dyDescent="0.2">
      <c r="A23" s="50" t="s">
        <v>75</v>
      </c>
      <c r="B23" s="564"/>
      <c r="C23" s="564"/>
      <c r="D23" s="564"/>
      <c r="E23" s="614"/>
      <c r="F23" s="564"/>
      <c r="G23" s="52"/>
      <c r="I23" s="47" t="s">
        <v>40</v>
      </c>
      <c r="J23" s="47">
        <f>B37</f>
        <v>5.6769428616203248</v>
      </c>
      <c r="K23" s="47">
        <f>C37</f>
        <v>5.7357906392812232</v>
      </c>
      <c r="L23" s="47">
        <f t="shared" ref="L23:N23" si="39">D37</f>
        <v>5.5172701210077495</v>
      </c>
      <c r="M23" s="47">
        <f t="shared" si="39"/>
        <v>5.3088871585514861</v>
      </c>
      <c r="N23" s="47">
        <f t="shared" si="39"/>
        <v>5.3218801181750512</v>
      </c>
      <c r="O23" s="61"/>
      <c r="P23" s="47" t="s">
        <v>40</v>
      </c>
      <c r="Q23" s="47">
        <f>'FLUX 2015'!$K$44</f>
        <v>5.6769428616203248</v>
      </c>
      <c r="R23" s="47">
        <f>'FLUX 2020'!$K$44</f>
        <v>5.7357906392812232</v>
      </c>
      <c r="S23" s="47">
        <f>'FLUX 2025'!$K$44</f>
        <v>5.5172701210077495</v>
      </c>
      <c r="T23" s="47">
        <f>'FLUX 2030'!$K$44</f>
        <v>5.3088871585514861</v>
      </c>
      <c r="U23" s="47">
        <f>'FLUX 2035'!$K$44</f>
        <v>5.3218801181750512</v>
      </c>
      <c r="V23" s="43"/>
      <c r="W23" s="43"/>
      <c r="X23" s="43"/>
      <c r="AE23" s="63"/>
      <c r="AF23" s="63"/>
      <c r="AG23" s="63"/>
    </row>
    <row r="24" spans="1:50" ht="12.75" x14ac:dyDescent="0.2">
      <c r="A24" s="49" t="s">
        <v>90</v>
      </c>
      <c r="B24" s="563"/>
      <c r="C24" s="563"/>
      <c r="D24" s="563"/>
      <c r="E24" s="613"/>
      <c r="F24" s="563"/>
      <c r="G24" s="52"/>
      <c r="Q24" s="565">
        <f>Q2-'FLUX 2015'!$AJ$5</f>
        <v>0.65924708141491806</v>
      </c>
      <c r="R24" s="565">
        <f>R2-'FLUX 2020'!$AJ$5</f>
        <v>0.52789952111996286</v>
      </c>
      <c r="S24" s="565">
        <f>S2-'FLUX 2025'!$AJ$5</f>
        <v>0.47595867721730656</v>
      </c>
      <c r="T24" s="565">
        <f>T2-'FLUX 2030'!$AJ$5</f>
        <v>0.4338871163065221</v>
      </c>
      <c r="U24" s="565">
        <f>U2-'FLUX 2035'!$AJ$5</f>
        <v>0.41929176525911771</v>
      </c>
    </row>
    <row r="25" spans="1:50" x14ac:dyDescent="0.2">
      <c r="A25" s="50" t="s">
        <v>91</v>
      </c>
      <c r="B25" s="564"/>
      <c r="C25" s="564"/>
      <c r="D25" s="564"/>
      <c r="E25" s="614"/>
      <c r="F25" s="564"/>
      <c r="G25" s="52"/>
      <c r="T25" s="566"/>
      <c r="U25" s="43"/>
    </row>
    <row r="26" spans="1:50" ht="12.75" x14ac:dyDescent="0.2">
      <c r="A26" s="49" t="s">
        <v>32</v>
      </c>
      <c r="B26" s="563"/>
      <c r="C26" s="563"/>
      <c r="D26" s="563"/>
      <c r="E26" s="613"/>
      <c r="F26" s="563"/>
      <c r="G26" s="52"/>
      <c r="J26" s="42">
        <v>2015</v>
      </c>
      <c r="K26" s="390">
        <v>2020</v>
      </c>
      <c r="L26" s="621">
        <v>2025</v>
      </c>
      <c r="M26" s="621">
        <v>2030</v>
      </c>
      <c r="N26" s="621">
        <v>2035</v>
      </c>
      <c r="Q26" s="42">
        <v>2015</v>
      </c>
      <c r="R26" s="390">
        <v>2020</v>
      </c>
      <c r="S26" s="621">
        <v>2025</v>
      </c>
      <c r="T26" s="621">
        <v>2030</v>
      </c>
      <c r="U26" s="621">
        <v>2035</v>
      </c>
    </row>
    <row r="27" spans="1:50" ht="48.75" customHeight="1" x14ac:dyDescent="0.25">
      <c r="A27" s="57" t="s">
        <v>72</v>
      </c>
      <c r="B27" s="561">
        <f>SUM(B28:B33)</f>
        <v>49.607735236436326</v>
      </c>
      <c r="C27" s="561">
        <f>SUM(C28:C33)</f>
        <v>50.218153833703639</v>
      </c>
      <c r="D27" s="561">
        <f>SUM(D28:D33)</f>
        <v>49.737253391207943</v>
      </c>
      <c r="E27" s="561">
        <f>SUM(E28:E33)</f>
        <v>49.157127979186171</v>
      </c>
      <c r="F27" s="561">
        <f>SUM(F28:F33)</f>
        <v>48.191511250976447</v>
      </c>
      <c r="G27" s="54"/>
      <c r="I27" s="623" t="s">
        <v>547</v>
      </c>
      <c r="J27" s="44"/>
      <c r="K27" s="44"/>
      <c r="L27" s="44"/>
      <c r="M27" s="44"/>
      <c r="N27" s="44"/>
      <c r="P27" s="623" t="s">
        <v>542</v>
      </c>
      <c r="Q27" s="44"/>
      <c r="R27" s="44"/>
      <c r="S27" s="44"/>
      <c r="T27" s="44"/>
      <c r="U27" s="44"/>
    </row>
    <row r="28" spans="1:50" ht="12.75" x14ac:dyDescent="0.2">
      <c r="A28" s="58" t="s">
        <v>73</v>
      </c>
      <c r="B28" s="562">
        <f>'FLUX 2015'!$G$24-'FLUX 2015'!$S$23+'FLUX 2015'!$G$43</f>
        <v>33.20569414280736</v>
      </c>
      <c r="C28" s="562">
        <f>'FLUX 2020'!$G$24-'FLUX 2020'!$S$23+'FLUX 2020'!$G$43</f>
        <v>32.030370332208363</v>
      </c>
      <c r="D28" s="562">
        <f>'FLUX 2025'!$G$24-'FLUX 2025'!$S$23+'FLUX 2025'!$G$43</f>
        <v>31.249263248198101</v>
      </c>
      <c r="E28" s="562">
        <f>'FLUX 2030'!$G$24-'FLUX 2030'!$S$23+'FLUX 2030'!$G$43</f>
        <v>30.36918860059841</v>
      </c>
      <c r="F28" s="562">
        <f>'FLUX 2035'!$G$24-'FLUX 2035'!$S$23+'FLUX 2035'!$G$43</f>
        <v>29.483826529751671</v>
      </c>
      <c r="G28" s="54"/>
      <c r="I28" s="47" t="s">
        <v>66</v>
      </c>
      <c r="J28" s="47"/>
      <c r="K28" s="47"/>
      <c r="L28" s="47"/>
      <c r="M28" s="47"/>
      <c r="N28" s="47"/>
      <c r="P28" s="47" t="s">
        <v>66</v>
      </c>
      <c r="Q28" s="47"/>
      <c r="R28" s="47"/>
      <c r="S28" s="47"/>
      <c r="T28" s="47"/>
      <c r="U28" s="47"/>
    </row>
    <row r="29" spans="1:50" ht="12.75" x14ac:dyDescent="0.2">
      <c r="A29" s="58" t="s">
        <v>92</v>
      </c>
      <c r="B29" s="562">
        <f>'FLUX 2015'!$G$29+'FLUX 2015'!$G$35</f>
        <v>13.540717597702224</v>
      </c>
      <c r="C29" s="562">
        <f>'FLUX 2020'!$G$29+'FLUX 2020'!$G$35</f>
        <v>15.168776193637902</v>
      </c>
      <c r="D29" s="562">
        <f>'FLUX 2025'!$G$29+'FLUX 2025'!$G$35</f>
        <v>15.293736465383139</v>
      </c>
      <c r="E29" s="48">
        <f>'FLUX 2030'!$G$29+'FLUX 2030'!$G$35</f>
        <v>15.457518957188363</v>
      </c>
      <c r="F29" s="562">
        <f>'FLUX 2035'!$G$29+'FLUX 2035'!$G$35</f>
        <v>15.237702247549423</v>
      </c>
      <c r="G29" s="54"/>
      <c r="I29" s="48" t="s">
        <v>67</v>
      </c>
      <c r="J29" s="624">
        <f>J4/J$3</f>
        <v>0.93625919611983577</v>
      </c>
      <c r="K29" s="624">
        <f t="shared" ref="K29:N30" si="40">K4/K$3</f>
        <v>0.93774878364640979</v>
      </c>
      <c r="L29" s="624">
        <f t="shared" si="40"/>
        <v>0.93448799530520754</v>
      </c>
      <c r="M29" s="624">
        <f t="shared" si="40"/>
        <v>0.93125692408351923</v>
      </c>
      <c r="N29" s="624">
        <f t="shared" si="40"/>
        <v>0.9315581328052468</v>
      </c>
      <c r="P29" s="48" t="s">
        <v>67</v>
      </c>
      <c r="Q29" s="624">
        <f>Q4/Q$3</f>
        <v>0.92999999999999994</v>
      </c>
      <c r="R29" s="624">
        <f t="shared" ref="R29:U30" si="41">R4/R$3</f>
        <v>0.92</v>
      </c>
      <c r="S29" s="624">
        <f t="shared" si="41"/>
        <v>0.91499999999999992</v>
      </c>
      <c r="T29" s="624">
        <f t="shared" si="41"/>
        <v>0.91</v>
      </c>
      <c r="U29" s="624">
        <f>U4/U$3</f>
        <v>0.91</v>
      </c>
    </row>
    <row r="30" spans="1:50" ht="12.75" x14ac:dyDescent="0.2">
      <c r="A30" s="58" t="s">
        <v>93</v>
      </c>
      <c r="B30" s="562">
        <f>'FLUX 2015'!$G$26+'FLUX 2015'!$G$28+'FLUX 2015'!$G$30+'FLUX 2015'!$G$34</f>
        <v>0.13795765394689941</v>
      </c>
      <c r="C30" s="562">
        <f>'FLUX 2020'!$G$26+'FLUX 2020'!$G$28+'FLUX 2020'!$G$30+'FLUX 2020'!$G$34</f>
        <v>0.15293512138261758</v>
      </c>
      <c r="D30" s="562">
        <f>'FLUX 2025'!$G$26+'FLUX 2025'!$G$28+'FLUX 2025'!$G$30+'FLUX 2025'!$G$34</f>
        <v>0.15445019242835842</v>
      </c>
      <c r="E30" s="48">
        <f>'FLUX 2030'!$G$26+'FLUX 2030'!$G$28+'FLUX 2030'!$G$30+'FLUX 2030'!$G$34</f>
        <v>0.15605672341012594</v>
      </c>
      <c r="F30" s="562">
        <f>'FLUX 2035'!$G$26+'FLUX 2035'!$G$28+'FLUX 2035'!$G$30+'FLUX 2035'!$G$34</f>
        <v>0.15800065494576065</v>
      </c>
      <c r="G30" s="55"/>
      <c r="I30" s="48" t="s">
        <v>65</v>
      </c>
      <c r="J30" s="624">
        <f>J5/J$3</f>
        <v>6.3740803880164204E-2</v>
      </c>
      <c r="K30" s="624">
        <f t="shared" si="40"/>
        <v>6.2251216353590176E-2</v>
      </c>
      <c r="L30" s="624">
        <f t="shared" si="40"/>
        <v>6.5512004694792472E-2</v>
      </c>
      <c r="M30" s="624">
        <f t="shared" si="40"/>
        <v>6.8743075916480767E-2</v>
      </c>
      <c r="N30" s="624">
        <f t="shared" si="40"/>
        <v>6.8441867194753148E-2</v>
      </c>
      <c r="P30" s="48" t="s">
        <v>65</v>
      </c>
      <c r="Q30" s="624">
        <f>Q5/Q$3</f>
        <v>7.0000000000000007E-2</v>
      </c>
      <c r="R30" s="624">
        <f t="shared" si="41"/>
        <v>0.08</v>
      </c>
      <c r="S30" s="624">
        <f t="shared" si="41"/>
        <v>8.5000000000000006E-2</v>
      </c>
      <c r="T30" s="624">
        <f t="shared" si="41"/>
        <v>0.09</v>
      </c>
      <c r="U30" s="624">
        <f t="shared" si="41"/>
        <v>0.09</v>
      </c>
    </row>
    <row r="31" spans="1:50" ht="12.75" x14ac:dyDescent="0.2">
      <c r="A31" s="58" t="s">
        <v>74</v>
      </c>
      <c r="B31" s="562">
        <f>'FLUX 2015'!$G$27+'FLUX 2015'!$G$42</f>
        <v>0.89292703980625387</v>
      </c>
      <c r="C31" s="562">
        <f>'FLUX 2020'!$G$27+'FLUX 2020'!$G$42</f>
        <v>0.87015513225003804</v>
      </c>
      <c r="D31" s="562">
        <f>'FLUX 2025'!$G$27+'FLUX 2025'!$G$42</f>
        <v>0.87877543368411182</v>
      </c>
      <c r="E31" s="48">
        <f>'FLUX 2030'!$G$27+'FLUX 2030'!$G$42</f>
        <v>0.88791611481912924</v>
      </c>
      <c r="F31" s="562">
        <f>'FLUX 2035'!$G$27+'FLUX 2035'!$G$42</f>
        <v>0.89897650426520914</v>
      </c>
      <c r="G31" s="55"/>
      <c r="I31" s="48" t="s">
        <v>83</v>
      </c>
      <c r="J31" s="48"/>
      <c r="K31" s="48"/>
      <c r="L31" s="48"/>
      <c r="M31" s="48"/>
      <c r="N31" s="48"/>
      <c r="P31" s="48" t="s">
        <v>83</v>
      </c>
      <c r="Q31" s="48"/>
      <c r="R31" s="48"/>
      <c r="S31" s="48"/>
      <c r="T31" s="48"/>
      <c r="U31" s="48"/>
    </row>
    <row r="32" spans="1:50" ht="12.75" x14ac:dyDescent="0.2">
      <c r="A32" s="58" t="s">
        <v>75</v>
      </c>
      <c r="B32" s="48">
        <f>'FLUX 2015'!$G$30</f>
        <v>0.13795765394689941</v>
      </c>
      <c r="C32" s="48">
        <f>'FLUX 2020'!$G$30</f>
        <v>0.15293512138261758</v>
      </c>
      <c r="D32" s="48">
        <f>'FLUX 2025'!$G$30</f>
        <v>0.15445019242835842</v>
      </c>
      <c r="E32" s="48">
        <f>'FLUX 2030'!$G$30</f>
        <v>0.15605672341012594</v>
      </c>
      <c r="F32" s="48">
        <f>'FLUX 2035'!$G$30</f>
        <v>0.15800065494576065</v>
      </c>
      <c r="G32" s="55"/>
      <c r="I32" s="47" t="s">
        <v>54</v>
      </c>
      <c r="J32" s="47"/>
      <c r="K32" s="47"/>
      <c r="L32" s="47"/>
      <c r="M32" s="47"/>
      <c r="N32" s="47"/>
      <c r="P32" s="47" t="s">
        <v>54</v>
      </c>
      <c r="Q32" s="47"/>
      <c r="R32" s="47"/>
      <c r="S32" s="47"/>
      <c r="T32" s="47"/>
      <c r="U32" s="47"/>
    </row>
    <row r="33" spans="1:21" ht="12.75" x14ac:dyDescent="0.2">
      <c r="A33" s="58" t="s">
        <v>94</v>
      </c>
      <c r="B33" s="567">
        <f>'FLUX 2015'!$G$31+'FLUX 2015'!$G$37+'FLUX 2015'!$G$38</f>
        <v>1.6924811482266904</v>
      </c>
      <c r="C33" s="567">
        <f>'FLUX 2020'!$G$31+'FLUX 2020'!$G$37+'FLUX 2020'!$G$38</f>
        <v>1.842981932842092</v>
      </c>
      <c r="D33" s="567">
        <f>'FLUX 2025'!$G$31+'FLUX 2025'!$G$37+'FLUX 2025'!$G$38</f>
        <v>2.0065778590858763</v>
      </c>
      <c r="E33" s="615">
        <f>'FLUX 2030'!$G$31+'FLUX 2030'!$G$37+'FLUX 2030'!$G$38</f>
        <v>2.1303908597600234</v>
      </c>
      <c r="F33" s="567">
        <f>'FLUX 2035'!$G$31+'FLUX 2035'!$G$37+'FLUX 2035'!$G$38</f>
        <v>2.2550046595186286</v>
      </c>
      <c r="G33" s="55"/>
      <c r="I33" s="48" t="s">
        <v>24</v>
      </c>
      <c r="J33" s="624">
        <f>J8/J$7</f>
        <v>0.82663536562952256</v>
      </c>
      <c r="K33" s="624">
        <f t="shared" ref="K33:N33" si="42">K8/K$7</f>
        <v>0.78825403558709706</v>
      </c>
      <c r="L33" s="624">
        <f t="shared" si="42"/>
        <v>0.7380127209783639</v>
      </c>
      <c r="M33" s="624">
        <f t="shared" si="42"/>
        <v>0.6865128105501267</v>
      </c>
      <c r="N33" s="624">
        <f t="shared" si="42"/>
        <v>0.65188988775588264</v>
      </c>
      <c r="P33" s="48" t="s">
        <v>24</v>
      </c>
      <c r="Q33" s="624">
        <f>Q8/Q$7</f>
        <v>0.731382722519063</v>
      </c>
      <c r="R33" s="624">
        <f t="shared" ref="R33:U33" si="43">R8/R$7</f>
        <v>0.67862922275901627</v>
      </c>
      <c r="S33" s="624">
        <f t="shared" si="43"/>
        <v>0.61252548020166886</v>
      </c>
      <c r="T33" s="624">
        <f t="shared" si="43"/>
        <v>0.55040720468944482</v>
      </c>
      <c r="U33" s="624">
        <f t="shared" si="43"/>
        <v>0.50635166064448589</v>
      </c>
    </row>
    <row r="34" spans="1:21" ht="12.75" x14ac:dyDescent="0.2">
      <c r="A34" s="49" t="s">
        <v>35</v>
      </c>
      <c r="B34" s="563"/>
      <c r="C34" s="563"/>
      <c r="D34" s="563"/>
      <c r="E34" s="613"/>
      <c r="F34" s="563"/>
      <c r="G34" s="52"/>
      <c r="I34" s="48" t="s">
        <v>543</v>
      </c>
      <c r="J34" s="624">
        <f t="shared" ref="J34:N40" si="44">J9/J$7</f>
        <v>4.1602567841849646E-3</v>
      </c>
      <c r="K34" s="624">
        <f t="shared" si="44"/>
        <v>3.7171594338653198E-3</v>
      </c>
      <c r="L34" s="624">
        <f t="shared" si="44"/>
        <v>7.9291416356696751E-4</v>
      </c>
      <c r="M34" s="624">
        <f t="shared" si="44"/>
        <v>3.4803932468381333E-4</v>
      </c>
      <c r="N34" s="624">
        <f t="shared" si="44"/>
        <v>3.5395419140550225E-4</v>
      </c>
      <c r="P34" s="48" t="s">
        <v>543</v>
      </c>
      <c r="Q34" s="624">
        <f t="shared" ref="Q34:U40" si="45">Q9/Q$7</f>
        <v>4.2387848649590616E-3</v>
      </c>
      <c r="R34" s="624">
        <f t="shared" si="45"/>
        <v>3.7278250757562131E-3</v>
      </c>
      <c r="S34" s="624">
        <f t="shared" si="45"/>
        <v>7.7374906519124976E-4</v>
      </c>
      <c r="T34" s="624">
        <f t="shared" si="45"/>
        <v>3.3110071351581341E-4</v>
      </c>
      <c r="U34" s="624">
        <f t="shared" si="45"/>
        <v>3.2704436337786157E-4</v>
      </c>
    </row>
    <row r="35" spans="1:21" ht="12.75" x14ac:dyDescent="0.2">
      <c r="A35" s="50" t="s">
        <v>30</v>
      </c>
      <c r="B35" s="564"/>
      <c r="C35" s="564"/>
      <c r="D35" s="564"/>
      <c r="E35" s="614"/>
      <c r="F35" s="564"/>
      <c r="G35" s="52"/>
      <c r="I35" s="48" t="s">
        <v>544</v>
      </c>
      <c r="J35" s="624">
        <f t="shared" si="44"/>
        <v>3.255820323621459E-2</v>
      </c>
      <c r="K35" s="624">
        <f t="shared" si="44"/>
        <v>6.5206546188844583E-2</v>
      </c>
      <c r="L35" s="624">
        <f t="shared" si="44"/>
        <v>9.915056449080667E-2</v>
      </c>
      <c r="M35" s="624">
        <f t="shared" si="44"/>
        <v>0.14130700887908143</v>
      </c>
      <c r="N35" s="624">
        <f t="shared" si="44"/>
        <v>0.16817495911253377</v>
      </c>
      <c r="P35" s="48" t="s">
        <v>544</v>
      </c>
      <c r="Q35" s="624">
        <f t="shared" si="45"/>
        <v>4.0377233748357159E-2</v>
      </c>
      <c r="R35" s="624">
        <f t="shared" si="45"/>
        <v>7.0895586214421977E-2</v>
      </c>
      <c r="S35" s="624">
        <f t="shared" si="45"/>
        <v>0.10220157006796125</v>
      </c>
      <c r="T35" s="624">
        <f t="shared" si="45"/>
        <v>0.1400898759144866</v>
      </c>
      <c r="U35" s="624">
        <f t="shared" si="45"/>
        <v>0.16517137954228628</v>
      </c>
    </row>
    <row r="36" spans="1:21" ht="12.75" x14ac:dyDescent="0.2">
      <c r="A36" s="49" t="s">
        <v>81</v>
      </c>
      <c r="B36" s="563"/>
      <c r="C36" s="563"/>
      <c r="D36" s="563"/>
      <c r="E36" s="613"/>
      <c r="F36" s="563"/>
      <c r="G36" s="52"/>
      <c r="I36" s="48" t="s">
        <v>545</v>
      </c>
      <c r="J36" s="624">
        <f t="shared" si="44"/>
        <v>5.0195794822693651E-2</v>
      </c>
      <c r="K36" s="624">
        <f t="shared" si="44"/>
        <v>4.0832558582925664E-2</v>
      </c>
      <c r="L36" s="624">
        <f t="shared" si="44"/>
        <v>3.7696963289393731E-2</v>
      </c>
      <c r="M36" s="624">
        <f t="shared" si="44"/>
        <v>3.4863641710902393E-2</v>
      </c>
      <c r="N36" s="624">
        <f t="shared" si="44"/>
        <v>3.1825975646320885E-2</v>
      </c>
      <c r="P36" s="48" t="s">
        <v>545</v>
      </c>
      <c r="Q36" s="624">
        <f t="shared" si="45"/>
        <v>4.1710899847620574E-2</v>
      </c>
      <c r="R36" s="624">
        <f t="shared" si="45"/>
        <v>3.2510356741868557E-2</v>
      </c>
      <c r="S36" s="624">
        <f t="shared" si="45"/>
        <v>2.8728701643091818E-2</v>
      </c>
      <c r="T36" s="624">
        <f t="shared" si="45"/>
        <v>2.5523970375258373E-2</v>
      </c>
      <c r="U36" s="624">
        <f t="shared" si="45"/>
        <v>2.2528005437214744E-2</v>
      </c>
    </row>
    <row r="37" spans="1:21" ht="12.75" x14ac:dyDescent="0.2">
      <c r="A37" s="57" t="s">
        <v>40</v>
      </c>
      <c r="B37" s="561">
        <f>'FLUX 2015'!$G$44</f>
        <v>5.6769428616203248</v>
      </c>
      <c r="C37" s="561">
        <f>'FLUX 2020'!$G$44</f>
        <v>5.7357906392812232</v>
      </c>
      <c r="D37" s="561">
        <f>'FLUX 2025'!$G$44</f>
        <v>5.5172701210077495</v>
      </c>
      <c r="E37" s="47">
        <f>'FLUX 2030'!$G$44</f>
        <v>5.3088871585514861</v>
      </c>
      <c r="F37" s="561">
        <f>'FLUX 2035'!$G$44</f>
        <v>5.3218801181750512</v>
      </c>
      <c r="G37" s="55"/>
      <c r="I37" s="48" t="s">
        <v>69</v>
      </c>
      <c r="J37" s="624">
        <f t="shared" si="44"/>
        <v>1.3457472903955563E-2</v>
      </c>
      <c r="K37" s="624">
        <f t="shared" si="44"/>
        <v>2.5120873125846592E-2</v>
      </c>
      <c r="L37" s="624">
        <f t="shared" si="44"/>
        <v>3.7341552808257572E-2</v>
      </c>
      <c r="M37" s="624">
        <f t="shared" si="44"/>
        <v>4.4225720232347089E-2</v>
      </c>
      <c r="N37" s="624">
        <f t="shared" si="44"/>
        <v>4.8062874203552035E-2</v>
      </c>
      <c r="P37" s="48" t="s">
        <v>69</v>
      </c>
      <c r="Q37" s="624">
        <f t="shared" si="45"/>
        <v>3.4938696590705157E-2</v>
      </c>
      <c r="R37" s="624">
        <f t="shared" si="45"/>
        <v>6.3717119589311352E-2</v>
      </c>
      <c r="S37" s="624">
        <f t="shared" si="45"/>
        <v>9.1632586092755278E-2</v>
      </c>
      <c r="T37" s="624">
        <f t="shared" si="45"/>
        <v>0.10530958900073148</v>
      </c>
      <c r="U37" s="624">
        <f t="shared" si="45"/>
        <v>0.11072121415117703</v>
      </c>
    </row>
    <row r="38" spans="1:21" ht="12.75" x14ac:dyDescent="0.2">
      <c r="B38" s="568"/>
      <c r="E38" s="43"/>
      <c r="F38" s="568"/>
      <c r="I38" s="48" t="s">
        <v>70</v>
      </c>
      <c r="J38" s="624">
        <f t="shared" si="44"/>
        <v>3.7135796532283241E-3</v>
      </c>
      <c r="K38" s="624">
        <f t="shared" si="44"/>
        <v>8.1118005700820429E-3</v>
      </c>
      <c r="L38" s="624">
        <f t="shared" si="44"/>
        <v>1.1874388965278999E-2</v>
      </c>
      <c r="M38" s="624">
        <f t="shared" si="44"/>
        <v>1.6223896508727249E-2</v>
      </c>
      <c r="N38" s="624">
        <f t="shared" si="44"/>
        <v>2.2475455960781515E-2</v>
      </c>
      <c r="P38" s="48" t="s">
        <v>70</v>
      </c>
      <c r="Q38" s="624">
        <f t="shared" si="45"/>
        <v>9.641307786702016E-3</v>
      </c>
      <c r="R38" s="624">
        <f t="shared" si="45"/>
        <v>2.0574944839743224E-2</v>
      </c>
      <c r="S38" s="624">
        <f t="shared" si="45"/>
        <v>2.9138611135602174E-2</v>
      </c>
      <c r="T38" s="624">
        <f t="shared" si="45"/>
        <v>3.8632087569781856E-2</v>
      </c>
      <c r="U38" s="624">
        <f t="shared" si="45"/>
        <v>5.1776133783322326E-2</v>
      </c>
    </row>
    <row r="39" spans="1:21" ht="12.75" x14ac:dyDescent="0.2">
      <c r="A39" s="42" t="s">
        <v>80</v>
      </c>
      <c r="B39" s="568"/>
      <c r="E39" s="43"/>
      <c r="F39" s="568"/>
      <c r="I39" s="48" t="s">
        <v>22</v>
      </c>
      <c r="J39" s="624">
        <f t="shared" si="44"/>
        <v>4.5854387238399005E-2</v>
      </c>
      <c r="K39" s="624">
        <f t="shared" si="44"/>
        <v>4.3118919802826249E-2</v>
      </c>
      <c r="L39" s="624">
        <f t="shared" si="44"/>
        <v>4.4392818732590857E-2</v>
      </c>
      <c r="M39" s="624">
        <f t="shared" si="44"/>
        <v>4.5493417896120436E-2</v>
      </c>
      <c r="N39" s="624">
        <f t="shared" si="44"/>
        <v>4.6451371967294958E-2</v>
      </c>
      <c r="P39" s="48" t="s">
        <v>22</v>
      </c>
      <c r="Q39" s="624">
        <f t="shared" si="45"/>
        <v>0.11904854669044156</v>
      </c>
      <c r="R39" s="624">
        <f t="shared" si="45"/>
        <v>0.10936775242780518</v>
      </c>
      <c r="S39" s="624">
        <f t="shared" si="45"/>
        <v>0.10893571753835907</v>
      </c>
      <c r="T39" s="624">
        <f t="shared" si="45"/>
        <v>0.10832821221869841</v>
      </c>
      <c r="U39" s="624">
        <f t="shared" si="45"/>
        <v>0.10700883904621364</v>
      </c>
    </row>
    <row r="40" spans="1:21" ht="12.75" x14ac:dyDescent="0.2">
      <c r="A40" s="42" t="s">
        <v>79</v>
      </c>
      <c r="B40" s="568">
        <f>B2-'FLUX 2015'!$G$41-'FLUX 2015'!$G$43</f>
        <v>252.34511557730985</v>
      </c>
      <c r="C40" s="568">
        <f>C2-'FLUX 2020'!$G$41-'FLUX 2020'!$G$43</f>
        <v>249.06891796139232</v>
      </c>
      <c r="D40" s="568">
        <f>D2-'FLUX 2025'!$G$41-'FLUX 2025'!$G$43</f>
        <v>244.15962170197491</v>
      </c>
      <c r="E40" s="43">
        <f>E2-'FLUX 2030'!$G$41-'FLUX 2030'!$G$43</f>
        <v>240.02907158068032</v>
      </c>
      <c r="F40" s="568">
        <f>F2-'FLUX 2035'!$G$41-'FLUX 2035'!$G$43</f>
        <v>237.46333785388993</v>
      </c>
      <c r="I40" s="48" t="s">
        <v>71</v>
      </c>
      <c r="J40" s="624">
        <f t="shared" si="44"/>
        <v>2.3424939731801361E-2</v>
      </c>
      <c r="K40" s="624">
        <f t="shared" si="44"/>
        <v>2.5638106708512645E-2</v>
      </c>
      <c r="L40" s="624">
        <f t="shared" si="44"/>
        <v>3.0738076571741282E-2</v>
      </c>
      <c r="M40" s="624">
        <f t="shared" si="44"/>
        <v>3.1025464898010988E-2</v>
      </c>
      <c r="N40" s="624">
        <f t="shared" si="44"/>
        <v>3.076552116222871E-2</v>
      </c>
      <c r="P40" s="48" t="s">
        <v>71</v>
      </c>
      <c r="Q40" s="624">
        <f t="shared" si="45"/>
        <v>1.8661807952151409E-2</v>
      </c>
      <c r="R40" s="624">
        <f t="shared" si="45"/>
        <v>2.0577192352077171E-2</v>
      </c>
      <c r="S40" s="624">
        <f t="shared" si="45"/>
        <v>2.6063584255370354E-2</v>
      </c>
      <c r="T40" s="624">
        <f t="shared" si="45"/>
        <v>3.1377959518082817E-2</v>
      </c>
      <c r="U40" s="624">
        <f t="shared" si="45"/>
        <v>3.6115723031922196E-2</v>
      </c>
    </row>
    <row r="41" spans="1:21" ht="12.75" x14ac:dyDescent="0.2">
      <c r="A41" s="42" t="s">
        <v>86</v>
      </c>
      <c r="B41" s="568">
        <f>('FLUX 2015'!$C13)</f>
        <v>4.3309490750307562</v>
      </c>
      <c r="C41" s="568">
        <f>('FLUX 2020'!$C13)</f>
        <v>4.7850841611254396</v>
      </c>
      <c r="D41" s="568">
        <f>('FLUX 2025'!$C13)</f>
        <v>5.0501375771517285</v>
      </c>
      <c r="E41" s="43">
        <f>('FLUX 2030'!$C13)</f>
        <v>5.3286902890840064</v>
      </c>
      <c r="F41" s="568">
        <f>('FLUX 2035'!$C13)</f>
        <v>5.4100717534313203</v>
      </c>
      <c r="I41" s="47" t="s">
        <v>72</v>
      </c>
      <c r="J41" s="47"/>
      <c r="K41" s="47"/>
      <c r="L41" s="47"/>
      <c r="M41" s="47"/>
      <c r="N41" s="47"/>
      <c r="P41" s="47" t="s">
        <v>72</v>
      </c>
      <c r="Q41" s="47"/>
      <c r="R41" s="47"/>
      <c r="S41" s="47"/>
      <c r="T41" s="47"/>
      <c r="U41" s="47"/>
    </row>
    <row r="42" spans="1:21" ht="12.75" x14ac:dyDescent="0.2">
      <c r="A42" s="42" t="s">
        <v>81</v>
      </c>
      <c r="B42" s="568"/>
      <c r="E42" s="43"/>
      <c r="F42" s="568"/>
      <c r="I42" s="48" t="s">
        <v>73</v>
      </c>
      <c r="J42" s="624">
        <f>J17/J$16</f>
        <v>0.66936525089373866</v>
      </c>
      <c r="K42" s="624">
        <f t="shared" ref="K42:N42" si="46">K17/K$16</f>
        <v>0.63782452931814781</v>
      </c>
      <c r="L42" s="624">
        <f t="shared" si="46"/>
        <v>0.62828686985200588</v>
      </c>
      <c r="M42" s="624">
        <f t="shared" si="46"/>
        <v>0.6177982695298464</v>
      </c>
      <c r="N42" s="624">
        <f t="shared" si="46"/>
        <v>0.611805394028897</v>
      </c>
      <c r="P42" s="48" t="s">
        <v>73</v>
      </c>
      <c r="Q42" s="624">
        <f>Q17/Q$16</f>
        <v>0.66122930173247574</v>
      </c>
      <c r="R42" s="624">
        <f t="shared" ref="R42:U42" si="47">R17/R$16</f>
        <v>0.6289115903364596</v>
      </c>
      <c r="S42" s="624">
        <f t="shared" si="47"/>
        <v>0.61827655277361881</v>
      </c>
      <c r="T42" s="624">
        <f t="shared" si="47"/>
        <v>0.6065979484364642</v>
      </c>
      <c r="U42" s="624">
        <f t="shared" si="47"/>
        <v>0.59950557051892095</v>
      </c>
    </row>
    <row r="43" spans="1:21" ht="12.75" x14ac:dyDescent="0.2">
      <c r="A43" s="42" t="s">
        <v>85</v>
      </c>
      <c r="B43" s="568">
        <f>-'FLUX 2015'!$G26</f>
        <v>0</v>
      </c>
      <c r="C43" s="568">
        <f>-'FLUX 2020'!$G26</f>
        <v>0</v>
      </c>
      <c r="D43" s="568">
        <f>-'FLUX 2025'!$G26</f>
        <v>0</v>
      </c>
      <c r="E43" s="43">
        <f>-'FLUX 2030'!$G26</f>
        <v>0</v>
      </c>
      <c r="F43" s="568">
        <f>-'FLUX 2035'!$G26</f>
        <v>0</v>
      </c>
      <c r="I43" s="48" t="s">
        <v>76</v>
      </c>
      <c r="J43" s="624">
        <f t="shared" ref="J43:N47" si="48">J18/J$16</f>
        <v>0.2729557705701654</v>
      </c>
      <c r="K43" s="624">
        <f t="shared" si="48"/>
        <v>0.3020576233023019</v>
      </c>
      <c r="L43" s="624">
        <f t="shared" si="48"/>
        <v>0.30749057140510727</v>
      </c>
      <c r="M43" s="624">
        <f t="shared" si="48"/>
        <v>0.31445122188044217</v>
      </c>
      <c r="N43" s="624">
        <f t="shared" si="48"/>
        <v>0.31619058734624511</v>
      </c>
      <c r="P43" s="48" t="s">
        <v>76</v>
      </c>
      <c r="Q43" s="624">
        <f t="shared" ref="Q43:U47" si="49">Q18/Q$16</f>
        <v>0.28049436107638503</v>
      </c>
      <c r="R43" s="624">
        <f t="shared" si="49"/>
        <v>0.31001623595070932</v>
      </c>
      <c r="S43" s="624">
        <f t="shared" si="49"/>
        <v>0.31588638897744381</v>
      </c>
      <c r="T43" s="624">
        <f t="shared" si="49"/>
        <v>0.3233767309348724</v>
      </c>
      <c r="U43" s="624">
        <f t="shared" si="49"/>
        <v>0.32546712067192796</v>
      </c>
    </row>
    <row r="44" spans="1:21" ht="12.75" x14ac:dyDescent="0.2">
      <c r="A44" s="42" t="s">
        <v>84</v>
      </c>
      <c r="B44" s="568">
        <f>-'FLUX 2015'!$G16</f>
        <v>0</v>
      </c>
      <c r="C44" s="568">
        <f>-'FLUX 2020'!$G16</f>
        <v>0</v>
      </c>
      <c r="D44" s="568">
        <f>-'FLUX 2025'!$G16</f>
        <v>0</v>
      </c>
      <c r="E44" s="43">
        <f>-'FLUX 2030'!$G16</f>
        <v>0</v>
      </c>
      <c r="F44" s="568">
        <f>-'FLUX 2035'!$G16</f>
        <v>0</v>
      </c>
      <c r="I44" s="48" t="s">
        <v>77</v>
      </c>
      <c r="J44" s="624">
        <f t="shared" si="48"/>
        <v>2.7809706145498665E-3</v>
      </c>
      <c r="K44" s="624">
        <f t="shared" si="48"/>
        <v>3.0454150482922774E-3</v>
      </c>
      <c r="L44" s="624">
        <f t="shared" si="48"/>
        <v>3.1053221056163223E-3</v>
      </c>
      <c r="M44" s="624">
        <f t="shared" si="48"/>
        <v>3.1746509575620971E-3</v>
      </c>
      <c r="N44" s="624">
        <f t="shared" si="48"/>
        <v>3.2785992977665602E-3</v>
      </c>
      <c r="P44" s="48" t="s">
        <v>77</v>
      </c>
      <c r="Q44" s="624">
        <f t="shared" si="49"/>
        <v>0</v>
      </c>
      <c r="R44" s="624">
        <f t="shared" si="49"/>
        <v>0</v>
      </c>
      <c r="S44" s="624">
        <f t="shared" si="49"/>
        <v>0</v>
      </c>
      <c r="T44" s="624">
        <f t="shared" si="49"/>
        <v>0</v>
      </c>
      <c r="U44" s="624">
        <f t="shared" si="49"/>
        <v>0</v>
      </c>
    </row>
    <row r="45" spans="1:21" ht="12.75" x14ac:dyDescent="0.2">
      <c r="B45" s="568"/>
      <c r="E45" s="43"/>
      <c r="F45" s="568"/>
      <c r="I45" s="48" t="s">
        <v>74</v>
      </c>
      <c r="J45" s="624">
        <f t="shared" si="48"/>
        <v>1.7999754182497107E-2</v>
      </c>
      <c r="K45" s="624">
        <f t="shared" si="48"/>
        <v>1.7327501427701595E-2</v>
      </c>
      <c r="L45" s="624">
        <f t="shared" si="48"/>
        <v>1.7668354679180032E-2</v>
      </c>
      <c r="M45" s="624">
        <f t="shared" si="48"/>
        <v>1.8062815126121394E-2</v>
      </c>
      <c r="N45" s="624">
        <f t="shared" si="48"/>
        <v>1.8654250114370385E-2</v>
      </c>
      <c r="P45" s="48" t="s">
        <v>74</v>
      </c>
      <c r="Q45" s="624">
        <f t="shared" si="49"/>
        <v>1.8627474217946818E-2</v>
      </c>
      <c r="R45" s="624">
        <f t="shared" si="49"/>
        <v>1.7956564887141226E-2</v>
      </c>
      <c r="S45" s="624">
        <f t="shared" si="49"/>
        <v>1.8327147236721499E-2</v>
      </c>
      <c r="T45" s="624">
        <f t="shared" si="49"/>
        <v>1.8755959360413473E-2</v>
      </c>
      <c r="U45" s="624">
        <f t="shared" si="49"/>
        <v>1.9393157697077602E-2</v>
      </c>
    </row>
    <row r="46" spans="1:21" ht="12.75" x14ac:dyDescent="0.2">
      <c r="A46" s="42" t="s">
        <v>9</v>
      </c>
      <c r="B46" s="568">
        <f>B2</f>
        <v>265.89031010922099</v>
      </c>
      <c r="C46" s="568">
        <f>C2</f>
        <v>263.27442363306085</v>
      </c>
      <c r="D46" s="568">
        <f>D2</f>
        <v>259.0876704252766</v>
      </c>
      <c r="E46" s="43">
        <f>E2</f>
        <v>255.67966335561516</v>
      </c>
      <c r="F46" s="568">
        <f>F2</f>
        <v>253.71505447882512</v>
      </c>
      <c r="I46" s="48" t="s">
        <v>98</v>
      </c>
      <c r="J46" s="624">
        <f t="shared" si="48"/>
        <v>2.7809706145498665E-3</v>
      </c>
      <c r="K46" s="624">
        <f t="shared" si="48"/>
        <v>3.0454150482922774E-3</v>
      </c>
      <c r="L46" s="624">
        <f t="shared" si="48"/>
        <v>3.1053221056163223E-3</v>
      </c>
      <c r="M46" s="624">
        <f t="shared" si="48"/>
        <v>3.1746509575620971E-3</v>
      </c>
      <c r="N46" s="624">
        <f t="shared" si="48"/>
        <v>3.2785992977665602E-3</v>
      </c>
      <c r="P46" s="48" t="s">
        <v>98</v>
      </c>
      <c r="Q46" s="624">
        <f t="shared" si="49"/>
        <v>2.877953659709857E-3</v>
      </c>
      <c r="R46" s="624">
        <f t="shared" si="49"/>
        <v>3.1559768239586478E-3</v>
      </c>
      <c r="S46" s="624">
        <f t="shared" si="49"/>
        <v>3.2211089532937524E-3</v>
      </c>
      <c r="T46" s="624">
        <f t="shared" si="49"/>
        <v>3.2964753239058445E-3</v>
      </c>
      <c r="U46" s="624">
        <f t="shared" si="49"/>
        <v>3.4084668543247309E-3</v>
      </c>
    </row>
    <row r="47" spans="1:21" ht="12.75" x14ac:dyDescent="0.2">
      <c r="A47" s="42" t="s">
        <v>82</v>
      </c>
      <c r="B47" s="568">
        <f>'FLUX 2015'!$G$5</f>
        <v>265.10333397384534</v>
      </c>
      <c r="C47" s="568">
        <f>'FLUX 2020'!$G$5</f>
        <v>263.21490583379767</v>
      </c>
      <c r="D47" s="568">
        <f>'FLUX 2025'!$G$5</f>
        <v>259.05026318249884</v>
      </c>
      <c r="E47" s="43">
        <f>'FLUX 2030'!$G$5</f>
        <v>255.6642752093868</v>
      </c>
      <c r="F47" s="568">
        <f>'FLUX 2035'!$G$5</f>
        <v>253.72298874522971</v>
      </c>
      <c r="I47" s="48" t="s">
        <v>78</v>
      </c>
      <c r="J47" s="624">
        <f t="shared" si="48"/>
        <v>3.4117283124499138E-2</v>
      </c>
      <c r="K47" s="624">
        <f t="shared" si="48"/>
        <v>3.6699515855263973E-2</v>
      </c>
      <c r="L47" s="624">
        <f t="shared" si="48"/>
        <v>4.0343559852474266E-2</v>
      </c>
      <c r="M47" s="624">
        <f t="shared" si="48"/>
        <v>4.3338391548465999E-2</v>
      </c>
      <c r="N47" s="624">
        <f t="shared" si="48"/>
        <v>4.6792569914954431E-2</v>
      </c>
      <c r="P47" s="48" t="s">
        <v>78</v>
      </c>
      <c r="Q47" s="624">
        <f t="shared" si="49"/>
        <v>3.6770909313482598E-2</v>
      </c>
      <c r="R47" s="624">
        <f t="shared" si="49"/>
        <v>3.9959632001731187E-2</v>
      </c>
      <c r="S47" s="624">
        <f t="shared" si="49"/>
        <v>4.4288802058922154E-2</v>
      </c>
      <c r="T47" s="624">
        <f t="shared" si="49"/>
        <v>4.7972885944344089E-2</v>
      </c>
      <c r="U47" s="624">
        <f t="shared" si="49"/>
        <v>5.2225684257748858E-2</v>
      </c>
    </row>
    <row r="48" spans="1:21" ht="12.75" x14ac:dyDescent="0.2">
      <c r="I48" s="47" t="s">
        <v>40</v>
      </c>
      <c r="J48" s="47"/>
      <c r="K48" s="47"/>
      <c r="L48" s="47"/>
      <c r="M48" s="47"/>
      <c r="N48" s="47"/>
      <c r="P48" s="47" t="s">
        <v>40</v>
      </c>
      <c r="Q48" s="47"/>
      <c r="R48" s="47"/>
      <c r="S48" s="47"/>
      <c r="T48" s="47"/>
      <c r="U48" s="47"/>
    </row>
    <row r="49" spans="1:16" x14ac:dyDescent="0.2">
      <c r="I49" s="42" t="s">
        <v>546</v>
      </c>
      <c r="P49" s="42" t="s">
        <v>546</v>
      </c>
    </row>
    <row r="50" spans="1:16" x14ac:dyDescent="0.2">
      <c r="A50" s="42" t="s">
        <v>135</v>
      </c>
      <c r="C50" s="42"/>
      <c r="D50" s="42"/>
      <c r="E50" s="42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6"/>
  <sheetViews>
    <sheetView topLeftCell="C1" zoomScaleNormal="100" workbookViewId="0">
      <selection activeCell="AK23" sqref="AK23:AO37"/>
    </sheetView>
  </sheetViews>
  <sheetFormatPr baseColWidth="10" defaultRowHeight="12.75" x14ac:dyDescent="0.2"/>
  <cols>
    <col min="1" max="1" width="14.85546875" style="24" bestFit="1" customWidth="1"/>
    <col min="2" max="2" width="28" style="24" bestFit="1" customWidth="1"/>
    <col min="3" max="3" width="4.42578125" style="24" bestFit="1" customWidth="1"/>
    <col min="4" max="4" width="8" style="24" bestFit="1" customWidth="1"/>
    <col min="5" max="5" width="11.42578125" style="24"/>
    <col min="6" max="6" width="22.85546875" style="24" bestFit="1" customWidth="1"/>
    <col min="7" max="7" width="7" style="24" customWidth="1"/>
    <col min="8" max="8" width="6.28515625" style="24" customWidth="1"/>
    <col min="9" max="9" width="5.7109375" style="24" customWidth="1"/>
    <col min="10" max="10" width="5.7109375" style="24" bestFit="1" customWidth="1"/>
    <col min="11" max="11" width="5.85546875" style="24" bestFit="1" customWidth="1"/>
    <col min="12" max="12" width="9.42578125" style="24" customWidth="1"/>
    <col min="13" max="13" width="9.28515625" style="24" customWidth="1"/>
    <col min="14" max="14" width="9.7109375" style="24" customWidth="1"/>
    <col min="15" max="15" width="6.7109375" style="24" bestFit="1" customWidth="1"/>
    <col min="16" max="16" width="4.85546875" style="24" customWidth="1"/>
    <col min="17" max="17" width="5.28515625" style="24" customWidth="1"/>
    <col min="18" max="19" width="4.42578125" style="24" bestFit="1" customWidth="1"/>
    <col min="20" max="20" width="19.28515625" style="24" customWidth="1"/>
    <col min="21" max="21" width="6" style="24" customWidth="1"/>
    <col min="22" max="22" width="5.85546875" style="24" bestFit="1" customWidth="1"/>
    <col min="23" max="23" width="4.42578125" style="24" bestFit="1" customWidth="1"/>
    <col min="24" max="24" width="6.42578125" style="24" customWidth="1"/>
    <col min="25" max="26" width="5.42578125" style="24" bestFit="1" customWidth="1"/>
    <col min="27" max="27" width="4.42578125" style="24" bestFit="1" customWidth="1"/>
    <col min="28" max="28" width="7.28515625" style="24" customWidth="1"/>
    <col min="29" max="29" width="12.7109375" style="24" customWidth="1"/>
    <col min="30" max="256" width="11.42578125" style="24"/>
    <col min="257" max="257" width="14.85546875" style="24" bestFit="1" customWidth="1"/>
    <col min="258" max="258" width="28" style="24" bestFit="1" customWidth="1"/>
    <col min="259" max="259" width="4.42578125" style="24" bestFit="1" customWidth="1"/>
    <col min="260" max="260" width="8" style="24" bestFit="1" customWidth="1"/>
    <col min="261" max="261" width="11.42578125" style="24"/>
    <col min="262" max="262" width="22.85546875" style="24" bestFit="1" customWidth="1"/>
    <col min="263" max="263" width="7" style="24" customWidth="1"/>
    <col min="264" max="264" width="6.28515625" style="24" customWidth="1"/>
    <col min="265" max="265" width="5.7109375" style="24" customWidth="1"/>
    <col min="266" max="266" width="5.7109375" style="24" bestFit="1" customWidth="1"/>
    <col min="267" max="267" width="5.85546875" style="24" bestFit="1" customWidth="1"/>
    <col min="268" max="268" width="9.42578125" style="24" customWidth="1"/>
    <col min="269" max="269" width="5.140625" style="24" customWidth="1"/>
    <col min="270" max="270" width="9.7109375" style="24" customWidth="1"/>
    <col min="271" max="271" width="6.7109375" style="24" bestFit="1" customWidth="1"/>
    <col min="272" max="272" width="4.85546875" style="24" customWidth="1"/>
    <col min="273" max="273" width="5.28515625" style="24" customWidth="1"/>
    <col min="274" max="275" width="4.42578125" style="24" bestFit="1" customWidth="1"/>
    <col min="276" max="276" width="13.28515625" style="24" bestFit="1" customWidth="1"/>
    <col min="277" max="277" width="3.140625" style="24" customWidth="1"/>
    <col min="278" max="278" width="5.42578125" style="24" bestFit="1" customWidth="1"/>
    <col min="279" max="279" width="4.42578125" style="24" bestFit="1" customWidth="1"/>
    <col min="280" max="280" width="6.42578125" style="24" customWidth="1"/>
    <col min="281" max="281" width="5" style="24" bestFit="1" customWidth="1"/>
    <col min="282" max="282" width="4.5703125" style="24" bestFit="1" customWidth="1"/>
    <col min="283" max="283" width="4.42578125" style="24" bestFit="1" customWidth="1"/>
    <col min="284" max="284" width="4" style="24" customWidth="1"/>
    <col min="285" max="512" width="11.42578125" style="24"/>
    <col min="513" max="513" width="14.85546875" style="24" bestFit="1" customWidth="1"/>
    <col min="514" max="514" width="28" style="24" bestFit="1" customWidth="1"/>
    <col min="515" max="515" width="4.42578125" style="24" bestFit="1" customWidth="1"/>
    <col min="516" max="516" width="8" style="24" bestFit="1" customWidth="1"/>
    <col min="517" max="517" width="11.42578125" style="24"/>
    <col min="518" max="518" width="22.85546875" style="24" bestFit="1" customWidth="1"/>
    <col min="519" max="519" width="7" style="24" customWidth="1"/>
    <col min="520" max="520" width="6.28515625" style="24" customWidth="1"/>
    <col min="521" max="521" width="5.7109375" style="24" customWidth="1"/>
    <col min="522" max="522" width="5.7109375" style="24" bestFit="1" customWidth="1"/>
    <col min="523" max="523" width="5.85546875" style="24" bestFit="1" customWidth="1"/>
    <col min="524" max="524" width="9.42578125" style="24" customWidth="1"/>
    <col min="525" max="525" width="5.140625" style="24" customWidth="1"/>
    <col min="526" max="526" width="9.7109375" style="24" customWidth="1"/>
    <col min="527" max="527" width="6.7109375" style="24" bestFit="1" customWidth="1"/>
    <col min="528" max="528" width="4.85546875" style="24" customWidth="1"/>
    <col min="529" max="529" width="5.28515625" style="24" customWidth="1"/>
    <col min="530" max="531" width="4.42578125" style="24" bestFit="1" customWidth="1"/>
    <col min="532" max="532" width="13.28515625" style="24" bestFit="1" customWidth="1"/>
    <col min="533" max="533" width="3.140625" style="24" customWidth="1"/>
    <col min="534" max="534" width="5.42578125" style="24" bestFit="1" customWidth="1"/>
    <col min="535" max="535" width="4.42578125" style="24" bestFit="1" customWidth="1"/>
    <col min="536" max="536" width="6.42578125" style="24" customWidth="1"/>
    <col min="537" max="537" width="5" style="24" bestFit="1" customWidth="1"/>
    <col min="538" max="538" width="4.5703125" style="24" bestFit="1" customWidth="1"/>
    <col min="539" max="539" width="4.42578125" style="24" bestFit="1" customWidth="1"/>
    <col min="540" max="540" width="4" style="24" customWidth="1"/>
    <col min="541" max="768" width="11.42578125" style="24"/>
    <col min="769" max="769" width="14.85546875" style="24" bestFit="1" customWidth="1"/>
    <col min="770" max="770" width="28" style="24" bestFit="1" customWidth="1"/>
    <col min="771" max="771" width="4.42578125" style="24" bestFit="1" customWidth="1"/>
    <col min="772" max="772" width="8" style="24" bestFit="1" customWidth="1"/>
    <col min="773" max="773" width="11.42578125" style="24"/>
    <col min="774" max="774" width="22.85546875" style="24" bestFit="1" customWidth="1"/>
    <col min="775" max="775" width="7" style="24" customWidth="1"/>
    <col min="776" max="776" width="6.28515625" style="24" customWidth="1"/>
    <col min="777" max="777" width="5.7109375" style="24" customWidth="1"/>
    <col min="778" max="778" width="5.7109375" style="24" bestFit="1" customWidth="1"/>
    <col min="779" max="779" width="5.85546875" style="24" bestFit="1" customWidth="1"/>
    <col min="780" max="780" width="9.42578125" style="24" customWidth="1"/>
    <col min="781" max="781" width="5.140625" style="24" customWidth="1"/>
    <col min="782" max="782" width="9.7109375" style="24" customWidth="1"/>
    <col min="783" max="783" width="6.7109375" style="24" bestFit="1" customWidth="1"/>
    <col min="784" max="784" width="4.85546875" style="24" customWidth="1"/>
    <col min="785" max="785" width="5.28515625" style="24" customWidth="1"/>
    <col min="786" max="787" width="4.42578125" style="24" bestFit="1" customWidth="1"/>
    <col min="788" max="788" width="13.28515625" style="24" bestFit="1" customWidth="1"/>
    <col min="789" max="789" width="3.140625" style="24" customWidth="1"/>
    <col min="790" max="790" width="5.42578125" style="24" bestFit="1" customWidth="1"/>
    <col min="791" max="791" width="4.42578125" style="24" bestFit="1" customWidth="1"/>
    <col min="792" max="792" width="6.42578125" style="24" customWidth="1"/>
    <col min="793" max="793" width="5" style="24" bestFit="1" customWidth="1"/>
    <col min="794" max="794" width="4.5703125" style="24" bestFit="1" customWidth="1"/>
    <col min="795" max="795" width="4.42578125" style="24" bestFit="1" customWidth="1"/>
    <col min="796" max="796" width="4" style="24" customWidth="1"/>
    <col min="797" max="1024" width="11.42578125" style="24"/>
    <col min="1025" max="1025" width="14.85546875" style="24" bestFit="1" customWidth="1"/>
    <col min="1026" max="1026" width="28" style="24" bestFit="1" customWidth="1"/>
    <col min="1027" max="1027" width="4.42578125" style="24" bestFit="1" customWidth="1"/>
    <col min="1028" max="1028" width="8" style="24" bestFit="1" customWidth="1"/>
    <col min="1029" max="1029" width="11.42578125" style="24"/>
    <col min="1030" max="1030" width="22.85546875" style="24" bestFit="1" customWidth="1"/>
    <col min="1031" max="1031" width="7" style="24" customWidth="1"/>
    <col min="1032" max="1032" width="6.28515625" style="24" customWidth="1"/>
    <col min="1033" max="1033" width="5.7109375" style="24" customWidth="1"/>
    <col min="1034" max="1034" width="5.7109375" style="24" bestFit="1" customWidth="1"/>
    <col min="1035" max="1035" width="5.85546875" style="24" bestFit="1" customWidth="1"/>
    <col min="1036" max="1036" width="9.42578125" style="24" customWidth="1"/>
    <col min="1037" max="1037" width="5.140625" style="24" customWidth="1"/>
    <col min="1038" max="1038" width="9.7109375" style="24" customWidth="1"/>
    <col min="1039" max="1039" width="6.7109375" style="24" bestFit="1" customWidth="1"/>
    <col min="1040" max="1040" width="4.85546875" style="24" customWidth="1"/>
    <col min="1041" max="1041" width="5.28515625" style="24" customWidth="1"/>
    <col min="1042" max="1043" width="4.42578125" style="24" bestFit="1" customWidth="1"/>
    <col min="1044" max="1044" width="13.28515625" style="24" bestFit="1" customWidth="1"/>
    <col min="1045" max="1045" width="3.140625" style="24" customWidth="1"/>
    <col min="1046" max="1046" width="5.42578125" style="24" bestFit="1" customWidth="1"/>
    <col min="1047" max="1047" width="4.42578125" style="24" bestFit="1" customWidth="1"/>
    <col min="1048" max="1048" width="6.42578125" style="24" customWidth="1"/>
    <col min="1049" max="1049" width="5" style="24" bestFit="1" customWidth="1"/>
    <col min="1050" max="1050" width="4.5703125" style="24" bestFit="1" customWidth="1"/>
    <col min="1051" max="1051" width="4.42578125" style="24" bestFit="1" customWidth="1"/>
    <col min="1052" max="1052" width="4" style="24" customWidth="1"/>
    <col min="1053" max="1280" width="11.42578125" style="24"/>
    <col min="1281" max="1281" width="14.85546875" style="24" bestFit="1" customWidth="1"/>
    <col min="1282" max="1282" width="28" style="24" bestFit="1" customWidth="1"/>
    <col min="1283" max="1283" width="4.42578125" style="24" bestFit="1" customWidth="1"/>
    <col min="1284" max="1284" width="8" style="24" bestFit="1" customWidth="1"/>
    <col min="1285" max="1285" width="11.42578125" style="24"/>
    <col min="1286" max="1286" width="22.85546875" style="24" bestFit="1" customWidth="1"/>
    <col min="1287" max="1287" width="7" style="24" customWidth="1"/>
    <col min="1288" max="1288" width="6.28515625" style="24" customWidth="1"/>
    <col min="1289" max="1289" width="5.7109375" style="24" customWidth="1"/>
    <col min="1290" max="1290" width="5.7109375" style="24" bestFit="1" customWidth="1"/>
    <col min="1291" max="1291" width="5.85546875" style="24" bestFit="1" customWidth="1"/>
    <col min="1292" max="1292" width="9.42578125" style="24" customWidth="1"/>
    <col min="1293" max="1293" width="5.140625" style="24" customWidth="1"/>
    <col min="1294" max="1294" width="9.7109375" style="24" customWidth="1"/>
    <col min="1295" max="1295" width="6.7109375" style="24" bestFit="1" customWidth="1"/>
    <col min="1296" max="1296" width="4.85546875" style="24" customWidth="1"/>
    <col min="1297" max="1297" width="5.28515625" style="24" customWidth="1"/>
    <col min="1298" max="1299" width="4.42578125" style="24" bestFit="1" customWidth="1"/>
    <col min="1300" max="1300" width="13.28515625" style="24" bestFit="1" customWidth="1"/>
    <col min="1301" max="1301" width="3.140625" style="24" customWidth="1"/>
    <col min="1302" max="1302" width="5.42578125" style="24" bestFit="1" customWidth="1"/>
    <col min="1303" max="1303" width="4.42578125" style="24" bestFit="1" customWidth="1"/>
    <col min="1304" max="1304" width="6.42578125" style="24" customWidth="1"/>
    <col min="1305" max="1305" width="5" style="24" bestFit="1" customWidth="1"/>
    <col min="1306" max="1306" width="4.5703125" style="24" bestFit="1" customWidth="1"/>
    <col min="1307" max="1307" width="4.42578125" style="24" bestFit="1" customWidth="1"/>
    <col min="1308" max="1308" width="4" style="24" customWidth="1"/>
    <col min="1309" max="1536" width="11.42578125" style="24"/>
    <col min="1537" max="1537" width="14.85546875" style="24" bestFit="1" customWidth="1"/>
    <col min="1538" max="1538" width="28" style="24" bestFit="1" customWidth="1"/>
    <col min="1539" max="1539" width="4.42578125" style="24" bestFit="1" customWidth="1"/>
    <col min="1540" max="1540" width="8" style="24" bestFit="1" customWidth="1"/>
    <col min="1541" max="1541" width="11.42578125" style="24"/>
    <col min="1542" max="1542" width="22.85546875" style="24" bestFit="1" customWidth="1"/>
    <col min="1543" max="1543" width="7" style="24" customWidth="1"/>
    <col min="1544" max="1544" width="6.28515625" style="24" customWidth="1"/>
    <col min="1545" max="1545" width="5.7109375" style="24" customWidth="1"/>
    <col min="1546" max="1546" width="5.7109375" style="24" bestFit="1" customWidth="1"/>
    <col min="1547" max="1547" width="5.85546875" style="24" bestFit="1" customWidth="1"/>
    <col min="1548" max="1548" width="9.42578125" style="24" customWidth="1"/>
    <col min="1549" max="1549" width="5.140625" style="24" customWidth="1"/>
    <col min="1550" max="1550" width="9.7109375" style="24" customWidth="1"/>
    <col min="1551" max="1551" width="6.7109375" style="24" bestFit="1" customWidth="1"/>
    <col min="1552" max="1552" width="4.85546875" style="24" customWidth="1"/>
    <col min="1553" max="1553" width="5.28515625" style="24" customWidth="1"/>
    <col min="1554" max="1555" width="4.42578125" style="24" bestFit="1" customWidth="1"/>
    <col min="1556" max="1556" width="13.28515625" style="24" bestFit="1" customWidth="1"/>
    <col min="1557" max="1557" width="3.140625" style="24" customWidth="1"/>
    <col min="1558" max="1558" width="5.42578125" style="24" bestFit="1" customWidth="1"/>
    <col min="1559" max="1559" width="4.42578125" style="24" bestFit="1" customWidth="1"/>
    <col min="1560" max="1560" width="6.42578125" style="24" customWidth="1"/>
    <col min="1561" max="1561" width="5" style="24" bestFit="1" customWidth="1"/>
    <col min="1562" max="1562" width="4.5703125" style="24" bestFit="1" customWidth="1"/>
    <col min="1563" max="1563" width="4.42578125" style="24" bestFit="1" customWidth="1"/>
    <col min="1564" max="1564" width="4" style="24" customWidth="1"/>
    <col min="1565" max="1792" width="11.42578125" style="24"/>
    <col min="1793" max="1793" width="14.85546875" style="24" bestFit="1" customWidth="1"/>
    <col min="1794" max="1794" width="28" style="24" bestFit="1" customWidth="1"/>
    <col min="1795" max="1795" width="4.42578125" style="24" bestFit="1" customWidth="1"/>
    <col min="1796" max="1796" width="8" style="24" bestFit="1" customWidth="1"/>
    <col min="1797" max="1797" width="11.42578125" style="24"/>
    <col min="1798" max="1798" width="22.85546875" style="24" bestFit="1" customWidth="1"/>
    <col min="1799" max="1799" width="7" style="24" customWidth="1"/>
    <col min="1800" max="1800" width="6.28515625" style="24" customWidth="1"/>
    <col min="1801" max="1801" width="5.7109375" style="24" customWidth="1"/>
    <col min="1802" max="1802" width="5.7109375" style="24" bestFit="1" customWidth="1"/>
    <col min="1803" max="1803" width="5.85546875" style="24" bestFit="1" customWidth="1"/>
    <col min="1804" max="1804" width="9.42578125" style="24" customWidth="1"/>
    <col min="1805" max="1805" width="5.140625" style="24" customWidth="1"/>
    <col min="1806" max="1806" width="9.7109375" style="24" customWidth="1"/>
    <col min="1807" max="1807" width="6.7109375" style="24" bestFit="1" customWidth="1"/>
    <col min="1808" max="1808" width="4.85546875" style="24" customWidth="1"/>
    <col min="1809" max="1809" width="5.28515625" style="24" customWidth="1"/>
    <col min="1810" max="1811" width="4.42578125" style="24" bestFit="1" customWidth="1"/>
    <col min="1812" max="1812" width="13.28515625" style="24" bestFit="1" customWidth="1"/>
    <col min="1813" max="1813" width="3.140625" style="24" customWidth="1"/>
    <col min="1814" max="1814" width="5.42578125" style="24" bestFit="1" customWidth="1"/>
    <col min="1815" max="1815" width="4.42578125" style="24" bestFit="1" customWidth="1"/>
    <col min="1816" max="1816" width="6.42578125" style="24" customWidth="1"/>
    <col min="1817" max="1817" width="5" style="24" bestFit="1" customWidth="1"/>
    <col min="1818" max="1818" width="4.5703125" style="24" bestFit="1" customWidth="1"/>
    <col min="1819" max="1819" width="4.42578125" style="24" bestFit="1" customWidth="1"/>
    <col min="1820" max="1820" width="4" style="24" customWidth="1"/>
    <col min="1821" max="2048" width="11.42578125" style="24"/>
    <col min="2049" max="2049" width="14.85546875" style="24" bestFit="1" customWidth="1"/>
    <col min="2050" max="2050" width="28" style="24" bestFit="1" customWidth="1"/>
    <col min="2051" max="2051" width="4.42578125" style="24" bestFit="1" customWidth="1"/>
    <col min="2052" max="2052" width="8" style="24" bestFit="1" customWidth="1"/>
    <col min="2053" max="2053" width="11.42578125" style="24"/>
    <col min="2054" max="2054" width="22.85546875" style="24" bestFit="1" customWidth="1"/>
    <col min="2055" max="2055" width="7" style="24" customWidth="1"/>
    <col min="2056" max="2056" width="6.28515625" style="24" customWidth="1"/>
    <col min="2057" max="2057" width="5.7109375" style="24" customWidth="1"/>
    <col min="2058" max="2058" width="5.7109375" style="24" bestFit="1" customWidth="1"/>
    <col min="2059" max="2059" width="5.85546875" style="24" bestFit="1" customWidth="1"/>
    <col min="2060" max="2060" width="9.42578125" style="24" customWidth="1"/>
    <col min="2061" max="2061" width="5.140625" style="24" customWidth="1"/>
    <col min="2062" max="2062" width="9.7109375" style="24" customWidth="1"/>
    <col min="2063" max="2063" width="6.7109375" style="24" bestFit="1" customWidth="1"/>
    <col min="2064" max="2064" width="4.85546875" style="24" customWidth="1"/>
    <col min="2065" max="2065" width="5.28515625" style="24" customWidth="1"/>
    <col min="2066" max="2067" width="4.42578125" style="24" bestFit="1" customWidth="1"/>
    <col min="2068" max="2068" width="13.28515625" style="24" bestFit="1" customWidth="1"/>
    <col min="2069" max="2069" width="3.140625" style="24" customWidth="1"/>
    <col min="2070" max="2070" width="5.42578125" style="24" bestFit="1" customWidth="1"/>
    <col min="2071" max="2071" width="4.42578125" style="24" bestFit="1" customWidth="1"/>
    <col min="2072" max="2072" width="6.42578125" style="24" customWidth="1"/>
    <col min="2073" max="2073" width="5" style="24" bestFit="1" customWidth="1"/>
    <col min="2074" max="2074" width="4.5703125" style="24" bestFit="1" customWidth="1"/>
    <col min="2075" max="2075" width="4.42578125" style="24" bestFit="1" customWidth="1"/>
    <col min="2076" max="2076" width="4" style="24" customWidth="1"/>
    <col min="2077" max="2304" width="11.42578125" style="24"/>
    <col min="2305" max="2305" width="14.85546875" style="24" bestFit="1" customWidth="1"/>
    <col min="2306" max="2306" width="28" style="24" bestFit="1" customWidth="1"/>
    <col min="2307" max="2307" width="4.42578125" style="24" bestFit="1" customWidth="1"/>
    <col min="2308" max="2308" width="8" style="24" bestFit="1" customWidth="1"/>
    <col min="2309" max="2309" width="11.42578125" style="24"/>
    <col min="2310" max="2310" width="22.85546875" style="24" bestFit="1" customWidth="1"/>
    <col min="2311" max="2311" width="7" style="24" customWidth="1"/>
    <col min="2312" max="2312" width="6.28515625" style="24" customWidth="1"/>
    <col min="2313" max="2313" width="5.7109375" style="24" customWidth="1"/>
    <col min="2314" max="2314" width="5.7109375" style="24" bestFit="1" customWidth="1"/>
    <col min="2315" max="2315" width="5.85546875" style="24" bestFit="1" customWidth="1"/>
    <col min="2316" max="2316" width="9.42578125" style="24" customWidth="1"/>
    <col min="2317" max="2317" width="5.140625" style="24" customWidth="1"/>
    <col min="2318" max="2318" width="9.7109375" style="24" customWidth="1"/>
    <col min="2319" max="2319" width="6.7109375" style="24" bestFit="1" customWidth="1"/>
    <col min="2320" max="2320" width="4.85546875" style="24" customWidth="1"/>
    <col min="2321" max="2321" width="5.28515625" style="24" customWidth="1"/>
    <col min="2322" max="2323" width="4.42578125" style="24" bestFit="1" customWidth="1"/>
    <col min="2324" max="2324" width="13.28515625" style="24" bestFit="1" customWidth="1"/>
    <col min="2325" max="2325" width="3.140625" style="24" customWidth="1"/>
    <col min="2326" max="2326" width="5.42578125" style="24" bestFit="1" customWidth="1"/>
    <col min="2327" max="2327" width="4.42578125" style="24" bestFit="1" customWidth="1"/>
    <col min="2328" max="2328" width="6.42578125" style="24" customWidth="1"/>
    <col min="2329" max="2329" width="5" style="24" bestFit="1" customWidth="1"/>
    <col min="2330" max="2330" width="4.5703125" style="24" bestFit="1" customWidth="1"/>
    <col min="2331" max="2331" width="4.42578125" style="24" bestFit="1" customWidth="1"/>
    <col min="2332" max="2332" width="4" style="24" customWidth="1"/>
    <col min="2333" max="2560" width="11.42578125" style="24"/>
    <col min="2561" max="2561" width="14.85546875" style="24" bestFit="1" customWidth="1"/>
    <col min="2562" max="2562" width="28" style="24" bestFit="1" customWidth="1"/>
    <col min="2563" max="2563" width="4.42578125" style="24" bestFit="1" customWidth="1"/>
    <col min="2564" max="2564" width="8" style="24" bestFit="1" customWidth="1"/>
    <col min="2565" max="2565" width="11.42578125" style="24"/>
    <col min="2566" max="2566" width="22.85546875" style="24" bestFit="1" customWidth="1"/>
    <col min="2567" max="2567" width="7" style="24" customWidth="1"/>
    <col min="2568" max="2568" width="6.28515625" style="24" customWidth="1"/>
    <col min="2569" max="2569" width="5.7109375" style="24" customWidth="1"/>
    <col min="2570" max="2570" width="5.7109375" style="24" bestFit="1" customWidth="1"/>
    <col min="2571" max="2571" width="5.85546875" style="24" bestFit="1" customWidth="1"/>
    <col min="2572" max="2572" width="9.42578125" style="24" customWidth="1"/>
    <col min="2573" max="2573" width="5.140625" style="24" customWidth="1"/>
    <col min="2574" max="2574" width="9.7109375" style="24" customWidth="1"/>
    <col min="2575" max="2575" width="6.7109375" style="24" bestFit="1" customWidth="1"/>
    <col min="2576" max="2576" width="4.85546875" style="24" customWidth="1"/>
    <col min="2577" max="2577" width="5.28515625" style="24" customWidth="1"/>
    <col min="2578" max="2579" width="4.42578125" style="24" bestFit="1" customWidth="1"/>
    <col min="2580" max="2580" width="13.28515625" style="24" bestFit="1" customWidth="1"/>
    <col min="2581" max="2581" width="3.140625" style="24" customWidth="1"/>
    <col min="2582" max="2582" width="5.42578125" style="24" bestFit="1" customWidth="1"/>
    <col min="2583" max="2583" width="4.42578125" style="24" bestFit="1" customWidth="1"/>
    <col min="2584" max="2584" width="6.42578125" style="24" customWidth="1"/>
    <col min="2585" max="2585" width="5" style="24" bestFit="1" customWidth="1"/>
    <col min="2586" max="2586" width="4.5703125" style="24" bestFit="1" customWidth="1"/>
    <col min="2587" max="2587" width="4.42578125" style="24" bestFit="1" customWidth="1"/>
    <col min="2588" max="2588" width="4" style="24" customWidth="1"/>
    <col min="2589" max="2816" width="11.42578125" style="24"/>
    <col min="2817" max="2817" width="14.85546875" style="24" bestFit="1" customWidth="1"/>
    <col min="2818" max="2818" width="28" style="24" bestFit="1" customWidth="1"/>
    <col min="2819" max="2819" width="4.42578125" style="24" bestFit="1" customWidth="1"/>
    <col min="2820" max="2820" width="8" style="24" bestFit="1" customWidth="1"/>
    <col min="2821" max="2821" width="11.42578125" style="24"/>
    <col min="2822" max="2822" width="22.85546875" style="24" bestFit="1" customWidth="1"/>
    <col min="2823" max="2823" width="7" style="24" customWidth="1"/>
    <col min="2824" max="2824" width="6.28515625" style="24" customWidth="1"/>
    <col min="2825" max="2825" width="5.7109375" style="24" customWidth="1"/>
    <col min="2826" max="2826" width="5.7109375" style="24" bestFit="1" customWidth="1"/>
    <col min="2827" max="2827" width="5.85546875" style="24" bestFit="1" customWidth="1"/>
    <col min="2828" max="2828" width="9.42578125" style="24" customWidth="1"/>
    <col min="2829" max="2829" width="5.140625" style="24" customWidth="1"/>
    <col min="2830" max="2830" width="9.7109375" style="24" customWidth="1"/>
    <col min="2831" max="2831" width="6.7109375" style="24" bestFit="1" customWidth="1"/>
    <col min="2832" max="2832" width="4.85546875" style="24" customWidth="1"/>
    <col min="2833" max="2833" width="5.28515625" style="24" customWidth="1"/>
    <col min="2834" max="2835" width="4.42578125" style="24" bestFit="1" customWidth="1"/>
    <col min="2836" max="2836" width="13.28515625" style="24" bestFit="1" customWidth="1"/>
    <col min="2837" max="2837" width="3.140625" style="24" customWidth="1"/>
    <col min="2838" max="2838" width="5.42578125" style="24" bestFit="1" customWidth="1"/>
    <col min="2839" max="2839" width="4.42578125" style="24" bestFit="1" customWidth="1"/>
    <col min="2840" max="2840" width="6.42578125" style="24" customWidth="1"/>
    <col min="2841" max="2841" width="5" style="24" bestFit="1" customWidth="1"/>
    <col min="2842" max="2842" width="4.5703125" style="24" bestFit="1" customWidth="1"/>
    <col min="2843" max="2843" width="4.42578125" style="24" bestFit="1" customWidth="1"/>
    <col min="2844" max="2844" width="4" style="24" customWidth="1"/>
    <col min="2845" max="3072" width="11.42578125" style="24"/>
    <col min="3073" max="3073" width="14.85546875" style="24" bestFit="1" customWidth="1"/>
    <col min="3074" max="3074" width="28" style="24" bestFit="1" customWidth="1"/>
    <col min="3075" max="3075" width="4.42578125" style="24" bestFit="1" customWidth="1"/>
    <col min="3076" max="3076" width="8" style="24" bestFit="1" customWidth="1"/>
    <col min="3077" max="3077" width="11.42578125" style="24"/>
    <col min="3078" max="3078" width="22.85546875" style="24" bestFit="1" customWidth="1"/>
    <col min="3079" max="3079" width="7" style="24" customWidth="1"/>
    <col min="3080" max="3080" width="6.28515625" style="24" customWidth="1"/>
    <col min="3081" max="3081" width="5.7109375" style="24" customWidth="1"/>
    <col min="3082" max="3082" width="5.7109375" style="24" bestFit="1" customWidth="1"/>
    <col min="3083" max="3083" width="5.85546875" style="24" bestFit="1" customWidth="1"/>
    <col min="3084" max="3084" width="9.42578125" style="24" customWidth="1"/>
    <col min="3085" max="3085" width="5.140625" style="24" customWidth="1"/>
    <col min="3086" max="3086" width="9.7109375" style="24" customWidth="1"/>
    <col min="3087" max="3087" width="6.7109375" style="24" bestFit="1" customWidth="1"/>
    <col min="3088" max="3088" width="4.85546875" style="24" customWidth="1"/>
    <col min="3089" max="3089" width="5.28515625" style="24" customWidth="1"/>
    <col min="3090" max="3091" width="4.42578125" style="24" bestFit="1" customWidth="1"/>
    <col min="3092" max="3092" width="13.28515625" style="24" bestFit="1" customWidth="1"/>
    <col min="3093" max="3093" width="3.140625" style="24" customWidth="1"/>
    <col min="3094" max="3094" width="5.42578125" style="24" bestFit="1" customWidth="1"/>
    <col min="3095" max="3095" width="4.42578125" style="24" bestFit="1" customWidth="1"/>
    <col min="3096" max="3096" width="6.42578125" style="24" customWidth="1"/>
    <col min="3097" max="3097" width="5" style="24" bestFit="1" customWidth="1"/>
    <col min="3098" max="3098" width="4.5703125" style="24" bestFit="1" customWidth="1"/>
    <col min="3099" max="3099" width="4.42578125" style="24" bestFit="1" customWidth="1"/>
    <col min="3100" max="3100" width="4" style="24" customWidth="1"/>
    <col min="3101" max="3328" width="11.42578125" style="24"/>
    <col min="3329" max="3329" width="14.85546875" style="24" bestFit="1" customWidth="1"/>
    <col min="3330" max="3330" width="28" style="24" bestFit="1" customWidth="1"/>
    <col min="3331" max="3331" width="4.42578125" style="24" bestFit="1" customWidth="1"/>
    <col min="3332" max="3332" width="8" style="24" bestFit="1" customWidth="1"/>
    <col min="3333" max="3333" width="11.42578125" style="24"/>
    <col min="3334" max="3334" width="22.85546875" style="24" bestFit="1" customWidth="1"/>
    <col min="3335" max="3335" width="7" style="24" customWidth="1"/>
    <col min="3336" max="3336" width="6.28515625" style="24" customWidth="1"/>
    <col min="3337" max="3337" width="5.7109375" style="24" customWidth="1"/>
    <col min="3338" max="3338" width="5.7109375" style="24" bestFit="1" customWidth="1"/>
    <col min="3339" max="3339" width="5.85546875" style="24" bestFit="1" customWidth="1"/>
    <col min="3340" max="3340" width="9.42578125" style="24" customWidth="1"/>
    <col min="3341" max="3341" width="5.140625" style="24" customWidth="1"/>
    <col min="3342" max="3342" width="9.7109375" style="24" customWidth="1"/>
    <col min="3343" max="3343" width="6.7109375" style="24" bestFit="1" customWidth="1"/>
    <col min="3344" max="3344" width="4.85546875" style="24" customWidth="1"/>
    <col min="3345" max="3345" width="5.28515625" style="24" customWidth="1"/>
    <col min="3346" max="3347" width="4.42578125" style="24" bestFit="1" customWidth="1"/>
    <col min="3348" max="3348" width="13.28515625" style="24" bestFit="1" customWidth="1"/>
    <col min="3349" max="3349" width="3.140625" style="24" customWidth="1"/>
    <col min="3350" max="3350" width="5.42578125" style="24" bestFit="1" customWidth="1"/>
    <col min="3351" max="3351" width="4.42578125" style="24" bestFit="1" customWidth="1"/>
    <col min="3352" max="3352" width="6.42578125" style="24" customWidth="1"/>
    <col min="3353" max="3353" width="5" style="24" bestFit="1" customWidth="1"/>
    <col min="3354" max="3354" width="4.5703125" style="24" bestFit="1" customWidth="1"/>
    <col min="3355" max="3355" width="4.42578125" style="24" bestFit="1" customWidth="1"/>
    <col min="3356" max="3356" width="4" style="24" customWidth="1"/>
    <col min="3357" max="3584" width="11.42578125" style="24"/>
    <col min="3585" max="3585" width="14.85546875" style="24" bestFit="1" customWidth="1"/>
    <col min="3586" max="3586" width="28" style="24" bestFit="1" customWidth="1"/>
    <col min="3587" max="3587" width="4.42578125" style="24" bestFit="1" customWidth="1"/>
    <col min="3588" max="3588" width="8" style="24" bestFit="1" customWidth="1"/>
    <col min="3589" max="3589" width="11.42578125" style="24"/>
    <col min="3590" max="3590" width="22.85546875" style="24" bestFit="1" customWidth="1"/>
    <col min="3591" max="3591" width="7" style="24" customWidth="1"/>
    <col min="3592" max="3592" width="6.28515625" style="24" customWidth="1"/>
    <col min="3593" max="3593" width="5.7109375" style="24" customWidth="1"/>
    <col min="3594" max="3594" width="5.7109375" style="24" bestFit="1" customWidth="1"/>
    <col min="3595" max="3595" width="5.85546875" style="24" bestFit="1" customWidth="1"/>
    <col min="3596" max="3596" width="9.42578125" style="24" customWidth="1"/>
    <col min="3597" max="3597" width="5.140625" style="24" customWidth="1"/>
    <col min="3598" max="3598" width="9.7109375" style="24" customWidth="1"/>
    <col min="3599" max="3599" width="6.7109375" style="24" bestFit="1" customWidth="1"/>
    <col min="3600" max="3600" width="4.85546875" style="24" customWidth="1"/>
    <col min="3601" max="3601" width="5.28515625" style="24" customWidth="1"/>
    <col min="3602" max="3603" width="4.42578125" style="24" bestFit="1" customWidth="1"/>
    <col min="3604" max="3604" width="13.28515625" style="24" bestFit="1" customWidth="1"/>
    <col min="3605" max="3605" width="3.140625" style="24" customWidth="1"/>
    <col min="3606" max="3606" width="5.42578125" style="24" bestFit="1" customWidth="1"/>
    <col min="3607" max="3607" width="4.42578125" style="24" bestFit="1" customWidth="1"/>
    <col min="3608" max="3608" width="6.42578125" style="24" customWidth="1"/>
    <col min="3609" max="3609" width="5" style="24" bestFit="1" customWidth="1"/>
    <col min="3610" max="3610" width="4.5703125" style="24" bestFit="1" customWidth="1"/>
    <col min="3611" max="3611" width="4.42578125" style="24" bestFit="1" customWidth="1"/>
    <col min="3612" max="3612" width="4" style="24" customWidth="1"/>
    <col min="3613" max="3840" width="11.42578125" style="24"/>
    <col min="3841" max="3841" width="14.85546875" style="24" bestFit="1" customWidth="1"/>
    <col min="3842" max="3842" width="28" style="24" bestFit="1" customWidth="1"/>
    <col min="3843" max="3843" width="4.42578125" style="24" bestFit="1" customWidth="1"/>
    <col min="3844" max="3844" width="8" style="24" bestFit="1" customWidth="1"/>
    <col min="3845" max="3845" width="11.42578125" style="24"/>
    <col min="3846" max="3846" width="22.85546875" style="24" bestFit="1" customWidth="1"/>
    <col min="3847" max="3847" width="7" style="24" customWidth="1"/>
    <col min="3848" max="3848" width="6.28515625" style="24" customWidth="1"/>
    <col min="3849" max="3849" width="5.7109375" style="24" customWidth="1"/>
    <col min="3850" max="3850" width="5.7109375" style="24" bestFit="1" customWidth="1"/>
    <col min="3851" max="3851" width="5.85546875" style="24" bestFit="1" customWidth="1"/>
    <col min="3852" max="3852" width="9.42578125" style="24" customWidth="1"/>
    <col min="3853" max="3853" width="5.140625" style="24" customWidth="1"/>
    <col min="3854" max="3854" width="9.7109375" style="24" customWidth="1"/>
    <col min="3855" max="3855" width="6.7109375" style="24" bestFit="1" customWidth="1"/>
    <col min="3856" max="3856" width="4.85546875" style="24" customWidth="1"/>
    <col min="3857" max="3857" width="5.28515625" style="24" customWidth="1"/>
    <col min="3858" max="3859" width="4.42578125" style="24" bestFit="1" customWidth="1"/>
    <col min="3860" max="3860" width="13.28515625" style="24" bestFit="1" customWidth="1"/>
    <col min="3861" max="3861" width="3.140625" style="24" customWidth="1"/>
    <col min="3862" max="3862" width="5.42578125" style="24" bestFit="1" customWidth="1"/>
    <col min="3863" max="3863" width="4.42578125" style="24" bestFit="1" customWidth="1"/>
    <col min="3864" max="3864" width="6.42578125" style="24" customWidth="1"/>
    <col min="3865" max="3865" width="5" style="24" bestFit="1" customWidth="1"/>
    <col min="3866" max="3866" width="4.5703125" style="24" bestFit="1" customWidth="1"/>
    <col min="3867" max="3867" width="4.42578125" style="24" bestFit="1" customWidth="1"/>
    <col min="3868" max="3868" width="4" style="24" customWidth="1"/>
    <col min="3869" max="4096" width="11.42578125" style="24"/>
    <col min="4097" max="4097" width="14.85546875" style="24" bestFit="1" customWidth="1"/>
    <col min="4098" max="4098" width="28" style="24" bestFit="1" customWidth="1"/>
    <col min="4099" max="4099" width="4.42578125" style="24" bestFit="1" customWidth="1"/>
    <col min="4100" max="4100" width="8" style="24" bestFit="1" customWidth="1"/>
    <col min="4101" max="4101" width="11.42578125" style="24"/>
    <col min="4102" max="4102" width="22.85546875" style="24" bestFit="1" customWidth="1"/>
    <col min="4103" max="4103" width="7" style="24" customWidth="1"/>
    <col min="4104" max="4104" width="6.28515625" style="24" customWidth="1"/>
    <col min="4105" max="4105" width="5.7109375" style="24" customWidth="1"/>
    <col min="4106" max="4106" width="5.7109375" style="24" bestFit="1" customWidth="1"/>
    <col min="4107" max="4107" width="5.85546875" style="24" bestFit="1" customWidth="1"/>
    <col min="4108" max="4108" width="9.42578125" style="24" customWidth="1"/>
    <col min="4109" max="4109" width="5.140625" style="24" customWidth="1"/>
    <col min="4110" max="4110" width="9.7109375" style="24" customWidth="1"/>
    <col min="4111" max="4111" width="6.7109375" style="24" bestFit="1" customWidth="1"/>
    <col min="4112" max="4112" width="4.85546875" style="24" customWidth="1"/>
    <col min="4113" max="4113" width="5.28515625" style="24" customWidth="1"/>
    <col min="4114" max="4115" width="4.42578125" style="24" bestFit="1" customWidth="1"/>
    <col min="4116" max="4116" width="13.28515625" style="24" bestFit="1" customWidth="1"/>
    <col min="4117" max="4117" width="3.140625" style="24" customWidth="1"/>
    <col min="4118" max="4118" width="5.42578125" style="24" bestFit="1" customWidth="1"/>
    <col min="4119" max="4119" width="4.42578125" style="24" bestFit="1" customWidth="1"/>
    <col min="4120" max="4120" width="6.42578125" style="24" customWidth="1"/>
    <col min="4121" max="4121" width="5" style="24" bestFit="1" customWidth="1"/>
    <col min="4122" max="4122" width="4.5703125" style="24" bestFit="1" customWidth="1"/>
    <col min="4123" max="4123" width="4.42578125" style="24" bestFit="1" customWidth="1"/>
    <col min="4124" max="4124" width="4" style="24" customWidth="1"/>
    <col min="4125" max="4352" width="11.42578125" style="24"/>
    <col min="4353" max="4353" width="14.85546875" style="24" bestFit="1" customWidth="1"/>
    <col min="4354" max="4354" width="28" style="24" bestFit="1" customWidth="1"/>
    <col min="4355" max="4355" width="4.42578125" style="24" bestFit="1" customWidth="1"/>
    <col min="4356" max="4356" width="8" style="24" bestFit="1" customWidth="1"/>
    <col min="4357" max="4357" width="11.42578125" style="24"/>
    <col min="4358" max="4358" width="22.85546875" style="24" bestFit="1" customWidth="1"/>
    <col min="4359" max="4359" width="7" style="24" customWidth="1"/>
    <col min="4360" max="4360" width="6.28515625" style="24" customWidth="1"/>
    <col min="4361" max="4361" width="5.7109375" style="24" customWidth="1"/>
    <col min="4362" max="4362" width="5.7109375" style="24" bestFit="1" customWidth="1"/>
    <col min="4363" max="4363" width="5.85546875" style="24" bestFit="1" customWidth="1"/>
    <col min="4364" max="4364" width="9.42578125" style="24" customWidth="1"/>
    <col min="4365" max="4365" width="5.140625" style="24" customWidth="1"/>
    <col min="4366" max="4366" width="9.7109375" style="24" customWidth="1"/>
    <col min="4367" max="4367" width="6.7109375" style="24" bestFit="1" customWidth="1"/>
    <col min="4368" max="4368" width="4.85546875" style="24" customWidth="1"/>
    <col min="4369" max="4369" width="5.28515625" style="24" customWidth="1"/>
    <col min="4370" max="4371" width="4.42578125" style="24" bestFit="1" customWidth="1"/>
    <col min="4372" max="4372" width="13.28515625" style="24" bestFit="1" customWidth="1"/>
    <col min="4373" max="4373" width="3.140625" style="24" customWidth="1"/>
    <col min="4374" max="4374" width="5.42578125" style="24" bestFit="1" customWidth="1"/>
    <col min="4375" max="4375" width="4.42578125" style="24" bestFit="1" customWidth="1"/>
    <col min="4376" max="4376" width="6.42578125" style="24" customWidth="1"/>
    <col min="4377" max="4377" width="5" style="24" bestFit="1" customWidth="1"/>
    <col min="4378" max="4378" width="4.5703125" style="24" bestFit="1" customWidth="1"/>
    <col min="4379" max="4379" width="4.42578125" style="24" bestFit="1" customWidth="1"/>
    <col min="4380" max="4380" width="4" style="24" customWidth="1"/>
    <col min="4381" max="4608" width="11.42578125" style="24"/>
    <col min="4609" max="4609" width="14.85546875" style="24" bestFit="1" customWidth="1"/>
    <col min="4610" max="4610" width="28" style="24" bestFit="1" customWidth="1"/>
    <col min="4611" max="4611" width="4.42578125" style="24" bestFit="1" customWidth="1"/>
    <col min="4612" max="4612" width="8" style="24" bestFit="1" customWidth="1"/>
    <col min="4613" max="4613" width="11.42578125" style="24"/>
    <col min="4614" max="4614" width="22.85546875" style="24" bestFit="1" customWidth="1"/>
    <col min="4615" max="4615" width="7" style="24" customWidth="1"/>
    <col min="4616" max="4616" width="6.28515625" style="24" customWidth="1"/>
    <col min="4617" max="4617" width="5.7109375" style="24" customWidth="1"/>
    <col min="4618" max="4618" width="5.7109375" style="24" bestFit="1" customWidth="1"/>
    <col min="4619" max="4619" width="5.85546875" style="24" bestFit="1" customWidth="1"/>
    <col min="4620" max="4620" width="9.42578125" style="24" customWidth="1"/>
    <col min="4621" max="4621" width="5.140625" style="24" customWidth="1"/>
    <col min="4622" max="4622" width="9.7109375" style="24" customWidth="1"/>
    <col min="4623" max="4623" width="6.7109375" style="24" bestFit="1" customWidth="1"/>
    <col min="4624" max="4624" width="4.85546875" style="24" customWidth="1"/>
    <col min="4625" max="4625" width="5.28515625" style="24" customWidth="1"/>
    <col min="4626" max="4627" width="4.42578125" style="24" bestFit="1" customWidth="1"/>
    <col min="4628" max="4628" width="13.28515625" style="24" bestFit="1" customWidth="1"/>
    <col min="4629" max="4629" width="3.140625" style="24" customWidth="1"/>
    <col min="4630" max="4630" width="5.42578125" style="24" bestFit="1" customWidth="1"/>
    <col min="4631" max="4631" width="4.42578125" style="24" bestFit="1" customWidth="1"/>
    <col min="4632" max="4632" width="6.42578125" style="24" customWidth="1"/>
    <col min="4633" max="4633" width="5" style="24" bestFit="1" customWidth="1"/>
    <col min="4634" max="4634" width="4.5703125" style="24" bestFit="1" customWidth="1"/>
    <col min="4635" max="4635" width="4.42578125" style="24" bestFit="1" customWidth="1"/>
    <col min="4636" max="4636" width="4" style="24" customWidth="1"/>
    <col min="4637" max="4864" width="11.42578125" style="24"/>
    <col min="4865" max="4865" width="14.85546875" style="24" bestFit="1" customWidth="1"/>
    <col min="4866" max="4866" width="28" style="24" bestFit="1" customWidth="1"/>
    <col min="4867" max="4867" width="4.42578125" style="24" bestFit="1" customWidth="1"/>
    <col min="4868" max="4868" width="8" style="24" bestFit="1" customWidth="1"/>
    <col min="4869" max="4869" width="11.42578125" style="24"/>
    <col min="4870" max="4870" width="22.85546875" style="24" bestFit="1" customWidth="1"/>
    <col min="4871" max="4871" width="7" style="24" customWidth="1"/>
    <col min="4872" max="4872" width="6.28515625" style="24" customWidth="1"/>
    <col min="4873" max="4873" width="5.7109375" style="24" customWidth="1"/>
    <col min="4874" max="4874" width="5.7109375" style="24" bestFit="1" customWidth="1"/>
    <col min="4875" max="4875" width="5.85546875" style="24" bestFit="1" customWidth="1"/>
    <col min="4876" max="4876" width="9.42578125" style="24" customWidth="1"/>
    <col min="4877" max="4877" width="5.140625" style="24" customWidth="1"/>
    <col min="4878" max="4878" width="9.7109375" style="24" customWidth="1"/>
    <col min="4879" max="4879" width="6.7109375" style="24" bestFit="1" customWidth="1"/>
    <col min="4880" max="4880" width="4.85546875" style="24" customWidth="1"/>
    <col min="4881" max="4881" width="5.28515625" style="24" customWidth="1"/>
    <col min="4882" max="4883" width="4.42578125" style="24" bestFit="1" customWidth="1"/>
    <col min="4884" max="4884" width="13.28515625" style="24" bestFit="1" customWidth="1"/>
    <col min="4885" max="4885" width="3.140625" style="24" customWidth="1"/>
    <col min="4886" max="4886" width="5.42578125" style="24" bestFit="1" customWidth="1"/>
    <col min="4887" max="4887" width="4.42578125" style="24" bestFit="1" customWidth="1"/>
    <col min="4888" max="4888" width="6.42578125" style="24" customWidth="1"/>
    <col min="4889" max="4889" width="5" style="24" bestFit="1" customWidth="1"/>
    <col min="4890" max="4890" width="4.5703125" style="24" bestFit="1" customWidth="1"/>
    <col min="4891" max="4891" width="4.42578125" style="24" bestFit="1" customWidth="1"/>
    <col min="4892" max="4892" width="4" style="24" customWidth="1"/>
    <col min="4893" max="5120" width="11.42578125" style="24"/>
    <col min="5121" max="5121" width="14.85546875" style="24" bestFit="1" customWidth="1"/>
    <col min="5122" max="5122" width="28" style="24" bestFit="1" customWidth="1"/>
    <col min="5123" max="5123" width="4.42578125" style="24" bestFit="1" customWidth="1"/>
    <col min="5124" max="5124" width="8" style="24" bestFit="1" customWidth="1"/>
    <col min="5125" max="5125" width="11.42578125" style="24"/>
    <col min="5126" max="5126" width="22.85546875" style="24" bestFit="1" customWidth="1"/>
    <col min="5127" max="5127" width="7" style="24" customWidth="1"/>
    <col min="5128" max="5128" width="6.28515625" style="24" customWidth="1"/>
    <col min="5129" max="5129" width="5.7109375" style="24" customWidth="1"/>
    <col min="5130" max="5130" width="5.7109375" style="24" bestFit="1" customWidth="1"/>
    <col min="5131" max="5131" width="5.85546875" style="24" bestFit="1" customWidth="1"/>
    <col min="5132" max="5132" width="9.42578125" style="24" customWidth="1"/>
    <col min="5133" max="5133" width="5.140625" style="24" customWidth="1"/>
    <col min="5134" max="5134" width="9.7109375" style="24" customWidth="1"/>
    <col min="5135" max="5135" width="6.7109375" style="24" bestFit="1" customWidth="1"/>
    <col min="5136" max="5136" width="4.85546875" style="24" customWidth="1"/>
    <col min="5137" max="5137" width="5.28515625" style="24" customWidth="1"/>
    <col min="5138" max="5139" width="4.42578125" style="24" bestFit="1" customWidth="1"/>
    <col min="5140" max="5140" width="13.28515625" style="24" bestFit="1" customWidth="1"/>
    <col min="5141" max="5141" width="3.140625" style="24" customWidth="1"/>
    <col min="5142" max="5142" width="5.42578125" style="24" bestFit="1" customWidth="1"/>
    <col min="5143" max="5143" width="4.42578125" style="24" bestFit="1" customWidth="1"/>
    <col min="5144" max="5144" width="6.42578125" style="24" customWidth="1"/>
    <col min="5145" max="5145" width="5" style="24" bestFit="1" customWidth="1"/>
    <col min="5146" max="5146" width="4.5703125" style="24" bestFit="1" customWidth="1"/>
    <col min="5147" max="5147" width="4.42578125" style="24" bestFit="1" customWidth="1"/>
    <col min="5148" max="5148" width="4" style="24" customWidth="1"/>
    <col min="5149" max="5376" width="11.42578125" style="24"/>
    <col min="5377" max="5377" width="14.85546875" style="24" bestFit="1" customWidth="1"/>
    <col min="5378" max="5378" width="28" style="24" bestFit="1" customWidth="1"/>
    <col min="5379" max="5379" width="4.42578125" style="24" bestFit="1" customWidth="1"/>
    <col min="5380" max="5380" width="8" style="24" bestFit="1" customWidth="1"/>
    <col min="5381" max="5381" width="11.42578125" style="24"/>
    <col min="5382" max="5382" width="22.85546875" style="24" bestFit="1" customWidth="1"/>
    <col min="5383" max="5383" width="7" style="24" customWidth="1"/>
    <col min="5384" max="5384" width="6.28515625" style="24" customWidth="1"/>
    <col min="5385" max="5385" width="5.7109375" style="24" customWidth="1"/>
    <col min="5386" max="5386" width="5.7109375" style="24" bestFit="1" customWidth="1"/>
    <col min="5387" max="5387" width="5.85546875" style="24" bestFit="1" customWidth="1"/>
    <col min="5388" max="5388" width="9.42578125" style="24" customWidth="1"/>
    <col min="5389" max="5389" width="5.140625" style="24" customWidth="1"/>
    <col min="5390" max="5390" width="9.7109375" style="24" customWidth="1"/>
    <col min="5391" max="5391" width="6.7109375" style="24" bestFit="1" customWidth="1"/>
    <col min="5392" max="5392" width="4.85546875" style="24" customWidth="1"/>
    <col min="5393" max="5393" width="5.28515625" style="24" customWidth="1"/>
    <col min="5394" max="5395" width="4.42578125" style="24" bestFit="1" customWidth="1"/>
    <col min="5396" max="5396" width="13.28515625" style="24" bestFit="1" customWidth="1"/>
    <col min="5397" max="5397" width="3.140625" style="24" customWidth="1"/>
    <col min="5398" max="5398" width="5.42578125" style="24" bestFit="1" customWidth="1"/>
    <col min="5399" max="5399" width="4.42578125" style="24" bestFit="1" customWidth="1"/>
    <col min="5400" max="5400" width="6.42578125" style="24" customWidth="1"/>
    <col min="5401" max="5401" width="5" style="24" bestFit="1" customWidth="1"/>
    <col min="5402" max="5402" width="4.5703125" style="24" bestFit="1" customWidth="1"/>
    <col min="5403" max="5403" width="4.42578125" style="24" bestFit="1" customWidth="1"/>
    <col min="5404" max="5404" width="4" style="24" customWidth="1"/>
    <col min="5405" max="5632" width="11.42578125" style="24"/>
    <col min="5633" max="5633" width="14.85546875" style="24" bestFit="1" customWidth="1"/>
    <col min="5634" max="5634" width="28" style="24" bestFit="1" customWidth="1"/>
    <col min="5635" max="5635" width="4.42578125" style="24" bestFit="1" customWidth="1"/>
    <col min="5636" max="5636" width="8" style="24" bestFit="1" customWidth="1"/>
    <col min="5637" max="5637" width="11.42578125" style="24"/>
    <col min="5638" max="5638" width="22.85546875" style="24" bestFit="1" customWidth="1"/>
    <col min="5639" max="5639" width="7" style="24" customWidth="1"/>
    <col min="5640" max="5640" width="6.28515625" style="24" customWidth="1"/>
    <col min="5641" max="5641" width="5.7109375" style="24" customWidth="1"/>
    <col min="5642" max="5642" width="5.7109375" style="24" bestFit="1" customWidth="1"/>
    <col min="5643" max="5643" width="5.85546875" style="24" bestFit="1" customWidth="1"/>
    <col min="5644" max="5644" width="9.42578125" style="24" customWidth="1"/>
    <col min="5645" max="5645" width="5.140625" style="24" customWidth="1"/>
    <col min="5646" max="5646" width="9.7109375" style="24" customWidth="1"/>
    <col min="5647" max="5647" width="6.7109375" style="24" bestFit="1" customWidth="1"/>
    <col min="5648" max="5648" width="4.85546875" style="24" customWidth="1"/>
    <col min="5649" max="5649" width="5.28515625" style="24" customWidth="1"/>
    <col min="5650" max="5651" width="4.42578125" style="24" bestFit="1" customWidth="1"/>
    <col min="5652" max="5652" width="13.28515625" style="24" bestFit="1" customWidth="1"/>
    <col min="5653" max="5653" width="3.140625" style="24" customWidth="1"/>
    <col min="5654" max="5654" width="5.42578125" style="24" bestFit="1" customWidth="1"/>
    <col min="5655" max="5655" width="4.42578125" style="24" bestFit="1" customWidth="1"/>
    <col min="5656" max="5656" width="6.42578125" style="24" customWidth="1"/>
    <col min="5657" max="5657" width="5" style="24" bestFit="1" customWidth="1"/>
    <col min="5658" max="5658" width="4.5703125" style="24" bestFit="1" customWidth="1"/>
    <col min="5659" max="5659" width="4.42578125" style="24" bestFit="1" customWidth="1"/>
    <col min="5660" max="5660" width="4" style="24" customWidth="1"/>
    <col min="5661" max="5888" width="11.42578125" style="24"/>
    <col min="5889" max="5889" width="14.85546875" style="24" bestFit="1" customWidth="1"/>
    <col min="5890" max="5890" width="28" style="24" bestFit="1" customWidth="1"/>
    <col min="5891" max="5891" width="4.42578125" style="24" bestFit="1" customWidth="1"/>
    <col min="5892" max="5892" width="8" style="24" bestFit="1" customWidth="1"/>
    <col min="5893" max="5893" width="11.42578125" style="24"/>
    <col min="5894" max="5894" width="22.85546875" style="24" bestFit="1" customWidth="1"/>
    <col min="5895" max="5895" width="7" style="24" customWidth="1"/>
    <col min="5896" max="5896" width="6.28515625" style="24" customWidth="1"/>
    <col min="5897" max="5897" width="5.7109375" style="24" customWidth="1"/>
    <col min="5898" max="5898" width="5.7109375" style="24" bestFit="1" customWidth="1"/>
    <col min="5899" max="5899" width="5.85546875" style="24" bestFit="1" customWidth="1"/>
    <col min="5900" max="5900" width="9.42578125" style="24" customWidth="1"/>
    <col min="5901" max="5901" width="5.140625" style="24" customWidth="1"/>
    <col min="5902" max="5902" width="9.7109375" style="24" customWidth="1"/>
    <col min="5903" max="5903" width="6.7109375" style="24" bestFit="1" customWidth="1"/>
    <col min="5904" max="5904" width="4.85546875" style="24" customWidth="1"/>
    <col min="5905" max="5905" width="5.28515625" style="24" customWidth="1"/>
    <col min="5906" max="5907" width="4.42578125" style="24" bestFit="1" customWidth="1"/>
    <col min="5908" max="5908" width="13.28515625" style="24" bestFit="1" customWidth="1"/>
    <col min="5909" max="5909" width="3.140625" style="24" customWidth="1"/>
    <col min="5910" max="5910" width="5.42578125" style="24" bestFit="1" customWidth="1"/>
    <col min="5911" max="5911" width="4.42578125" style="24" bestFit="1" customWidth="1"/>
    <col min="5912" max="5912" width="6.42578125" style="24" customWidth="1"/>
    <col min="5913" max="5913" width="5" style="24" bestFit="1" customWidth="1"/>
    <col min="5914" max="5914" width="4.5703125" style="24" bestFit="1" customWidth="1"/>
    <col min="5915" max="5915" width="4.42578125" style="24" bestFit="1" customWidth="1"/>
    <col min="5916" max="5916" width="4" style="24" customWidth="1"/>
    <col min="5917" max="6144" width="11.42578125" style="24"/>
    <col min="6145" max="6145" width="14.85546875" style="24" bestFit="1" customWidth="1"/>
    <col min="6146" max="6146" width="28" style="24" bestFit="1" customWidth="1"/>
    <col min="6147" max="6147" width="4.42578125" style="24" bestFit="1" customWidth="1"/>
    <col min="6148" max="6148" width="8" style="24" bestFit="1" customWidth="1"/>
    <col min="6149" max="6149" width="11.42578125" style="24"/>
    <col min="6150" max="6150" width="22.85546875" style="24" bestFit="1" customWidth="1"/>
    <col min="6151" max="6151" width="7" style="24" customWidth="1"/>
    <col min="6152" max="6152" width="6.28515625" style="24" customWidth="1"/>
    <col min="6153" max="6153" width="5.7109375" style="24" customWidth="1"/>
    <col min="6154" max="6154" width="5.7109375" style="24" bestFit="1" customWidth="1"/>
    <col min="6155" max="6155" width="5.85546875" style="24" bestFit="1" customWidth="1"/>
    <col min="6156" max="6156" width="9.42578125" style="24" customWidth="1"/>
    <col min="6157" max="6157" width="5.140625" style="24" customWidth="1"/>
    <col min="6158" max="6158" width="9.7109375" style="24" customWidth="1"/>
    <col min="6159" max="6159" width="6.7109375" style="24" bestFit="1" customWidth="1"/>
    <col min="6160" max="6160" width="4.85546875" style="24" customWidth="1"/>
    <col min="6161" max="6161" width="5.28515625" style="24" customWidth="1"/>
    <col min="6162" max="6163" width="4.42578125" style="24" bestFit="1" customWidth="1"/>
    <col min="6164" max="6164" width="13.28515625" style="24" bestFit="1" customWidth="1"/>
    <col min="6165" max="6165" width="3.140625" style="24" customWidth="1"/>
    <col min="6166" max="6166" width="5.42578125" style="24" bestFit="1" customWidth="1"/>
    <col min="6167" max="6167" width="4.42578125" style="24" bestFit="1" customWidth="1"/>
    <col min="6168" max="6168" width="6.42578125" style="24" customWidth="1"/>
    <col min="6169" max="6169" width="5" style="24" bestFit="1" customWidth="1"/>
    <col min="6170" max="6170" width="4.5703125" style="24" bestFit="1" customWidth="1"/>
    <col min="6171" max="6171" width="4.42578125" style="24" bestFit="1" customWidth="1"/>
    <col min="6172" max="6172" width="4" style="24" customWidth="1"/>
    <col min="6173" max="6400" width="11.42578125" style="24"/>
    <col min="6401" max="6401" width="14.85546875" style="24" bestFit="1" customWidth="1"/>
    <col min="6402" max="6402" width="28" style="24" bestFit="1" customWidth="1"/>
    <col min="6403" max="6403" width="4.42578125" style="24" bestFit="1" customWidth="1"/>
    <col min="6404" max="6404" width="8" style="24" bestFit="1" customWidth="1"/>
    <col min="6405" max="6405" width="11.42578125" style="24"/>
    <col min="6406" max="6406" width="22.85546875" style="24" bestFit="1" customWidth="1"/>
    <col min="6407" max="6407" width="7" style="24" customWidth="1"/>
    <col min="6408" max="6408" width="6.28515625" style="24" customWidth="1"/>
    <col min="6409" max="6409" width="5.7109375" style="24" customWidth="1"/>
    <col min="6410" max="6410" width="5.7109375" style="24" bestFit="1" customWidth="1"/>
    <col min="6411" max="6411" width="5.85546875" style="24" bestFit="1" customWidth="1"/>
    <col min="6412" max="6412" width="9.42578125" style="24" customWidth="1"/>
    <col min="6413" max="6413" width="5.140625" style="24" customWidth="1"/>
    <col min="6414" max="6414" width="9.7109375" style="24" customWidth="1"/>
    <col min="6415" max="6415" width="6.7109375" style="24" bestFit="1" customWidth="1"/>
    <col min="6416" max="6416" width="4.85546875" style="24" customWidth="1"/>
    <col min="6417" max="6417" width="5.28515625" style="24" customWidth="1"/>
    <col min="6418" max="6419" width="4.42578125" style="24" bestFit="1" customWidth="1"/>
    <col min="6420" max="6420" width="13.28515625" style="24" bestFit="1" customWidth="1"/>
    <col min="6421" max="6421" width="3.140625" style="24" customWidth="1"/>
    <col min="6422" max="6422" width="5.42578125" style="24" bestFit="1" customWidth="1"/>
    <col min="6423" max="6423" width="4.42578125" style="24" bestFit="1" customWidth="1"/>
    <col min="6424" max="6424" width="6.42578125" style="24" customWidth="1"/>
    <col min="6425" max="6425" width="5" style="24" bestFit="1" customWidth="1"/>
    <col min="6426" max="6426" width="4.5703125" style="24" bestFit="1" customWidth="1"/>
    <col min="6427" max="6427" width="4.42578125" style="24" bestFit="1" customWidth="1"/>
    <col min="6428" max="6428" width="4" style="24" customWidth="1"/>
    <col min="6429" max="6656" width="11.42578125" style="24"/>
    <col min="6657" max="6657" width="14.85546875" style="24" bestFit="1" customWidth="1"/>
    <col min="6658" max="6658" width="28" style="24" bestFit="1" customWidth="1"/>
    <col min="6659" max="6659" width="4.42578125" style="24" bestFit="1" customWidth="1"/>
    <col min="6660" max="6660" width="8" style="24" bestFit="1" customWidth="1"/>
    <col min="6661" max="6661" width="11.42578125" style="24"/>
    <col min="6662" max="6662" width="22.85546875" style="24" bestFit="1" customWidth="1"/>
    <col min="6663" max="6663" width="7" style="24" customWidth="1"/>
    <col min="6664" max="6664" width="6.28515625" style="24" customWidth="1"/>
    <col min="6665" max="6665" width="5.7109375" style="24" customWidth="1"/>
    <col min="6666" max="6666" width="5.7109375" style="24" bestFit="1" customWidth="1"/>
    <col min="6667" max="6667" width="5.85546875" style="24" bestFit="1" customWidth="1"/>
    <col min="6668" max="6668" width="9.42578125" style="24" customWidth="1"/>
    <col min="6669" max="6669" width="5.140625" style="24" customWidth="1"/>
    <col min="6670" max="6670" width="9.7109375" style="24" customWidth="1"/>
    <col min="6671" max="6671" width="6.7109375" style="24" bestFit="1" customWidth="1"/>
    <col min="6672" max="6672" width="4.85546875" style="24" customWidth="1"/>
    <col min="6673" max="6673" width="5.28515625" style="24" customWidth="1"/>
    <col min="6674" max="6675" width="4.42578125" style="24" bestFit="1" customWidth="1"/>
    <col min="6676" max="6676" width="13.28515625" style="24" bestFit="1" customWidth="1"/>
    <col min="6677" max="6677" width="3.140625" style="24" customWidth="1"/>
    <col min="6678" max="6678" width="5.42578125" style="24" bestFit="1" customWidth="1"/>
    <col min="6679" max="6679" width="4.42578125" style="24" bestFit="1" customWidth="1"/>
    <col min="6680" max="6680" width="6.42578125" style="24" customWidth="1"/>
    <col min="6681" max="6681" width="5" style="24" bestFit="1" customWidth="1"/>
    <col min="6682" max="6682" width="4.5703125" style="24" bestFit="1" customWidth="1"/>
    <col min="6683" max="6683" width="4.42578125" style="24" bestFit="1" customWidth="1"/>
    <col min="6684" max="6684" width="4" style="24" customWidth="1"/>
    <col min="6685" max="6912" width="11.42578125" style="24"/>
    <col min="6913" max="6913" width="14.85546875" style="24" bestFit="1" customWidth="1"/>
    <col min="6914" max="6914" width="28" style="24" bestFit="1" customWidth="1"/>
    <col min="6915" max="6915" width="4.42578125" style="24" bestFit="1" customWidth="1"/>
    <col min="6916" max="6916" width="8" style="24" bestFit="1" customWidth="1"/>
    <col min="6917" max="6917" width="11.42578125" style="24"/>
    <col min="6918" max="6918" width="22.85546875" style="24" bestFit="1" customWidth="1"/>
    <col min="6919" max="6919" width="7" style="24" customWidth="1"/>
    <col min="6920" max="6920" width="6.28515625" style="24" customWidth="1"/>
    <col min="6921" max="6921" width="5.7109375" style="24" customWidth="1"/>
    <col min="6922" max="6922" width="5.7109375" style="24" bestFit="1" customWidth="1"/>
    <col min="6923" max="6923" width="5.85546875" style="24" bestFit="1" customWidth="1"/>
    <col min="6924" max="6924" width="9.42578125" style="24" customWidth="1"/>
    <col min="6925" max="6925" width="5.140625" style="24" customWidth="1"/>
    <col min="6926" max="6926" width="9.7109375" style="24" customWidth="1"/>
    <col min="6927" max="6927" width="6.7109375" style="24" bestFit="1" customWidth="1"/>
    <col min="6928" max="6928" width="4.85546875" style="24" customWidth="1"/>
    <col min="6929" max="6929" width="5.28515625" style="24" customWidth="1"/>
    <col min="6930" max="6931" width="4.42578125" style="24" bestFit="1" customWidth="1"/>
    <col min="6932" max="6932" width="13.28515625" style="24" bestFit="1" customWidth="1"/>
    <col min="6933" max="6933" width="3.140625" style="24" customWidth="1"/>
    <col min="6934" max="6934" width="5.42578125" style="24" bestFit="1" customWidth="1"/>
    <col min="6935" max="6935" width="4.42578125" style="24" bestFit="1" customWidth="1"/>
    <col min="6936" max="6936" width="6.42578125" style="24" customWidth="1"/>
    <col min="6937" max="6937" width="5" style="24" bestFit="1" customWidth="1"/>
    <col min="6938" max="6938" width="4.5703125" style="24" bestFit="1" customWidth="1"/>
    <col min="6939" max="6939" width="4.42578125" style="24" bestFit="1" customWidth="1"/>
    <col min="6940" max="6940" width="4" style="24" customWidth="1"/>
    <col min="6941" max="7168" width="11.42578125" style="24"/>
    <col min="7169" max="7169" width="14.85546875" style="24" bestFit="1" customWidth="1"/>
    <col min="7170" max="7170" width="28" style="24" bestFit="1" customWidth="1"/>
    <col min="7171" max="7171" width="4.42578125" style="24" bestFit="1" customWidth="1"/>
    <col min="7172" max="7172" width="8" style="24" bestFit="1" customWidth="1"/>
    <col min="7173" max="7173" width="11.42578125" style="24"/>
    <col min="7174" max="7174" width="22.85546875" style="24" bestFit="1" customWidth="1"/>
    <col min="7175" max="7175" width="7" style="24" customWidth="1"/>
    <col min="7176" max="7176" width="6.28515625" style="24" customWidth="1"/>
    <col min="7177" max="7177" width="5.7109375" style="24" customWidth="1"/>
    <col min="7178" max="7178" width="5.7109375" style="24" bestFit="1" customWidth="1"/>
    <col min="7179" max="7179" width="5.85546875" style="24" bestFit="1" customWidth="1"/>
    <col min="7180" max="7180" width="9.42578125" style="24" customWidth="1"/>
    <col min="7181" max="7181" width="5.140625" style="24" customWidth="1"/>
    <col min="7182" max="7182" width="9.7109375" style="24" customWidth="1"/>
    <col min="7183" max="7183" width="6.7109375" style="24" bestFit="1" customWidth="1"/>
    <col min="7184" max="7184" width="4.85546875" style="24" customWidth="1"/>
    <col min="7185" max="7185" width="5.28515625" style="24" customWidth="1"/>
    <col min="7186" max="7187" width="4.42578125" style="24" bestFit="1" customWidth="1"/>
    <col min="7188" max="7188" width="13.28515625" style="24" bestFit="1" customWidth="1"/>
    <col min="7189" max="7189" width="3.140625" style="24" customWidth="1"/>
    <col min="7190" max="7190" width="5.42578125" style="24" bestFit="1" customWidth="1"/>
    <col min="7191" max="7191" width="4.42578125" style="24" bestFit="1" customWidth="1"/>
    <col min="7192" max="7192" width="6.42578125" style="24" customWidth="1"/>
    <col min="7193" max="7193" width="5" style="24" bestFit="1" customWidth="1"/>
    <col min="7194" max="7194" width="4.5703125" style="24" bestFit="1" customWidth="1"/>
    <col min="7195" max="7195" width="4.42578125" style="24" bestFit="1" customWidth="1"/>
    <col min="7196" max="7196" width="4" style="24" customWidth="1"/>
    <col min="7197" max="7424" width="11.42578125" style="24"/>
    <col min="7425" max="7425" width="14.85546875" style="24" bestFit="1" customWidth="1"/>
    <col min="7426" max="7426" width="28" style="24" bestFit="1" customWidth="1"/>
    <col min="7427" max="7427" width="4.42578125" style="24" bestFit="1" customWidth="1"/>
    <col min="7428" max="7428" width="8" style="24" bestFit="1" customWidth="1"/>
    <col min="7429" max="7429" width="11.42578125" style="24"/>
    <col min="7430" max="7430" width="22.85546875" style="24" bestFit="1" customWidth="1"/>
    <col min="7431" max="7431" width="7" style="24" customWidth="1"/>
    <col min="7432" max="7432" width="6.28515625" style="24" customWidth="1"/>
    <col min="7433" max="7433" width="5.7109375" style="24" customWidth="1"/>
    <col min="7434" max="7434" width="5.7109375" style="24" bestFit="1" customWidth="1"/>
    <col min="7435" max="7435" width="5.85546875" style="24" bestFit="1" customWidth="1"/>
    <col min="7436" max="7436" width="9.42578125" style="24" customWidth="1"/>
    <col min="7437" max="7437" width="5.140625" style="24" customWidth="1"/>
    <col min="7438" max="7438" width="9.7109375" style="24" customWidth="1"/>
    <col min="7439" max="7439" width="6.7109375" style="24" bestFit="1" customWidth="1"/>
    <col min="7440" max="7440" width="4.85546875" style="24" customWidth="1"/>
    <col min="7441" max="7441" width="5.28515625" style="24" customWidth="1"/>
    <col min="7442" max="7443" width="4.42578125" style="24" bestFit="1" customWidth="1"/>
    <col min="7444" max="7444" width="13.28515625" style="24" bestFit="1" customWidth="1"/>
    <col min="7445" max="7445" width="3.140625" style="24" customWidth="1"/>
    <col min="7446" max="7446" width="5.42578125" style="24" bestFit="1" customWidth="1"/>
    <col min="7447" max="7447" width="4.42578125" style="24" bestFit="1" customWidth="1"/>
    <col min="7448" max="7448" width="6.42578125" style="24" customWidth="1"/>
    <col min="7449" max="7449" width="5" style="24" bestFit="1" customWidth="1"/>
    <col min="7450" max="7450" width="4.5703125" style="24" bestFit="1" customWidth="1"/>
    <col min="7451" max="7451" width="4.42578125" style="24" bestFit="1" customWidth="1"/>
    <col min="7452" max="7452" width="4" style="24" customWidth="1"/>
    <col min="7453" max="7680" width="11.42578125" style="24"/>
    <col min="7681" max="7681" width="14.85546875" style="24" bestFit="1" customWidth="1"/>
    <col min="7682" max="7682" width="28" style="24" bestFit="1" customWidth="1"/>
    <col min="7683" max="7683" width="4.42578125" style="24" bestFit="1" customWidth="1"/>
    <col min="7684" max="7684" width="8" style="24" bestFit="1" customWidth="1"/>
    <col min="7685" max="7685" width="11.42578125" style="24"/>
    <col min="7686" max="7686" width="22.85546875" style="24" bestFit="1" customWidth="1"/>
    <col min="7687" max="7687" width="7" style="24" customWidth="1"/>
    <col min="7688" max="7688" width="6.28515625" style="24" customWidth="1"/>
    <col min="7689" max="7689" width="5.7109375" style="24" customWidth="1"/>
    <col min="7690" max="7690" width="5.7109375" style="24" bestFit="1" customWidth="1"/>
    <col min="7691" max="7691" width="5.85546875" style="24" bestFit="1" customWidth="1"/>
    <col min="7692" max="7692" width="9.42578125" style="24" customWidth="1"/>
    <col min="7693" max="7693" width="5.140625" style="24" customWidth="1"/>
    <col min="7694" max="7694" width="9.7109375" style="24" customWidth="1"/>
    <col min="7695" max="7695" width="6.7109375" style="24" bestFit="1" customWidth="1"/>
    <col min="7696" max="7696" width="4.85546875" style="24" customWidth="1"/>
    <col min="7697" max="7697" width="5.28515625" style="24" customWidth="1"/>
    <col min="7698" max="7699" width="4.42578125" style="24" bestFit="1" customWidth="1"/>
    <col min="7700" max="7700" width="13.28515625" style="24" bestFit="1" customWidth="1"/>
    <col min="7701" max="7701" width="3.140625" style="24" customWidth="1"/>
    <col min="7702" max="7702" width="5.42578125" style="24" bestFit="1" customWidth="1"/>
    <col min="7703" max="7703" width="4.42578125" style="24" bestFit="1" customWidth="1"/>
    <col min="7704" max="7704" width="6.42578125" style="24" customWidth="1"/>
    <col min="7705" max="7705" width="5" style="24" bestFit="1" customWidth="1"/>
    <col min="7706" max="7706" width="4.5703125" style="24" bestFit="1" customWidth="1"/>
    <col min="7707" max="7707" width="4.42578125" style="24" bestFit="1" customWidth="1"/>
    <col min="7708" max="7708" width="4" style="24" customWidth="1"/>
    <col min="7709" max="7936" width="11.42578125" style="24"/>
    <col min="7937" max="7937" width="14.85546875" style="24" bestFit="1" customWidth="1"/>
    <col min="7938" max="7938" width="28" style="24" bestFit="1" customWidth="1"/>
    <col min="7939" max="7939" width="4.42578125" style="24" bestFit="1" customWidth="1"/>
    <col min="7940" max="7940" width="8" style="24" bestFit="1" customWidth="1"/>
    <col min="7941" max="7941" width="11.42578125" style="24"/>
    <col min="7942" max="7942" width="22.85546875" style="24" bestFit="1" customWidth="1"/>
    <col min="7943" max="7943" width="7" style="24" customWidth="1"/>
    <col min="7944" max="7944" width="6.28515625" style="24" customWidth="1"/>
    <col min="7945" max="7945" width="5.7109375" style="24" customWidth="1"/>
    <col min="7946" max="7946" width="5.7109375" style="24" bestFit="1" customWidth="1"/>
    <col min="7947" max="7947" width="5.85546875" style="24" bestFit="1" customWidth="1"/>
    <col min="7948" max="7948" width="9.42578125" style="24" customWidth="1"/>
    <col min="7949" max="7949" width="5.140625" style="24" customWidth="1"/>
    <col min="7950" max="7950" width="9.7109375" style="24" customWidth="1"/>
    <col min="7951" max="7951" width="6.7109375" style="24" bestFit="1" customWidth="1"/>
    <col min="7952" max="7952" width="4.85546875" style="24" customWidth="1"/>
    <col min="7953" max="7953" width="5.28515625" style="24" customWidth="1"/>
    <col min="7954" max="7955" width="4.42578125" style="24" bestFit="1" customWidth="1"/>
    <col min="7956" max="7956" width="13.28515625" style="24" bestFit="1" customWidth="1"/>
    <col min="7957" max="7957" width="3.140625" style="24" customWidth="1"/>
    <col min="7958" max="7958" width="5.42578125" style="24" bestFit="1" customWidth="1"/>
    <col min="7959" max="7959" width="4.42578125" style="24" bestFit="1" customWidth="1"/>
    <col min="7960" max="7960" width="6.42578125" style="24" customWidth="1"/>
    <col min="7961" max="7961" width="5" style="24" bestFit="1" customWidth="1"/>
    <col min="7962" max="7962" width="4.5703125" style="24" bestFit="1" customWidth="1"/>
    <col min="7963" max="7963" width="4.42578125" style="24" bestFit="1" customWidth="1"/>
    <col min="7964" max="7964" width="4" style="24" customWidth="1"/>
    <col min="7965" max="8192" width="11.42578125" style="24"/>
    <col min="8193" max="8193" width="14.85546875" style="24" bestFit="1" customWidth="1"/>
    <col min="8194" max="8194" width="28" style="24" bestFit="1" customWidth="1"/>
    <col min="8195" max="8195" width="4.42578125" style="24" bestFit="1" customWidth="1"/>
    <col min="8196" max="8196" width="8" style="24" bestFit="1" customWidth="1"/>
    <col min="8197" max="8197" width="11.42578125" style="24"/>
    <col min="8198" max="8198" width="22.85546875" style="24" bestFit="1" customWidth="1"/>
    <col min="8199" max="8199" width="7" style="24" customWidth="1"/>
    <col min="8200" max="8200" width="6.28515625" style="24" customWidth="1"/>
    <col min="8201" max="8201" width="5.7109375" style="24" customWidth="1"/>
    <col min="8202" max="8202" width="5.7109375" style="24" bestFit="1" customWidth="1"/>
    <col min="8203" max="8203" width="5.85546875" style="24" bestFit="1" customWidth="1"/>
    <col min="8204" max="8204" width="9.42578125" style="24" customWidth="1"/>
    <col min="8205" max="8205" width="5.140625" style="24" customWidth="1"/>
    <col min="8206" max="8206" width="9.7109375" style="24" customWidth="1"/>
    <col min="8207" max="8207" width="6.7109375" style="24" bestFit="1" customWidth="1"/>
    <col min="8208" max="8208" width="4.85546875" style="24" customWidth="1"/>
    <col min="8209" max="8209" width="5.28515625" style="24" customWidth="1"/>
    <col min="8210" max="8211" width="4.42578125" style="24" bestFit="1" customWidth="1"/>
    <col min="8212" max="8212" width="13.28515625" style="24" bestFit="1" customWidth="1"/>
    <col min="8213" max="8213" width="3.140625" style="24" customWidth="1"/>
    <col min="8214" max="8214" width="5.42578125" style="24" bestFit="1" customWidth="1"/>
    <col min="8215" max="8215" width="4.42578125" style="24" bestFit="1" customWidth="1"/>
    <col min="8216" max="8216" width="6.42578125" style="24" customWidth="1"/>
    <col min="8217" max="8217" width="5" style="24" bestFit="1" customWidth="1"/>
    <col min="8218" max="8218" width="4.5703125" style="24" bestFit="1" customWidth="1"/>
    <col min="8219" max="8219" width="4.42578125" style="24" bestFit="1" customWidth="1"/>
    <col min="8220" max="8220" width="4" style="24" customWidth="1"/>
    <col min="8221" max="8448" width="11.42578125" style="24"/>
    <col min="8449" max="8449" width="14.85546875" style="24" bestFit="1" customWidth="1"/>
    <col min="8450" max="8450" width="28" style="24" bestFit="1" customWidth="1"/>
    <col min="8451" max="8451" width="4.42578125" style="24" bestFit="1" customWidth="1"/>
    <col min="8452" max="8452" width="8" style="24" bestFit="1" customWidth="1"/>
    <col min="8453" max="8453" width="11.42578125" style="24"/>
    <col min="8454" max="8454" width="22.85546875" style="24" bestFit="1" customWidth="1"/>
    <col min="8455" max="8455" width="7" style="24" customWidth="1"/>
    <col min="8456" max="8456" width="6.28515625" style="24" customWidth="1"/>
    <col min="8457" max="8457" width="5.7109375" style="24" customWidth="1"/>
    <col min="8458" max="8458" width="5.7109375" style="24" bestFit="1" customWidth="1"/>
    <col min="8459" max="8459" width="5.85546875" style="24" bestFit="1" customWidth="1"/>
    <col min="8460" max="8460" width="9.42578125" style="24" customWidth="1"/>
    <col min="8461" max="8461" width="5.140625" style="24" customWidth="1"/>
    <col min="8462" max="8462" width="9.7109375" style="24" customWidth="1"/>
    <col min="8463" max="8463" width="6.7109375" style="24" bestFit="1" customWidth="1"/>
    <col min="8464" max="8464" width="4.85546875" style="24" customWidth="1"/>
    <col min="8465" max="8465" width="5.28515625" style="24" customWidth="1"/>
    <col min="8466" max="8467" width="4.42578125" style="24" bestFit="1" customWidth="1"/>
    <col min="8468" max="8468" width="13.28515625" style="24" bestFit="1" customWidth="1"/>
    <col min="8469" max="8469" width="3.140625" style="24" customWidth="1"/>
    <col min="8470" max="8470" width="5.42578125" style="24" bestFit="1" customWidth="1"/>
    <col min="8471" max="8471" width="4.42578125" style="24" bestFit="1" customWidth="1"/>
    <col min="8472" max="8472" width="6.42578125" style="24" customWidth="1"/>
    <col min="8473" max="8473" width="5" style="24" bestFit="1" customWidth="1"/>
    <col min="8474" max="8474" width="4.5703125" style="24" bestFit="1" customWidth="1"/>
    <col min="8475" max="8475" width="4.42578125" style="24" bestFit="1" customWidth="1"/>
    <col min="8476" max="8476" width="4" style="24" customWidth="1"/>
    <col min="8477" max="8704" width="11.42578125" style="24"/>
    <col min="8705" max="8705" width="14.85546875" style="24" bestFit="1" customWidth="1"/>
    <col min="8706" max="8706" width="28" style="24" bestFit="1" customWidth="1"/>
    <col min="8707" max="8707" width="4.42578125" style="24" bestFit="1" customWidth="1"/>
    <col min="8708" max="8708" width="8" style="24" bestFit="1" customWidth="1"/>
    <col min="8709" max="8709" width="11.42578125" style="24"/>
    <col min="8710" max="8710" width="22.85546875" style="24" bestFit="1" customWidth="1"/>
    <col min="8711" max="8711" width="7" style="24" customWidth="1"/>
    <col min="8712" max="8712" width="6.28515625" style="24" customWidth="1"/>
    <col min="8713" max="8713" width="5.7109375" style="24" customWidth="1"/>
    <col min="8714" max="8714" width="5.7109375" style="24" bestFit="1" customWidth="1"/>
    <col min="8715" max="8715" width="5.85546875" style="24" bestFit="1" customWidth="1"/>
    <col min="8716" max="8716" width="9.42578125" style="24" customWidth="1"/>
    <col min="8717" max="8717" width="5.140625" style="24" customWidth="1"/>
    <col min="8718" max="8718" width="9.7109375" style="24" customWidth="1"/>
    <col min="8719" max="8719" width="6.7109375" style="24" bestFit="1" customWidth="1"/>
    <col min="8720" max="8720" width="4.85546875" style="24" customWidth="1"/>
    <col min="8721" max="8721" width="5.28515625" style="24" customWidth="1"/>
    <col min="8722" max="8723" width="4.42578125" style="24" bestFit="1" customWidth="1"/>
    <col min="8724" max="8724" width="13.28515625" style="24" bestFit="1" customWidth="1"/>
    <col min="8725" max="8725" width="3.140625" style="24" customWidth="1"/>
    <col min="8726" max="8726" width="5.42578125" style="24" bestFit="1" customWidth="1"/>
    <col min="8727" max="8727" width="4.42578125" style="24" bestFit="1" customWidth="1"/>
    <col min="8728" max="8728" width="6.42578125" style="24" customWidth="1"/>
    <col min="8729" max="8729" width="5" style="24" bestFit="1" customWidth="1"/>
    <col min="8730" max="8730" width="4.5703125" style="24" bestFit="1" customWidth="1"/>
    <col min="8731" max="8731" width="4.42578125" style="24" bestFit="1" customWidth="1"/>
    <col min="8732" max="8732" width="4" style="24" customWidth="1"/>
    <col min="8733" max="8960" width="11.42578125" style="24"/>
    <col min="8961" max="8961" width="14.85546875" style="24" bestFit="1" customWidth="1"/>
    <col min="8962" max="8962" width="28" style="24" bestFit="1" customWidth="1"/>
    <col min="8963" max="8963" width="4.42578125" style="24" bestFit="1" customWidth="1"/>
    <col min="8964" max="8964" width="8" style="24" bestFit="1" customWidth="1"/>
    <col min="8965" max="8965" width="11.42578125" style="24"/>
    <col min="8966" max="8966" width="22.85546875" style="24" bestFit="1" customWidth="1"/>
    <col min="8967" max="8967" width="7" style="24" customWidth="1"/>
    <col min="8968" max="8968" width="6.28515625" style="24" customWidth="1"/>
    <col min="8969" max="8969" width="5.7109375" style="24" customWidth="1"/>
    <col min="8970" max="8970" width="5.7109375" style="24" bestFit="1" customWidth="1"/>
    <col min="8971" max="8971" width="5.85546875" style="24" bestFit="1" customWidth="1"/>
    <col min="8972" max="8972" width="9.42578125" style="24" customWidth="1"/>
    <col min="8973" max="8973" width="5.140625" style="24" customWidth="1"/>
    <col min="8974" max="8974" width="9.7109375" style="24" customWidth="1"/>
    <col min="8975" max="8975" width="6.7109375" style="24" bestFit="1" customWidth="1"/>
    <col min="8976" max="8976" width="4.85546875" style="24" customWidth="1"/>
    <col min="8977" max="8977" width="5.28515625" style="24" customWidth="1"/>
    <col min="8978" max="8979" width="4.42578125" style="24" bestFit="1" customWidth="1"/>
    <col min="8980" max="8980" width="13.28515625" style="24" bestFit="1" customWidth="1"/>
    <col min="8981" max="8981" width="3.140625" style="24" customWidth="1"/>
    <col min="8982" max="8982" width="5.42578125" style="24" bestFit="1" customWidth="1"/>
    <col min="8983" max="8983" width="4.42578125" style="24" bestFit="1" customWidth="1"/>
    <col min="8984" max="8984" width="6.42578125" style="24" customWidth="1"/>
    <col min="8985" max="8985" width="5" style="24" bestFit="1" customWidth="1"/>
    <col min="8986" max="8986" width="4.5703125" style="24" bestFit="1" customWidth="1"/>
    <col min="8987" max="8987" width="4.42578125" style="24" bestFit="1" customWidth="1"/>
    <col min="8988" max="8988" width="4" style="24" customWidth="1"/>
    <col min="8989" max="9216" width="11.42578125" style="24"/>
    <col min="9217" max="9217" width="14.85546875" style="24" bestFit="1" customWidth="1"/>
    <col min="9218" max="9218" width="28" style="24" bestFit="1" customWidth="1"/>
    <col min="9219" max="9219" width="4.42578125" style="24" bestFit="1" customWidth="1"/>
    <col min="9220" max="9220" width="8" style="24" bestFit="1" customWidth="1"/>
    <col min="9221" max="9221" width="11.42578125" style="24"/>
    <col min="9222" max="9222" width="22.85546875" style="24" bestFit="1" customWidth="1"/>
    <col min="9223" max="9223" width="7" style="24" customWidth="1"/>
    <col min="9224" max="9224" width="6.28515625" style="24" customWidth="1"/>
    <col min="9225" max="9225" width="5.7109375" style="24" customWidth="1"/>
    <col min="9226" max="9226" width="5.7109375" style="24" bestFit="1" customWidth="1"/>
    <col min="9227" max="9227" width="5.85546875" style="24" bestFit="1" customWidth="1"/>
    <col min="9228" max="9228" width="9.42578125" style="24" customWidth="1"/>
    <col min="9229" max="9229" width="5.140625" style="24" customWidth="1"/>
    <col min="9230" max="9230" width="9.7109375" style="24" customWidth="1"/>
    <col min="9231" max="9231" width="6.7109375" style="24" bestFit="1" customWidth="1"/>
    <col min="9232" max="9232" width="4.85546875" style="24" customWidth="1"/>
    <col min="9233" max="9233" width="5.28515625" style="24" customWidth="1"/>
    <col min="9234" max="9235" width="4.42578125" style="24" bestFit="1" customWidth="1"/>
    <col min="9236" max="9236" width="13.28515625" style="24" bestFit="1" customWidth="1"/>
    <col min="9237" max="9237" width="3.140625" style="24" customWidth="1"/>
    <col min="9238" max="9238" width="5.42578125" style="24" bestFit="1" customWidth="1"/>
    <col min="9239" max="9239" width="4.42578125" style="24" bestFit="1" customWidth="1"/>
    <col min="9240" max="9240" width="6.42578125" style="24" customWidth="1"/>
    <col min="9241" max="9241" width="5" style="24" bestFit="1" customWidth="1"/>
    <col min="9242" max="9242" width="4.5703125" style="24" bestFit="1" customWidth="1"/>
    <col min="9243" max="9243" width="4.42578125" style="24" bestFit="1" customWidth="1"/>
    <col min="9244" max="9244" width="4" style="24" customWidth="1"/>
    <col min="9245" max="9472" width="11.42578125" style="24"/>
    <col min="9473" max="9473" width="14.85546875" style="24" bestFit="1" customWidth="1"/>
    <col min="9474" max="9474" width="28" style="24" bestFit="1" customWidth="1"/>
    <col min="9475" max="9475" width="4.42578125" style="24" bestFit="1" customWidth="1"/>
    <col min="9476" max="9476" width="8" style="24" bestFit="1" customWidth="1"/>
    <col min="9477" max="9477" width="11.42578125" style="24"/>
    <col min="9478" max="9478" width="22.85546875" style="24" bestFit="1" customWidth="1"/>
    <col min="9479" max="9479" width="7" style="24" customWidth="1"/>
    <col min="9480" max="9480" width="6.28515625" style="24" customWidth="1"/>
    <col min="9481" max="9481" width="5.7109375" style="24" customWidth="1"/>
    <col min="9482" max="9482" width="5.7109375" style="24" bestFit="1" customWidth="1"/>
    <col min="9483" max="9483" width="5.85546875" style="24" bestFit="1" customWidth="1"/>
    <col min="9484" max="9484" width="9.42578125" style="24" customWidth="1"/>
    <col min="9485" max="9485" width="5.140625" style="24" customWidth="1"/>
    <col min="9486" max="9486" width="9.7109375" style="24" customWidth="1"/>
    <col min="9487" max="9487" width="6.7109375" style="24" bestFit="1" customWidth="1"/>
    <col min="9488" max="9488" width="4.85546875" style="24" customWidth="1"/>
    <col min="9489" max="9489" width="5.28515625" style="24" customWidth="1"/>
    <col min="9490" max="9491" width="4.42578125" style="24" bestFit="1" customWidth="1"/>
    <col min="9492" max="9492" width="13.28515625" style="24" bestFit="1" customWidth="1"/>
    <col min="9493" max="9493" width="3.140625" style="24" customWidth="1"/>
    <col min="9494" max="9494" width="5.42578125" style="24" bestFit="1" customWidth="1"/>
    <col min="9495" max="9495" width="4.42578125" style="24" bestFit="1" customWidth="1"/>
    <col min="9496" max="9496" width="6.42578125" style="24" customWidth="1"/>
    <col min="9497" max="9497" width="5" style="24" bestFit="1" customWidth="1"/>
    <col min="9498" max="9498" width="4.5703125" style="24" bestFit="1" customWidth="1"/>
    <col min="9499" max="9499" width="4.42578125" style="24" bestFit="1" customWidth="1"/>
    <col min="9500" max="9500" width="4" style="24" customWidth="1"/>
    <col min="9501" max="9728" width="11.42578125" style="24"/>
    <col min="9729" max="9729" width="14.85546875" style="24" bestFit="1" customWidth="1"/>
    <col min="9730" max="9730" width="28" style="24" bestFit="1" customWidth="1"/>
    <col min="9731" max="9731" width="4.42578125" style="24" bestFit="1" customWidth="1"/>
    <col min="9732" max="9732" width="8" style="24" bestFit="1" customWidth="1"/>
    <col min="9733" max="9733" width="11.42578125" style="24"/>
    <col min="9734" max="9734" width="22.85546875" style="24" bestFit="1" customWidth="1"/>
    <col min="9735" max="9735" width="7" style="24" customWidth="1"/>
    <col min="9736" max="9736" width="6.28515625" style="24" customWidth="1"/>
    <col min="9737" max="9737" width="5.7109375" style="24" customWidth="1"/>
    <col min="9738" max="9738" width="5.7109375" style="24" bestFit="1" customWidth="1"/>
    <col min="9739" max="9739" width="5.85546875" style="24" bestFit="1" customWidth="1"/>
    <col min="9740" max="9740" width="9.42578125" style="24" customWidth="1"/>
    <col min="9741" max="9741" width="5.140625" style="24" customWidth="1"/>
    <col min="9742" max="9742" width="9.7109375" style="24" customWidth="1"/>
    <col min="9743" max="9743" width="6.7109375" style="24" bestFit="1" customWidth="1"/>
    <col min="9744" max="9744" width="4.85546875" style="24" customWidth="1"/>
    <col min="9745" max="9745" width="5.28515625" style="24" customWidth="1"/>
    <col min="9746" max="9747" width="4.42578125" style="24" bestFit="1" customWidth="1"/>
    <col min="9748" max="9748" width="13.28515625" style="24" bestFit="1" customWidth="1"/>
    <col min="9749" max="9749" width="3.140625" style="24" customWidth="1"/>
    <col min="9750" max="9750" width="5.42578125" style="24" bestFit="1" customWidth="1"/>
    <col min="9751" max="9751" width="4.42578125" style="24" bestFit="1" customWidth="1"/>
    <col min="9752" max="9752" width="6.42578125" style="24" customWidth="1"/>
    <col min="9753" max="9753" width="5" style="24" bestFit="1" customWidth="1"/>
    <col min="9754" max="9754" width="4.5703125" style="24" bestFit="1" customWidth="1"/>
    <col min="9755" max="9755" width="4.42578125" style="24" bestFit="1" customWidth="1"/>
    <col min="9756" max="9756" width="4" style="24" customWidth="1"/>
    <col min="9757" max="9984" width="11.42578125" style="24"/>
    <col min="9985" max="9985" width="14.85546875" style="24" bestFit="1" customWidth="1"/>
    <col min="9986" max="9986" width="28" style="24" bestFit="1" customWidth="1"/>
    <col min="9987" max="9987" width="4.42578125" style="24" bestFit="1" customWidth="1"/>
    <col min="9988" max="9988" width="8" style="24" bestFit="1" customWidth="1"/>
    <col min="9989" max="9989" width="11.42578125" style="24"/>
    <col min="9990" max="9990" width="22.85546875" style="24" bestFit="1" customWidth="1"/>
    <col min="9991" max="9991" width="7" style="24" customWidth="1"/>
    <col min="9992" max="9992" width="6.28515625" style="24" customWidth="1"/>
    <col min="9993" max="9993" width="5.7109375" style="24" customWidth="1"/>
    <col min="9994" max="9994" width="5.7109375" style="24" bestFit="1" customWidth="1"/>
    <col min="9995" max="9995" width="5.85546875" style="24" bestFit="1" customWidth="1"/>
    <col min="9996" max="9996" width="9.42578125" style="24" customWidth="1"/>
    <col min="9997" max="9997" width="5.140625" style="24" customWidth="1"/>
    <col min="9998" max="9998" width="9.7109375" style="24" customWidth="1"/>
    <col min="9999" max="9999" width="6.7109375" style="24" bestFit="1" customWidth="1"/>
    <col min="10000" max="10000" width="4.85546875" style="24" customWidth="1"/>
    <col min="10001" max="10001" width="5.28515625" style="24" customWidth="1"/>
    <col min="10002" max="10003" width="4.42578125" style="24" bestFit="1" customWidth="1"/>
    <col min="10004" max="10004" width="13.28515625" style="24" bestFit="1" customWidth="1"/>
    <col min="10005" max="10005" width="3.140625" style="24" customWidth="1"/>
    <col min="10006" max="10006" width="5.42578125" style="24" bestFit="1" customWidth="1"/>
    <col min="10007" max="10007" width="4.42578125" style="24" bestFit="1" customWidth="1"/>
    <col min="10008" max="10008" width="6.42578125" style="24" customWidth="1"/>
    <col min="10009" max="10009" width="5" style="24" bestFit="1" customWidth="1"/>
    <col min="10010" max="10010" width="4.5703125" style="24" bestFit="1" customWidth="1"/>
    <col min="10011" max="10011" width="4.42578125" style="24" bestFit="1" customWidth="1"/>
    <col min="10012" max="10012" width="4" style="24" customWidth="1"/>
    <col min="10013" max="10240" width="11.42578125" style="24"/>
    <col min="10241" max="10241" width="14.85546875" style="24" bestFit="1" customWidth="1"/>
    <col min="10242" max="10242" width="28" style="24" bestFit="1" customWidth="1"/>
    <col min="10243" max="10243" width="4.42578125" style="24" bestFit="1" customWidth="1"/>
    <col min="10244" max="10244" width="8" style="24" bestFit="1" customWidth="1"/>
    <col min="10245" max="10245" width="11.42578125" style="24"/>
    <col min="10246" max="10246" width="22.85546875" style="24" bestFit="1" customWidth="1"/>
    <col min="10247" max="10247" width="7" style="24" customWidth="1"/>
    <col min="10248" max="10248" width="6.28515625" style="24" customWidth="1"/>
    <col min="10249" max="10249" width="5.7109375" style="24" customWidth="1"/>
    <col min="10250" max="10250" width="5.7109375" style="24" bestFit="1" customWidth="1"/>
    <col min="10251" max="10251" width="5.85546875" style="24" bestFit="1" customWidth="1"/>
    <col min="10252" max="10252" width="9.42578125" style="24" customWidth="1"/>
    <col min="10253" max="10253" width="5.140625" style="24" customWidth="1"/>
    <col min="10254" max="10254" width="9.7109375" style="24" customWidth="1"/>
    <col min="10255" max="10255" width="6.7109375" style="24" bestFit="1" customWidth="1"/>
    <col min="10256" max="10256" width="4.85546875" style="24" customWidth="1"/>
    <col min="10257" max="10257" width="5.28515625" style="24" customWidth="1"/>
    <col min="10258" max="10259" width="4.42578125" style="24" bestFit="1" customWidth="1"/>
    <col min="10260" max="10260" width="13.28515625" style="24" bestFit="1" customWidth="1"/>
    <col min="10261" max="10261" width="3.140625" style="24" customWidth="1"/>
    <col min="10262" max="10262" width="5.42578125" style="24" bestFit="1" customWidth="1"/>
    <col min="10263" max="10263" width="4.42578125" style="24" bestFit="1" customWidth="1"/>
    <col min="10264" max="10264" width="6.42578125" style="24" customWidth="1"/>
    <col min="10265" max="10265" width="5" style="24" bestFit="1" customWidth="1"/>
    <col min="10266" max="10266" width="4.5703125" style="24" bestFit="1" customWidth="1"/>
    <col min="10267" max="10267" width="4.42578125" style="24" bestFit="1" customWidth="1"/>
    <col min="10268" max="10268" width="4" style="24" customWidth="1"/>
    <col min="10269" max="10496" width="11.42578125" style="24"/>
    <col min="10497" max="10497" width="14.85546875" style="24" bestFit="1" customWidth="1"/>
    <col min="10498" max="10498" width="28" style="24" bestFit="1" customWidth="1"/>
    <col min="10499" max="10499" width="4.42578125" style="24" bestFit="1" customWidth="1"/>
    <col min="10500" max="10500" width="8" style="24" bestFit="1" customWidth="1"/>
    <col min="10501" max="10501" width="11.42578125" style="24"/>
    <col min="10502" max="10502" width="22.85546875" style="24" bestFit="1" customWidth="1"/>
    <col min="10503" max="10503" width="7" style="24" customWidth="1"/>
    <col min="10504" max="10504" width="6.28515625" style="24" customWidth="1"/>
    <col min="10505" max="10505" width="5.7109375" style="24" customWidth="1"/>
    <col min="10506" max="10506" width="5.7109375" style="24" bestFit="1" customWidth="1"/>
    <col min="10507" max="10507" width="5.85546875" style="24" bestFit="1" customWidth="1"/>
    <col min="10508" max="10508" width="9.42578125" style="24" customWidth="1"/>
    <col min="10509" max="10509" width="5.140625" style="24" customWidth="1"/>
    <col min="10510" max="10510" width="9.7109375" style="24" customWidth="1"/>
    <col min="10511" max="10511" width="6.7109375" style="24" bestFit="1" customWidth="1"/>
    <col min="10512" max="10512" width="4.85546875" style="24" customWidth="1"/>
    <col min="10513" max="10513" width="5.28515625" style="24" customWidth="1"/>
    <col min="10514" max="10515" width="4.42578125" style="24" bestFit="1" customWidth="1"/>
    <col min="10516" max="10516" width="13.28515625" style="24" bestFit="1" customWidth="1"/>
    <col min="10517" max="10517" width="3.140625" style="24" customWidth="1"/>
    <col min="10518" max="10518" width="5.42578125" style="24" bestFit="1" customWidth="1"/>
    <col min="10519" max="10519" width="4.42578125" style="24" bestFit="1" customWidth="1"/>
    <col min="10520" max="10520" width="6.42578125" style="24" customWidth="1"/>
    <col min="10521" max="10521" width="5" style="24" bestFit="1" customWidth="1"/>
    <col min="10522" max="10522" width="4.5703125" style="24" bestFit="1" customWidth="1"/>
    <col min="10523" max="10523" width="4.42578125" style="24" bestFit="1" customWidth="1"/>
    <col min="10524" max="10524" width="4" style="24" customWidth="1"/>
    <col min="10525" max="10752" width="11.42578125" style="24"/>
    <col min="10753" max="10753" width="14.85546875" style="24" bestFit="1" customWidth="1"/>
    <col min="10754" max="10754" width="28" style="24" bestFit="1" customWidth="1"/>
    <col min="10755" max="10755" width="4.42578125" style="24" bestFit="1" customWidth="1"/>
    <col min="10756" max="10756" width="8" style="24" bestFit="1" customWidth="1"/>
    <col min="10757" max="10757" width="11.42578125" style="24"/>
    <col min="10758" max="10758" width="22.85546875" style="24" bestFit="1" customWidth="1"/>
    <col min="10759" max="10759" width="7" style="24" customWidth="1"/>
    <col min="10760" max="10760" width="6.28515625" style="24" customWidth="1"/>
    <col min="10761" max="10761" width="5.7109375" style="24" customWidth="1"/>
    <col min="10762" max="10762" width="5.7109375" style="24" bestFit="1" customWidth="1"/>
    <col min="10763" max="10763" width="5.85546875" style="24" bestFit="1" customWidth="1"/>
    <col min="10764" max="10764" width="9.42578125" style="24" customWidth="1"/>
    <col min="10765" max="10765" width="5.140625" style="24" customWidth="1"/>
    <col min="10766" max="10766" width="9.7109375" style="24" customWidth="1"/>
    <col min="10767" max="10767" width="6.7109375" style="24" bestFit="1" customWidth="1"/>
    <col min="10768" max="10768" width="4.85546875" style="24" customWidth="1"/>
    <col min="10769" max="10769" width="5.28515625" style="24" customWidth="1"/>
    <col min="10770" max="10771" width="4.42578125" style="24" bestFit="1" customWidth="1"/>
    <col min="10772" max="10772" width="13.28515625" style="24" bestFit="1" customWidth="1"/>
    <col min="10773" max="10773" width="3.140625" style="24" customWidth="1"/>
    <col min="10774" max="10774" width="5.42578125" style="24" bestFit="1" customWidth="1"/>
    <col min="10775" max="10775" width="4.42578125" style="24" bestFit="1" customWidth="1"/>
    <col min="10776" max="10776" width="6.42578125" style="24" customWidth="1"/>
    <col min="10777" max="10777" width="5" style="24" bestFit="1" customWidth="1"/>
    <col min="10778" max="10778" width="4.5703125" style="24" bestFit="1" customWidth="1"/>
    <col min="10779" max="10779" width="4.42578125" style="24" bestFit="1" customWidth="1"/>
    <col min="10780" max="10780" width="4" style="24" customWidth="1"/>
    <col min="10781" max="11008" width="11.42578125" style="24"/>
    <col min="11009" max="11009" width="14.85546875" style="24" bestFit="1" customWidth="1"/>
    <col min="11010" max="11010" width="28" style="24" bestFit="1" customWidth="1"/>
    <col min="11011" max="11011" width="4.42578125" style="24" bestFit="1" customWidth="1"/>
    <col min="11012" max="11012" width="8" style="24" bestFit="1" customWidth="1"/>
    <col min="11013" max="11013" width="11.42578125" style="24"/>
    <col min="11014" max="11014" width="22.85546875" style="24" bestFit="1" customWidth="1"/>
    <col min="11015" max="11015" width="7" style="24" customWidth="1"/>
    <col min="11016" max="11016" width="6.28515625" style="24" customWidth="1"/>
    <col min="11017" max="11017" width="5.7109375" style="24" customWidth="1"/>
    <col min="11018" max="11018" width="5.7109375" style="24" bestFit="1" customWidth="1"/>
    <col min="11019" max="11019" width="5.85546875" style="24" bestFit="1" customWidth="1"/>
    <col min="11020" max="11020" width="9.42578125" style="24" customWidth="1"/>
    <col min="11021" max="11021" width="5.140625" style="24" customWidth="1"/>
    <col min="11022" max="11022" width="9.7109375" style="24" customWidth="1"/>
    <col min="11023" max="11023" width="6.7109375" style="24" bestFit="1" customWidth="1"/>
    <col min="11024" max="11024" width="4.85546875" style="24" customWidth="1"/>
    <col min="11025" max="11025" width="5.28515625" style="24" customWidth="1"/>
    <col min="11026" max="11027" width="4.42578125" style="24" bestFit="1" customWidth="1"/>
    <col min="11028" max="11028" width="13.28515625" style="24" bestFit="1" customWidth="1"/>
    <col min="11029" max="11029" width="3.140625" style="24" customWidth="1"/>
    <col min="11030" max="11030" width="5.42578125" style="24" bestFit="1" customWidth="1"/>
    <col min="11031" max="11031" width="4.42578125" style="24" bestFit="1" customWidth="1"/>
    <col min="11032" max="11032" width="6.42578125" style="24" customWidth="1"/>
    <col min="11033" max="11033" width="5" style="24" bestFit="1" customWidth="1"/>
    <col min="11034" max="11034" width="4.5703125" style="24" bestFit="1" customWidth="1"/>
    <col min="11035" max="11035" width="4.42578125" style="24" bestFit="1" customWidth="1"/>
    <col min="11036" max="11036" width="4" style="24" customWidth="1"/>
    <col min="11037" max="11264" width="11.42578125" style="24"/>
    <col min="11265" max="11265" width="14.85546875" style="24" bestFit="1" customWidth="1"/>
    <col min="11266" max="11266" width="28" style="24" bestFit="1" customWidth="1"/>
    <col min="11267" max="11267" width="4.42578125" style="24" bestFit="1" customWidth="1"/>
    <col min="11268" max="11268" width="8" style="24" bestFit="1" customWidth="1"/>
    <col min="11269" max="11269" width="11.42578125" style="24"/>
    <col min="11270" max="11270" width="22.85546875" style="24" bestFit="1" customWidth="1"/>
    <col min="11271" max="11271" width="7" style="24" customWidth="1"/>
    <col min="11272" max="11272" width="6.28515625" style="24" customWidth="1"/>
    <col min="11273" max="11273" width="5.7109375" style="24" customWidth="1"/>
    <col min="11274" max="11274" width="5.7109375" style="24" bestFit="1" customWidth="1"/>
    <col min="11275" max="11275" width="5.85546875" style="24" bestFit="1" customWidth="1"/>
    <col min="11276" max="11276" width="9.42578125" style="24" customWidth="1"/>
    <col min="11277" max="11277" width="5.140625" style="24" customWidth="1"/>
    <col min="11278" max="11278" width="9.7109375" style="24" customWidth="1"/>
    <col min="11279" max="11279" width="6.7109375" style="24" bestFit="1" customWidth="1"/>
    <col min="11280" max="11280" width="4.85546875" style="24" customWidth="1"/>
    <col min="11281" max="11281" width="5.28515625" style="24" customWidth="1"/>
    <col min="11282" max="11283" width="4.42578125" style="24" bestFit="1" customWidth="1"/>
    <col min="11284" max="11284" width="13.28515625" style="24" bestFit="1" customWidth="1"/>
    <col min="11285" max="11285" width="3.140625" style="24" customWidth="1"/>
    <col min="11286" max="11286" width="5.42578125" style="24" bestFit="1" customWidth="1"/>
    <col min="11287" max="11287" width="4.42578125" style="24" bestFit="1" customWidth="1"/>
    <col min="11288" max="11288" width="6.42578125" style="24" customWidth="1"/>
    <col min="11289" max="11289" width="5" style="24" bestFit="1" customWidth="1"/>
    <col min="11290" max="11290" width="4.5703125" style="24" bestFit="1" customWidth="1"/>
    <col min="11291" max="11291" width="4.42578125" style="24" bestFit="1" customWidth="1"/>
    <col min="11292" max="11292" width="4" style="24" customWidth="1"/>
    <col min="11293" max="11520" width="11.42578125" style="24"/>
    <col min="11521" max="11521" width="14.85546875" style="24" bestFit="1" customWidth="1"/>
    <col min="11522" max="11522" width="28" style="24" bestFit="1" customWidth="1"/>
    <col min="11523" max="11523" width="4.42578125" style="24" bestFit="1" customWidth="1"/>
    <col min="11524" max="11524" width="8" style="24" bestFit="1" customWidth="1"/>
    <col min="11525" max="11525" width="11.42578125" style="24"/>
    <col min="11526" max="11526" width="22.85546875" style="24" bestFit="1" customWidth="1"/>
    <col min="11527" max="11527" width="7" style="24" customWidth="1"/>
    <col min="11528" max="11528" width="6.28515625" style="24" customWidth="1"/>
    <col min="11529" max="11529" width="5.7109375" style="24" customWidth="1"/>
    <col min="11530" max="11530" width="5.7109375" style="24" bestFit="1" customWidth="1"/>
    <col min="11531" max="11531" width="5.85546875" style="24" bestFit="1" customWidth="1"/>
    <col min="11532" max="11532" width="9.42578125" style="24" customWidth="1"/>
    <col min="11533" max="11533" width="5.140625" style="24" customWidth="1"/>
    <col min="11534" max="11534" width="9.7109375" style="24" customWidth="1"/>
    <col min="11535" max="11535" width="6.7109375" style="24" bestFit="1" customWidth="1"/>
    <col min="11536" max="11536" width="4.85546875" style="24" customWidth="1"/>
    <col min="11537" max="11537" width="5.28515625" style="24" customWidth="1"/>
    <col min="11538" max="11539" width="4.42578125" style="24" bestFit="1" customWidth="1"/>
    <col min="11540" max="11540" width="13.28515625" style="24" bestFit="1" customWidth="1"/>
    <col min="11541" max="11541" width="3.140625" style="24" customWidth="1"/>
    <col min="11542" max="11542" width="5.42578125" style="24" bestFit="1" customWidth="1"/>
    <col min="11543" max="11543" width="4.42578125" style="24" bestFit="1" customWidth="1"/>
    <col min="11544" max="11544" width="6.42578125" style="24" customWidth="1"/>
    <col min="11545" max="11545" width="5" style="24" bestFit="1" customWidth="1"/>
    <col min="11546" max="11546" width="4.5703125" style="24" bestFit="1" customWidth="1"/>
    <col min="11547" max="11547" width="4.42578125" style="24" bestFit="1" customWidth="1"/>
    <col min="11548" max="11548" width="4" style="24" customWidth="1"/>
    <col min="11549" max="11776" width="11.42578125" style="24"/>
    <col min="11777" max="11777" width="14.85546875" style="24" bestFit="1" customWidth="1"/>
    <col min="11778" max="11778" width="28" style="24" bestFit="1" customWidth="1"/>
    <col min="11779" max="11779" width="4.42578125" style="24" bestFit="1" customWidth="1"/>
    <col min="11780" max="11780" width="8" style="24" bestFit="1" customWidth="1"/>
    <col min="11781" max="11781" width="11.42578125" style="24"/>
    <col min="11782" max="11782" width="22.85546875" style="24" bestFit="1" customWidth="1"/>
    <col min="11783" max="11783" width="7" style="24" customWidth="1"/>
    <col min="11784" max="11784" width="6.28515625" style="24" customWidth="1"/>
    <col min="11785" max="11785" width="5.7109375" style="24" customWidth="1"/>
    <col min="11786" max="11786" width="5.7109375" style="24" bestFit="1" customWidth="1"/>
    <col min="11787" max="11787" width="5.85546875" style="24" bestFit="1" customWidth="1"/>
    <col min="11788" max="11788" width="9.42578125" style="24" customWidth="1"/>
    <col min="11789" max="11789" width="5.140625" style="24" customWidth="1"/>
    <col min="11790" max="11790" width="9.7109375" style="24" customWidth="1"/>
    <col min="11791" max="11791" width="6.7109375" style="24" bestFit="1" customWidth="1"/>
    <col min="11792" max="11792" width="4.85546875" style="24" customWidth="1"/>
    <col min="11793" max="11793" width="5.28515625" style="24" customWidth="1"/>
    <col min="11794" max="11795" width="4.42578125" style="24" bestFit="1" customWidth="1"/>
    <col min="11796" max="11796" width="13.28515625" style="24" bestFit="1" customWidth="1"/>
    <col min="11797" max="11797" width="3.140625" style="24" customWidth="1"/>
    <col min="11798" max="11798" width="5.42578125" style="24" bestFit="1" customWidth="1"/>
    <col min="11799" max="11799" width="4.42578125" style="24" bestFit="1" customWidth="1"/>
    <col min="11800" max="11800" width="6.42578125" style="24" customWidth="1"/>
    <col min="11801" max="11801" width="5" style="24" bestFit="1" customWidth="1"/>
    <col min="11802" max="11802" width="4.5703125" style="24" bestFit="1" customWidth="1"/>
    <col min="11803" max="11803" width="4.42578125" style="24" bestFit="1" customWidth="1"/>
    <col min="11804" max="11804" width="4" style="24" customWidth="1"/>
    <col min="11805" max="12032" width="11.42578125" style="24"/>
    <col min="12033" max="12033" width="14.85546875" style="24" bestFit="1" customWidth="1"/>
    <col min="12034" max="12034" width="28" style="24" bestFit="1" customWidth="1"/>
    <col min="12035" max="12035" width="4.42578125" style="24" bestFit="1" customWidth="1"/>
    <col min="12036" max="12036" width="8" style="24" bestFit="1" customWidth="1"/>
    <col min="12037" max="12037" width="11.42578125" style="24"/>
    <col min="12038" max="12038" width="22.85546875" style="24" bestFit="1" customWidth="1"/>
    <col min="12039" max="12039" width="7" style="24" customWidth="1"/>
    <col min="12040" max="12040" width="6.28515625" style="24" customWidth="1"/>
    <col min="12041" max="12041" width="5.7109375" style="24" customWidth="1"/>
    <col min="12042" max="12042" width="5.7109375" style="24" bestFit="1" customWidth="1"/>
    <col min="12043" max="12043" width="5.85546875" style="24" bestFit="1" customWidth="1"/>
    <col min="12044" max="12044" width="9.42578125" style="24" customWidth="1"/>
    <col min="12045" max="12045" width="5.140625" style="24" customWidth="1"/>
    <col min="12046" max="12046" width="9.7109375" style="24" customWidth="1"/>
    <col min="12047" max="12047" width="6.7109375" style="24" bestFit="1" customWidth="1"/>
    <col min="12048" max="12048" width="4.85546875" style="24" customWidth="1"/>
    <col min="12049" max="12049" width="5.28515625" style="24" customWidth="1"/>
    <col min="12050" max="12051" width="4.42578125" style="24" bestFit="1" customWidth="1"/>
    <col min="12052" max="12052" width="13.28515625" style="24" bestFit="1" customWidth="1"/>
    <col min="12053" max="12053" width="3.140625" style="24" customWidth="1"/>
    <col min="12054" max="12054" width="5.42578125" style="24" bestFit="1" customWidth="1"/>
    <col min="12055" max="12055" width="4.42578125" style="24" bestFit="1" customWidth="1"/>
    <col min="12056" max="12056" width="6.42578125" style="24" customWidth="1"/>
    <col min="12057" max="12057" width="5" style="24" bestFit="1" customWidth="1"/>
    <col min="12058" max="12058" width="4.5703125" style="24" bestFit="1" customWidth="1"/>
    <col min="12059" max="12059" width="4.42578125" style="24" bestFit="1" customWidth="1"/>
    <col min="12060" max="12060" width="4" style="24" customWidth="1"/>
    <col min="12061" max="12288" width="11.42578125" style="24"/>
    <col min="12289" max="12289" width="14.85546875" style="24" bestFit="1" customWidth="1"/>
    <col min="12290" max="12290" width="28" style="24" bestFit="1" customWidth="1"/>
    <col min="12291" max="12291" width="4.42578125" style="24" bestFit="1" customWidth="1"/>
    <col min="12292" max="12292" width="8" style="24" bestFit="1" customWidth="1"/>
    <col min="12293" max="12293" width="11.42578125" style="24"/>
    <col min="12294" max="12294" width="22.85546875" style="24" bestFit="1" customWidth="1"/>
    <col min="12295" max="12295" width="7" style="24" customWidth="1"/>
    <col min="12296" max="12296" width="6.28515625" style="24" customWidth="1"/>
    <col min="12297" max="12297" width="5.7109375" style="24" customWidth="1"/>
    <col min="12298" max="12298" width="5.7109375" style="24" bestFit="1" customWidth="1"/>
    <col min="12299" max="12299" width="5.85546875" style="24" bestFit="1" customWidth="1"/>
    <col min="12300" max="12300" width="9.42578125" style="24" customWidth="1"/>
    <col min="12301" max="12301" width="5.140625" style="24" customWidth="1"/>
    <col min="12302" max="12302" width="9.7109375" style="24" customWidth="1"/>
    <col min="12303" max="12303" width="6.7109375" style="24" bestFit="1" customWidth="1"/>
    <col min="12304" max="12304" width="4.85546875" style="24" customWidth="1"/>
    <col min="12305" max="12305" width="5.28515625" style="24" customWidth="1"/>
    <col min="12306" max="12307" width="4.42578125" style="24" bestFit="1" customWidth="1"/>
    <col min="12308" max="12308" width="13.28515625" style="24" bestFit="1" customWidth="1"/>
    <col min="12309" max="12309" width="3.140625" style="24" customWidth="1"/>
    <col min="12310" max="12310" width="5.42578125" style="24" bestFit="1" customWidth="1"/>
    <col min="12311" max="12311" width="4.42578125" style="24" bestFit="1" customWidth="1"/>
    <col min="12312" max="12312" width="6.42578125" style="24" customWidth="1"/>
    <col min="12313" max="12313" width="5" style="24" bestFit="1" customWidth="1"/>
    <col min="12314" max="12314" width="4.5703125" style="24" bestFit="1" customWidth="1"/>
    <col min="12315" max="12315" width="4.42578125" style="24" bestFit="1" customWidth="1"/>
    <col min="12316" max="12316" width="4" style="24" customWidth="1"/>
    <col min="12317" max="12544" width="11.42578125" style="24"/>
    <col min="12545" max="12545" width="14.85546875" style="24" bestFit="1" customWidth="1"/>
    <col min="12546" max="12546" width="28" style="24" bestFit="1" customWidth="1"/>
    <col min="12547" max="12547" width="4.42578125" style="24" bestFit="1" customWidth="1"/>
    <col min="12548" max="12548" width="8" style="24" bestFit="1" customWidth="1"/>
    <col min="12549" max="12549" width="11.42578125" style="24"/>
    <col min="12550" max="12550" width="22.85546875" style="24" bestFit="1" customWidth="1"/>
    <col min="12551" max="12551" width="7" style="24" customWidth="1"/>
    <col min="12552" max="12552" width="6.28515625" style="24" customWidth="1"/>
    <col min="12553" max="12553" width="5.7109375" style="24" customWidth="1"/>
    <col min="12554" max="12554" width="5.7109375" style="24" bestFit="1" customWidth="1"/>
    <col min="12555" max="12555" width="5.85546875" style="24" bestFit="1" customWidth="1"/>
    <col min="12556" max="12556" width="9.42578125" style="24" customWidth="1"/>
    <col min="12557" max="12557" width="5.140625" style="24" customWidth="1"/>
    <col min="12558" max="12558" width="9.7109375" style="24" customWidth="1"/>
    <col min="12559" max="12559" width="6.7109375" style="24" bestFit="1" customWidth="1"/>
    <col min="12560" max="12560" width="4.85546875" style="24" customWidth="1"/>
    <col min="12561" max="12561" width="5.28515625" style="24" customWidth="1"/>
    <col min="12562" max="12563" width="4.42578125" style="24" bestFit="1" customWidth="1"/>
    <col min="12564" max="12564" width="13.28515625" style="24" bestFit="1" customWidth="1"/>
    <col min="12565" max="12565" width="3.140625" style="24" customWidth="1"/>
    <col min="12566" max="12566" width="5.42578125" style="24" bestFit="1" customWidth="1"/>
    <col min="12567" max="12567" width="4.42578125" style="24" bestFit="1" customWidth="1"/>
    <col min="12568" max="12568" width="6.42578125" style="24" customWidth="1"/>
    <col min="12569" max="12569" width="5" style="24" bestFit="1" customWidth="1"/>
    <col min="12570" max="12570" width="4.5703125" style="24" bestFit="1" customWidth="1"/>
    <col min="12571" max="12571" width="4.42578125" style="24" bestFit="1" customWidth="1"/>
    <col min="12572" max="12572" width="4" style="24" customWidth="1"/>
    <col min="12573" max="12800" width="11.42578125" style="24"/>
    <col min="12801" max="12801" width="14.85546875" style="24" bestFit="1" customWidth="1"/>
    <col min="12802" max="12802" width="28" style="24" bestFit="1" customWidth="1"/>
    <col min="12803" max="12803" width="4.42578125" style="24" bestFit="1" customWidth="1"/>
    <col min="12804" max="12804" width="8" style="24" bestFit="1" customWidth="1"/>
    <col min="12805" max="12805" width="11.42578125" style="24"/>
    <col min="12806" max="12806" width="22.85546875" style="24" bestFit="1" customWidth="1"/>
    <col min="12807" max="12807" width="7" style="24" customWidth="1"/>
    <col min="12808" max="12808" width="6.28515625" style="24" customWidth="1"/>
    <col min="12809" max="12809" width="5.7109375" style="24" customWidth="1"/>
    <col min="12810" max="12810" width="5.7109375" style="24" bestFit="1" customWidth="1"/>
    <col min="12811" max="12811" width="5.85546875" style="24" bestFit="1" customWidth="1"/>
    <col min="12812" max="12812" width="9.42578125" style="24" customWidth="1"/>
    <col min="12813" max="12813" width="5.140625" style="24" customWidth="1"/>
    <col min="12814" max="12814" width="9.7109375" style="24" customWidth="1"/>
    <col min="12815" max="12815" width="6.7109375" style="24" bestFit="1" customWidth="1"/>
    <col min="12816" max="12816" width="4.85546875" style="24" customWidth="1"/>
    <col min="12817" max="12817" width="5.28515625" style="24" customWidth="1"/>
    <col min="12818" max="12819" width="4.42578125" style="24" bestFit="1" customWidth="1"/>
    <col min="12820" max="12820" width="13.28515625" style="24" bestFit="1" customWidth="1"/>
    <col min="12821" max="12821" width="3.140625" style="24" customWidth="1"/>
    <col min="12822" max="12822" width="5.42578125" style="24" bestFit="1" customWidth="1"/>
    <col min="12823" max="12823" width="4.42578125" style="24" bestFit="1" customWidth="1"/>
    <col min="12824" max="12824" width="6.42578125" style="24" customWidth="1"/>
    <col min="12825" max="12825" width="5" style="24" bestFit="1" customWidth="1"/>
    <col min="12826" max="12826" width="4.5703125" style="24" bestFit="1" customWidth="1"/>
    <col min="12827" max="12827" width="4.42578125" style="24" bestFit="1" customWidth="1"/>
    <col min="12828" max="12828" width="4" style="24" customWidth="1"/>
    <col min="12829" max="13056" width="11.42578125" style="24"/>
    <col min="13057" max="13057" width="14.85546875" style="24" bestFit="1" customWidth="1"/>
    <col min="13058" max="13058" width="28" style="24" bestFit="1" customWidth="1"/>
    <col min="13059" max="13059" width="4.42578125" style="24" bestFit="1" customWidth="1"/>
    <col min="13060" max="13060" width="8" style="24" bestFit="1" customWidth="1"/>
    <col min="13061" max="13061" width="11.42578125" style="24"/>
    <col min="13062" max="13062" width="22.85546875" style="24" bestFit="1" customWidth="1"/>
    <col min="13063" max="13063" width="7" style="24" customWidth="1"/>
    <col min="13064" max="13064" width="6.28515625" style="24" customWidth="1"/>
    <col min="13065" max="13065" width="5.7109375" style="24" customWidth="1"/>
    <col min="13066" max="13066" width="5.7109375" style="24" bestFit="1" customWidth="1"/>
    <col min="13067" max="13067" width="5.85546875" style="24" bestFit="1" customWidth="1"/>
    <col min="13068" max="13068" width="9.42578125" style="24" customWidth="1"/>
    <col min="13069" max="13069" width="5.140625" style="24" customWidth="1"/>
    <col min="13070" max="13070" width="9.7109375" style="24" customWidth="1"/>
    <col min="13071" max="13071" width="6.7109375" style="24" bestFit="1" customWidth="1"/>
    <col min="13072" max="13072" width="4.85546875" style="24" customWidth="1"/>
    <col min="13073" max="13073" width="5.28515625" style="24" customWidth="1"/>
    <col min="13074" max="13075" width="4.42578125" style="24" bestFit="1" customWidth="1"/>
    <col min="13076" max="13076" width="13.28515625" style="24" bestFit="1" customWidth="1"/>
    <col min="13077" max="13077" width="3.140625" style="24" customWidth="1"/>
    <col min="13078" max="13078" width="5.42578125" style="24" bestFit="1" customWidth="1"/>
    <col min="13079" max="13079" width="4.42578125" style="24" bestFit="1" customWidth="1"/>
    <col min="13080" max="13080" width="6.42578125" style="24" customWidth="1"/>
    <col min="13081" max="13081" width="5" style="24" bestFit="1" customWidth="1"/>
    <col min="13082" max="13082" width="4.5703125" style="24" bestFit="1" customWidth="1"/>
    <col min="13083" max="13083" width="4.42578125" style="24" bestFit="1" customWidth="1"/>
    <col min="13084" max="13084" width="4" style="24" customWidth="1"/>
    <col min="13085" max="13312" width="11.42578125" style="24"/>
    <col min="13313" max="13313" width="14.85546875" style="24" bestFit="1" customWidth="1"/>
    <col min="13314" max="13314" width="28" style="24" bestFit="1" customWidth="1"/>
    <col min="13315" max="13315" width="4.42578125" style="24" bestFit="1" customWidth="1"/>
    <col min="13316" max="13316" width="8" style="24" bestFit="1" customWidth="1"/>
    <col min="13317" max="13317" width="11.42578125" style="24"/>
    <col min="13318" max="13318" width="22.85546875" style="24" bestFit="1" customWidth="1"/>
    <col min="13319" max="13319" width="7" style="24" customWidth="1"/>
    <col min="13320" max="13320" width="6.28515625" style="24" customWidth="1"/>
    <col min="13321" max="13321" width="5.7109375" style="24" customWidth="1"/>
    <col min="13322" max="13322" width="5.7109375" style="24" bestFit="1" customWidth="1"/>
    <col min="13323" max="13323" width="5.85546875" style="24" bestFit="1" customWidth="1"/>
    <col min="13324" max="13324" width="9.42578125" style="24" customWidth="1"/>
    <col min="13325" max="13325" width="5.140625" style="24" customWidth="1"/>
    <col min="13326" max="13326" width="9.7109375" style="24" customWidth="1"/>
    <col min="13327" max="13327" width="6.7109375" style="24" bestFit="1" customWidth="1"/>
    <col min="13328" max="13328" width="4.85546875" style="24" customWidth="1"/>
    <col min="13329" max="13329" width="5.28515625" style="24" customWidth="1"/>
    <col min="13330" max="13331" width="4.42578125" style="24" bestFit="1" customWidth="1"/>
    <col min="13332" max="13332" width="13.28515625" style="24" bestFit="1" customWidth="1"/>
    <col min="13333" max="13333" width="3.140625" style="24" customWidth="1"/>
    <col min="13334" max="13334" width="5.42578125" style="24" bestFit="1" customWidth="1"/>
    <col min="13335" max="13335" width="4.42578125" style="24" bestFit="1" customWidth="1"/>
    <col min="13336" max="13336" width="6.42578125" style="24" customWidth="1"/>
    <col min="13337" max="13337" width="5" style="24" bestFit="1" customWidth="1"/>
    <col min="13338" max="13338" width="4.5703125" style="24" bestFit="1" customWidth="1"/>
    <col min="13339" max="13339" width="4.42578125" style="24" bestFit="1" customWidth="1"/>
    <col min="13340" max="13340" width="4" style="24" customWidth="1"/>
    <col min="13341" max="13568" width="11.42578125" style="24"/>
    <col min="13569" max="13569" width="14.85546875" style="24" bestFit="1" customWidth="1"/>
    <col min="13570" max="13570" width="28" style="24" bestFit="1" customWidth="1"/>
    <col min="13571" max="13571" width="4.42578125" style="24" bestFit="1" customWidth="1"/>
    <col min="13572" max="13572" width="8" style="24" bestFit="1" customWidth="1"/>
    <col min="13573" max="13573" width="11.42578125" style="24"/>
    <col min="13574" max="13574" width="22.85546875" style="24" bestFit="1" customWidth="1"/>
    <col min="13575" max="13575" width="7" style="24" customWidth="1"/>
    <col min="13576" max="13576" width="6.28515625" style="24" customWidth="1"/>
    <col min="13577" max="13577" width="5.7109375" style="24" customWidth="1"/>
    <col min="13578" max="13578" width="5.7109375" style="24" bestFit="1" customWidth="1"/>
    <col min="13579" max="13579" width="5.85546875" style="24" bestFit="1" customWidth="1"/>
    <col min="13580" max="13580" width="9.42578125" style="24" customWidth="1"/>
    <col min="13581" max="13581" width="5.140625" style="24" customWidth="1"/>
    <col min="13582" max="13582" width="9.7109375" style="24" customWidth="1"/>
    <col min="13583" max="13583" width="6.7109375" style="24" bestFit="1" customWidth="1"/>
    <col min="13584" max="13584" width="4.85546875" style="24" customWidth="1"/>
    <col min="13585" max="13585" width="5.28515625" style="24" customWidth="1"/>
    <col min="13586" max="13587" width="4.42578125" style="24" bestFit="1" customWidth="1"/>
    <col min="13588" max="13588" width="13.28515625" style="24" bestFit="1" customWidth="1"/>
    <col min="13589" max="13589" width="3.140625" style="24" customWidth="1"/>
    <col min="13590" max="13590" width="5.42578125" style="24" bestFit="1" customWidth="1"/>
    <col min="13591" max="13591" width="4.42578125" style="24" bestFit="1" customWidth="1"/>
    <col min="13592" max="13592" width="6.42578125" style="24" customWidth="1"/>
    <col min="13593" max="13593" width="5" style="24" bestFit="1" customWidth="1"/>
    <col min="13594" max="13594" width="4.5703125" style="24" bestFit="1" customWidth="1"/>
    <col min="13595" max="13595" width="4.42578125" style="24" bestFit="1" customWidth="1"/>
    <col min="13596" max="13596" width="4" style="24" customWidth="1"/>
    <col min="13597" max="13824" width="11.42578125" style="24"/>
    <col min="13825" max="13825" width="14.85546875" style="24" bestFit="1" customWidth="1"/>
    <col min="13826" max="13826" width="28" style="24" bestFit="1" customWidth="1"/>
    <col min="13827" max="13827" width="4.42578125" style="24" bestFit="1" customWidth="1"/>
    <col min="13828" max="13828" width="8" style="24" bestFit="1" customWidth="1"/>
    <col min="13829" max="13829" width="11.42578125" style="24"/>
    <col min="13830" max="13830" width="22.85546875" style="24" bestFit="1" customWidth="1"/>
    <col min="13831" max="13831" width="7" style="24" customWidth="1"/>
    <col min="13832" max="13832" width="6.28515625" style="24" customWidth="1"/>
    <col min="13833" max="13833" width="5.7109375" style="24" customWidth="1"/>
    <col min="13834" max="13834" width="5.7109375" style="24" bestFit="1" customWidth="1"/>
    <col min="13835" max="13835" width="5.85546875" style="24" bestFit="1" customWidth="1"/>
    <col min="13836" max="13836" width="9.42578125" style="24" customWidth="1"/>
    <col min="13837" max="13837" width="5.140625" style="24" customWidth="1"/>
    <col min="13838" max="13838" width="9.7109375" style="24" customWidth="1"/>
    <col min="13839" max="13839" width="6.7109375" style="24" bestFit="1" customWidth="1"/>
    <col min="13840" max="13840" width="4.85546875" style="24" customWidth="1"/>
    <col min="13841" max="13841" width="5.28515625" style="24" customWidth="1"/>
    <col min="13842" max="13843" width="4.42578125" style="24" bestFit="1" customWidth="1"/>
    <col min="13844" max="13844" width="13.28515625" style="24" bestFit="1" customWidth="1"/>
    <col min="13845" max="13845" width="3.140625" style="24" customWidth="1"/>
    <col min="13846" max="13846" width="5.42578125" style="24" bestFit="1" customWidth="1"/>
    <col min="13847" max="13847" width="4.42578125" style="24" bestFit="1" customWidth="1"/>
    <col min="13848" max="13848" width="6.42578125" style="24" customWidth="1"/>
    <col min="13849" max="13849" width="5" style="24" bestFit="1" customWidth="1"/>
    <col min="13850" max="13850" width="4.5703125" style="24" bestFit="1" customWidth="1"/>
    <col min="13851" max="13851" width="4.42578125" style="24" bestFit="1" customWidth="1"/>
    <col min="13852" max="13852" width="4" style="24" customWidth="1"/>
    <col min="13853" max="14080" width="11.42578125" style="24"/>
    <col min="14081" max="14081" width="14.85546875" style="24" bestFit="1" customWidth="1"/>
    <col min="14082" max="14082" width="28" style="24" bestFit="1" customWidth="1"/>
    <col min="14083" max="14083" width="4.42578125" style="24" bestFit="1" customWidth="1"/>
    <col min="14084" max="14084" width="8" style="24" bestFit="1" customWidth="1"/>
    <col min="14085" max="14085" width="11.42578125" style="24"/>
    <col min="14086" max="14086" width="22.85546875" style="24" bestFit="1" customWidth="1"/>
    <col min="14087" max="14087" width="7" style="24" customWidth="1"/>
    <col min="14088" max="14088" width="6.28515625" style="24" customWidth="1"/>
    <col min="14089" max="14089" width="5.7109375" style="24" customWidth="1"/>
    <col min="14090" max="14090" width="5.7109375" style="24" bestFit="1" customWidth="1"/>
    <col min="14091" max="14091" width="5.85546875" style="24" bestFit="1" customWidth="1"/>
    <col min="14092" max="14092" width="9.42578125" style="24" customWidth="1"/>
    <col min="14093" max="14093" width="5.140625" style="24" customWidth="1"/>
    <col min="14094" max="14094" width="9.7109375" style="24" customWidth="1"/>
    <col min="14095" max="14095" width="6.7109375" style="24" bestFit="1" customWidth="1"/>
    <col min="14096" max="14096" width="4.85546875" style="24" customWidth="1"/>
    <col min="14097" max="14097" width="5.28515625" style="24" customWidth="1"/>
    <col min="14098" max="14099" width="4.42578125" style="24" bestFit="1" customWidth="1"/>
    <col min="14100" max="14100" width="13.28515625" style="24" bestFit="1" customWidth="1"/>
    <col min="14101" max="14101" width="3.140625" style="24" customWidth="1"/>
    <col min="14102" max="14102" width="5.42578125" style="24" bestFit="1" customWidth="1"/>
    <col min="14103" max="14103" width="4.42578125" style="24" bestFit="1" customWidth="1"/>
    <col min="14104" max="14104" width="6.42578125" style="24" customWidth="1"/>
    <col min="14105" max="14105" width="5" style="24" bestFit="1" customWidth="1"/>
    <col min="14106" max="14106" width="4.5703125" style="24" bestFit="1" customWidth="1"/>
    <col min="14107" max="14107" width="4.42578125" style="24" bestFit="1" customWidth="1"/>
    <col min="14108" max="14108" width="4" style="24" customWidth="1"/>
    <col min="14109" max="14336" width="11.42578125" style="24"/>
    <col min="14337" max="14337" width="14.85546875" style="24" bestFit="1" customWidth="1"/>
    <col min="14338" max="14338" width="28" style="24" bestFit="1" customWidth="1"/>
    <col min="14339" max="14339" width="4.42578125" style="24" bestFit="1" customWidth="1"/>
    <col min="14340" max="14340" width="8" style="24" bestFit="1" customWidth="1"/>
    <col min="14341" max="14341" width="11.42578125" style="24"/>
    <col min="14342" max="14342" width="22.85546875" style="24" bestFit="1" customWidth="1"/>
    <col min="14343" max="14343" width="7" style="24" customWidth="1"/>
    <col min="14344" max="14344" width="6.28515625" style="24" customWidth="1"/>
    <col min="14345" max="14345" width="5.7109375" style="24" customWidth="1"/>
    <col min="14346" max="14346" width="5.7109375" style="24" bestFit="1" customWidth="1"/>
    <col min="14347" max="14347" width="5.85546875" style="24" bestFit="1" customWidth="1"/>
    <col min="14348" max="14348" width="9.42578125" style="24" customWidth="1"/>
    <col min="14349" max="14349" width="5.140625" style="24" customWidth="1"/>
    <col min="14350" max="14350" width="9.7109375" style="24" customWidth="1"/>
    <col min="14351" max="14351" width="6.7109375" style="24" bestFit="1" customWidth="1"/>
    <col min="14352" max="14352" width="4.85546875" style="24" customWidth="1"/>
    <col min="14353" max="14353" width="5.28515625" style="24" customWidth="1"/>
    <col min="14354" max="14355" width="4.42578125" style="24" bestFit="1" customWidth="1"/>
    <col min="14356" max="14356" width="13.28515625" style="24" bestFit="1" customWidth="1"/>
    <col min="14357" max="14357" width="3.140625" style="24" customWidth="1"/>
    <col min="14358" max="14358" width="5.42578125" style="24" bestFit="1" customWidth="1"/>
    <col min="14359" max="14359" width="4.42578125" style="24" bestFit="1" customWidth="1"/>
    <col min="14360" max="14360" width="6.42578125" style="24" customWidth="1"/>
    <col min="14361" max="14361" width="5" style="24" bestFit="1" customWidth="1"/>
    <col min="14362" max="14362" width="4.5703125" style="24" bestFit="1" customWidth="1"/>
    <col min="14363" max="14363" width="4.42578125" style="24" bestFit="1" customWidth="1"/>
    <col min="14364" max="14364" width="4" style="24" customWidth="1"/>
    <col min="14365" max="14592" width="11.42578125" style="24"/>
    <col min="14593" max="14593" width="14.85546875" style="24" bestFit="1" customWidth="1"/>
    <col min="14594" max="14594" width="28" style="24" bestFit="1" customWidth="1"/>
    <col min="14595" max="14595" width="4.42578125" style="24" bestFit="1" customWidth="1"/>
    <col min="14596" max="14596" width="8" style="24" bestFit="1" customWidth="1"/>
    <col min="14597" max="14597" width="11.42578125" style="24"/>
    <col min="14598" max="14598" width="22.85546875" style="24" bestFit="1" customWidth="1"/>
    <col min="14599" max="14599" width="7" style="24" customWidth="1"/>
    <col min="14600" max="14600" width="6.28515625" style="24" customWidth="1"/>
    <col min="14601" max="14601" width="5.7109375" style="24" customWidth="1"/>
    <col min="14602" max="14602" width="5.7109375" style="24" bestFit="1" customWidth="1"/>
    <col min="14603" max="14603" width="5.85546875" style="24" bestFit="1" customWidth="1"/>
    <col min="14604" max="14604" width="9.42578125" style="24" customWidth="1"/>
    <col min="14605" max="14605" width="5.140625" style="24" customWidth="1"/>
    <col min="14606" max="14606" width="9.7109375" style="24" customWidth="1"/>
    <col min="14607" max="14607" width="6.7109375" style="24" bestFit="1" customWidth="1"/>
    <col min="14608" max="14608" width="4.85546875" style="24" customWidth="1"/>
    <col min="14609" max="14609" width="5.28515625" style="24" customWidth="1"/>
    <col min="14610" max="14611" width="4.42578125" style="24" bestFit="1" customWidth="1"/>
    <col min="14612" max="14612" width="13.28515625" style="24" bestFit="1" customWidth="1"/>
    <col min="14613" max="14613" width="3.140625" style="24" customWidth="1"/>
    <col min="14614" max="14614" width="5.42578125" style="24" bestFit="1" customWidth="1"/>
    <col min="14615" max="14615" width="4.42578125" style="24" bestFit="1" customWidth="1"/>
    <col min="14616" max="14616" width="6.42578125" style="24" customWidth="1"/>
    <col min="14617" max="14617" width="5" style="24" bestFit="1" customWidth="1"/>
    <col min="14618" max="14618" width="4.5703125" style="24" bestFit="1" customWidth="1"/>
    <col min="14619" max="14619" width="4.42578125" style="24" bestFit="1" customWidth="1"/>
    <col min="14620" max="14620" width="4" style="24" customWidth="1"/>
    <col min="14621" max="14848" width="11.42578125" style="24"/>
    <col min="14849" max="14849" width="14.85546875" style="24" bestFit="1" customWidth="1"/>
    <col min="14850" max="14850" width="28" style="24" bestFit="1" customWidth="1"/>
    <col min="14851" max="14851" width="4.42578125" style="24" bestFit="1" customWidth="1"/>
    <col min="14852" max="14852" width="8" style="24" bestFit="1" customWidth="1"/>
    <col min="14853" max="14853" width="11.42578125" style="24"/>
    <col min="14854" max="14854" width="22.85546875" style="24" bestFit="1" customWidth="1"/>
    <col min="14855" max="14855" width="7" style="24" customWidth="1"/>
    <col min="14856" max="14856" width="6.28515625" style="24" customWidth="1"/>
    <col min="14857" max="14857" width="5.7109375" style="24" customWidth="1"/>
    <col min="14858" max="14858" width="5.7109375" style="24" bestFit="1" customWidth="1"/>
    <col min="14859" max="14859" width="5.85546875" style="24" bestFit="1" customWidth="1"/>
    <col min="14860" max="14860" width="9.42578125" style="24" customWidth="1"/>
    <col min="14861" max="14861" width="5.140625" style="24" customWidth="1"/>
    <col min="14862" max="14862" width="9.7109375" style="24" customWidth="1"/>
    <col min="14863" max="14863" width="6.7109375" style="24" bestFit="1" customWidth="1"/>
    <col min="14864" max="14864" width="4.85546875" style="24" customWidth="1"/>
    <col min="14865" max="14865" width="5.28515625" style="24" customWidth="1"/>
    <col min="14866" max="14867" width="4.42578125" style="24" bestFit="1" customWidth="1"/>
    <col min="14868" max="14868" width="13.28515625" style="24" bestFit="1" customWidth="1"/>
    <col min="14869" max="14869" width="3.140625" style="24" customWidth="1"/>
    <col min="14870" max="14870" width="5.42578125" style="24" bestFit="1" customWidth="1"/>
    <col min="14871" max="14871" width="4.42578125" style="24" bestFit="1" customWidth="1"/>
    <col min="14872" max="14872" width="6.42578125" style="24" customWidth="1"/>
    <col min="14873" max="14873" width="5" style="24" bestFit="1" customWidth="1"/>
    <col min="14874" max="14874" width="4.5703125" style="24" bestFit="1" customWidth="1"/>
    <col min="14875" max="14875" width="4.42578125" style="24" bestFit="1" customWidth="1"/>
    <col min="14876" max="14876" width="4" style="24" customWidth="1"/>
    <col min="14877" max="15104" width="11.42578125" style="24"/>
    <col min="15105" max="15105" width="14.85546875" style="24" bestFit="1" customWidth="1"/>
    <col min="15106" max="15106" width="28" style="24" bestFit="1" customWidth="1"/>
    <col min="15107" max="15107" width="4.42578125" style="24" bestFit="1" customWidth="1"/>
    <col min="15108" max="15108" width="8" style="24" bestFit="1" customWidth="1"/>
    <col min="15109" max="15109" width="11.42578125" style="24"/>
    <col min="15110" max="15110" width="22.85546875" style="24" bestFit="1" customWidth="1"/>
    <col min="15111" max="15111" width="7" style="24" customWidth="1"/>
    <col min="15112" max="15112" width="6.28515625" style="24" customWidth="1"/>
    <col min="15113" max="15113" width="5.7109375" style="24" customWidth="1"/>
    <col min="15114" max="15114" width="5.7109375" style="24" bestFit="1" customWidth="1"/>
    <col min="15115" max="15115" width="5.85546875" style="24" bestFit="1" customWidth="1"/>
    <col min="15116" max="15116" width="9.42578125" style="24" customWidth="1"/>
    <col min="15117" max="15117" width="5.140625" style="24" customWidth="1"/>
    <col min="15118" max="15118" width="9.7109375" style="24" customWidth="1"/>
    <col min="15119" max="15119" width="6.7109375" style="24" bestFit="1" customWidth="1"/>
    <col min="15120" max="15120" width="4.85546875" style="24" customWidth="1"/>
    <col min="15121" max="15121" width="5.28515625" style="24" customWidth="1"/>
    <col min="15122" max="15123" width="4.42578125" style="24" bestFit="1" customWidth="1"/>
    <col min="15124" max="15124" width="13.28515625" style="24" bestFit="1" customWidth="1"/>
    <col min="15125" max="15125" width="3.140625" style="24" customWidth="1"/>
    <col min="15126" max="15126" width="5.42578125" style="24" bestFit="1" customWidth="1"/>
    <col min="15127" max="15127" width="4.42578125" style="24" bestFit="1" customWidth="1"/>
    <col min="15128" max="15128" width="6.42578125" style="24" customWidth="1"/>
    <col min="15129" max="15129" width="5" style="24" bestFit="1" customWidth="1"/>
    <col min="15130" max="15130" width="4.5703125" style="24" bestFit="1" customWidth="1"/>
    <col min="15131" max="15131" width="4.42578125" style="24" bestFit="1" customWidth="1"/>
    <col min="15132" max="15132" width="4" style="24" customWidth="1"/>
    <col min="15133" max="15360" width="11.42578125" style="24"/>
    <col min="15361" max="15361" width="14.85546875" style="24" bestFit="1" customWidth="1"/>
    <col min="15362" max="15362" width="28" style="24" bestFit="1" customWidth="1"/>
    <col min="15363" max="15363" width="4.42578125" style="24" bestFit="1" customWidth="1"/>
    <col min="15364" max="15364" width="8" style="24" bestFit="1" customWidth="1"/>
    <col min="15365" max="15365" width="11.42578125" style="24"/>
    <col min="15366" max="15366" width="22.85546875" style="24" bestFit="1" customWidth="1"/>
    <col min="15367" max="15367" width="7" style="24" customWidth="1"/>
    <col min="15368" max="15368" width="6.28515625" style="24" customWidth="1"/>
    <col min="15369" max="15369" width="5.7109375" style="24" customWidth="1"/>
    <col min="15370" max="15370" width="5.7109375" style="24" bestFit="1" customWidth="1"/>
    <col min="15371" max="15371" width="5.85546875" style="24" bestFit="1" customWidth="1"/>
    <col min="15372" max="15372" width="9.42578125" style="24" customWidth="1"/>
    <col min="15373" max="15373" width="5.140625" style="24" customWidth="1"/>
    <col min="15374" max="15374" width="9.7109375" style="24" customWidth="1"/>
    <col min="15375" max="15375" width="6.7109375" style="24" bestFit="1" customWidth="1"/>
    <col min="15376" max="15376" width="4.85546875" style="24" customWidth="1"/>
    <col min="15377" max="15377" width="5.28515625" style="24" customWidth="1"/>
    <col min="15378" max="15379" width="4.42578125" style="24" bestFit="1" customWidth="1"/>
    <col min="15380" max="15380" width="13.28515625" style="24" bestFit="1" customWidth="1"/>
    <col min="15381" max="15381" width="3.140625" style="24" customWidth="1"/>
    <col min="15382" max="15382" width="5.42578125" style="24" bestFit="1" customWidth="1"/>
    <col min="15383" max="15383" width="4.42578125" style="24" bestFit="1" customWidth="1"/>
    <col min="15384" max="15384" width="6.42578125" style="24" customWidth="1"/>
    <col min="15385" max="15385" width="5" style="24" bestFit="1" customWidth="1"/>
    <col min="15386" max="15386" width="4.5703125" style="24" bestFit="1" customWidth="1"/>
    <col min="15387" max="15387" width="4.42578125" style="24" bestFit="1" customWidth="1"/>
    <col min="15388" max="15388" width="4" style="24" customWidth="1"/>
    <col min="15389" max="15616" width="11.42578125" style="24"/>
    <col min="15617" max="15617" width="14.85546875" style="24" bestFit="1" customWidth="1"/>
    <col min="15618" max="15618" width="28" style="24" bestFit="1" customWidth="1"/>
    <col min="15619" max="15619" width="4.42578125" style="24" bestFit="1" customWidth="1"/>
    <col min="15620" max="15620" width="8" style="24" bestFit="1" customWidth="1"/>
    <col min="15621" max="15621" width="11.42578125" style="24"/>
    <col min="15622" max="15622" width="22.85546875" style="24" bestFit="1" customWidth="1"/>
    <col min="15623" max="15623" width="7" style="24" customWidth="1"/>
    <col min="15624" max="15624" width="6.28515625" style="24" customWidth="1"/>
    <col min="15625" max="15625" width="5.7109375" style="24" customWidth="1"/>
    <col min="15626" max="15626" width="5.7109375" style="24" bestFit="1" customWidth="1"/>
    <col min="15627" max="15627" width="5.85546875" style="24" bestFit="1" customWidth="1"/>
    <col min="15628" max="15628" width="9.42578125" style="24" customWidth="1"/>
    <col min="15629" max="15629" width="5.140625" style="24" customWidth="1"/>
    <col min="15630" max="15630" width="9.7109375" style="24" customWidth="1"/>
    <col min="15631" max="15631" width="6.7109375" style="24" bestFit="1" customWidth="1"/>
    <col min="15632" max="15632" width="4.85546875" style="24" customWidth="1"/>
    <col min="15633" max="15633" width="5.28515625" style="24" customWidth="1"/>
    <col min="15634" max="15635" width="4.42578125" style="24" bestFit="1" customWidth="1"/>
    <col min="15636" max="15636" width="13.28515625" style="24" bestFit="1" customWidth="1"/>
    <col min="15637" max="15637" width="3.140625" style="24" customWidth="1"/>
    <col min="15638" max="15638" width="5.42578125" style="24" bestFit="1" customWidth="1"/>
    <col min="15639" max="15639" width="4.42578125" style="24" bestFit="1" customWidth="1"/>
    <col min="15640" max="15640" width="6.42578125" style="24" customWidth="1"/>
    <col min="15641" max="15641" width="5" style="24" bestFit="1" customWidth="1"/>
    <col min="15642" max="15642" width="4.5703125" style="24" bestFit="1" customWidth="1"/>
    <col min="15643" max="15643" width="4.42578125" style="24" bestFit="1" customWidth="1"/>
    <col min="15644" max="15644" width="4" style="24" customWidth="1"/>
    <col min="15645" max="15872" width="11.42578125" style="24"/>
    <col min="15873" max="15873" width="14.85546875" style="24" bestFit="1" customWidth="1"/>
    <col min="15874" max="15874" width="28" style="24" bestFit="1" customWidth="1"/>
    <col min="15875" max="15875" width="4.42578125" style="24" bestFit="1" customWidth="1"/>
    <col min="15876" max="15876" width="8" style="24" bestFit="1" customWidth="1"/>
    <col min="15877" max="15877" width="11.42578125" style="24"/>
    <col min="15878" max="15878" width="22.85546875" style="24" bestFit="1" customWidth="1"/>
    <col min="15879" max="15879" width="7" style="24" customWidth="1"/>
    <col min="15880" max="15880" width="6.28515625" style="24" customWidth="1"/>
    <col min="15881" max="15881" width="5.7109375" style="24" customWidth="1"/>
    <col min="15882" max="15882" width="5.7109375" style="24" bestFit="1" customWidth="1"/>
    <col min="15883" max="15883" width="5.85546875" style="24" bestFit="1" customWidth="1"/>
    <col min="15884" max="15884" width="9.42578125" style="24" customWidth="1"/>
    <col min="15885" max="15885" width="5.140625" style="24" customWidth="1"/>
    <col min="15886" max="15886" width="9.7109375" style="24" customWidth="1"/>
    <col min="15887" max="15887" width="6.7109375" style="24" bestFit="1" customWidth="1"/>
    <col min="15888" max="15888" width="4.85546875" style="24" customWidth="1"/>
    <col min="15889" max="15889" width="5.28515625" style="24" customWidth="1"/>
    <col min="15890" max="15891" width="4.42578125" style="24" bestFit="1" customWidth="1"/>
    <col min="15892" max="15892" width="13.28515625" style="24" bestFit="1" customWidth="1"/>
    <col min="15893" max="15893" width="3.140625" style="24" customWidth="1"/>
    <col min="15894" max="15894" width="5.42578125" style="24" bestFit="1" customWidth="1"/>
    <col min="15895" max="15895" width="4.42578125" style="24" bestFit="1" customWidth="1"/>
    <col min="15896" max="15896" width="6.42578125" style="24" customWidth="1"/>
    <col min="15897" max="15897" width="5" style="24" bestFit="1" customWidth="1"/>
    <col min="15898" max="15898" width="4.5703125" style="24" bestFit="1" customWidth="1"/>
    <col min="15899" max="15899" width="4.42578125" style="24" bestFit="1" customWidth="1"/>
    <col min="15900" max="15900" width="4" style="24" customWidth="1"/>
    <col min="15901" max="16128" width="11.42578125" style="24"/>
    <col min="16129" max="16129" width="14.85546875" style="24" bestFit="1" customWidth="1"/>
    <col min="16130" max="16130" width="28" style="24" bestFit="1" customWidth="1"/>
    <col min="16131" max="16131" width="4.42578125" style="24" bestFit="1" customWidth="1"/>
    <col min="16132" max="16132" width="8" style="24" bestFit="1" customWidth="1"/>
    <col min="16133" max="16133" width="11.42578125" style="24"/>
    <col min="16134" max="16134" width="22.85546875" style="24" bestFit="1" customWidth="1"/>
    <col min="16135" max="16135" width="7" style="24" customWidth="1"/>
    <col min="16136" max="16136" width="6.28515625" style="24" customWidth="1"/>
    <col min="16137" max="16137" width="5.7109375" style="24" customWidth="1"/>
    <col min="16138" max="16138" width="5.7109375" style="24" bestFit="1" customWidth="1"/>
    <col min="16139" max="16139" width="5.85546875" style="24" bestFit="1" customWidth="1"/>
    <col min="16140" max="16140" width="9.42578125" style="24" customWidth="1"/>
    <col min="16141" max="16141" width="5.140625" style="24" customWidth="1"/>
    <col min="16142" max="16142" width="9.7109375" style="24" customWidth="1"/>
    <col min="16143" max="16143" width="6.7109375" style="24" bestFit="1" customWidth="1"/>
    <col min="16144" max="16144" width="4.85546875" style="24" customWidth="1"/>
    <col min="16145" max="16145" width="5.28515625" style="24" customWidth="1"/>
    <col min="16146" max="16147" width="4.42578125" style="24" bestFit="1" customWidth="1"/>
    <col min="16148" max="16148" width="13.28515625" style="24" bestFit="1" customWidth="1"/>
    <col min="16149" max="16149" width="3.140625" style="24" customWidth="1"/>
    <col min="16150" max="16150" width="5.42578125" style="24" bestFit="1" customWidth="1"/>
    <col min="16151" max="16151" width="4.42578125" style="24" bestFit="1" customWidth="1"/>
    <col min="16152" max="16152" width="6.42578125" style="24" customWidth="1"/>
    <col min="16153" max="16153" width="5" style="24" bestFit="1" customWidth="1"/>
    <col min="16154" max="16154" width="4.5703125" style="24" bestFit="1" customWidth="1"/>
    <col min="16155" max="16155" width="4.42578125" style="24" bestFit="1" customWidth="1"/>
    <col min="16156" max="16156" width="4" style="24" customWidth="1"/>
    <col min="16157" max="16384" width="11.42578125" style="24"/>
  </cols>
  <sheetData>
    <row r="1" spans="1:42" x14ac:dyDescent="0.2">
      <c r="E1" s="1"/>
      <c r="F1" s="1"/>
      <c r="G1" s="631" t="s">
        <v>0</v>
      </c>
      <c r="H1" s="632"/>
      <c r="I1" s="632"/>
      <c r="J1" s="632"/>
      <c r="K1" s="632"/>
      <c r="L1" s="633"/>
      <c r="M1" s="589"/>
      <c r="N1" s="632" t="s">
        <v>1</v>
      </c>
      <c r="O1" s="632"/>
      <c r="P1" s="632"/>
      <c r="Q1" s="632"/>
      <c r="R1" s="632"/>
      <c r="S1" s="632"/>
      <c r="T1" s="632"/>
      <c r="U1" s="1"/>
      <c r="V1" s="632" t="s">
        <v>2</v>
      </c>
      <c r="W1" s="632"/>
      <c r="X1" s="632"/>
      <c r="Y1" s="632"/>
      <c r="Z1" s="632"/>
      <c r="AA1" s="632"/>
      <c r="AB1" s="28"/>
    </row>
    <row r="2" spans="1:42" ht="15" customHeight="1" x14ac:dyDescent="0.25">
      <c r="E2" s="1"/>
      <c r="F2" s="1"/>
      <c r="G2" s="634" t="s">
        <v>43</v>
      </c>
      <c r="H2" s="635"/>
      <c r="I2" s="636" t="s">
        <v>3</v>
      </c>
      <c r="J2" s="635"/>
      <c r="K2" s="635"/>
      <c r="L2" s="635"/>
      <c r="M2" s="378"/>
      <c r="N2" s="637" t="s">
        <v>4</v>
      </c>
      <c r="O2" s="639" t="s">
        <v>5</v>
      </c>
      <c r="P2" s="640"/>
      <c r="Q2" s="640"/>
      <c r="R2" s="640"/>
      <c r="S2" s="640"/>
      <c r="T2" s="641"/>
      <c r="U2" s="1"/>
      <c r="V2" s="643" t="s">
        <v>515</v>
      </c>
      <c r="W2" s="640"/>
      <c r="X2" s="640"/>
      <c r="Y2" s="640"/>
      <c r="Z2" s="640"/>
      <c r="AA2" s="641"/>
      <c r="AB2" s="29"/>
      <c r="AJ2" s="578"/>
      <c r="AK2" s="571"/>
      <c r="AL2" s="578"/>
      <c r="AM2" s="570" t="s">
        <v>514</v>
      </c>
      <c r="AN2" s="571"/>
      <c r="AO2" s="572"/>
    </row>
    <row r="3" spans="1:42" s="25" customFormat="1" ht="38.25" x14ac:dyDescent="0.2">
      <c r="E3" s="4"/>
      <c r="F3" s="4"/>
      <c r="G3" s="30"/>
      <c r="H3" s="30"/>
      <c r="I3" s="644" t="s">
        <v>6</v>
      </c>
      <c r="J3" s="635"/>
      <c r="K3" s="644" t="s">
        <v>52</v>
      </c>
      <c r="L3" s="635"/>
      <c r="M3" s="379" t="s">
        <v>474</v>
      </c>
      <c r="N3" s="638"/>
      <c r="O3" s="642"/>
      <c r="P3" s="640"/>
      <c r="Q3" s="640"/>
      <c r="R3" s="640"/>
      <c r="S3" s="640"/>
      <c r="T3" s="641"/>
      <c r="U3" s="4"/>
      <c r="V3" s="642"/>
      <c r="W3" s="633"/>
      <c r="X3" s="633"/>
      <c r="Y3" s="633"/>
      <c r="Z3" s="633"/>
      <c r="AA3" s="641"/>
      <c r="AB3" s="31"/>
      <c r="AD3" s="579"/>
      <c r="AE3" s="579" t="s">
        <v>499</v>
      </c>
      <c r="AF3" s="579"/>
      <c r="AG3" s="579" t="s">
        <v>516</v>
      </c>
      <c r="AH3" s="579"/>
      <c r="AI3" s="579" t="s">
        <v>459</v>
      </c>
      <c r="AJ3" s="573"/>
      <c r="AK3" s="574"/>
      <c r="AL3" s="574"/>
      <c r="AM3" s="574"/>
      <c r="AN3" s="574"/>
      <c r="AO3" s="572"/>
    </row>
    <row r="4" spans="1:42" ht="15" x14ac:dyDescent="0.25">
      <c r="A4" s="648" t="s">
        <v>44</v>
      </c>
      <c r="B4" s="649"/>
      <c r="C4" s="649"/>
      <c r="E4" s="22" t="s">
        <v>7</v>
      </c>
      <c r="F4" s="22" t="s">
        <v>8</v>
      </c>
      <c r="G4" s="32"/>
      <c r="H4" s="33" t="s">
        <v>9</v>
      </c>
      <c r="I4" s="21"/>
      <c r="J4" s="51" t="s">
        <v>9</v>
      </c>
      <c r="K4" s="21"/>
      <c r="L4" s="51" t="s">
        <v>9</v>
      </c>
      <c r="M4" s="33"/>
      <c r="N4" s="638"/>
      <c r="O4" s="14" t="s">
        <v>10</v>
      </c>
      <c r="P4" s="14" t="s">
        <v>11</v>
      </c>
      <c r="Q4" s="14" t="s">
        <v>12</v>
      </c>
      <c r="R4" s="13" t="s">
        <v>13</v>
      </c>
      <c r="S4" s="12" t="s">
        <v>14</v>
      </c>
      <c r="T4" s="12" t="s">
        <v>15</v>
      </c>
      <c r="U4" s="10"/>
      <c r="V4" s="20" t="s">
        <v>9</v>
      </c>
      <c r="W4" s="14" t="s">
        <v>16</v>
      </c>
      <c r="X4" s="14" t="s">
        <v>17</v>
      </c>
      <c r="Y4" s="13" t="s">
        <v>18</v>
      </c>
      <c r="Z4" s="12" t="s">
        <v>19</v>
      </c>
      <c r="AA4" s="12" t="s">
        <v>20</v>
      </c>
      <c r="AB4" s="24" t="s">
        <v>517</v>
      </c>
      <c r="AD4" s="14" t="s">
        <v>16</v>
      </c>
      <c r="AE4" s="14" t="s">
        <v>17</v>
      </c>
      <c r="AF4" s="13" t="s">
        <v>18</v>
      </c>
      <c r="AG4" s="12" t="s">
        <v>19</v>
      </c>
      <c r="AH4" s="12" t="s">
        <v>20</v>
      </c>
      <c r="AI4" s="594" t="s">
        <v>459</v>
      </c>
      <c r="AJ4" s="575" t="s">
        <v>9</v>
      </c>
      <c r="AK4" s="575" t="s">
        <v>16</v>
      </c>
      <c r="AL4" s="575" t="s">
        <v>17</v>
      </c>
      <c r="AM4" s="576" t="s">
        <v>18</v>
      </c>
      <c r="AN4" s="577" t="s">
        <v>19</v>
      </c>
      <c r="AO4" s="577" t="s">
        <v>20</v>
      </c>
    </row>
    <row r="5" spans="1:42" ht="15" x14ac:dyDescent="0.25">
      <c r="A5" s="24" t="s">
        <v>9</v>
      </c>
      <c r="C5" s="26">
        <f>SUM(C7:C25)</f>
        <v>266.0057224110256</v>
      </c>
      <c r="E5" s="2"/>
      <c r="F5" s="19"/>
      <c r="G5" s="34">
        <f>SUM(G7:G44)-R23-S23</f>
        <v>265.10333397384534</v>
      </c>
      <c r="H5" s="19"/>
      <c r="I5" s="18"/>
      <c r="J5" s="17"/>
      <c r="L5" s="8"/>
      <c r="N5" s="16"/>
      <c r="O5" s="15"/>
      <c r="P5" s="14"/>
      <c r="Q5" s="14"/>
      <c r="R5" s="13"/>
      <c r="S5" s="12"/>
      <c r="T5" s="11">
        <f>T7+T23+T26+T39</f>
        <v>153.73283067158451</v>
      </c>
      <c r="U5" s="10"/>
      <c r="V5" s="9">
        <f>SUM(V7,V21,V26:V32,V34)</f>
        <v>144.93843328493253</v>
      </c>
      <c r="W5" s="9">
        <f>SUM(W7:W44)</f>
        <v>4.6207590214731251</v>
      </c>
      <c r="X5" s="9">
        <f t="shared" ref="X5:Z5" si="0">SUM(X7:X44)</f>
        <v>34.438065771747965</v>
      </c>
      <c r="Y5" s="9">
        <f t="shared" si="0"/>
        <v>40.235210960633268</v>
      </c>
      <c r="Z5" s="9">
        <f t="shared" si="0"/>
        <v>22.495750201768363</v>
      </c>
      <c r="AA5" s="9">
        <f>SUM(AA7:AA44)</f>
        <v>43.14864732930981</v>
      </c>
      <c r="AB5" s="27"/>
      <c r="AJ5" s="9">
        <f>SUM(AJ13,AJ23,AJ26:AJ32,AJ40)</f>
        <v>153.84733488029121</v>
      </c>
      <c r="AK5" s="9">
        <f>SUM(AK7:AK44)</f>
        <v>4.6391992404006963</v>
      </c>
      <c r="AL5" s="9">
        <f t="shared" ref="AL5:AO5" si="1">SUM(AL7:AL44)</f>
        <v>34.543835855065595</v>
      </c>
      <c r="AM5" s="9">
        <f t="shared" si="1"/>
        <v>44.490232617597457</v>
      </c>
      <c r="AN5" s="9">
        <f t="shared" si="1"/>
        <v>23.260769975222004</v>
      </c>
      <c r="AO5" s="9">
        <f t="shared" si="1"/>
        <v>46.913297192005459</v>
      </c>
      <c r="AP5" s="27"/>
    </row>
    <row r="6" spans="1:42" x14ac:dyDescent="0.2">
      <c r="E6" s="1"/>
      <c r="F6" s="1"/>
      <c r="G6" s="607">
        <f>G5-'bilan complet'!K89-I40-I41</f>
        <v>0.25001217360182559</v>
      </c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09">
        <f>T5-'bilan complet'!K83+(SUM(AD7:AH19)-T7)</f>
        <v>1.4210854715202004E-14</v>
      </c>
      <c r="U6" s="510"/>
      <c r="V6" s="511">
        <f>V5-'scenario demande'!D368</f>
        <v>0</v>
      </c>
      <c r="W6" s="1"/>
      <c r="X6" s="1"/>
      <c r="Y6" s="1"/>
      <c r="Z6" s="1"/>
      <c r="AA6" s="1"/>
      <c r="AB6" s="35"/>
      <c r="AJ6" s="580">
        <f>AJ5-'bilan complet'!K83</f>
        <v>-0.12471377174193776</v>
      </c>
      <c r="AK6" s="1"/>
      <c r="AL6" s="1"/>
      <c r="AM6" s="1"/>
      <c r="AN6" s="1"/>
      <c r="AO6" s="1"/>
    </row>
    <row r="7" spans="1:42" x14ac:dyDescent="0.2">
      <c r="A7" s="24" t="s">
        <v>45</v>
      </c>
      <c r="B7" s="24" t="s">
        <v>46</v>
      </c>
      <c r="C7" s="27">
        <f>G29+G35+G13</f>
        <v>13.540717597702224</v>
      </c>
      <c r="E7" s="650" t="s">
        <v>14</v>
      </c>
      <c r="F7" s="1" t="s">
        <v>21</v>
      </c>
      <c r="G7" s="2">
        <f>électricité!D27*0.086</f>
        <v>1.7679937109374997</v>
      </c>
      <c r="H7" s="651">
        <f>SUM(G7:G20)</f>
        <v>131.37635861438963</v>
      </c>
      <c r="I7" s="3"/>
      <c r="J7" s="652">
        <f>SUM(I7:I19)</f>
        <v>84.511537993036839</v>
      </c>
      <c r="K7" s="2">
        <f>G7-I7</f>
        <v>1.7679937109374997</v>
      </c>
      <c r="L7" s="652">
        <f>SUM(K6:K19)</f>
        <v>50.60273811244538</v>
      </c>
      <c r="N7" s="651">
        <f>L7-M13</f>
        <v>45.436817344871955</v>
      </c>
      <c r="O7" s="46"/>
      <c r="P7" s="46"/>
      <c r="Q7" s="46"/>
      <c r="R7" s="45"/>
      <c r="S7" s="588"/>
      <c r="T7" s="666">
        <f>N7-O12-P12-Q12</f>
        <v>38.783696715965704</v>
      </c>
      <c r="U7" s="23"/>
      <c r="V7" s="655">
        <f>SUM(W7:AA19)</f>
        <v>37.85006379373899</v>
      </c>
      <c r="W7" s="503"/>
      <c r="X7" s="506"/>
      <c r="Y7" s="503"/>
      <c r="Z7" s="506"/>
      <c r="AA7" s="503"/>
      <c r="AB7" s="36"/>
      <c r="AC7" s="514"/>
      <c r="AD7" s="645">
        <f>'bilan complet'!$I$81</f>
        <v>0.67886096819801933</v>
      </c>
      <c r="AE7" s="645">
        <f>'bilan complet'!$I$78</f>
        <v>10.463973844070704</v>
      </c>
      <c r="AF7" s="645">
        <f>'bilan complet'!$I$79</f>
        <v>14.038879765061509</v>
      </c>
      <c r="AG7" s="645">
        <f>'bilan complet'!$I$80</f>
        <v>12.513836904747905</v>
      </c>
      <c r="AH7" s="655">
        <f>'bilan complet'!$I$82</f>
        <v>1.3273632143362248</v>
      </c>
      <c r="AJ7" s="554"/>
      <c r="AK7" s="555"/>
      <c r="AL7" s="506"/>
      <c r="AM7" s="503"/>
      <c r="AN7" s="506"/>
      <c r="AO7" s="503"/>
    </row>
    <row r="8" spans="1:42" x14ac:dyDescent="0.2">
      <c r="B8" s="24" t="s">
        <v>21</v>
      </c>
      <c r="C8" s="27">
        <f>G7</f>
        <v>1.7679937109374997</v>
      </c>
      <c r="D8" s="27"/>
      <c r="E8" s="650"/>
      <c r="F8" s="1" t="s">
        <v>22</v>
      </c>
      <c r="G8" s="2">
        <f>électricité!D25*0.086</f>
        <v>6.0241824218749995</v>
      </c>
      <c r="H8" s="651"/>
      <c r="I8" s="3"/>
      <c r="J8" s="652"/>
      <c r="K8" s="2">
        <f t="shared" ref="K8:K44" si="2">G8-I8</f>
        <v>6.0241824218749995</v>
      </c>
      <c r="L8" s="652"/>
      <c r="N8" s="651"/>
      <c r="O8" s="46"/>
      <c r="P8" s="46"/>
      <c r="Q8" s="46"/>
      <c r="R8" s="45"/>
      <c r="S8" s="588"/>
      <c r="T8" s="666"/>
      <c r="U8" s="23"/>
      <c r="V8" s="656"/>
      <c r="W8" s="504"/>
      <c r="X8" s="507"/>
      <c r="Y8" s="504"/>
      <c r="Z8" s="507"/>
      <c r="AA8" s="504"/>
      <c r="AB8" s="36"/>
      <c r="AC8" s="38"/>
      <c r="AD8" s="646"/>
      <c r="AE8" s="646"/>
      <c r="AF8" s="646"/>
      <c r="AG8" s="646"/>
      <c r="AH8" s="656"/>
      <c r="AJ8" s="591"/>
      <c r="AK8" s="556"/>
      <c r="AL8" s="507"/>
      <c r="AM8" s="504"/>
      <c r="AN8" s="507"/>
      <c r="AO8" s="504"/>
    </row>
    <row r="9" spans="1:42" x14ac:dyDescent="0.2">
      <c r="B9" s="24" t="s">
        <v>47</v>
      </c>
      <c r="C9" s="27">
        <f>G11+G21+G22+G26+G34</f>
        <v>0</v>
      </c>
      <c r="E9" s="650"/>
      <c r="F9" s="1" t="s">
        <v>23</v>
      </c>
      <c r="G9" s="2">
        <f>électricité!D26*0.086</f>
        <v>0.48787657226562497</v>
      </c>
      <c r="H9" s="651"/>
      <c r="I9" s="3"/>
      <c r="J9" s="652"/>
      <c r="K9" s="2">
        <f t="shared" si="2"/>
        <v>0.48787657226562497</v>
      </c>
      <c r="L9" s="652"/>
      <c r="N9" s="651"/>
      <c r="O9" s="46"/>
      <c r="P9" s="46"/>
      <c r="Q9" s="46"/>
      <c r="R9" s="45"/>
      <c r="S9" s="588"/>
      <c r="T9" s="666"/>
      <c r="U9" s="23"/>
      <c r="V9" s="656"/>
      <c r="W9" s="504"/>
      <c r="X9" s="507"/>
      <c r="Y9" s="504"/>
      <c r="Z9" s="507"/>
      <c r="AA9" s="504"/>
      <c r="AB9" s="36"/>
      <c r="AC9" s="38"/>
      <c r="AD9" s="646"/>
      <c r="AE9" s="646"/>
      <c r="AF9" s="646"/>
      <c r="AG9" s="646"/>
      <c r="AH9" s="656"/>
      <c r="AJ9" s="591"/>
      <c r="AK9" s="556"/>
      <c r="AL9" s="507"/>
      <c r="AM9" s="504"/>
      <c r="AN9" s="507"/>
      <c r="AO9" s="504"/>
    </row>
    <row r="10" spans="1:42" x14ac:dyDescent="0.2">
      <c r="B10" s="24" t="s">
        <v>28</v>
      </c>
      <c r="C10" s="27">
        <f>G14+G30+G37</f>
        <v>0.13795765394689941</v>
      </c>
      <c r="E10" s="650"/>
      <c r="F10" s="1" t="s">
        <v>24</v>
      </c>
      <c r="G10" s="2">
        <f>112.15+'bilan complet'!H61</f>
        <v>108.60034423828125</v>
      </c>
      <c r="H10" s="651"/>
      <c r="I10" s="3">
        <f>K10/0.33-K10</f>
        <v>75.141450816287886</v>
      </c>
      <c r="J10" s="652"/>
      <c r="K10" s="3">
        <f>électricité!D22*0.086</f>
        <v>37.0099683125</v>
      </c>
      <c r="L10" s="652"/>
      <c r="N10" s="651"/>
      <c r="O10" s="46"/>
      <c r="P10" s="46"/>
      <c r="Q10" s="46"/>
      <c r="R10" s="45"/>
      <c r="S10" s="588"/>
      <c r="T10" s="666"/>
      <c r="U10" s="23"/>
      <c r="V10" s="656"/>
      <c r="W10" s="504"/>
      <c r="X10" s="507"/>
      <c r="Y10" s="504"/>
      <c r="Z10" s="507"/>
      <c r="AA10" s="504"/>
      <c r="AB10" s="36"/>
      <c r="AC10" s="38"/>
      <c r="AD10" s="646"/>
      <c r="AE10" s="646"/>
      <c r="AF10" s="646"/>
      <c r="AG10" s="646"/>
      <c r="AH10" s="656"/>
      <c r="AJ10" s="591"/>
      <c r="AK10" s="556"/>
      <c r="AL10" s="507"/>
      <c r="AM10" s="504"/>
      <c r="AN10" s="507"/>
      <c r="AO10" s="504"/>
    </row>
    <row r="11" spans="1:42" x14ac:dyDescent="0.2">
      <c r="B11" s="24" t="s">
        <v>22</v>
      </c>
      <c r="C11" s="27">
        <f>G8</f>
        <v>6.0241824218749995</v>
      </c>
      <c r="E11" s="650"/>
      <c r="F11" s="1" t="s">
        <v>25</v>
      </c>
      <c r="G11" s="2"/>
      <c r="H11" s="651"/>
      <c r="I11" s="3"/>
      <c r="J11" s="652"/>
      <c r="K11" s="2">
        <f t="shared" si="2"/>
        <v>0</v>
      </c>
      <c r="L11" s="652"/>
      <c r="N11" s="651"/>
      <c r="O11" s="46"/>
      <c r="P11" s="46"/>
      <c r="Q11" s="46"/>
      <c r="R11" s="45"/>
      <c r="S11" s="588"/>
      <c r="T11" s="666"/>
      <c r="U11" s="23"/>
      <c r="V11" s="656"/>
      <c r="W11" s="504"/>
      <c r="X11" s="507"/>
      <c r="Y11" s="504"/>
      <c r="Z11" s="507"/>
      <c r="AA11" s="504"/>
      <c r="AB11" s="36"/>
      <c r="AC11" s="38"/>
      <c r="AD11" s="646"/>
      <c r="AE11" s="646"/>
      <c r="AF11" s="646"/>
      <c r="AG11" s="646"/>
      <c r="AH11" s="656"/>
      <c r="AJ11" s="591"/>
      <c r="AK11" s="556"/>
      <c r="AL11" s="507"/>
      <c r="AM11" s="504"/>
      <c r="AN11" s="507"/>
      <c r="AO11" s="504"/>
    </row>
    <row r="12" spans="1:42" x14ac:dyDescent="0.2">
      <c r="B12" s="24" t="s">
        <v>23</v>
      </c>
      <c r="C12" s="27">
        <f>G9</f>
        <v>0.48787657226562497</v>
      </c>
      <c r="D12" s="27"/>
      <c r="E12" s="650"/>
      <c r="F12" s="1" t="s">
        <v>26</v>
      </c>
      <c r="G12" s="2">
        <f>'bilan complet'!J75</f>
        <v>3.0774832827255998</v>
      </c>
      <c r="H12" s="651"/>
      <c r="I12" s="3">
        <f>G12-K12</f>
        <v>2.3199873042099748</v>
      </c>
      <c r="J12" s="652"/>
      <c r="K12" s="2">
        <f>électricité!D21*0.086</f>
        <v>0.75749597851562489</v>
      </c>
      <c r="L12" s="652"/>
      <c r="N12" s="651"/>
      <c r="O12" s="46">
        <f>(électricité!D32)*0.086</f>
        <v>3.1034648671874998</v>
      </c>
      <c r="P12" s="46">
        <f>électricité!D36*0.086</f>
        <v>3.5496557617187503</v>
      </c>
      <c r="Q12" s="46"/>
      <c r="R12" s="45"/>
      <c r="S12" s="588"/>
      <c r="T12" s="666"/>
      <c r="U12" s="7"/>
      <c r="V12" s="656"/>
      <c r="W12" s="504"/>
      <c r="X12" s="507"/>
      <c r="Y12" s="504"/>
      <c r="Z12" s="507"/>
      <c r="AA12" s="504"/>
      <c r="AB12" s="36"/>
      <c r="AC12" s="38" t="s">
        <v>497</v>
      </c>
      <c r="AD12" s="646"/>
      <c r="AE12" s="646"/>
      <c r="AF12" s="646"/>
      <c r="AG12" s="646"/>
      <c r="AH12" s="656"/>
      <c r="AJ12" s="591"/>
      <c r="AK12" s="556"/>
      <c r="AL12" s="507"/>
      <c r="AM12" s="504"/>
      <c r="AN12" s="507"/>
      <c r="AO12" s="504"/>
    </row>
    <row r="13" spans="1:42" x14ac:dyDescent="0.2">
      <c r="B13" s="24" t="s">
        <v>62</v>
      </c>
      <c r="C13" s="27">
        <f>G39</f>
        <v>4.3309490750307562</v>
      </c>
      <c r="E13" s="650"/>
      <c r="F13" s="1" t="s">
        <v>27</v>
      </c>
      <c r="G13" s="2"/>
      <c r="H13" s="651"/>
      <c r="I13" s="3"/>
      <c r="J13" s="652"/>
      <c r="K13" s="2">
        <f t="shared" si="2"/>
        <v>0</v>
      </c>
      <c r="L13" s="652"/>
      <c r="M13" s="37">
        <f>électricité!D34*0.086</f>
        <v>5.1659207675734233</v>
      </c>
      <c r="N13" s="651"/>
      <c r="O13" s="46"/>
      <c r="P13" s="46"/>
      <c r="Q13" s="46"/>
      <c r="R13" s="45"/>
      <c r="S13" s="588"/>
      <c r="T13" s="666"/>
      <c r="U13" s="1"/>
      <c r="V13" s="656"/>
      <c r="W13" s="504">
        <f>'scenario demande'!$D$339</f>
        <v>0.62745016110083474</v>
      </c>
      <c r="X13" s="507">
        <f>'scenario demande'!$D$12</f>
        <v>10.44282011956099</v>
      </c>
      <c r="Y13" s="504">
        <f>'scenario demande'!$D$113</f>
        <v>13.094858163635916</v>
      </c>
      <c r="Z13" s="507">
        <f>'scenario demande'!$D$188</f>
        <v>12.355656206046149</v>
      </c>
      <c r="AA13" s="504">
        <f>'scenario demande'!$D$278</f>
        <v>1.3292791433950957</v>
      </c>
      <c r="AB13" s="36"/>
      <c r="AC13" s="38"/>
      <c r="AD13" s="646"/>
      <c r="AE13" s="646"/>
      <c r="AF13" s="646"/>
      <c r="AG13" s="646"/>
      <c r="AH13" s="656"/>
      <c r="AI13" s="27">
        <f>SUM(AD7:AH19)</f>
        <v>39.022914696414361</v>
      </c>
      <c r="AJ13" s="591">
        <f>SUM(AK7:AO19)</f>
        <v>39.022914696414361</v>
      </c>
      <c r="AK13" s="557">
        <f>AD7</f>
        <v>0.67886096819801933</v>
      </c>
      <c r="AL13" s="507">
        <f>AE7</f>
        <v>10.463973844070704</v>
      </c>
      <c r="AM13" s="507">
        <f>AF7</f>
        <v>14.038879765061509</v>
      </c>
      <c r="AN13" s="507">
        <f>AG7</f>
        <v>12.513836904747905</v>
      </c>
      <c r="AO13" s="507">
        <f>AH7</f>
        <v>1.3273632143362248</v>
      </c>
    </row>
    <row r="14" spans="1:42" x14ac:dyDescent="0.2">
      <c r="B14" s="24" t="s">
        <v>48</v>
      </c>
      <c r="C14" s="27">
        <f>G38</f>
        <v>1.32</v>
      </c>
      <c r="E14" s="650"/>
      <c r="F14" s="1" t="s">
        <v>28</v>
      </c>
      <c r="G14" s="2"/>
      <c r="H14" s="651"/>
      <c r="I14" s="3"/>
      <c r="J14" s="652"/>
      <c r="K14" s="2">
        <f t="shared" si="2"/>
        <v>0</v>
      </c>
      <c r="L14" s="652"/>
      <c r="N14" s="651"/>
      <c r="O14" s="46"/>
      <c r="P14" s="46"/>
      <c r="Q14" s="46"/>
      <c r="R14" s="45"/>
      <c r="S14" s="588"/>
      <c r="T14" s="666"/>
      <c r="U14" s="1"/>
      <c r="V14" s="656"/>
      <c r="W14" s="504"/>
      <c r="X14" s="507"/>
      <c r="Y14" s="504"/>
      <c r="Z14" s="507"/>
      <c r="AA14" s="504"/>
      <c r="AB14" s="36"/>
      <c r="AC14" s="38"/>
      <c r="AD14" s="646"/>
      <c r="AE14" s="646"/>
      <c r="AF14" s="646"/>
      <c r="AG14" s="646"/>
      <c r="AH14" s="656"/>
      <c r="AJ14" s="591"/>
      <c r="AK14" s="556"/>
      <c r="AL14" s="507"/>
      <c r="AM14" s="504"/>
      <c r="AN14" s="507"/>
      <c r="AO14" s="504"/>
    </row>
    <row r="15" spans="1:42" x14ac:dyDescent="0.2">
      <c r="B15" s="24" t="s">
        <v>35</v>
      </c>
      <c r="C15" s="27">
        <f>G36+G31</f>
        <v>0.44265116891898593</v>
      </c>
      <c r="E15" s="650"/>
      <c r="F15" s="1" t="s">
        <v>29</v>
      </c>
      <c r="G15" s="2">
        <f>électricité!D30*0.086</f>
        <v>7.5335997971706095E-8</v>
      </c>
      <c r="H15" s="651"/>
      <c r="I15" s="3"/>
      <c r="J15" s="652"/>
      <c r="K15" s="2">
        <f t="shared" si="2"/>
        <v>7.5335997971706095E-8</v>
      </c>
      <c r="L15" s="652"/>
      <c r="N15" s="651"/>
      <c r="O15" s="46"/>
      <c r="P15" s="46"/>
      <c r="Q15" s="46"/>
      <c r="R15" s="45"/>
      <c r="S15" s="588"/>
      <c r="T15" s="666"/>
      <c r="U15" s="1"/>
      <c r="V15" s="656"/>
      <c r="W15" s="504"/>
      <c r="X15" s="507"/>
      <c r="Y15" s="504"/>
      <c r="Z15" s="507"/>
      <c r="AA15" s="504"/>
      <c r="AB15" s="36"/>
      <c r="AC15" s="38"/>
      <c r="AD15" s="646"/>
      <c r="AE15" s="646"/>
      <c r="AF15" s="646"/>
      <c r="AG15" s="646"/>
      <c r="AH15" s="656"/>
      <c r="AJ15" s="591"/>
      <c r="AK15" s="556"/>
      <c r="AL15" s="507"/>
      <c r="AM15" s="504"/>
      <c r="AN15" s="507"/>
      <c r="AO15" s="504"/>
    </row>
    <row r="16" spans="1:42" x14ac:dyDescent="0.2">
      <c r="B16" s="24" t="s">
        <v>39</v>
      </c>
      <c r="C16" s="27">
        <f>G12+G16+G27+G28</f>
        <v>3.9704103225318539</v>
      </c>
      <c r="E16" s="650"/>
      <c r="F16" s="1" t="s">
        <v>30</v>
      </c>
      <c r="G16" s="2">
        <v>0</v>
      </c>
      <c r="H16" s="651"/>
      <c r="I16" s="3"/>
      <c r="J16" s="652"/>
      <c r="K16" s="2">
        <f>électricité!D20*0.086</f>
        <v>0.18684260058593749</v>
      </c>
      <c r="L16" s="652"/>
      <c r="N16" s="651"/>
      <c r="O16" s="46"/>
      <c r="P16" s="46"/>
      <c r="Q16" s="46"/>
      <c r="R16" s="45"/>
      <c r="S16" s="588"/>
      <c r="T16" s="666"/>
      <c r="U16" s="1"/>
      <c r="V16" s="656"/>
      <c r="W16" s="504"/>
      <c r="X16" s="507"/>
      <c r="Y16" s="504"/>
      <c r="Z16" s="507"/>
      <c r="AA16" s="504"/>
      <c r="AB16" s="36"/>
      <c r="AC16" s="38"/>
      <c r="AD16" s="646"/>
      <c r="AE16" s="646"/>
      <c r="AF16" s="646"/>
      <c r="AG16" s="646"/>
      <c r="AH16" s="656"/>
      <c r="AJ16" s="591"/>
      <c r="AK16" s="556"/>
      <c r="AL16" s="507"/>
      <c r="AM16" s="504"/>
      <c r="AN16" s="507"/>
      <c r="AO16" s="504"/>
    </row>
    <row r="17" spans="1:41" x14ac:dyDescent="0.2">
      <c r="C17" s="27"/>
      <c r="E17" s="650"/>
      <c r="F17" s="1" t="s">
        <v>473</v>
      </c>
      <c r="G17" s="2">
        <f>électricité!D6</f>
        <v>0.54655938720703123</v>
      </c>
      <c r="H17" s="651"/>
      <c r="I17" s="3">
        <f>G17-K17</f>
        <v>0.33206526708984374</v>
      </c>
      <c r="J17" s="652"/>
      <c r="K17" s="5">
        <f>électricité!D17*0.086</f>
        <v>0.21449412011718749</v>
      </c>
      <c r="L17" s="652"/>
      <c r="N17" s="651"/>
      <c r="O17" s="46"/>
      <c r="P17" s="46"/>
      <c r="Q17" s="46"/>
      <c r="R17" s="45"/>
      <c r="S17" s="588"/>
      <c r="T17" s="666"/>
      <c r="U17" s="1"/>
      <c r="V17" s="656"/>
      <c r="W17" s="504"/>
      <c r="X17" s="507"/>
      <c r="Y17" s="504"/>
      <c r="Z17" s="507"/>
      <c r="AA17" s="504"/>
      <c r="AB17" s="36"/>
      <c r="AC17" s="38"/>
      <c r="AD17" s="646"/>
      <c r="AE17" s="646"/>
      <c r="AF17" s="646"/>
      <c r="AG17" s="646"/>
      <c r="AH17" s="656"/>
      <c r="AJ17" s="591"/>
      <c r="AK17" s="556"/>
      <c r="AL17" s="507"/>
      <c r="AM17" s="504"/>
      <c r="AN17" s="507"/>
      <c r="AO17" s="504"/>
    </row>
    <row r="18" spans="1:41" x14ac:dyDescent="0.2">
      <c r="C18" s="27"/>
      <c r="E18" s="650"/>
      <c r="F18" s="1" t="s">
        <v>182</v>
      </c>
      <c r="G18" s="2">
        <f>'bilan complet'!B75</f>
        <v>6.5945407415605235</v>
      </c>
      <c r="H18" s="651"/>
      <c r="I18" s="3">
        <f>G18-K18</f>
        <v>4.4838550032792739</v>
      </c>
      <c r="J18" s="652"/>
      <c r="K18" s="2">
        <f>électricité!D10*0.086</f>
        <v>2.1106857382812496</v>
      </c>
      <c r="L18" s="652"/>
      <c r="N18" s="651"/>
      <c r="O18" s="46"/>
      <c r="P18" s="46"/>
      <c r="Q18" s="46"/>
      <c r="R18" s="45"/>
      <c r="S18" s="588"/>
      <c r="T18" s="666"/>
      <c r="U18" s="1"/>
      <c r="V18" s="656"/>
      <c r="W18" s="504"/>
      <c r="X18" s="507"/>
      <c r="Y18" s="504"/>
      <c r="Z18" s="507"/>
      <c r="AA18" s="504"/>
      <c r="AB18" s="36"/>
      <c r="AC18" s="38"/>
      <c r="AD18" s="646"/>
      <c r="AE18" s="646"/>
      <c r="AF18" s="646"/>
      <c r="AG18" s="646"/>
      <c r="AH18" s="656"/>
      <c r="AJ18" s="591"/>
      <c r="AK18" s="556"/>
      <c r="AL18" s="507"/>
      <c r="AM18" s="504"/>
      <c r="AN18" s="507"/>
      <c r="AO18" s="504"/>
    </row>
    <row r="19" spans="1:41" x14ac:dyDescent="0.2">
      <c r="B19" s="24" t="s">
        <v>49</v>
      </c>
      <c r="C19" s="27">
        <f>G15</f>
        <v>7.5335997971706095E-8</v>
      </c>
      <c r="D19" s="27"/>
      <c r="E19" s="650"/>
      <c r="F19" s="1" t="s">
        <v>31</v>
      </c>
      <c r="G19" s="2">
        <f>'bilan complet'!F75-I32-I29</f>
        <v>4.2773781842011092</v>
      </c>
      <c r="H19" s="651"/>
      <c r="I19" s="3">
        <f>G19-K19</f>
        <v>2.2341796021698594</v>
      </c>
      <c r="J19" s="652"/>
      <c r="K19" s="2">
        <f>électricité!D12*0.086</f>
        <v>2.0431985820312497</v>
      </c>
      <c r="L19" s="652"/>
      <c r="N19" s="651"/>
      <c r="O19" s="46"/>
      <c r="P19" s="46"/>
      <c r="Q19" s="46"/>
      <c r="R19" s="45"/>
      <c r="S19" s="588"/>
      <c r="T19" s="666"/>
      <c r="U19" s="1"/>
      <c r="V19" s="657"/>
      <c r="W19" s="505"/>
      <c r="X19" s="508"/>
      <c r="Y19" s="505"/>
      <c r="Z19" s="508"/>
      <c r="AA19" s="505"/>
      <c r="AB19" s="36"/>
      <c r="AC19" s="516"/>
      <c r="AD19" s="647"/>
      <c r="AE19" s="647"/>
      <c r="AF19" s="647"/>
      <c r="AG19" s="647"/>
      <c r="AH19" s="657"/>
      <c r="AJ19" s="592"/>
      <c r="AK19" s="558"/>
      <c r="AL19" s="508"/>
      <c r="AM19" s="505"/>
      <c r="AN19" s="508"/>
      <c r="AO19" s="505"/>
    </row>
    <row r="20" spans="1:41" x14ac:dyDescent="0.2">
      <c r="E20" s="1"/>
      <c r="F20" s="1"/>
      <c r="G20" s="1"/>
      <c r="H20" s="1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610">
        <f>T7-électricité!D38*0.086</f>
        <v>0</v>
      </c>
      <c r="U20" s="512"/>
      <c r="V20" s="2"/>
      <c r="W20" s="1"/>
      <c r="X20" s="2"/>
      <c r="Y20" s="1"/>
      <c r="Z20" s="2"/>
      <c r="AA20" s="1"/>
      <c r="AJ20" s="2"/>
      <c r="AK20" s="1"/>
      <c r="AL20" s="2"/>
      <c r="AM20" s="1"/>
      <c r="AN20" s="2"/>
      <c r="AO20" s="1"/>
    </row>
    <row r="21" spans="1:41" x14ac:dyDescent="0.2">
      <c r="A21" s="24" t="s">
        <v>50</v>
      </c>
      <c r="B21" s="24" t="s">
        <v>24</v>
      </c>
      <c r="C21" s="27">
        <f>G10</f>
        <v>108.60034423828125</v>
      </c>
      <c r="E21" s="658" t="s">
        <v>12</v>
      </c>
      <c r="F21" s="1" t="s">
        <v>25</v>
      </c>
      <c r="G21" s="2"/>
      <c r="H21" s="659">
        <f>SUM(G21:G24)</f>
        <v>35.974081458136169</v>
      </c>
      <c r="J21" s="659"/>
      <c r="K21" s="2">
        <f t="shared" si="2"/>
        <v>0</v>
      </c>
      <c r="L21" s="660">
        <f>SUM(K21:K24)</f>
        <v>35.974081458136169</v>
      </c>
      <c r="M21" s="2"/>
      <c r="N21" s="660">
        <f>L21</f>
        <v>35.974081458136169</v>
      </c>
      <c r="O21" s="662"/>
      <c r="P21" s="662"/>
      <c r="Q21" s="662"/>
      <c r="R21" s="569"/>
      <c r="S21" s="569"/>
      <c r="T21" s="569"/>
      <c r="U21" s="1"/>
      <c r="V21" s="663">
        <f>SUM(W23:AA23)</f>
        <v>29.453082790840632</v>
      </c>
      <c r="W21" s="477"/>
      <c r="X21" s="477"/>
      <c r="Y21" s="477"/>
      <c r="Z21" s="477"/>
      <c r="AA21" s="478"/>
      <c r="AC21" s="514"/>
      <c r="AD21" s="524"/>
      <c r="AE21" s="524"/>
      <c r="AF21" s="524"/>
      <c r="AG21" s="524"/>
      <c r="AH21" s="517"/>
      <c r="AJ21" s="551"/>
      <c r="AK21" s="478"/>
      <c r="AL21" s="477"/>
      <c r="AM21" s="477"/>
      <c r="AN21" s="477"/>
      <c r="AO21" s="478"/>
    </row>
    <row r="22" spans="1:41" x14ac:dyDescent="0.2">
      <c r="B22" s="24" t="s">
        <v>34</v>
      </c>
      <c r="C22" s="27">
        <f>G24+G32</f>
        <v>38.932020151395712</v>
      </c>
      <c r="E22" s="658"/>
      <c r="F22" s="1" t="s">
        <v>32</v>
      </c>
      <c r="G22" s="2"/>
      <c r="H22" s="641"/>
      <c r="J22" s="641"/>
      <c r="K22" s="2">
        <f t="shared" si="2"/>
        <v>0</v>
      </c>
      <c r="L22" s="661"/>
      <c r="M22" s="2"/>
      <c r="N22" s="660"/>
      <c r="O22" s="662"/>
      <c r="P22" s="662"/>
      <c r="Q22" s="662"/>
      <c r="R22" s="581"/>
      <c r="S22" s="587"/>
      <c r="T22" s="587"/>
      <c r="U22" s="1"/>
      <c r="V22" s="664"/>
      <c r="W22" s="581"/>
      <c r="X22" s="581"/>
      <c r="Y22" s="581"/>
      <c r="Z22" s="581"/>
      <c r="AA22" s="587"/>
      <c r="AC22" s="515"/>
      <c r="AD22" s="525"/>
      <c r="AE22" s="525"/>
      <c r="AF22" s="525"/>
      <c r="AG22" s="525"/>
      <c r="AH22" s="518"/>
      <c r="AJ22" s="552"/>
      <c r="AK22" s="587"/>
      <c r="AL22" s="581"/>
      <c r="AM22" s="581"/>
      <c r="AN22" s="581"/>
      <c r="AO22" s="587"/>
    </row>
    <row r="23" spans="1:41" x14ac:dyDescent="0.2">
      <c r="B23" s="24" t="s">
        <v>51</v>
      </c>
      <c r="C23" s="27">
        <f>G40+G41</f>
        <v>74.179135819622985</v>
      </c>
      <c r="E23" s="658"/>
      <c r="F23" s="1" t="s">
        <v>33</v>
      </c>
      <c r="G23" s="2"/>
      <c r="H23" s="641"/>
      <c r="I23" s="27"/>
      <c r="J23" s="641"/>
      <c r="K23" s="2">
        <f t="shared" si="2"/>
        <v>0</v>
      </c>
      <c r="L23" s="661"/>
      <c r="M23" s="2"/>
      <c r="N23" s="660"/>
      <c r="O23" s="662"/>
      <c r="P23" s="662"/>
      <c r="Q23" s="662"/>
      <c r="R23" s="581">
        <f>G32</f>
        <v>2.9579386932595417</v>
      </c>
      <c r="S23" s="587">
        <f>G19</f>
        <v>4.2773781842011092</v>
      </c>
      <c r="T23" s="587">
        <f>N21-R23-S23</f>
        <v>28.738764580675518</v>
      </c>
      <c r="U23" s="1"/>
      <c r="V23" s="664"/>
      <c r="W23" s="482">
        <f>'scenario demande'!D337</f>
        <v>0.4486960433617222</v>
      </c>
      <c r="X23" s="491">
        <f>'scenario demande'!D10</f>
        <v>10.211121524124621</v>
      </c>
      <c r="Y23" s="491">
        <f>'scenario demande'!D110</f>
        <v>12.664672993434166</v>
      </c>
      <c r="Z23" s="491">
        <f>'scenario demande'!D186</f>
        <v>6.0272664281076604</v>
      </c>
      <c r="AA23" s="479">
        <f>'scenario demande'!D277+'scenario demande'!D279</f>
        <v>0.10132580181246505</v>
      </c>
      <c r="AC23" s="38"/>
      <c r="AD23" s="525"/>
      <c r="AE23" s="525"/>
      <c r="AF23" s="525"/>
      <c r="AG23" s="525"/>
      <c r="AH23" s="518"/>
      <c r="AJ23" s="552">
        <f>SUM(AK23:AO23)</f>
        <v>28.738764580675518</v>
      </c>
      <c r="AK23" s="559">
        <f>$T$23*W23/$V$21</f>
        <v>0.43781393105862615</v>
      </c>
      <c r="AL23" s="559">
        <f t="shared" ref="AL23:AO23" si="3">$T$23*X23/$V$21</f>
        <v>9.9634737616581575</v>
      </c>
      <c r="AM23" s="559">
        <f t="shared" si="3"/>
        <v>12.357519864193323</v>
      </c>
      <c r="AN23" s="559">
        <f t="shared" si="3"/>
        <v>5.881088651143239</v>
      </c>
      <c r="AO23" s="559">
        <f t="shared" si="3"/>
        <v>9.8868372622175543E-2</v>
      </c>
    </row>
    <row r="24" spans="1:41" x14ac:dyDescent="0.2">
      <c r="B24" s="24" t="s">
        <v>40</v>
      </c>
      <c r="C24" s="27">
        <f>G44+G18</f>
        <v>12.271483603180847</v>
      </c>
      <c r="E24" s="658"/>
      <c r="F24" s="1" t="s">
        <v>34</v>
      </c>
      <c r="G24" s="2">
        <f>'bilan complet'!F89-'bilan complet'!F86</f>
        <v>35.974081458136169</v>
      </c>
      <c r="H24" s="641"/>
      <c r="J24" s="641"/>
      <c r="K24" s="2">
        <f t="shared" si="2"/>
        <v>35.974081458136169</v>
      </c>
      <c r="L24" s="661"/>
      <c r="M24" s="6"/>
      <c r="N24" s="660"/>
      <c r="O24" s="662"/>
      <c r="P24" s="662"/>
      <c r="Q24" s="662"/>
      <c r="R24" s="581"/>
      <c r="S24" s="587"/>
      <c r="T24" s="587"/>
      <c r="U24" s="1"/>
      <c r="V24" s="665"/>
      <c r="W24" s="480"/>
      <c r="X24" s="480"/>
      <c r="Y24" s="480"/>
      <c r="Z24" s="480"/>
      <c r="AA24" s="481"/>
      <c r="AC24" s="38"/>
      <c r="AD24" s="525"/>
      <c r="AE24" s="525"/>
      <c r="AF24" s="525"/>
      <c r="AG24" s="525"/>
      <c r="AH24" s="518"/>
      <c r="AJ24" s="553"/>
      <c r="AK24" s="481"/>
      <c r="AL24" s="480"/>
      <c r="AM24" s="480"/>
      <c r="AN24" s="480"/>
      <c r="AO24" s="481"/>
    </row>
    <row r="25" spans="1:41" x14ac:dyDescent="0.2">
      <c r="B25" s="24" t="s">
        <v>39</v>
      </c>
      <c r="C25" s="27">
        <f>G42</f>
        <v>0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W25" s="464"/>
      <c r="X25" s="495"/>
      <c r="Y25" s="495"/>
      <c r="Z25" s="495"/>
      <c r="AA25" s="464"/>
      <c r="AC25" s="520" t="s">
        <v>472</v>
      </c>
      <c r="AD25" s="526">
        <f>'bilan complet'!$F$81+'bilan complet'!$J$81</f>
        <v>0.29610428005429523</v>
      </c>
      <c r="AE25" s="526">
        <f>'bilan complet'!$F$78+'bilan complet'!$J$78</f>
        <v>13.873205970198795</v>
      </c>
      <c r="AF25" s="526">
        <f>'bilan complet'!$F$79+'bilan complet'!$J$79</f>
        <v>24.746810113160272</v>
      </c>
      <c r="AG25" s="526">
        <f>'bilan complet'!$F$80+'bilan complet'!$J$80</f>
        <v>6.198246344555991</v>
      </c>
      <c r="AH25" s="521">
        <f>'bilan complet'!$F$82+'bilan complet'!$J$82</f>
        <v>2.6871233141611901</v>
      </c>
      <c r="AI25" s="27">
        <f>SUM(AD25:AH25)</f>
        <v>47.801490022130544</v>
      </c>
      <c r="AK25" s="464"/>
      <c r="AL25" s="495"/>
      <c r="AM25" s="495"/>
      <c r="AN25" s="495"/>
      <c r="AO25" s="464"/>
    </row>
    <row r="26" spans="1:41" x14ac:dyDescent="0.2">
      <c r="E26" s="671" t="s">
        <v>13</v>
      </c>
      <c r="F26" s="1" t="s">
        <v>25</v>
      </c>
      <c r="G26" s="377">
        <v>0</v>
      </c>
      <c r="H26" s="653">
        <f>SUM(G26:G32)</f>
        <v>4.8781638548029527</v>
      </c>
      <c r="I26" s="377">
        <f>G26-K26</f>
        <v>0</v>
      </c>
      <c r="J26" s="672"/>
      <c r="K26" s="27">
        <f>$L$26*J49</f>
        <v>0</v>
      </c>
      <c r="L26" s="672">
        <f>V29</f>
        <v>4.2486971426240796</v>
      </c>
      <c r="M26" s="1"/>
      <c r="N26" s="653">
        <f>L26</f>
        <v>4.2486971426240796</v>
      </c>
      <c r="O26" s="654"/>
      <c r="P26" s="654"/>
      <c r="Q26" s="654"/>
      <c r="R26" s="673"/>
      <c r="S26" s="674"/>
      <c r="T26" s="674">
        <f>N26-O26-Q26</f>
        <v>4.2486971426240796</v>
      </c>
      <c r="U26" s="1"/>
      <c r="V26" s="483"/>
      <c r="W26" s="483"/>
      <c r="X26" s="483"/>
      <c r="Y26" s="483"/>
      <c r="Z26" s="496"/>
      <c r="AA26" s="483"/>
      <c r="AC26" s="522" t="s">
        <v>498</v>
      </c>
      <c r="AD26" s="527"/>
      <c r="AE26" s="527"/>
      <c r="AF26" s="527"/>
      <c r="AG26" s="527"/>
      <c r="AH26" s="523"/>
      <c r="AI26" s="27"/>
      <c r="AJ26" s="483"/>
      <c r="AK26" s="483"/>
      <c r="AL26" s="483"/>
      <c r="AM26" s="483"/>
      <c r="AN26" s="496"/>
      <c r="AO26" s="483"/>
    </row>
    <row r="27" spans="1:41" x14ac:dyDescent="0.2">
      <c r="E27" s="671"/>
      <c r="F27" s="1" t="s">
        <v>26</v>
      </c>
      <c r="G27" s="377">
        <f>$K$27/'Réseaux de chaleur'!$D$63</f>
        <v>0.89292703980625387</v>
      </c>
      <c r="H27" s="653"/>
      <c r="I27" s="377">
        <f t="shared" ref="I27:I31" si="4">G27-K27</f>
        <v>0</v>
      </c>
      <c r="J27" s="672"/>
      <c r="K27" s="27">
        <f t="shared" ref="K27:K31" si="5">$L$26*J50</f>
        <v>0.89292703980625387</v>
      </c>
      <c r="L27" s="672"/>
      <c r="M27" s="1"/>
      <c r="N27" s="653"/>
      <c r="O27" s="654"/>
      <c r="P27" s="654"/>
      <c r="Q27" s="654"/>
      <c r="R27" s="673"/>
      <c r="S27" s="674"/>
      <c r="T27" s="674"/>
      <c r="U27" s="1"/>
      <c r="V27" s="485"/>
      <c r="W27" s="585"/>
      <c r="X27" s="585"/>
      <c r="Y27" s="585"/>
      <c r="Z27" s="586"/>
      <c r="AA27" s="585"/>
      <c r="AC27" s="38"/>
      <c r="AD27" s="525"/>
      <c r="AE27" s="525"/>
      <c r="AF27" s="525"/>
      <c r="AG27" s="525"/>
      <c r="AH27" s="518"/>
      <c r="AJ27" s="485"/>
      <c r="AK27" s="585"/>
      <c r="AL27" s="585"/>
      <c r="AM27" s="585"/>
      <c r="AN27" s="586"/>
      <c r="AO27" s="585"/>
    </row>
    <row r="28" spans="1:41" x14ac:dyDescent="0.2">
      <c r="E28" s="671"/>
      <c r="F28" s="1" t="s">
        <v>30</v>
      </c>
      <c r="G28" s="377">
        <v>0</v>
      </c>
      <c r="H28" s="653"/>
      <c r="I28" s="377">
        <f t="shared" si="4"/>
        <v>0</v>
      </c>
      <c r="J28" s="672"/>
      <c r="K28" s="27">
        <f>$L$26*J51</f>
        <v>0</v>
      </c>
      <c r="L28" s="672"/>
      <c r="M28" s="1"/>
      <c r="N28" s="653"/>
      <c r="O28" s="654"/>
      <c r="P28" s="654" t="e">
        <v>#REF!</v>
      </c>
      <c r="Q28" s="654"/>
      <c r="R28" s="673" t="e">
        <v>#REF!</v>
      </c>
      <c r="S28" s="674" t="e">
        <v>#REF!</v>
      </c>
      <c r="T28" s="674"/>
      <c r="U28" s="1"/>
      <c r="V28" s="485"/>
      <c r="W28" s="585"/>
      <c r="X28" s="585"/>
      <c r="Y28" s="585"/>
      <c r="Z28" s="586"/>
      <c r="AA28" s="585"/>
      <c r="AC28" s="38"/>
      <c r="AD28" s="525"/>
      <c r="AE28" s="525"/>
      <c r="AF28" s="525"/>
      <c r="AG28" s="525"/>
      <c r="AH28" s="518"/>
      <c r="AJ28" s="485"/>
      <c r="AK28" s="585"/>
      <c r="AL28" s="585"/>
      <c r="AM28" s="585"/>
      <c r="AN28" s="586"/>
      <c r="AO28" s="585"/>
    </row>
    <row r="29" spans="1:41" x14ac:dyDescent="0.2">
      <c r="E29" s="671"/>
      <c r="F29" s="1" t="s">
        <v>27</v>
      </c>
      <c r="G29" s="377">
        <f>$K$29/'Réseaux de chaleur'!$D$62</f>
        <v>0.5168593195635669</v>
      </c>
      <c r="H29" s="653"/>
      <c r="I29" s="377">
        <f>G29-K29</f>
        <v>9.493334440963469E-2</v>
      </c>
      <c r="J29" s="672"/>
      <c r="K29" s="27">
        <f t="shared" si="5"/>
        <v>0.42192597515393221</v>
      </c>
      <c r="L29" s="672"/>
      <c r="M29" s="1"/>
      <c r="N29" s="653"/>
      <c r="O29" s="654"/>
      <c r="P29" s="654" t="e">
        <v>#REF!</v>
      </c>
      <c r="Q29" s="654"/>
      <c r="R29" s="673" t="e">
        <v>#REF!</v>
      </c>
      <c r="S29" s="674" t="e">
        <v>#REF!</v>
      </c>
      <c r="T29" s="674"/>
      <c r="U29" s="1"/>
      <c r="V29" s="489">
        <f>SUM(W29:AA29)</f>
        <v>4.2486971426240796</v>
      </c>
      <c r="W29" s="490">
        <f>'scenario demande'!D340</f>
        <v>0</v>
      </c>
      <c r="X29" s="490">
        <f>'scenario demande'!D13</f>
        <v>1.8883852523743254</v>
      </c>
      <c r="Y29" s="490">
        <f>'scenario demande'!D114</f>
        <v>1.5367350151687527</v>
      </c>
      <c r="Z29" s="488">
        <f>'scenario demande'!D189</f>
        <v>0.82357687508100197</v>
      </c>
      <c r="AA29" s="585"/>
      <c r="AC29" s="38"/>
      <c r="AD29" s="525"/>
      <c r="AE29" s="525"/>
      <c r="AF29" s="525"/>
      <c r="AG29" s="525"/>
      <c r="AH29" s="518"/>
      <c r="AJ29" s="489">
        <f>SUM(AK29:AO29)</f>
        <v>4.2486971426240796</v>
      </c>
      <c r="AK29" s="490">
        <f>W29</f>
        <v>0</v>
      </c>
      <c r="AL29" s="490">
        <f>X29</f>
        <v>1.8883852523743254</v>
      </c>
      <c r="AM29" s="490">
        <f>Y29</f>
        <v>1.5367350151687527</v>
      </c>
      <c r="AN29" s="490">
        <f>Z29</f>
        <v>0.82357687508100197</v>
      </c>
      <c r="AO29" s="490">
        <f>AA29</f>
        <v>0</v>
      </c>
    </row>
    <row r="30" spans="1:41" x14ac:dyDescent="0.2">
      <c r="E30" s="671"/>
      <c r="F30" s="1" t="s">
        <v>28</v>
      </c>
      <c r="G30" s="377">
        <f>$K$30/'Réseaux de chaleur'!$D$64</f>
        <v>0.13795765394689941</v>
      </c>
      <c r="H30" s="653"/>
      <c r="I30" s="377">
        <f t="shared" si="4"/>
        <v>0</v>
      </c>
      <c r="J30" s="672"/>
      <c r="K30" s="27">
        <f t="shared" si="5"/>
        <v>0.13795765394689941</v>
      </c>
      <c r="L30" s="672"/>
      <c r="M30" s="1"/>
      <c r="N30" s="653"/>
      <c r="O30" s="654"/>
      <c r="P30" s="654"/>
      <c r="Q30" s="654"/>
      <c r="R30" s="673"/>
      <c r="S30" s="674"/>
      <c r="T30" s="674"/>
      <c r="U30" s="1"/>
      <c r="V30" s="485"/>
      <c r="W30" s="585"/>
      <c r="X30" s="585"/>
      <c r="Y30" s="585"/>
      <c r="Z30" s="586"/>
      <c r="AA30" s="585"/>
      <c r="AC30" s="38"/>
      <c r="AD30" s="525"/>
      <c r="AE30" s="525"/>
      <c r="AF30" s="525"/>
      <c r="AG30" s="525"/>
      <c r="AH30" s="518"/>
      <c r="AJ30" s="485"/>
      <c r="AK30" s="585"/>
      <c r="AL30" s="585"/>
      <c r="AM30" s="585"/>
      <c r="AN30" s="586"/>
      <c r="AO30" s="585"/>
    </row>
    <row r="31" spans="1:41" x14ac:dyDescent="0.2">
      <c r="E31" s="671"/>
      <c r="F31" s="1" t="s">
        <v>35</v>
      </c>
      <c r="G31" s="377">
        <f>$K$31/'Réseaux de chaleur'!$D$65</f>
        <v>0.37248114822669021</v>
      </c>
      <c r="H31" s="653"/>
      <c r="I31" s="377">
        <f t="shared" si="4"/>
        <v>0</v>
      </c>
      <c r="J31" s="672"/>
      <c r="K31" s="27">
        <f t="shared" si="5"/>
        <v>0.37248114822669021</v>
      </c>
      <c r="L31" s="672"/>
      <c r="M31" s="1"/>
      <c r="N31" s="653"/>
      <c r="O31" s="654"/>
      <c r="P31" s="654"/>
      <c r="Q31" s="654"/>
      <c r="R31" s="673"/>
      <c r="S31" s="674"/>
      <c r="T31" s="674"/>
      <c r="U31" s="1"/>
      <c r="V31" s="485"/>
      <c r="W31" s="585"/>
      <c r="X31" s="585"/>
      <c r="Y31" s="585"/>
      <c r="Z31" s="586"/>
      <c r="AA31" s="585"/>
      <c r="AC31" s="38"/>
      <c r="AD31" s="525"/>
      <c r="AE31" s="525"/>
      <c r="AF31" s="525"/>
      <c r="AG31" s="525"/>
      <c r="AH31" s="518"/>
      <c r="AJ31" s="485"/>
      <c r="AK31" s="585"/>
      <c r="AL31" s="585"/>
      <c r="AM31" s="585"/>
      <c r="AN31" s="586"/>
      <c r="AO31" s="585"/>
    </row>
    <row r="32" spans="1:41" x14ac:dyDescent="0.2">
      <c r="E32" s="671"/>
      <c r="F32" s="1" t="s">
        <v>31</v>
      </c>
      <c r="G32" s="377">
        <f>$K$32/'Réseaux de chaleur'!$D$61</f>
        <v>2.9579386932595417</v>
      </c>
      <c r="H32" s="653"/>
      <c r="I32" s="377">
        <f>G32-K32</f>
        <v>0.53453336776923788</v>
      </c>
      <c r="J32" s="672"/>
      <c r="K32" s="27">
        <f>$L$26*J55</f>
        <v>2.4234053254903039</v>
      </c>
      <c r="L32" s="672"/>
      <c r="M32" s="1"/>
      <c r="N32" s="653"/>
      <c r="O32" s="654"/>
      <c r="P32" s="654"/>
      <c r="Q32" s="654"/>
      <c r="R32" s="673"/>
      <c r="S32" s="674"/>
      <c r="T32" s="674"/>
      <c r="U32" s="1"/>
      <c r="V32" s="486"/>
      <c r="W32" s="484"/>
      <c r="X32" s="484"/>
      <c r="Y32" s="484"/>
      <c r="Z32" s="487"/>
      <c r="AA32" s="484"/>
      <c r="AC32" s="38"/>
      <c r="AD32" s="525"/>
      <c r="AE32" s="525"/>
      <c r="AF32" s="525"/>
      <c r="AG32" s="525"/>
      <c r="AH32" s="518"/>
      <c r="AJ32" s="486"/>
      <c r="AK32" s="484"/>
      <c r="AL32" s="484"/>
      <c r="AM32" s="484"/>
      <c r="AN32" s="487"/>
      <c r="AO32" s="484"/>
    </row>
    <row r="33" spans="5:41" x14ac:dyDescent="0.2">
      <c r="E33" s="4"/>
      <c r="F33" s="1"/>
      <c r="H33" s="610">
        <f>SUM(G49:G55)-'Réseaux de chaleur'!D78</f>
        <v>0</v>
      </c>
      <c r="I33" s="1"/>
      <c r="J33" s="1"/>
      <c r="K33" s="2"/>
      <c r="L33" s="611">
        <f>SUM(H49:H55)-'Réseaux de chaleur'!D54</f>
        <v>0</v>
      </c>
      <c r="M33" s="1"/>
      <c r="N33" s="1"/>
      <c r="O33" s="1"/>
      <c r="P33" s="1"/>
      <c r="Q33" s="1"/>
      <c r="R33" s="1"/>
      <c r="S33" s="1"/>
      <c r="T33" s="608">
        <f>T23+T26+G35+G36+G38-('bilan complet'!F83+'bilan complet'!G83+'bilan complet'!J83)</f>
        <v>0</v>
      </c>
      <c r="U33" s="1"/>
      <c r="X33" s="27"/>
      <c r="Y33" s="27"/>
      <c r="Z33" s="27"/>
      <c r="AC33" s="38"/>
      <c r="AD33" s="525"/>
      <c r="AE33" s="525"/>
      <c r="AF33" s="525"/>
      <c r="AG33" s="525"/>
      <c r="AH33" s="518"/>
      <c r="AL33" s="27"/>
      <c r="AM33" s="27"/>
      <c r="AN33" s="27"/>
    </row>
    <row r="34" spans="5:41" x14ac:dyDescent="0.2">
      <c r="E34" s="667" t="s">
        <v>36</v>
      </c>
      <c r="F34" s="1" t="s">
        <v>25</v>
      </c>
      <c r="H34" s="667">
        <f>SUM(G34:G44)</f>
        <v>100.11004692397731</v>
      </c>
      <c r="I34" s="590"/>
      <c r="J34" s="669"/>
      <c r="K34" s="2">
        <f t="shared" si="2"/>
        <v>0</v>
      </c>
      <c r="L34" s="667">
        <f>SUM(K34:K44)</f>
        <v>94.615296122523773</v>
      </c>
      <c r="M34" s="584"/>
      <c r="N34" s="584"/>
      <c r="O34" s="584"/>
      <c r="P34" s="584"/>
      <c r="Q34" s="584"/>
      <c r="R34" s="584"/>
      <c r="S34" s="584"/>
      <c r="T34" s="499"/>
      <c r="V34" s="667">
        <f>SUM(W34:AA44)</f>
        <v>73.386589557728826</v>
      </c>
      <c r="W34" s="367"/>
      <c r="X34" s="366"/>
      <c r="Y34" s="367"/>
      <c r="Z34" s="368"/>
      <c r="AA34" s="365"/>
      <c r="AC34" s="38"/>
      <c r="AD34" s="525"/>
      <c r="AE34" s="525"/>
      <c r="AF34" s="525"/>
      <c r="AG34" s="525"/>
      <c r="AH34" s="518"/>
      <c r="AJ34" s="365"/>
      <c r="AK34" s="367"/>
      <c r="AL34" s="366"/>
      <c r="AM34" s="367"/>
      <c r="AN34" s="368"/>
      <c r="AO34" s="365"/>
    </row>
    <row r="35" spans="5:41" x14ac:dyDescent="0.2">
      <c r="E35" s="667"/>
      <c r="F35" s="1" t="s">
        <v>27</v>
      </c>
      <c r="G35" s="27">
        <f>'bilan complet'!J89-G12-G27-G29-G30-G31-G36-G38</f>
        <v>13.023858278138658</v>
      </c>
      <c r="H35" s="667"/>
      <c r="I35" s="590">
        <v>0</v>
      </c>
      <c r="J35" s="669"/>
      <c r="K35" s="2">
        <f>G35-I35</f>
        <v>13.023858278138658</v>
      </c>
      <c r="L35" s="667"/>
      <c r="M35" s="584"/>
      <c r="N35" s="584"/>
      <c r="O35" s="584"/>
      <c r="P35" s="584"/>
      <c r="Q35" s="584"/>
      <c r="R35" s="584"/>
      <c r="S35" s="584"/>
      <c r="T35" s="500"/>
      <c r="V35" s="667"/>
      <c r="W35" s="598">
        <f>'scenario demande'!D341</f>
        <v>8.7047032412174111E-2</v>
      </c>
      <c r="X35" s="599">
        <f>'scenario demande'!D14</f>
        <v>2.4310626504091801</v>
      </c>
      <c r="Y35" s="598">
        <f>'scenario demande'!D115-'scenario demande'!D166</f>
        <v>7.6160040953106494</v>
      </c>
      <c r="Z35" s="600">
        <f>'scenario demande'!D190-'scenario demande'!D236</f>
        <v>0.54417761784823704</v>
      </c>
      <c r="AA35" s="386"/>
      <c r="AB35" s="24">
        <f>SUM(W35:AA35)</f>
        <v>10.678291395980242</v>
      </c>
      <c r="AC35" s="38"/>
      <c r="AD35" s="525"/>
      <c r="AE35" s="525"/>
      <c r="AF35" s="525"/>
      <c r="AG35" s="525"/>
      <c r="AH35" s="518"/>
      <c r="AJ35" s="582"/>
      <c r="AK35" s="369">
        <f>W35</f>
        <v>8.7047032412174111E-2</v>
      </c>
      <c r="AL35" s="369">
        <f t="shared" ref="AL35:AO35" si="6">X35</f>
        <v>2.4310626504091801</v>
      </c>
      <c r="AM35" s="388">
        <f>Y35+K35-SUM(W35:AA35)</f>
        <v>9.9615709774690657</v>
      </c>
      <c r="AN35" s="369">
        <f t="shared" si="6"/>
        <v>0.54417761784823704</v>
      </c>
      <c r="AO35" s="369">
        <f t="shared" si="6"/>
        <v>0</v>
      </c>
    </row>
    <row r="36" spans="5:41" x14ac:dyDescent="0.2">
      <c r="E36" s="667"/>
      <c r="F36" s="1" t="s">
        <v>35</v>
      </c>
      <c r="G36" s="27">
        <f>'scenario demande'!D166</f>
        <v>7.0170020692295706E-2</v>
      </c>
      <c r="H36" s="667"/>
      <c r="I36" s="590"/>
      <c r="J36" s="669"/>
      <c r="K36" s="2">
        <f t="shared" si="2"/>
        <v>7.0170020692295706E-2</v>
      </c>
      <c r="L36" s="667"/>
      <c r="M36" s="584"/>
      <c r="N36" s="584"/>
      <c r="O36" s="584"/>
      <c r="P36" s="584"/>
      <c r="Q36" s="584"/>
      <c r="R36" s="584"/>
      <c r="S36" s="584"/>
      <c r="T36" s="500"/>
      <c r="V36" s="667"/>
      <c r="W36" s="601"/>
      <c r="X36" s="599"/>
      <c r="Y36" s="598">
        <f>'scenario demande'!D166</f>
        <v>7.0170020692295706E-2</v>
      </c>
      <c r="Z36" s="600">
        <f>'scenario demande'!D236</f>
        <v>7.928112236210769E-3</v>
      </c>
      <c r="AA36" s="593"/>
      <c r="AB36" s="24">
        <f>SUM(W36:AA36)</f>
        <v>7.8098132928506481E-2</v>
      </c>
      <c r="AC36" s="516"/>
      <c r="AD36" s="528"/>
      <c r="AE36" s="528"/>
      <c r="AF36" s="528"/>
      <c r="AG36" s="528"/>
      <c r="AH36" s="519"/>
      <c r="AJ36" s="582"/>
      <c r="AK36" s="367"/>
      <c r="AL36" s="366"/>
      <c r="AM36" s="388">
        <f>K36</f>
        <v>7.0170020692295706E-2</v>
      </c>
      <c r="AN36" s="370">
        <f>'scenario demande'!V237</f>
        <v>0</v>
      </c>
      <c r="AO36" s="365"/>
    </row>
    <row r="37" spans="5:41" x14ac:dyDescent="0.2">
      <c r="E37" s="667"/>
      <c r="F37" s="1" t="s">
        <v>41</v>
      </c>
      <c r="G37" s="27"/>
      <c r="H37" s="667"/>
      <c r="I37" s="590"/>
      <c r="J37" s="669"/>
      <c r="K37" s="2">
        <f t="shared" si="2"/>
        <v>0</v>
      </c>
      <c r="L37" s="667"/>
      <c r="M37" s="584"/>
      <c r="N37" s="584"/>
      <c r="O37" s="584"/>
      <c r="P37" s="584"/>
      <c r="Q37" s="584"/>
      <c r="R37" s="584"/>
      <c r="S37" s="584"/>
      <c r="T37" s="500"/>
      <c r="V37" s="667"/>
      <c r="W37" s="367"/>
      <c r="X37" s="366"/>
      <c r="Y37" s="369"/>
      <c r="Z37" s="370"/>
      <c r="AA37" s="365"/>
      <c r="AJ37" s="582"/>
      <c r="AK37" s="602"/>
      <c r="AL37" s="366"/>
      <c r="AM37" s="387">
        <f>K38</f>
        <v>1.32</v>
      </c>
      <c r="AN37" s="369"/>
      <c r="AO37" s="365"/>
    </row>
    <row r="38" spans="5:41" x14ac:dyDescent="0.2">
      <c r="E38" s="667"/>
      <c r="F38" s="1" t="s">
        <v>42</v>
      </c>
      <c r="G38" s="27">
        <f>indicateurs!D14</f>
        <v>1.32</v>
      </c>
      <c r="H38" s="667"/>
      <c r="I38" s="590"/>
      <c r="J38" s="669"/>
      <c r="K38" s="2">
        <f t="shared" si="2"/>
        <v>1.32</v>
      </c>
      <c r="L38" s="667"/>
      <c r="M38" s="584"/>
      <c r="N38" s="584"/>
      <c r="O38" s="584"/>
      <c r="P38" s="584"/>
      <c r="Q38" s="584"/>
      <c r="R38" s="584"/>
      <c r="S38" s="584"/>
      <c r="T38" s="500"/>
      <c r="V38" s="667"/>
      <c r="W38" s="367"/>
      <c r="X38" s="366"/>
      <c r="Y38" s="369"/>
      <c r="Z38" s="370"/>
      <c r="AA38" s="365"/>
      <c r="AJ38" s="582"/>
      <c r="AK38" s="602"/>
      <c r="AL38" s="366"/>
      <c r="AM38" s="602"/>
      <c r="AN38" s="366"/>
      <c r="AO38" s="602"/>
    </row>
    <row r="39" spans="5:41" x14ac:dyDescent="0.2">
      <c r="E39" s="667"/>
      <c r="F39" s="1" t="s">
        <v>63</v>
      </c>
      <c r="G39" s="27">
        <f>K39</f>
        <v>4.3309490750307562</v>
      </c>
      <c r="H39" s="667"/>
      <c r="I39" s="40"/>
      <c r="J39" s="669"/>
      <c r="K39" s="2">
        <f>'bilan complet'!E83*0.07</f>
        <v>4.3309490750307562</v>
      </c>
      <c r="L39" s="667"/>
      <c r="M39" s="584"/>
      <c r="N39" s="584"/>
      <c r="O39" s="584"/>
      <c r="P39" s="584"/>
      <c r="Q39" s="584"/>
      <c r="R39" s="584"/>
      <c r="S39" s="584"/>
      <c r="T39" s="502">
        <f>L34-K41-K43</f>
        <v>81.961672232319216</v>
      </c>
      <c r="V39" s="667"/>
      <c r="W39" s="369"/>
      <c r="X39" s="366"/>
      <c r="Y39" s="369"/>
      <c r="Z39" s="370"/>
      <c r="AA39" s="371"/>
      <c r="AC39" s="529" t="s">
        <v>518</v>
      </c>
      <c r="AD39" s="533">
        <f>'bilan complet'!$E$81</f>
        <v>3.4354773087318771</v>
      </c>
      <c r="AE39" s="533">
        <f>'bilan complet'!E78</f>
        <v>4.2447112566748677</v>
      </c>
      <c r="AF39" s="533">
        <f>'bilan complet'!$E$79</f>
        <v>5.2053569750125162</v>
      </c>
      <c r="AG39" s="533">
        <f>'bilan complet'!$E$80</f>
        <v>3.4980899264016205</v>
      </c>
      <c r="AH39" s="530">
        <f>'bilan complet'!$E$82</f>
        <v>45.487065605047057</v>
      </c>
      <c r="AJ39" s="365"/>
      <c r="AK39" s="366">
        <f>AD39</f>
        <v>3.4354773087318771</v>
      </c>
      <c r="AL39" s="366">
        <f>AE39</f>
        <v>4.2447112566748677</v>
      </c>
      <c r="AM39" s="366">
        <f>AF39</f>
        <v>5.2053569750125162</v>
      </c>
      <c r="AN39" s="366">
        <f>AG39</f>
        <v>3.4980899264016205</v>
      </c>
      <c r="AO39" s="369">
        <f>AH39</f>
        <v>45.487065605047057</v>
      </c>
    </row>
    <row r="40" spans="5:41" x14ac:dyDescent="0.2">
      <c r="E40" s="667"/>
      <c r="F40" s="1" t="s">
        <v>37</v>
      </c>
      <c r="G40" s="27">
        <f>K40+I40</f>
        <v>62.142932156584159</v>
      </c>
      <c r="H40" s="667"/>
      <c r="I40" s="40">
        <f>0.08*K40</f>
        <v>4.6031801597469748</v>
      </c>
      <c r="J40" s="669"/>
      <c r="K40" s="2">
        <f>'bilan complet'!E83-K39</f>
        <v>57.539751996837182</v>
      </c>
      <c r="L40" s="667"/>
      <c r="M40" s="584"/>
      <c r="N40" s="584"/>
      <c r="O40" s="584"/>
      <c r="P40" s="584"/>
      <c r="Q40" s="584"/>
      <c r="R40" s="584"/>
      <c r="S40" s="584"/>
      <c r="T40" s="500"/>
      <c r="V40" s="667"/>
      <c r="W40" s="595">
        <f>'scenario demande'!D336</f>
        <v>3.4575657845983945</v>
      </c>
      <c r="X40" s="366">
        <f>'scenario demande'!D9</f>
        <v>4.2096819550828624</v>
      </c>
      <c r="Y40" s="369">
        <f>'scenario demande'!D109+'scenario demande'!D112</f>
        <v>5.2413906145166331</v>
      </c>
      <c r="Z40" s="370">
        <f>'scenario demande'!D185</f>
        <v>2.6327417808351044</v>
      </c>
      <c r="AA40" s="371">
        <f>'scenario demande'!D273+'scenario demande'!D274+'scenario demande'!D275+'scenario demande'!D276</f>
        <v>41.718042384102247</v>
      </c>
      <c r="AB40" s="27">
        <f>SUM(W40:AA40)</f>
        <v>57.259422519135242</v>
      </c>
      <c r="AC40" s="531" t="s">
        <v>182</v>
      </c>
      <c r="AD40" s="609">
        <f>'bilan complet'!$B$81</f>
        <v>0</v>
      </c>
      <c r="AE40" s="535">
        <f>'bilan complet'!$B$78</f>
        <v>5.5522290898783613</v>
      </c>
      <c r="AF40" s="609">
        <f>'bilan complet'!$B$79</f>
        <v>3.0219472293460364E-2</v>
      </c>
      <c r="AG40" s="609">
        <f>'bilan complet'!$B$80</f>
        <v>9.4494299448503155E-2</v>
      </c>
      <c r="AH40" s="609">
        <f>'bilan complet'!$B$82</f>
        <v>0</v>
      </c>
      <c r="AI40" s="27">
        <f>SUM(AD39:AH40)</f>
        <v>67.547643933488274</v>
      </c>
      <c r="AJ40" s="582">
        <f>SUM(AK34:AO44)</f>
        <v>81.836958460577264</v>
      </c>
      <c r="AK40" s="602"/>
      <c r="AL40" s="602"/>
      <c r="AM40" s="602"/>
      <c r="AN40" s="602"/>
      <c r="AO40" s="602"/>
    </row>
    <row r="41" spans="5:41" x14ac:dyDescent="0.2">
      <c r="E41" s="667"/>
      <c r="F41" s="1" t="s">
        <v>38</v>
      </c>
      <c r="G41" s="27">
        <f>K41+I41</f>
        <v>12.036203663038826</v>
      </c>
      <c r="H41" s="667"/>
      <c r="I41" s="40">
        <f>0.08*K41</f>
        <v>0.89157064170657974</v>
      </c>
      <c r="J41" s="669"/>
      <c r="K41" s="2">
        <f>'bilan complet'!E86</f>
        <v>11.144633021332247</v>
      </c>
      <c r="L41" s="667"/>
      <c r="M41" s="584"/>
      <c r="N41" s="584"/>
      <c r="O41" s="584"/>
      <c r="P41" s="584"/>
      <c r="Q41" s="584"/>
      <c r="R41" s="584"/>
      <c r="S41" s="584"/>
      <c r="T41" s="500"/>
      <c r="V41" s="667"/>
      <c r="W41" s="369"/>
      <c r="X41" s="366"/>
      <c r="Y41" s="369"/>
      <c r="Z41" s="370"/>
      <c r="AA41" s="371"/>
      <c r="AJ41" s="582"/>
      <c r="AK41" s="366"/>
      <c r="AL41" s="366"/>
      <c r="AM41" s="366"/>
      <c r="AN41" s="366"/>
      <c r="AO41" s="366"/>
    </row>
    <row r="42" spans="5:41" x14ac:dyDescent="0.2">
      <c r="E42" s="667"/>
      <c r="F42" s="1" t="s">
        <v>39</v>
      </c>
      <c r="G42" s="27"/>
      <c r="H42" s="667"/>
      <c r="I42" s="40"/>
      <c r="J42" s="669"/>
      <c r="K42" s="2">
        <f t="shared" si="2"/>
        <v>0</v>
      </c>
      <c r="L42" s="667"/>
      <c r="M42" s="584"/>
      <c r="N42" s="584"/>
      <c r="O42" s="584"/>
      <c r="P42" s="584"/>
      <c r="Q42" s="584"/>
      <c r="R42" s="584"/>
      <c r="S42" s="584"/>
      <c r="T42" s="500"/>
      <c r="V42" s="667"/>
      <c r="W42" s="369"/>
      <c r="X42" s="366"/>
      <c r="Y42" s="369"/>
      <c r="Z42" s="370"/>
      <c r="AA42" s="371"/>
      <c r="AJ42" s="582"/>
      <c r="AK42" s="366"/>
      <c r="AL42" s="366"/>
      <c r="AM42" s="366"/>
      <c r="AN42" s="366"/>
      <c r="AO42" s="366"/>
    </row>
    <row r="43" spans="5:41" x14ac:dyDescent="0.2">
      <c r="E43" s="667"/>
      <c r="F43" s="1" t="s">
        <v>472</v>
      </c>
      <c r="G43" s="27">
        <f>'bilan complet'!F86</f>
        <v>1.5089908688723002</v>
      </c>
      <c r="H43" s="667"/>
      <c r="I43" s="40"/>
      <c r="J43" s="669"/>
      <c r="K43" s="2">
        <f t="shared" si="2"/>
        <v>1.5089908688723002</v>
      </c>
      <c r="L43" s="667"/>
      <c r="M43" s="584"/>
      <c r="N43" s="584"/>
      <c r="O43" s="584"/>
      <c r="P43" s="584"/>
      <c r="Q43" s="584"/>
      <c r="R43" s="584"/>
      <c r="S43" s="584"/>
      <c r="T43" s="500"/>
      <c r="V43" s="667"/>
      <c r="W43" s="369"/>
      <c r="X43" s="366"/>
      <c r="Y43" s="369"/>
      <c r="Z43" s="370"/>
      <c r="AA43" s="371"/>
      <c r="AJ43" s="582"/>
      <c r="AK43" s="369"/>
      <c r="AL43" s="366"/>
      <c r="AM43" s="369"/>
      <c r="AN43" s="371"/>
      <c r="AO43" s="366"/>
    </row>
    <row r="44" spans="5:41" x14ac:dyDescent="0.2">
      <c r="E44" s="668"/>
      <c r="F44" s="1" t="s">
        <v>40</v>
      </c>
      <c r="G44" s="27">
        <f>'bilan complet'!B83</f>
        <v>5.6769428616203248</v>
      </c>
      <c r="H44" s="668"/>
      <c r="I44" s="590"/>
      <c r="J44" s="670"/>
      <c r="K44" s="2">
        <f t="shared" si="2"/>
        <v>5.6769428616203248</v>
      </c>
      <c r="L44" s="668"/>
      <c r="M44" s="584"/>
      <c r="N44" s="584"/>
      <c r="O44" s="584"/>
      <c r="P44" s="584"/>
      <c r="Q44" s="584"/>
      <c r="R44" s="584"/>
      <c r="S44" s="584"/>
      <c r="T44" s="501"/>
      <c r="V44" s="668"/>
      <c r="W44" s="497">
        <f>'scenario demande'!D338</f>
        <v>0</v>
      </c>
      <c r="X44" s="596">
        <f>'scenario demande'!D11</f>
        <v>5.254994270195982</v>
      </c>
      <c r="Y44" s="374">
        <f>'scenario demande'!D111</f>
        <v>1.1380057874857458E-2</v>
      </c>
      <c r="Z44" s="597">
        <f>'scenario demande'!D187</f>
        <v>0.10440318161400114</v>
      </c>
      <c r="AA44" s="372"/>
      <c r="AB44" s="24">
        <f>SUM(W44:AA44)</f>
        <v>5.3707775096848405</v>
      </c>
      <c r="AI44" s="612">
        <f>AI13+AI25+AI40-'bilan complet'!K83</f>
        <v>0.40000000000003411</v>
      </c>
      <c r="AJ44" s="583"/>
      <c r="AK44" s="497"/>
      <c r="AL44" s="373">
        <f>AE40</f>
        <v>5.5522290898783613</v>
      </c>
      <c r="AM44" s="374"/>
      <c r="AN44" s="604"/>
      <c r="AO44" s="605"/>
    </row>
    <row r="45" spans="5:41" x14ac:dyDescent="0.2">
      <c r="E45" s="1"/>
      <c r="F45" s="1"/>
      <c r="G45" s="389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536">
        <f>T39-K35-K36-K38-SUM(AD39:AH40)</f>
        <v>0</v>
      </c>
      <c r="U45" s="1"/>
      <c r="W45" s="27"/>
      <c r="X45" s="27"/>
      <c r="Y45" s="27"/>
      <c r="Z45" s="27"/>
      <c r="AA45" s="27"/>
    </row>
    <row r="46" spans="5:41" x14ac:dyDescent="0.2">
      <c r="F46" s="1"/>
      <c r="G46" s="466"/>
      <c r="H46" s="462"/>
      <c r="I46" s="462"/>
      <c r="J46" s="462"/>
      <c r="K46" s="462"/>
      <c r="L46" s="462"/>
      <c r="M46" s="463"/>
      <c r="N46" s="463"/>
      <c r="O46" s="463"/>
      <c r="P46" s="464"/>
      <c r="Q46" s="462"/>
      <c r="R46" s="462"/>
      <c r="S46" s="462"/>
      <c r="T46" s="1"/>
      <c r="U46" s="1"/>
      <c r="V46" s="6"/>
      <c r="W46" s="2"/>
      <c r="X46" s="2"/>
      <c r="Y46" s="2"/>
      <c r="Z46" s="2"/>
      <c r="AA46" s="2"/>
    </row>
    <row r="47" spans="5:41" x14ac:dyDescent="0.2">
      <c r="G47" s="465"/>
      <c r="H47" s="462"/>
      <c r="I47" s="462"/>
      <c r="J47" s="462"/>
      <c r="K47" s="462"/>
      <c r="L47" s="462"/>
      <c r="M47" s="466"/>
      <c r="N47" s="466"/>
      <c r="O47" s="466"/>
      <c r="P47" s="465"/>
      <c r="Q47" s="462"/>
      <c r="R47" s="466"/>
      <c r="S47" s="466"/>
      <c r="T47" s="1"/>
      <c r="U47" s="1"/>
    </row>
    <row r="48" spans="5:41" x14ac:dyDescent="0.2">
      <c r="F48" s="470" t="s">
        <v>495</v>
      </c>
      <c r="G48" s="471" t="s">
        <v>174</v>
      </c>
      <c r="H48" s="472" t="s">
        <v>494</v>
      </c>
      <c r="I48" s="471" t="s">
        <v>174</v>
      </c>
      <c r="J48" s="472" t="s">
        <v>494</v>
      </c>
      <c r="K48" s="462"/>
      <c r="L48" s="462"/>
      <c r="M48" s="377"/>
      <c r="N48" s="467"/>
      <c r="O48" s="467"/>
      <c r="P48" s="464"/>
      <c r="Q48" s="462"/>
      <c r="R48" s="467"/>
      <c r="S48" s="467"/>
      <c r="T48" s="1"/>
      <c r="U48" s="1"/>
      <c r="V48" s="2"/>
      <c r="W48" s="2"/>
      <c r="X48" s="2"/>
      <c r="Y48" s="2"/>
      <c r="Z48" s="2"/>
      <c r="AA48" s="2"/>
    </row>
    <row r="49" spans="6:27" x14ac:dyDescent="0.2">
      <c r="F49" s="470" t="s">
        <v>25</v>
      </c>
      <c r="G49" s="473">
        <v>0</v>
      </c>
      <c r="H49" s="474">
        <v>0</v>
      </c>
      <c r="I49" s="476">
        <f>G49/$G$56</f>
        <v>0</v>
      </c>
      <c r="J49" s="476">
        <f>H49/$H$56</f>
        <v>0</v>
      </c>
      <c r="K49" s="462"/>
      <c r="L49" s="462"/>
      <c r="M49" s="377"/>
      <c r="N49" s="467"/>
      <c r="O49" s="467"/>
      <c r="P49" s="464"/>
      <c r="Q49" s="462"/>
      <c r="R49" s="467"/>
      <c r="S49" s="467"/>
      <c r="T49" s="1"/>
      <c r="U49" s="1"/>
      <c r="V49" s="498"/>
      <c r="W49" s="1"/>
      <c r="X49" s="1"/>
      <c r="Y49" s="1"/>
      <c r="Z49" s="1"/>
      <c r="AA49" s="1"/>
    </row>
    <row r="50" spans="6:27" x14ac:dyDescent="0.2">
      <c r="F50" s="470" t="s">
        <v>26</v>
      </c>
      <c r="G50" s="473">
        <f>'Réseaux de chaleur'!$D$75</f>
        <v>0.49605472888061153</v>
      </c>
      <c r="H50" s="474">
        <f>'Réseaux de chaleur'!$D$51</f>
        <v>0.49605472888061153</v>
      </c>
      <c r="I50" s="476">
        <f t="shared" ref="I50:I55" si="7">G50/$G$56</f>
        <v>0.18531030797207759</v>
      </c>
      <c r="J50" s="476">
        <f t="shared" ref="J50:J55" si="8">H50/$H$56</f>
        <v>0.21016490698952583</v>
      </c>
      <c r="K50" s="462"/>
      <c r="L50" s="462"/>
      <c r="M50" s="377"/>
      <c r="N50" s="467"/>
      <c r="O50" s="467"/>
      <c r="P50" s="464"/>
      <c r="Q50" s="462"/>
      <c r="R50" s="467"/>
      <c r="S50" s="467"/>
      <c r="T50" s="1"/>
      <c r="U50" s="1"/>
      <c r="V50" s="2"/>
      <c r="W50" s="1"/>
      <c r="X50" s="1"/>
      <c r="Y50" s="1"/>
      <c r="Z50" s="1"/>
      <c r="AA50" s="1"/>
    </row>
    <row r="51" spans="6:27" x14ac:dyDescent="0.2">
      <c r="F51" s="470" t="s">
        <v>30</v>
      </c>
      <c r="G51" s="473">
        <v>0</v>
      </c>
      <c r="H51" s="474"/>
      <c r="I51" s="476">
        <f t="shared" si="7"/>
        <v>0</v>
      </c>
      <c r="J51" s="476">
        <f t="shared" si="8"/>
        <v>0</v>
      </c>
      <c r="K51" s="462"/>
      <c r="L51" s="462"/>
      <c r="M51" s="377"/>
      <c r="N51" s="467"/>
      <c r="O51" s="467"/>
      <c r="P51" s="464"/>
      <c r="Q51" s="464"/>
      <c r="R51" s="467"/>
      <c r="S51" s="467"/>
      <c r="T51" s="1"/>
      <c r="U51" s="1"/>
      <c r="V51" s="1"/>
      <c r="W51" s="1"/>
      <c r="X51" s="1"/>
      <c r="Y51" s="1"/>
      <c r="Z51" s="1"/>
      <c r="AA51" s="1"/>
    </row>
    <row r="52" spans="6:27" x14ac:dyDescent="0.2">
      <c r="F52" s="470" t="s">
        <v>27</v>
      </c>
      <c r="G52" s="473">
        <f>'Réseaux de chaleur'!$D$74</f>
        <v>0.28713489255645547</v>
      </c>
      <c r="H52" s="474">
        <f>'Réseaux de chaleur'!$D$50</f>
        <v>0.234395830658331</v>
      </c>
      <c r="I52" s="476">
        <f t="shared" si="7"/>
        <v>0.10726448569341693</v>
      </c>
      <c r="J52" s="476">
        <f t="shared" si="8"/>
        <v>9.930714310536673E-2</v>
      </c>
      <c r="K52" s="462"/>
      <c r="L52" s="462"/>
      <c r="M52" s="377"/>
      <c r="N52" s="467"/>
      <c r="O52" s="467"/>
      <c r="P52" s="464"/>
      <c r="Q52" s="462"/>
      <c r="R52" s="467"/>
      <c r="S52" s="467"/>
      <c r="T52" s="1"/>
      <c r="U52" s="1"/>
      <c r="V52" s="1"/>
      <c r="W52" s="1"/>
      <c r="X52" s="1"/>
      <c r="Y52" s="1"/>
      <c r="Z52" s="1"/>
      <c r="AA52" s="1"/>
    </row>
    <row r="53" spans="6:27" x14ac:dyDescent="0.2">
      <c r="F53" s="470" t="s">
        <v>28</v>
      </c>
      <c r="G53" s="473">
        <f>'Réseaux de chaleur'!$D$76</f>
        <v>7.6640692436062016E-2</v>
      </c>
      <c r="H53" s="474">
        <f>'Réseaux de chaleur'!$D$52</f>
        <v>7.6640692436062016E-2</v>
      </c>
      <c r="I53" s="476">
        <f t="shared" si="7"/>
        <v>2.8630531051621291E-2</v>
      </c>
      <c r="J53" s="476">
        <f t="shared" si="8"/>
        <v>3.2470578465777396E-2</v>
      </c>
      <c r="K53" s="462"/>
      <c r="L53" s="462"/>
      <c r="M53" s="377"/>
      <c r="N53" s="467"/>
      <c r="O53" s="467"/>
      <c r="P53" s="465"/>
      <c r="Q53" s="462"/>
      <c r="R53" s="466"/>
      <c r="S53" s="466"/>
      <c r="T53" s="1"/>
      <c r="U53" s="1"/>
      <c r="V53" s="1"/>
      <c r="W53" s="1"/>
      <c r="X53" s="1"/>
      <c r="Y53" s="1"/>
      <c r="Z53" s="1"/>
      <c r="AA53" s="1"/>
    </row>
    <row r="54" spans="6:27" x14ac:dyDescent="0.2">
      <c r="F54" s="470" t="s">
        <v>35</v>
      </c>
      <c r="G54" s="473">
        <f>'Réseaux de chaleur'!$D$77</f>
        <v>0.20692735997424946</v>
      </c>
      <c r="H54" s="474">
        <f>'Réseaux de chaleur'!$D$53</f>
        <v>0.20692735997424946</v>
      </c>
      <c r="I54" s="476">
        <f t="shared" si="7"/>
        <v>7.730149633127685E-2</v>
      </c>
      <c r="J54" s="476">
        <f t="shared" si="8"/>
        <v>8.7669498606963187E-2</v>
      </c>
      <c r="K54" s="462"/>
      <c r="L54" s="462"/>
      <c r="M54" s="377"/>
      <c r="N54" s="467"/>
      <c r="O54" s="467"/>
      <c r="P54" s="464"/>
      <c r="Q54" s="462"/>
      <c r="R54" s="467"/>
      <c r="S54" s="467"/>
      <c r="T54" s="1"/>
      <c r="U54" s="1"/>
      <c r="V54" s="1"/>
      <c r="W54" s="1"/>
      <c r="X54" s="1"/>
      <c r="Y54" s="1"/>
      <c r="Z54" s="1"/>
      <c r="AA54" s="1"/>
    </row>
    <row r="55" spans="6:27" x14ac:dyDescent="0.2">
      <c r="F55" s="470" t="s">
        <v>31</v>
      </c>
      <c r="G55" s="473">
        <f>'Réseaux de chaleur'!$D$73+'Réseaux de chaleur'!$D$72+'Réseaux de chaleur'!$D$71</f>
        <v>1.6101291885680498</v>
      </c>
      <c r="H55" s="474">
        <f>'Réseaux de chaleur'!$D$49+'Réseaux de chaleur'!$D$48+'Réseaux de chaleur'!$D$47</f>
        <v>1.3462932783005002</v>
      </c>
      <c r="I55" s="476">
        <f t="shared" si="7"/>
        <v>0.60149317895160725</v>
      </c>
      <c r="J55" s="476">
        <f t="shared" si="8"/>
        <v>0.5703878728323668</v>
      </c>
      <c r="K55" s="462"/>
      <c r="L55" s="462"/>
      <c r="M55" s="467"/>
      <c r="N55" s="467"/>
      <c r="O55" s="467"/>
      <c r="P55" s="464"/>
      <c r="Q55" s="462"/>
      <c r="R55" s="467"/>
      <c r="S55" s="467"/>
      <c r="T55" s="1"/>
      <c r="U55" s="1"/>
      <c r="V55" s="1"/>
      <c r="W55" s="1"/>
      <c r="X55" s="1"/>
      <c r="Y55" s="1"/>
      <c r="Z55" s="1"/>
      <c r="AA55" s="1"/>
    </row>
    <row r="56" spans="6:27" x14ac:dyDescent="0.2">
      <c r="F56" s="470" t="s">
        <v>496</v>
      </c>
      <c r="G56" s="475">
        <f>SUM(G49:G55)</f>
        <v>2.6768868624154285</v>
      </c>
      <c r="H56" s="475">
        <f>SUM(H49:H55)</f>
        <v>2.3603118902497542</v>
      </c>
      <c r="I56" s="475">
        <f>SUM(I49:I55)</f>
        <v>1</v>
      </c>
      <c r="J56" s="475">
        <f>SUM(J49:J55)</f>
        <v>0.99999999999999989</v>
      </c>
      <c r="K56" s="462"/>
      <c r="L56" s="462"/>
      <c r="M56" s="467"/>
      <c r="N56" s="467"/>
      <c r="O56" s="467"/>
      <c r="P56" s="464"/>
      <c r="Q56" s="464"/>
      <c r="R56" s="464"/>
      <c r="S56" s="464"/>
      <c r="T56" s="1"/>
      <c r="U56" s="1"/>
      <c r="V56" s="1"/>
      <c r="W56" s="1"/>
      <c r="X56" s="1"/>
      <c r="Y56" s="1"/>
      <c r="Z56" s="1"/>
      <c r="AA56" s="1"/>
    </row>
    <row r="57" spans="6:27" x14ac:dyDescent="0.2">
      <c r="F57" s="1"/>
      <c r="G57" s="462"/>
      <c r="H57" s="462"/>
      <c r="I57" s="462"/>
      <c r="J57" s="462"/>
      <c r="K57" s="462"/>
      <c r="L57" s="462"/>
      <c r="M57" s="467"/>
      <c r="N57" s="467"/>
      <c r="O57" s="467"/>
      <c r="P57" s="464"/>
      <c r="Q57" s="468"/>
      <c r="R57" s="469"/>
      <c r="S57" s="469"/>
      <c r="T57" s="1"/>
      <c r="U57" s="1"/>
      <c r="V57" s="1"/>
      <c r="W57" s="1"/>
      <c r="X57" s="1"/>
      <c r="Y57" s="1"/>
      <c r="Z57" s="1"/>
      <c r="AA57" s="1"/>
    </row>
    <row r="58" spans="6:27" x14ac:dyDescent="0.2">
      <c r="F58" s="1"/>
      <c r="G58" s="462"/>
      <c r="H58" s="462"/>
      <c r="I58" s="462"/>
      <c r="J58" s="462"/>
      <c r="K58" s="462"/>
      <c r="L58" s="462"/>
      <c r="M58" s="467"/>
      <c r="N58" s="467"/>
      <c r="O58" s="467"/>
      <c r="P58" s="464"/>
      <c r="Q58" s="468"/>
      <c r="R58" s="469"/>
      <c r="S58" s="469"/>
      <c r="T58" s="1"/>
      <c r="U58" s="1"/>
      <c r="V58" s="1"/>
      <c r="W58" s="1"/>
      <c r="X58" s="1"/>
      <c r="Y58" s="1"/>
      <c r="Z58" s="1"/>
      <c r="AA58" s="1"/>
    </row>
    <row r="62" spans="6:27" x14ac:dyDescent="0.2">
      <c r="G62" s="492"/>
    </row>
    <row r="63" spans="6:27" x14ac:dyDescent="0.2">
      <c r="G63" s="493"/>
    </row>
    <row r="64" spans="6:27" x14ac:dyDescent="0.2">
      <c r="G64" s="492"/>
    </row>
    <row r="65" spans="7:7" x14ac:dyDescent="0.2">
      <c r="G65" s="492"/>
    </row>
    <row r="66" spans="7:7" x14ac:dyDescent="0.2">
      <c r="G66" s="494"/>
    </row>
  </sheetData>
  <mergeCells count="48">
    <mergeCell ref="V34:V44"/>
    <mergeCell ref="P26:P32"/>
    <mergeCell ref="Q26:Q32"/>
    <mergeCell ref="R26:R32"/>
    <mergeCell ref="S26:S32"/>
    <mergeCell ref="T26:T32"/>
    <mergeCell ref="E34:E44"/>
    <mergeCell ref="H34:H44"/>
    <mergeCell ref="J34:J44"/>
    <mergeCell ref="L34:L44"/>
    <mergeCell ref="E26:E32"/>
    <mergeCell ref="H26:H32"/>
    <mergeCell ref="J26:J32"/>
    <mergeCell ref="L26:L32"/>
    <mergeCell ref="N26:N32"/>
    <mergeCell ref="O26:O32"/>
    <mergeCell ref="AH7:AH19"/>
    <mergeCell ref="E21:E24"/>
    <mergeCell ref="H21:H24"/>
    <mergeCell ref="J21:J24"/>
    <mergeCell ref="L21:L24"/>
    <mergeCell ref="N21:N24"/>
    <mergeCell ref="O21:O24"/>
    <mergeCell ref="P21:P24"/>
    <mergeCell ref="Q21:Q24"/>
    <mergeCell ref="V21:V24"/>
    <mergeCell ref="T7:T19"/>
    <mergeCell ref="V7:V19"/>
    <mergeCell ref="AD7:AD19"/>
    <mergeCell ref="AE7:AE19"/>
    <mergeCell ref="AF7:AF19"/>
    <mergeCell ref="AG7:AG19"/>
    <mergeCell ref="A4:C4"/>
    <mergeCell ref="E7:E19"/>
    <mergeCell ref="H7:H19"/>
    <mergeCell ref="J7:J19"/>
    <mergeCell ref="L7:L19"/>
    <mergeCell ref="N7:N19"/>
    <mergeCell ref="G1:L1"/>
    <mergeCell ref="N1:T1"/>
    <mergeCell ref="V1:AA1"/>
    <mergeCell ref="G2:H2"/>
    <mergeCell ref="I2:L2"/>
    <mergeCell ref="N2:N4"/>
    <mergeCell ref="O2:T3"/>
    <mergeCell ref="V2:AA3"/>
    <mergeCell ref="I3:J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6"/>
  <sheetViews>
    <sheetView zoomScaleNormal="100" workbookViewId="0">
      <pane xSplit="6" ySplit="4" topLeftCell="AH17" activePane="bottomRight" state="frozen"/>
      <selection pane="topRight" activeCell="G1" sqref="G1"/>
      <selection pane="bottomLeft" activeCell="A5" sqref="A5"/>
      <selection pane="bottomRight" activeCell="AI44" sqref="AI44"/>
    </sheetView>
  </sheetViews>
  <sheetFormatPr baseColWidth="10" defaultRowHeight="12.75" x14ac:dyDescent="0.2"/>
  <cols>
    <col min="1" max="1" width="14.85546875" style="24" bestFit="1" customWidth="1"/>
    <col min="2" max="2" width="28" style="24" bestFit="1" customWidth="1"/>
    <col min="3" max="3" width="4.42578125" style="24" bestFit="1" customWidth="1"/>
    <col min="4" max="4" width="8" style="24" bestFit="1" customWidth="1"/>
    <col min="5" max="5" width="11.42578125" style="24"/>
    <col min="6" max="6" width="22.85546875" style="24" bestFit="1" customWidth="1"/>
    <col min="7" max="7" width="7" style="24" customWidth="1"/>
    <col min="8" max="8" width="6.28515625" style="24" customWidth="1"/>
    <col min="9" max="9" width="5.7109375" style="24" customWidth="1"/>
    <col min="10" max="10" width="5.7109375" style="24" bestFit="1" customWidth="1"/>
    <col min="11" max="11" width="5.85546875" style="24" bestFit="1" customWidth="1"/>
    <col min="12" max="12" width="9.42578125" style="24" customWidth="1"/>
    <col min="13" max="13" width="9.28515625" style="24" customWidth="1"/>
    <col min="14" max="14" width="9.7109375" style="24" customWidth="1"/>
    <col min="15" max="15" width="6.7109375" style="24" bestFit="1" customWidth="1"/>
    <col min="16" max="16" width="4.85546875" style="24" customWidth="1"/>
    <col min="17" max="17" width="5.28515625" style="24" customWidth="1"/>
    <col min="18" max="19" width="4.42578125" style="24" bestFit="1" customWidth="1"/>
    <col min="20" max="20" width="19.28515625" style="24" customWidth="1"/>
    <col min="21" max="21" width="6" style="24" customWidth="1"/>
    <col min="22" max="22" width="5.85546875" style="24" bestFit="1" customWidth="1"/>
    <col min="23" max="23" width="4.42578125" style="24" bestFit="1" customWidth="1"/>
    <col min="24" max="24" width="6.42578125" style="24" customWidth="1"/>
    <col min="25" max="26" width="5.42578125" style="24" bestFit="1" customWidth="1"/>
    <col min="27" max="27" width="4.42578125" style="24" bestFit="1" customWidth="1"/>
    <col min="28" max="28" width="7.28515625" style="24" customWidth="1"/>
    <col min="29" max="29" width="12.7109375" style="24" customWidth="1"/>
    <col min="30" max="256" width="11.42578125" style="24"/>
    <col min="257" max="257" width="14.85546875" style="24" bestFit="1" customWidth="1"/>
    <col min="258" max="258" width="28" style="24" bestFit="1" customWidth="1"/>
    <col min="259" max="259" width="4.42578125" style="24" bestFit="1" customWidth="1"/>
    <col min="260" max="260" width="8" style="24" bestFit="1" customWidth="1"/>
    <col min="261" max="261" width="11.42578125" style="24"/>
    <col min="262" max="262" width="22.85546875" style="24" bestFit="1" customWidth="1"/>
    <col min="263" max="263" width="7" style="24" customWidth="1"/>
    <col min="264" max="264" width="6.28515625" style="24" customWidth="1"/>
    <col min="265" max="265" width="5.7109375" style="24" customWidth="1"/>
    <col min="266" max="266" width="5.7109375" style="24" bestFit="1" customWidth="1"/>
    <col min="267" max="267" width="5.85546875" style="24" bestFit="1" customWidth="1"/>
    <col min="268" max="268" width="9.42578125" style="24" customWidth="1"/>
    <col min="269" max="269" width="5.140625" style="24" customWidth="1"/>
    <col min="270" max="270" width="9.7109375" style="24" customWidth="1"/>
    <col min="271" max="271" width="6.7109375" style="24" bestFit="1" customWidth="1"/>
    <col min="272" max="272" width="4.85546875" style="24" customWidth="1"/>
    <col min="273" max="273" width="5.28515625" style="24" customWidth="1"/>
    <col min="274" max="275" width="4.42578125" style="24" bestFit="1" customWidth="1"/>
    <col min="276" max="276" width="13.28515625" style="24" bestFit="1" customWidth="1"/>
    <col min="277" max="277" width="3.140625" style="24" customWidth="1"/>
    <col min="278" max="278" width="5.42578125" style="24" bestFit="1" customWidth="1"/>
    <col min="279" max="279" width="4.42578125" style="24" bestFit="1" customWidth="1"/>
    <col min="280" max="280" width="6.42578125" style="24" customWidth="1"/>
    <col min="281" max="281" width="5" style="24" bestFit="1" customWidth="1"/>
    <col min="282" max="282" width="4.5703125" style="24" bestFit="1" customWidth="1"/>
    <col min="283" max="283" width="4.42578125" style="24" bestFit="1" customWidth="1"/>
    <col min="284" max="284" width="4" style="24" customWidth="1"/>
    <col min="285" max="512" width="11.42578125" style="24"/>
    <col min="513" max="513" width="14.85546875" style="24" bestFit="1" customWidth="1"/>
    <col min="514" max="514" width="28" style="24" bestFit="1" customWidth="1"/>
    <col min="515" max="515" width="4.42578125" style="24" bestFit="1" customWidth="1"/>
    <col min="516" max="516" width="8" style="24" bestFit="1" customWidth="1"/>
    <col min="517" max="517" width="11.42578125" style="24"/>
    <col min="518" max="518" width="22.85546875" style="24" bestFit="1" customWidth="1"/>
    <col min="519" max="519" width="7" style="24" customWidth="1"/>
    <col min="520" max="520" width="6.28515625" style="24" customWidth="1"/>
    <col min="521" max="521" width="5.7109375" style="24" customWidth="1"/>
    <col min="522" max="522" width="5.7109375" style="24" bestFit="1" customWidth="1"/>
    <col min="523" max="523" width="5.85546875" style="24" bestFit="1" customWidth="1"/>
    <col min="524" max="524" width="9.42578125" style="24" customWidth="1"/>
    <col min="525" max="525" width="5.140625" style="24" customWidth="1"/>
    <col min="526" max="526" width="9.7109375" style="24" customWidth="1"/>
    <col min="527" max="527" width="6.7109375" style="24" bestFit="1" customWidth="1"/>
    <col min="528" max="528" width="4.85546875" style="24" customWidth="1"/>
    <col min="529" max="529" width="5.28515625" style="24" customWidth="1"/>
    <col min="530" max="531" width="4.42578125" style="24" bestFit="1" customWidth="1"/>
    <col min="532" max="532" width="13.28515625" style="24" bestFit="1" customWidth="1"/>
    <col min="533" max="533" width="3.140625" style="24" customWidth="1"/>
    <col min="534" max="534" width="5.42578125" style="24" bestFit="1" customWidth="1"/>
    <col min="535" max="535" width="4.42578125" style="24" bestFit="1" customWidth="1"/>
    <col min="536" max="536" width="6.42578125" style="24" customWidth="1"/>
    <col min="537" max="537" width="5" style="24" bestFit="1" customWidth="1"/>
    <col min="538" max="538" width="4.5703125" style="24" bestFit="1" customWidth="1"/>
    <col min="539" max="539" width="4.42578125" style="24" bestFit="1" customWidth="1"/>
    <col min="540" max="540" width="4" style="24" customWidth="1"/>
    <col min="541" max="768" width="11.42578125" style="24"/>
    <col min="769" max="769" width="14.85546875" style="24" bestFit="1" customWidth="1"/>
    <col min="770" max="770" width="28" style="24" bestFit="1" customWidth="1"/>
    <col min="771" max="771" width="4.42578125" style="24" bestFit="1" customWidth="1"/>
    <col min="772" max="772" width="8" style="24" bestFit="1" customWidth="1"/>
    <col min="773" max="773" width="11.42578125" style="24"/>
    <col min="774" max="774" width="22.85546875" style="24" bestFit="1" customWidth="1"/>
    <col min="775" max="775" width="7" style="24" customWidth="1"/>
    <col min="776" max="776" width="6.28515625" style="24" customWidth="1"/>
    <col min="777" max="777" width="5.7109375" style="24" customWidth="1"/>
    <col min="778" max="778" width="5.7109375" style="24" bestFit="1" customWidth="1"/>
    <col min="779" max="779" width="5.85546875" style="24" bestFit="1" customWidth="1"/>
    <col min="780" max="780" width="9.42578125" style="24" customWidth="1"/>
    <col min="781" max="781" width="5.140625" style="24" customWidth="1"/>
    <col min="782" max="782" width="9.7109375" style="24" customWidth="1"/>
    <col min="783" max="783" width="6.7109375" style="24" bestFit="1" customWidth="1"/>
    <col min="784" max="784" width="4.85546875" style="24" customWidth="1"/>
    <col min="785" max="785" width="5.28515625" style="24" customWidth="1"/>
    <col min="786" max="787" width="4.42578125" style="24" bestFit="1" customWidth="1"/>
    <col min="788" max="788" width="13.28515625" style="24" bestFit="1" customWidth="1"/>
    <col min="789" max="789" width="3.140625" style="24" customWidth="1"/>
    <col min="790" max="790" width="5.42578125" style="24" bestFit="1" customWidth="1"/>
    <col min="791" max="791" width="4.42578125" style="24" bestFit="1" customWidth="1"/>
    <col min="792" max="792" width="6.42578125" style="24" customWidth="1"/>
    <col min="793" max="793" width="5" style="24" bestFit="1" customWidth="1"/>
    <col min="794" max="794" width="4.5703125" style="24" bestFit="1" customWidth="1"/>
    <col min="795" max="795" width="4.42578125" style="24" bestFit="1" customWidth="1"/>
    <col min="796" max="796" width="4" style="24" customWidth="1"/>
    <col min="797" max="1024" width="11.42578125" style="24"/>
    <col min="1025" max="1025" width="14.85546875" style="24" bestFit="1" customWidth="1"/>
    <col min="1026" max="1026" width="28" style="24" bestFit="1" customWidth="1"/>
    <col min="1027" max="1027" width="4.42578125" style="24" bestFit="1" customWidth="1"/>
    <col min="1028" max="1028" width="8" style="24" bestFit="1" customWidth="1"/>
    <col min="1029" max="1029" width="11.42578125" style="24"/>
    <col min="1030" max="1030" width="22.85546875" style="24" bestFit="1" customWidth="1"/>
    <col min="1031" max="1031" width="7" style="24" customWidth="1"/>
    <col min="1032" max="1032" width="6.28515625" style="24" customWidth="1"/>
    <col min="1033" max="1033" width="5.7109375" style="24" customWidth="1"/>
    <col min="1034" max="1034" width="5.7109375" style="24" bestFit="1" customWidth="1"/>
    <col min="1035" max="1035" width="5.85546875" style="24" bestFit="1" customWidth="1"/>
    <col min="1036" max="1036" width="9.42578125" style="24" customWidth="1"/>
    <col min="1037" max="1037" width="5.140625" style="24" customWidth="1"/>
    <col min="1038" max="1038" width="9.7109375" style="24" customWidth="1"/>
    <col min="1039" max="1039" width="6.7109375" style="24" bestFit="1" customWidth="1"/>
    <col min="1040" max="1040" width="4.85546875" style="24" customWidth="1"/>
    <col min="1041" max="1041" width="5.28515625" style="24" customWidth="1"/>
    <col min="1042" max="1043" width="4.42578125" style="24" bestFit="1" customWidth="1"/>
    <col min="1044" max="1044" width="13.28515625" style="24" bestFit="1" customWidth="1"/>
    <col min="1045" max="1045" width="3.140625" style="24" customWidth="1"/>
    <col min="1046" max="1046" width="5.42578125" style="24" bestFit="1" customWidth="1"/>
    <col min="1047" max="1047" width="4.42578125" style="24" bestFit="1" customWidth="1"/>
    <col min="1048" max="1048" width="6.42578125" style="24" customWidth="1"/>
    <col min="1049" max="1049" width="5" style="24" bestFit="1" customWidth="1"/>
    <col min="1050" max="1050" width="4.5703125" style="24" bestFit="1" customWidth="1"/>
    <col min="1051" max="1051" width="4.42578125" style="24" bestFit="1" customWidth="1"/>
    <col min="1052" max="1052" width="4" style="24" customWidth="1"/>
    <col min="1053" max="1280" width="11.42578125" style="24"/>
    <col min="1281" max="1281" width="14.85546875" style="24" bestFit="1" customWidth="1"/>
    <col min="1282" max="1282" width="28" style="24" bestFit="1" customWidth="1"/>
    <col min="1283" max="1283" width="4.42578125" style="24" bestFit="1" customWidth="1"/>
    <col min="1284" max="1284" width="8" style="24" bestFit="1" customWidth="1"/>
    <col min="1285" max="1285" width="11.42578125" style="24"/>
    <col min="1286" max="1286" width="22.85546875" style="24" bestFit="1" customWidth="1"/>
    <col min="1287" max="1287" width="7" style="24" customWidth="1"/>
    <col min="1288" max="1288" width="6.28515625" style="24" customWidth="1"/>
    <col min="1289" max="1289" width="5.7109375" style="24" customWidth="1"/>
    <col min="1290" max="1290" width="5.7109375" style="24" bestFit="1" customWidth="1"/>
    <col min="1291" max="1291" width="5.85546875" style="24" bestFit="1" customWidth="1"/>
    <col min="1292" max="1292" width="9.42578125" style="24" customWidth="1"/>
    <col min="1293" max="1293" width="5.140625" style="24" customWidth="1"/>
    <col min="1294" max="1294" width="9.7109375" style="24" customWidth="1"/>
    <col min="1295" max="1295" width="6.7109375" style="24" bestFit="1" customWidth="1"/>
    <col min="1296" max="1296" width="4.85546875" style="24" customWidth="1"/>
    <col min="1297" max="1297" width="5.28515625" style="24" customWidth="1"/>
    <col min="1298" max="1299" width="4.42578125" style="24" bestFit="1" customWidth="1"/>
    <col min="1300" max="1300" width="13.28515625" style="24" bestFit="1" customWidth="1"/>
    <col min="1301" max="1301" width="3.140625" style="24" customWidth="1"/>
    <col min="1302" max="1302" width="5.42578125" style="24" bestFit="1" customWidth="1"/>
    <col min="1303" max="1303" width="4.42578125" style="24" bestFit="1" customWidth="1"/>
    <col min="1304" max="1304" width="6.42578125" style="24" customWidth="1"/>
    <col min="1305" max="1305" width="5" style="24" bestFit="1" customWidth="1"/>
    <col min="1306" max="1306" width="4.5703125" style="24" bestFit="1" customWidth="1"/>
    <col min="1307" max="1307" width="4.42578125" style="24" bestFit="1" customWidth="1"/>
    <col min="1308" max="1308" width="4" style="24" customWidth="1"/>
    <col min="1309" max="1536" width="11.42578125" style="24"/>
    <col min="1537" max="1537" width="14.85546875" style="24" bestFit="1" customWidth="1"/>
    <col min="1538" max="1538" width="28" style="24" bestFit="1" customWidth="1"/>
    <col min="1539" max="1539" width="4.42578125" style="24" bestFit="1" customWidth="1"/>
    <col min="1540" max="1540" width="8" style="24" bestFit="1" customWidth="1"/>
    <col min="1541" max="1541" width="11.42578125" style="24"/>
    <col min="1542" max="1542" width="22.85546875" style="24" bestFit="1" customWidth="1"/>
    <col min="1543" max="1543" width="7" style="24" customWidth="1"/>
    <col min="1544" max="1544" width="6.28515625" style="24" customWidth="1"/>
    <col min="1545" max="1545" width="5.7109375" style="24" customWidth="1"/>
    <col min="1546" max="1546" width="5.7109375" style="24" bestFit="1" customWidth="1"/>
    <col min="1547" max="1547" width="5.85546875" style="24" bestFit="1" customWidth="1"/>
    <col min="1548" max="1548" width="9.42578125" style="24" customWidth="1"/>
    <col min="1549" max="1549" width="5.140625" style="24" customWidth="1"/>
    <col min="1550" max="1550" width="9.7109375" style="24" customWidth="1"/>
    <col min="1551" max="1551" width="6.7109375" style="24" bestFit="1" customWidth="1"/>
    <col min="1552" max="1552" width="4.85546875" style="24" customWidth="1"/>
    <col min="1553" max="1553" width="5.28515625" style="24" customWidth="1"/>
    <col min="1554" max="1555" width="4.42578125" style="24" bestFit="1" customWidth="1"/>
    <col min="1556" max="1556" width="13.28515625" style="24" bestFit="1" customWidth="1"/>
    <col min="1557" max="1557" width="3.140625" style="24" customWidth="1"/>
    <col min="1558" max="1558" width="5.42578125" style="24" bestFit="1" customWidth="1"/>
    <col min="1559" max="1559" width="4.42578125" style="24" bestFit="1" customWidth="1"/>
    <col min="1560" max="1560" width="6.42578125" style="24" customWidth="1"/>
    <col min="1561" max="1561" width="5" style="24" bestFit="1" customWidth="1"/>
    <col min="1562" max="1562" width="4.5703125" style="24" bestFit="1" customWidth="1"/>
    <col min="1563" max="1563" width="4.42578125" style="24" bestFit="1" customWidth="1"/>
    <col min="1564" max="1564" width="4" style="24" customWidth="1"/>
    <col min="1565" max="1792" width="11.42578125" style="24"/>
    <col min="1793" max="1793" width="14.85546875" style="24" bestFit="1" customWidth="1"/>
    <col min="1794" max="1794" width="28" style="24" bestFit="1" customWidth="1"/>
    <col min="1795" max="1795" width="4.42578125" style="24" bestFit="1" customWidth="1"/>
    <col min="1796" max="1796" width="8" style="24" bestFit="1" customWidth="1"/>
    <col min="1797" max="1797" width="11.42578125" style="24"/>
    <col min="1798" max="1798" width="22.85546875" style="24" bestFit="1" customWidth="1"/>
    <col min="1799" max="1799" width="7" style="24" customWidth="1"/>
    <col min="1800" max="1800" width="6.28515625" style="24" customWidth="1"/>
    <col min="1801" max="1801" width="5.7109375" style="24" customWidth="1"/>
    <col min="1802" max="1802" width="5.7109375" style="24" bestFit="1" customWidth="1"/>
    <col min="1803" max="1803" width="5.85546875" style="24" bestFit="1" customWidth="1"/>
    <col min="1804" max="1804" width="9.42578125" style="24" customWidth="1"/>
    <col min="1805" max="1805" width="5.140625" style="24" customWidth="1"/>
    <col min="1806" max="1806" width="9.7109375" style="24" customWidth="1"/>
    <col min="1807" max="1807" width="6.7109375" style="24" bestFit="1" customWidth="1"/>
    <col min="1808" max="1808" width="4.85546875" style="24" customWidth="1"/>
    <col min="1809" max="1809" width="5.28515625" style="24" customWidth="1"/>
    <col min="1810" max="1811" width="4.42578125" style="24" bestFit="1" customWidth="1"/>
    <col min="1812" max="1812" width="13.28515625" style="24" bestFit="1" customWidth="1"/>
    <col min="1813" max="1813" width="3.140625" style="24" customWidth="1"/>
    <col min="1814" max="1814" width="5.42578125" style="24" bestFit="1" customWidth="1"/>
    <col min="1815" max="1815" width="4.42578125" style="24" bestFit="1" customWidth="1"/>
    <col min="1816" max="1816" width="6.42578125" style="24" customWidth="1"/>
    <col min="1817" max="1817" width="5" style="24" bestFit="1" customWidth="1"/>
    <col min="1818" max="1818" width="4.5703125" style="24" bestFit="1" customWidth="1"/>
    <col min="1819" max="1819" width="4.42578125" style="24" bestFit="1" customWidth="1"/>
    <col min="1820" max="1820" width="4" style="24" customWidth="1"/>
    <col min="1821" max="2048" width="11.42578125" style="24"/>
    <col min="2049" max="2049" width="14.85546875" style="24" bestFit="1" customWidth="1"/>
    <col min="2050" max="2050" width="28" style="24" bestFit="1" customWidth="1"/>
    <col min="2051" max="2051" width="4.42578125" style="24" bestFit="1" customWidth="1"/>
    <col min="2052" max="2052" width="8" style="24" bestFit="1" customWidth="1"/>
    <col min="2053" max="2053" width="11.42578125" style="24"/>
    <col min="2054" max="2054" width="22.85546875" style="24" bestFit="1" customWidth="1"/>
    <col min="2055" max="2055" width="7" style="24" customWidth="1"/>
    <col min="2056" max="2056" width="6.28515625" style="24" customWidth="1"/>
    <col min="2057" max="2057" width="5.7109375" style="24" customWidth="1"/>
    <col min="2058" max="2058" width="5.7109375" style="24" bestFit="1" customWidth="1"/>
    <col min="2059" max="2059" width="5.85546875" style="24" bestFit="1" customWidth="1"/>
    <col min="2060" max="2060" width="9.42578125" style="24" customWidth="1"/>
    <col min="2061" max="2061" width="5.140625" style="24" customWidth="1"/>
    <col min="2062" max="2062" width="9.7109375" style="24" customWidth="1"/>
    <col min="2063" max="2063" width="6.7109375" style="24" bestFit="1" customWidth="1"/>
    <col min="2064" max="2064" width="4.85546875" style="24" customWidth="1"/>
    <col min="2065" max="2065" width="5.28515625" style="24" customWidth="1"/>
    <col min="2066" max="2067" width="4.42578125" style="24" bestFit="1" customWidth="1"/>
    <col min="2068" max="2068" width="13.28515625" style="24" bestFit="1" customWidth="1"/>
    <col min="2069" max="2069" width="3.140625" style="24" customWidth="1"/>
    <col min="2070" max="2070" width="5.42578125" style="24" bestFit="1" customWidth="1"/>
    <col min="2071" max="2071" width="4.42578125" style="24" bestFit="1" customWidth="1"/>
    <col min="2072" max="2072" width="6.42578125" style="24" customWidth="1"/>
    <col min="2073" max="2073" width="5" style="24" bestFit="1" customWidth="1"/>
    <col min="2074" max="2074" width="4.5703125" style="24" bestFit="1" customWidth="1"/>
    <col min="2075" max="2075" width="4.42578125" style="24" bestFit="1" customWidth="1"/>
    <col min="2076" max="2076" width="4" style="24" customWidth="1"/>
    <col min="2077" max="2304" width="11.42578125" style="24"/>
    <col min="2305" max="2305" width="14.85546875" style="24" bestFit="1" customWidth="1"/>
    <col min="2306" max="2306" width="28" style="24" bestFit="1" customWidth="1"/>
    <col min="2307" max="2307" width="4.42578125" style="24" bestFit="1" customWidth="1"/>
    <col min="2308" max="2308" width="8" style="24" bestFit="1" customWidth="1"/>
    <col min="2309" max="2309" width="11.42578125" style="24"/>
    <col min="2310" max="2310" width="22.85546875" style="24" bestFit="1" customWidth="1"/>
    <col min="2311" max="2311" width="7" style="24" customWidth="1"/>
    <col min="2312" max="2312" width="6.28515625" style="24" customWidth="1"/>
    <col min="2313" max="2313" width="5.7109375" style="24" customWidth="1"/>
    <col min="2314" max="2314" width="5.7109375" style="24" bestFit="1" customWidth="1"/>
    <col min="2315" max="2315" width="5.85546875" style="24" bestFit="1" customWidth="1"/>
    <col min="2316" max="2316" width="9.42578125" style="24" customWidth="1"/>
    <col min="2317" max="2317" width="5.140625" style="24" customWidth="1"/>
    <col min="2318" max="2318" width="9.7109375" style="24" customWidth="1"/>
    <col min="2319" max="2319" width="6.7109375" style="24" bestFit="1" customWidth="1"/>
    <col min="2320" max="2320" width="4.85546875" style="24" customWidth="1"/>
    <col min="2321" max="2321" width="5.28515625" style="24" customWidth="1"/>
    <col min="2322" max="2323" width="4.42578125" style="24" bestFit="1" customWidth="1"/>
    <col min="2324" max="2324" width="13.28515625" style="24" bestFit="1" customWidth="1"/>
    <col min="2325" max="2325" width="3.140625" style="24" customWidth="1"/>
    <col min="2326" max="2326" width="5.42578125" style="24" bestFit="1" customWidth="1"/>
    <col min="2327" max="2327" width="4.42578125" style="24" bestFit="1" customWidth="1"/>
    <col min="2328" max="2328" width="6.42578125" style="24" customWidth="1"/>
    <col min="2329" max="2329" width="5" style="24" bestFit="1" customWidth="1"/>
    <col min="2330" max="2330" width="4.5703125" style="24" bestFit="1" customWidth="1"/>
    <col min="2331" max="2331" width="4.42578125" style="24" bestFit="1" customWidth="1"/>
    <col min="2332" max="2332" width="4" style="24" customWidth="1"/>
    <col min="2333" max="2560" width="11.42578125" style="24"/>
    <col min="2561" max="2561" width="14.85546875" style="24" bestFit="1" customWidth="1"/>
    <col min="2562" max="2562" width="28" style="24" bestFit="1" customWidth="1"/>
    <col min="2563" max="2563" width="4.42578125" style="24" bestFit="1" customWidth="1"/>
    <col min="2564" max="2564" width="8" style="24" bestFit="1" customWidth="1"/>
    <col min="2565" max="2565" width="11.42578125" style="24"/>
    <col min="2566" max="2566" width="22.85546875" style="24" bestFit="1" customWidth="1"/>
    <col min="2567" max="2567" width="7" style="24" customWidth="1"/>
    <col min="2568" max="2568" width="6.28515625" style="24" customWidth="1"/>
    <col min="2569" max="2569" width="5.7109375" style="24" customWidth="1"/>
    <col min="2570" max="2570" width="5.7109375" style="24" bestFit="1" customWidth="1"/>
    <col min="2571" max="2571" width="5.85546875" style="24" bestFit="1" customWidth="1"/>
    <col min="2572" max="2572" width="9.42578125" style="24" customWidth="1"/>
    <col min="2573" max="2573" width="5.140625" style="24" customWidth="1"/>
    <col min="2574" max="2574" width="9.7109375" style="24" customWidth="1"/>
    <col min="2575" max="2575" width="6.7109375" style="24" bestFit="1" customWidth="1"/>
    <col min="2576" max="2576" width="4.85546875" style="24" customWidth="1"/>
    <col min="2577" max="2577" width="5.28515625" style="24" customWidth="1"/>
    <col min="2578" max="2579" width="4.42578125" style="24" bestFit="1" customWidth="1"/>
    <col min="2580" max="2580" width="13.28515625" style="24" bestFit="1" customWidth="1"/>
    <col min="2581" max="2581" width="3.140625" style="24" customWidth="1"/>
    <col min="2582" max="2582" width="5.42578125" style="24" bestFit="1" customWidth="1"/>
    <col min="2583" max="2583" width="4.42578125" style="24" bestFit="1" customWidth="1"/>
    <col min="2584" max="2584" width="6.42578125" style="24" customWidth="1"/>
    <col min="2585" max="2585" width="5" style="24" bestFit="1" customWidth="1"/>
    <col min="2586" max="2586" width="4.5703125" style="24" bestFit="1" customWidth="1"/>
    <col min="2587" max="2587" width="4.42578125" style="24" bestFit="1" customWidth="1"/>
    <col min="2588" max="2588" width="4" style="24" customWidth="1"/>
    <col min="2589" max="2816" width="11.42578125" style="24"/>
    <col min="2817" max="2817" width="14.85546875" style="24" bestFit="1" customWidth="1"/>
    <col min="2818" max="2818" width="28" style="24" bestFit="1" customWidth="1"/>
    <col min="2819" max="2819" width="4.42578125" style="24" bestFit="1" customWidth="1"/>
    <col min="2820" max="2820" width="8" style="24" bestFit="1" customWidth="1"/>
    <col min="2821" max="2821" width="11.42578125" style="24"/>
    <col min="2822" max="2822" width="22.85546875" style="24" bestFit="1" customWidth="1"/>
    <col min="2823" max="2823" width="7" style="24" customWidth="1"/>
    <col min="2824" max="2824" width="6.28515625" style="24" customWidth="1"/>
    <col min="2825" max="2825" width="5.7109375" style="24" customWidth="1"/>
    <col min="2826" max="2826" width="5.7109375" style="24" bestFit="1" customWidth="1"/>
    <col min="2827" max="2827" width="5.85546875" style="24" bestFit="1" customWidth="1"/>
    <col min="2828" max="2828" width="9.42578125" style="24" customWidth="1"/>
    <col min="2829" max="2829" width="5.140625" style="24" customWidth="1"/>
    <col min="2830" max="2830" width="9.7109375" style="24" customWidth="1"/>
    <col min="2831" max="2831" width="6.7109375" style="24" bestFit="1" customWidth="1"/>
    <col min="2832" max="2832" width="4.85546875" style="24" customWidth="1"/>
    <col min="2833" max="2833" width="5.28515625" style="24" customWidth="1"/>
    <col min="2834" max="2835" width="4.42578125" style="24" bestFit="1" customWidth="1"/>
    <col min="2836" max="2836" width="13.28515625" style="24" bestFit="1" customWidth="1"/>
    <col min="2837" max="2837" width="3.140625" style="24" customWidth="1"/>
    <col min="2838" max="2838" width="5.42578125" style="24" bestFit="1" customWidth="1"/>
    <col min="2839" max="2839" width="4.42578125" style="24" bestFit="1" customWidth="1"/>
    <col min="2840" max="2840" width="6.42578125" style="24" customWidth="1"/>
    <col min="2841" max="2841" width="5" style="24" bestFit="1" customWidth="1"/>
    <col min="2842" max="2842" width="4.5703125" style="24" bestFit="1" customWidth="1"/>
    <col min="2843" max="2843" width="4.42578125" style="24" bestFit="1" customWidth="1"/>
    <col min="2844" max="2844" width="4" style="24" customWidth="1"/>
    <col min="2845" max="3072" width="11.42578125" style="24"/>
    <col min="3073" max="3073" width="14.85546875" style="24" bestFit="1" customWidth="1"/>
    <col min="3074" max="3074" width="28" style="24" bestFit="1" customWidth="1"/>
    <col min="3075" max="3075" width="4.42578125" style="24" bestFit="1" customWidth="1"/>
    <col min="3076" max="3076" width="8" style="24" bestFit="1" customWidth="1"/>
    <col min="3077" max="3077" width="11.42578125" style="24"/>
    <col min="3078" max="3078" width="22.85546875" style="24" bestFit="1" customWidth="1"/>
    <col min="3079" max="3079" width="7" style="24" customWidth="1"/>
    <col min="3080" max="3080" width="6.28515625" style="24" customWidth="1"/>
    <col min="3081" max="3081" width="5.7109375" style="24" customWidth="1"/>
    <col min="3082" max="3082" width="5.7109375" style="24" bestFit="1" customWidth="1"/>
    <col min="3083" max="3083" width="5.85546875" style="24" bestFit="1" customWidth="1"/>
    <col min="3084" max="3084" width="9.42578125" style="24" customWidth="1"/>
    <col min="3085" max="3085" width="5.140625" style="24" customWidth="1"/>
    <col min="3086" max="3086" width="9.7109375" style="24" customWidth="1"/>
    <col min="3087" max="3087" width="6.7109375" style="24" bestFit="1" customWidth="1"/>
    <col min="3088" max="3088" width="4.85546875" style="24" customWidth="1"/>
    <col min="3089" max="3089" width="5.28515625" style="24" customWidth="1"/>
    <col min="3090" max="3091" width="4.42578125" style="24" bestFit="1" customWidth="1"/>
    <col min="3092" max="3092" width="13.28515625" style="24" bestFit="1" customWidth="1"/>
    <col min="3093" max="3093" width="3.140625" style="24" customWidth="1"/>
    <col min="3094" max="3094" width="5.42578125" style="24" bestFit="1" customWidth="1"/>
    <col min="3095" max="3095" width="4.42578125" style="24" bestFit="1" customWidth="1"/>
    <col min="3096" max="3096" width="6.42578125" style="24" customWidth="1"/>
    <col min="3097" max="3097" width="5" style="24" bestFit="1" customWidth="1"/>
    <col min="3098" max="3098" width="4.5703125" style="24" bestFit="1" customWidth="1"/>
    <col min="3099" max="3099" width="4.42578125" style="24" bestFit="1" customWidth="1"/>
    <col min="3100" max="3100" width="4" style="24" customWidth="1"/>
    <col min="3101" max="3328" width="11.42578125" style="24"/>
    <col min="3329" max="3329" width="14.85546875" style="24" bestFit="1" customWidth="1"/>
    <col min="3330" max="3330" width="28" style="24" bestFit="1" customWidth="1"/>
    <col min="3331" max="3331" width="4.42578125" style="24" bestFit="1" customWidth="1"/>
    <col min="3332" max="3332" width="8" style="24" bestFit="1" customWidth="1"/>
    <col min="3333" max="3333" width="11.42578125" style="24"/>
    <col min="3334" max="3334" width="22.85546875" style="24" bestFit="1" customWidth="1"/>
    <col min="3335" max="3335" width="7" style="24" customWidth="1"/>
    <col min="3336" max="3336" width="6.28515625" style="24" customWidth="1"/>
    <col min="3337" max="3337" width="5.7109375" style="24" customWidth="1"/>
    <col min="3338" max="3338" width="5.7109375" style="24" bestFit="1" customWidth="1"/>
    <col min="3339" max="3339" width="5.85546875" style="24" bestFit="1" customWidth="1"/>
    <col min="3340" max="3340" width="9.42578125" style="24" customWidth="1"/>
    <col min="3341" max="3341" width="5.140625" style="24" customWidth="1"/>
    <col min="3342" max="3342" width="9.7109375" style="24" customWidth="1"/>
    <col min="3343" max="3343" width="6.7109375" style="24" bestFit="1" customWidth="1"/>
    <col min="3344" max="3344" width="4.85546875" style="24" customWidth="1"/>
    <col min="3345" max="3345" width="5.28515625" style="24" customWidth="1"/>
    <col min="3346" max="3347" width="4.42578125" style="24" bestFit="1" customWidth="1"/>
    <col min="3348" max="3348" width="13.28515625" style="24" bestFit="1" customWidth="1"/>
    <col min="3349" max="3349" width="3.140625" style="24" customWidth="1"/>
    <col min="3350" max="3350" width="5.42578125" style="24" bestFit="1" customWidth="1"/>
    <col min="3351" max="3351" width="4.42578125" style="24" bestFit="1" customWidth="1"/>
    <col min="3352" max="3352" width="6.42578125" style="24" customWidth="1"/>
    <col min="3353" max="3353" width="5" style="24" bestFit="1" customWidth="1"/>
    <col min="3354" max="3354" width="4.5703125" style="24" bestFit="1" customWidth="1"/>
    <col min="3355" max="3355" width="4.42578125" style="24" bestFit="1" customWidth="1"/>
    <col min="3356" max="3356" width="4" style="24" customWidth="1"/>
    <col min="3357" max="3584" width="11.42578125" style="24"/>
    <col min="3585" max="3585" width="14.85546875" style="24" bestFit="1" customWidth="1"/>
    <col min="3586" max="3586" width="28" style="24" bestFit="1" customWidth="1"/>
    <col min="3587" max="3587" width="4.42578125" style="24" bestFit="1" customWidth="1"/>
    <col min="3588" max="3588" width="8" style="24" bestFit="1" customWidth="1"/>
    <col min="3589" max="3589" width="11.42578125" style="24"/>
    <col min="3590" max="3590" width="22.85546875" style="24" bestFit="1" customWidth="1"/>
    <col min="3591" max="3591" width="7" style="24" customWidth="1"/>
    <col min="3592" max="3592" width="6.28515625" style="24" customWidth="1"/>
    <col min="3593" max="3593" width="5.7109375" style="24" customWidth="1"/>
    <col min="3594" max="3594" width="5.7109375" style="24" bestFit="1" customWidth="1"/>
    <col min="3595" max="3595" width="5.85546875" style="24" bestFit="1" customWidth="1"/>
    <col min="3596" max="3596" width="9.42578125" style="24" customWidth="1"/>
    <col min="3597" max="3597" width="5.140625" style="24" customWidth="1"/>
    <col min="3598" max="3598" width="9.7109375" style="24" customWidth="1"/>
    <col min="3599" max="3599" width="6.7109375" style="24" bestFit="1" customWidth="1"/>
    <col min="3600" max="3600" width="4.85546875" style="24" customWidth="1"/>
    <col min="3601" max="3601" width="5.28515625" style="24" customWidth="1"/>
    <col min="3602" max="3603" width="4.42578125" style="24" bestFit="1" customWidth="1"/>
    <col min="3604" max="3604" width="13.28515625" style="24" bestFit="1" customWidth="1"/>
    <col min="3605" max="3605" width="3.140625" style="24" customWidth="1"/>
    <col min="3606" max="3606" width="5.42578125" style="24" bestFit="1" customWidth="1"/>
    <col min="3607" max="3607" width="4.42578125" style="24" bestFit="1" customWidth="1"/>
    <col min="3608" max="3608" width="6.42578125" style="24" customWidth="1"/>
    <col min="3609" max="3609" width="5" style="24" bestFit="1" customWidth="1"/>
    <col min="3610" max="3610" width="4.5703125" style="24" bestFit="1" customWidth="1"/>
    <col min="3611" max="3611" width="4.42578125" style="24" bestFit="1" customWidth="1"/>
    <col min="3612" max="3612" width="4" style="24" customWidth="1"/>
    <col min="3613" max="3840" width="11.42578125" style="24"/>
    <col min="3841" max="3841" width="14.85546875" style="24" bestFit="1" customWidth="1"/>
    <col min="3842" max="3842" width="28" style="24" bestFit="1" customWidth="1"/>
    <col min="3843" max="3843" width="4.42578125" style="24" bestFit="1" customWidth="1"/>
    <col min="3844" max="3844" width="8" style="24" bestFit="1" customWidth="1"/>
    <col min="3845" max="3845" width="11.42578125" style="24"/>
    <col min="3846" max="3846" width="22.85546875" style="24" bestFit="1" customWidth="1"/>
    <col min="3847" max="3847" width="7" style="24" customWidth="1"/>
    <col min="3848" max="3848" width="6.28515625" style="24" customWidth="1"/>
    <col min="3849" max="3849" width="5.7109375" style="24" customWidth="1"/>
    <col min="3850" max="3850" width="5.7109375" style="24" bestFit="1" customWidth="1"/>
    <col min="3851" max="3851" width="5.85546875" style="24" bestFit="1" customWidth="1"/>
    <col min="3852" max="3852" width="9.42578125" style="24" customWidth="1"/>
    <col min="3853" max="3853" width="5.140625" style="24" customWidth="1"/>
    <col min="3854" max="3854" width="9.7109375" style="24" customWidth="1"/>
    <col min="3855" max="3855" width="6.7109375" style="24" bestFit="1" customWidth="1"/>
    <col min="3856" max="3856" width="4.85546875" style="24" customWidth="1"/>
    <col min="3857" max="3857" width="5.28515625" style="24" customWidth="1"/>
    <col min="3858" max="3859" width="4.42578125" style="24" bestFit="1" customWidth="1"/>
    <col min="3860" max="3860" width="13.28515625" style="24" bestFit="1" customWidth="1"/>
    <col min="3861" max="3861" width="3.140625" style="24" customWidth="1"/>
    <col min="3862" max="3862" width="5.42578125" style="24" bestFit="1" customWidth="1"/>
    <col min="3863" max="3863" width="4.42578125" style="24" bestFit="1" customWidth="1"/>
    <col min="3864" max="3864" width="6.42578125" style="24" customWidth="1"/>
    <col min="3865" max="3865" width="5" style="24" bestFit="1" customWidth="1"/>
    <col min="3866" max="3866" width="4.5703125" style="24" bestFit="1" customWidth="1"/>
    <col min="3867" max="3867" width="4.42578125" style="24" bestFit="1" customWidth="1"/>
    <col min="3868" max="3868" width="4" style="24" customWidth="1"/>
    <col min="3869" max="4096" width="11.42578125" style="24"/>
    <col min="4097" max="4097" width="14.85546875" style="24" bestFit="1" customWidth="1"/>
    <col min="4098" max="4098" width="28" style="24" bestFit="1" customWidth="1"/>
    <col min="4099" max="4099" width="4.42578125" style="24" bestFit="1" customWidth="1"/>
    <col min="4100" max="4100" width="8" style="24" bestFit="1" customWidth="1"/>
    <col min="4101" max="4101" width="11.42578125" style="24"/>
    <col min="4102" max="4102" width="22.85546875" style="24" bestFit="1" customWidth="1"/>
    <col min="4103" max="4103" width="7" style="24" customWidth="1"/>
    <col min="4104" max="4104" width="6.28515625" style="24" customWidth="1"/>
    <col min="4105" max="4105" width="5.7109375" style="24" customWidth="1"/>
    <col min="4106" max="4106" width="5.7109375" style="24" bestFit="1" customWidth="1"/>
    <col min="4107" max="4107" width="5.85546875" style="24" bestFit="1" customWidth="1"/>
    <col min="4108" max="4108" width="9.42578125" style="24" customWidth="1"/>
    <col min="4109" max="4109" width="5.140625" style="24" customWidth="1"/>
    <col min="4110" max="4110" width="9.7109375" style="24" customWidth="1"/>
    <col min="4111" max="4111" width="6.7109375" style="24" bestFit="1" customWidth="1"/>
    <col min="4112" max="4112" width="4.85546875" style="24" customWidth="1"/>
    <col min="4113" max="4113" width="5.28515625" style="24" customWidth="1"/>
    <col min="4114" max="4115" width="4.42578125" style="24" bestFit="1" customWidth="1"/>
    <col min="4116" max="4116" width="13.28515625" style="24" bestFit="1" customWidth="1"/>
    <col min="4117" max="4117" width="3.140625" style="24" customWidth="1"/>
    <col min="4118" max="4118" width="5.42578125" style="24" bestFit="1" customWidth="1"/>
    <col min="4119" max="4119" width="4.42578125" style="24" bestFit="1" customWidth="1"/>
    <col min="4120" max="4120" width="6.42578125" style="24" customWidth="1"/>
    <col min="4121" max="4121" width="5" style="24" bestFit="1" customWidth="1"/>
    <col min="4122" max="4122" width="4.5703125" style="24" bestFit="1" customWidth="1"/>
    <col min="4123" max="4123" width="4.42578125" style="24" bestFit="1" customWidth="1"/>
    <col min="4124" max="4124" width="4" style="24" customWidth="1"/>
    <col min="4125" max="4352" width="11.42578125" style="24"/>
    <col min="4353" max="4353" width="14.85546875" style="24" bestFit="1" customWidth="1"/>
    <col min="4354" max="4354" width="28" style="24" bestFit="1" customWidth="1"/>
    <col min="4355" max="4355" width="4.42578125" style="24" bestFit="1" customWidth="1"/>
    <col min="4356" max="4356" width="8" style="24" bestFit="1" customWidth="1"/>
    <col min="4357" max="4357" width="11.42578125" style="24"/>
    <col min="4358" max="4358" width="22.85546875" style="24" bestFit="1" customWidth="1"/>
    <col min="4359" max="4359" width="7" style="24" customWidth="1"/>
    <col min="4360" max="4360" width="6.28515625" style="24" customWidth="1"/>
    <col min="4361" max="4361" width="5.7109375" style="24" customWidth="1"/>
    <col min="4362" max="4362" width="5.7109375" style="24" bestFit="1" customWidth="1"/>
    <col min="4363" max="4363" width="5.85546875" style="24" bestFit="1" customWidth="1"/>
    <col min="4364" max="4364" width="9.42578125" style="24" customWidth="1"/>
    <col min="4365" max="4365" width="5.140625" style="24" customWidth="1"/>
    <col min="4366" max="4366" width="9.7109375" style="24" customWidth="1"/>
    <col min="4367" max="4367" width="6.7109375" style="24" bestFit="1" customWidth="1"/>
    <col min="4368" max="4368" width="4.85546875" style="24" customWidth="1"/>
    <col min="4369" max="4369" width="5.28515625" style="24" customWidth="1"/>
    <col min="4370" max="4371" width="4.42578125" style="24" bestFit="1" customWidth="1"/>
    <col min="4372" max="4372" width="13.28515625" style="24" bestFit="1" customWidth="1"/>
    <col min="4373" max="4373" width="3.140625" style="24" customWidth="1"/>
    <col min="4374" max="4374" width="5.42578125" style="24" bestFit="1" customWidth="1"/>
    <col min="4375" max="4375" width="4.42578125" style="24" bestFit="1" customWidth="1"/>
    <col min="4376" max="4376" width="6.42578125" style="24" customWidth="1"/>
    <col min="4377" max="4377" width="5" style="24" bestFit="1" customWidth="1"/>
    <col min="4378" max="4378" width="4.5703125" style="24" bestFit="1" customWidth="1"/>
    <col min="4379" max="4379" width="4.42578125" style="24" bestFit="1" customWidth="1"/>
    <col min="4380" max="4380" width="4" style="24" customWidth="1"/>
    <col min="4381" max="4608" width="11.42578125" style="24"/>
    <col min="4609" max="4609" width="14.85546875" style="24" bestFit="1" customWidth="1"/>
    <col min="4610" max="4610" width="28" style="24" bestFit="1" customWidth="1"/>
    <col min="4611" max="4611" width="4.42578125" style="24" bestFit="1" customWidth="1"/>
    <col min="4612" max="4612" width="8" style="24" bestFit="1" customWidth="1"/>
    <col min="4613" max="4613" width="11.42578125" style="24"/>
    <col min="4614" max="4614" width="22.85546875" style="24" bestFit="1" customWidth="1"/>
    <col min="4615" max="4615" width="7" style="24" customWidth="1"/>
    <col min="4616" max="4616" width="6.28515625" style="24" customWidth="1"/>
    <col min="4617" max="4617" width="5.7109375" style="24" customWidth="1"/>
    <col min="4618" max="4618" width="5.7109375" style="24" bestFit="1" customWidth="1"/>
    <col min="4619" max="4619" width="5.85546875" style="24" bestFit="1" customWidth="1"/>
    <col min="4620" max="4620" width="9.42578125" style="24" customWidth="1"/>
    <col min="4621" max="4621" width="5.140625" style="24" customWidth="1"/>
    <col min="4622" max="4622" width="9.7109375" style="24" customWidth="1"/>
    <col min="4623" max="4623" width="6.7109375" style="24" bestFit="1" customWidth="1"/>
    <col min="4624" max="4624" width="4.85546875" style="24" customWidth="1"/>
    <col min="4625" max="4625" width="5.28515625" style="24" customWidth="1"/>
    <col min="4626" max="4627" width="4.42578125" style="24" bestFit="1" customWidth="1"/>
    <col min="4628" max="4628" width="13.28515625" style="24" bestFit="1" customWidth="1"/>
    <col min="4629" max="4629" width="3.140625" style="24" customWidth="1"/>
    <col min="4630" max="4630" width="5.42578125" style="24" bestFit="1" customWidth="1"/>
    <col min="4631" max="4631" width="4.42578125" style="24" bestFit="1" customWidth="1"/>
    <col min="4632" max="4632" width="6.42578125" style="24" customWidth="1"/>
    <col min="4633" max="4633" width="5" style="24" bestFit="1" customWidth="1"/>
    <col min="4634" max="4634" width="4.5703125" style="24" bestFit="1" customWidth="1"/>
    <col min="4635" max="4635" width="4.42578125" style="24" bestFit="1" customWidth="1"/>
    <col min="4636" max="4636" width="4" style="24" customWidth="1"/>
    <col min="4637" max="4864" width="11.42578125" style="24"/>
    <col min="4865" max="4865" width="14.85546875" style="24" bestFit="1" customWidth="1"/>
    <col min="4866" max="4866" width="28" style="24" bestFit="1" customWidth="1"/>
    <col min="4867" max="4867" width="4.42578125" style="24" bestFit="1" customWidth="1"/>
    <col min="4868" max="4868" width="8" style="24" bestFit="1" customWidth="1"/>
    <col min="4869" max="4869" width="11.42578125" style="24"/>
    <col min="4870" max="4870" width="22.85546875" style="24" bestFit="1" customWidth="1"/>
    <col min="4871" max="4871" width="7" style="24" customWidth="1"/>
    <col min="4872" max="4872" width="6.28515625" style="24" customWidth="1"/>
    <col min="4873" max="4873" width="5.7109375" style="24" customWidth="1"/>
    <col min="4874" max="4874" width="5.7109375" style="24" bestFit="1" customWidth="1"/>
    <col min="4875" max="4875" width="5.85546875" style="24" bestFit="1" customWidth="1"/>
    <col min="4876" max="4876" width="9.42578125" style="24" customWidth="1"/>
    <col min="4877" max="4877" width="5.140625" style="24" customWidth="1"/>
    <col min="4878" max="4878" width="9.7109375" style="24" customWidth="1"/>
    <col min="4879" max="4879" width="6.7109375" style="24" bestFit="1" customWidth="1"/>
    <col min="4880" max="4880" width="4.85546875" style="24" customWidth="1"/>
    <col min="4881" max="4881" width="5.28515625" style="24" customWidth="1"/>
    <col min="4882" max="4883" width="4.42578125" style="24" bestFit="1" customWidth="1"/>
    <col min="4884" max="4884" width="13.28515625" style="24" bestFit="1" customWidth="1"/>
    <col min="4885" max="4885" width="3.140625" style="24" customWidth="1"/>
    <col min="4886" max="4886" width="5.42578125" style="24" bestFit="1" customWidth="1"/>
    <col min="4887" max="4887" width="4.42578125" style="24" bestFit="1" customWidth="1"/>
    <col min="4888" max="4888" width="6.42578125" style="24" customWidth="1"/>
    <col min="4889" max="4889" width="5" style="24" bestFit="1" customWidth="1"/>
    <col min="4890" max="4890" width="4.5703125" style="24" bestFit="1" customWidth="1"/>
    <col min="4891" max="4891" width="4.42578125" style="24" bestFit="1" customWidth="1"/>
    <col min="4892" max="4892" width="4" style="24" customWidth="1"/>
    <col min="4893" max="5120" width="11.42578125" style="24"/>
    <col min="5121" max="5121" width="14.85546875" style="24" bestFit="1" customWidth="1"/>
    <col min="5122" max="5122" width="28" style="24" bestFit="1" customWidth="1"/>
    <col min="5123" max="5123" width="4.42578125" style="24" bestFit="1" customWidth="1"/>
    <col min="5124" max="5124" width="8" style="24" bestFit="1" customWidth="1"/>
    <col min="5125" max="5125" width="11.42578125" style="24"/>
    <col min="5126" max="5126" width="22.85546875" style="24" bestFit="1" customWidth="1"/>
    <col min="5127" max="5127" width="7" style="24" customWidth="1"/>
    <col min="5128" max="5128" width="6.28515625" style="24" customWidth="1"/>
    <col min="5129" max="5129" width="5.7109375" style="24" customWidth="1"/>
    <col min="5130" max="5130" width="5.7109375" style="24" bestFit="1" customWidth="1"/>
    <col min="5131" max="5131" width="5.85546875" style="24" bestFit="1" customWidth="1"/>
    <col min="5132" max="5132" width="9.42578125" style="24" customWidth="1"/>
    <col min="5133" max="5133" width="5.140625" style="24" customWidth="1"/>
    <col min="5134" max="5134" width="9.7109375" style="24" customWidth="1"/>
    <col min="5135" max="5135" width="6.7109375" style="24" bestFit="1" customWidth="1"/>
    <col min="5136" max="5136" width="4.85546875" style="24" customWidth="1"/>
    <col min="5137" max="5137" width="5.28515625" style="24" customWidth="1"/>
    <col min="5138" max="5139" width="4.42578125" style="24" bestFit="1" customWidth="1"/>
    <col min="5140" max="5140" width="13.28515625" style="24" bestFit="1" customWidth="1"/>
    <col min="5141" max="5141" width="3.140625" style="24" customWidth="1"/>
    <col min="5142" max="5142" width="5.42578125" style="24" bestFit="1" customWidth="1"/>
    <col min="5143" max="5143" width="4.42578125" style="24" bestFit="1" customWidth="1"/>
    <col min="5144" max="5144" width="6.42578125" style="24" customWidth="1"/>
    <col min="5145" max="5145" width="5" style="24" bestFit="1" customWidth="1"/>
    <col min="5146" max="5146" width="4.5703125" style="24" bestFit="1" customWidth="1"/>
    <col min="5147" max="5147" width="4.42578125" style="24" bestFit="1" customWidth="1"/>
    <col min="5148" max="5148" width="4" style="24" customWidth="1"/>
    <col min="5149" max="5376" width="11.42578125" style="24"/>
    <col min="5377" max="5377" width="14.85546875" style="24" bestFit="1" customWidth="1"/>
    <col min="5378" max="5378" width="28" style="24" bestFit="1" customWidth="1"/>
    <col min="5379" max="5379" width="4.42578125" style="24" bestFit="1" customWidth="1"/>
    <col min="5380" max="5380" width="8" style="24" bestFit="1" customWidth="1"/>
    <col min="5381" max="5381" width="11.42578125" style="24"/>
    <col min="5382" max="5382" width="22.85546875" style="24" bestFit="1" customWidth="1"/>
    <col min="5383" max="5383" width="7" style="24" customWidth="1"/>
    <col min="5384" max="5384" width="6.28515625" style="24" customWidth="1"/>
    <col min="5385" max="5385" width="5.7109375" style="24" customWidth="1"/>
    <col min="5386" max="5386" width="5.7109375" style="24" bestFit="1" customWidth="1"/>
    <col min="5387" max="5387" width="5.85546875" style="24" bestFit="1" customWidth="1"/>
    <col min="5388" max="5388" width="9.42578125" style="24" customWidth="1"/>
    <col min="5389" max="5389" width="5.140625" style="24" customWidth="1"/>
    <col min="5390" max="5390" width="9.7109375" style="24" customWidth="1"/>
    <col min="5391" max="5391" width="6.7109375" style="24" bestFit="1" customWidth="1"/>
    <col min="5392" max="5392" width="4.85546875" style="24" customWidth="1"/>
    <col min="5393" max="5393" width="5.28515625" style="24" customWidth="1"/>
    <col min="5394" max="5395" width="4.42578125" style="24" bestFit="1" customWidth="1"/>
    <col min="5396" max="5396" width="13.28515625" style="24" bestFit="1" customWidth="1"/>
    <col min="5397" max="5397" width="3.140625" style="24" customWidth="1"/>
    <col min="5398" max="5398" width="5.42578125" style="24" bestFit="1" customWidth="1"/>
    <col min="5399" max="5399" width="4.42578125" style="24" bestFit="1" customWidth="1"/>
    <col min="5400" max="5400" width="6.42578125" style="24" customWidth="1"/>
    <col min="5401" max="5401" width="5" style="24" bestFit="1" customWidth="1"/>
    <col min="5402" max="5402" width="4.5703125" style="24" bestFit="1" customWidth="1"/>
    <col min="5403" max="5403" width="4.42578125" style="24" bestFit="1" customWidth="1"/>
    <col min="5404" max="5404" width="4" style="24" customWidth="1"/>
    <col min="5405" max="5632" width="11.42578125" style="24"/>
    <col min="5633" max="5633" width="14.85546875" style="24" bestFit="1" customWidth="1"/>
    <col min="5634" max="5634" width="28" style="24" bestFit="1" customWidth="1"/>
    <col min="5635" max="5635" width="4.42578125" style="24" bestFit="1" customWidth="1"/>
    <col min="5636" max="5636" width="8" style="24" bestFit="1" customWidth="1"/>
    <col min="5637" max="5637" width="11.42578125" style="24"/>
    <col min="5638" max="5638" width="22.85546875" style="24" bestFit="1" customWidth="1"/>
    <col min="5639" max="5639" width="7" style="24" customWidth="1"/>
    <col min="5640" max="5640" width="6.28515625" style="24" customWidth="1"/>
    <col min="5641" max="5641" width="5.7109375" style="24" customWidth="1"/>
    <col min="5642" max="5642" width="5.7109375" style="24" bestFit="1" customWidth="1"/>
    <col min="5643" max="5643" width="5.85546875" style="24" bestFit="1" customWidth="1"/>
    <col min="5644" max="5644" width="9.42578125" style="24" customWidth="1"/>
    <col min="5645" max="5645" width="5.140625" style="24" customWidth="1"/>
    <col min="5646" max="5646" width="9.7109375" style="24" customWidth="1"/>
    <col min="5647" max="5647" width="6.7109375" style="24" bestFit="1" customWidth="1"/>
    <col min="5648" max="5648" width="4.85546875" style="24" customWidth="1"/>
    <col min="5649" max="5649" width="5.28515625" style="24" customWidth="1"/>
    <col min="5650" max="5651" width="4.42578125" style="24" bestFit="1" customWidth="1"/>
    <col min="5652" max="5652" width="13.28515625" style="24" bestFit="1" customWidth="1"/>
    <col min="5653" max="5653" width="3.140625" style="24" customWidth="1"/>
    <col min="5654" max="5654" width="5.42578125" style="24" bestFit="1" customWidth="1"/>
    <col min="5655" max="5655" width="4.42578125" style="24" bestFit="1" customWidth="1"/>
    <col min="5656" max="5656" width="6.42578125" style="24" customWidth="1"/>
    <col min="5657" max="5657" width="5" style="24" bestFit="1" customWidth="1"/>
    <col min="5658" max="5658" width="4.5703125" style="24" bestFit="1" customWidth="1"/>
    <col min="5659" max="5659" width="4.42578125" style="24" bestFit="1" customWidth="1"/>
    <col min="5660" max="5660" width="4" style="24" customWidth="1"/>
    <col min="5661" max="5888" width="11.42578125" style="24"/>
    <col min="5889" max="5889" width="14.85546875" style="24" bestFit="1" customWidth="1"/>
    <col min="5890" max="5890" width="28" style="24" bestFit="1" customWidth="1"/>
    <col min="5891" max="5891" width="4.42578125" style="24" bestFit="1" customWidth="1"/>
    <col min="5892" max="5892" width="8" style="24" bestFit="1" customWidth="1"/>
    <col min="5893" max="5893" width="11.42578125" style="24"/>
    <col min="5894" max="5894" width="22.85546875" style="24" bestFit="1" customWidth="1"/>
    <col min="5895" max="5895" width="7" style="24" customWidth="1"/>
    <col min="5896" max="5896" width="6.28515625" style="24" customWidth="1"/>
    <col min="5897" max="5897" width="5.7109375" style="24" customWidth="1"/>
    <col min="5898" max="5898" width="5.7109375" style="24" bestFit="1" customWidth="1"/>
    <col min="5899" max="5899" width="5.85546875" style="24" bestFit="1" customWidth="1"/>
    <col min="5900" max="5900" width="9.42578125" style="24" customWidth="1"/>
    <col min="5901" max="5901" width="5.140625" style="24" customWidth="1"/>
    <col min="5902" max="5902" width="9.7109375" style="24" customWidth="1"/>
    <col min="5903" max="5903" width="6.7109375" style="24" bestFit="1" customWidth="1"/>
    <col min="5904" max="5904" width="4.85546875" style="24" customWidth="1"/>
    <col min="5905" max="5905" width="5.28515625" style="24" customWidth="1"/>
    <col min="5906" max="5907" width="4.42578125" style="24" bestFit="1" customWidth="1"/>
    <col min="5908" max="5908" width="13.28515625" style="24" bestFit="1" customWidth="1"/>
    <col min="5909" max="5909" width="3.140625" style="24" customWidth="1"/>
    <col min="5910" max="5910" width="5.42578125" style="24" bestFit="1" customWidth="1"/>
    <col min="5911" max="5911" width="4.42578125" style="24" bestFit="1" customWidth="1"/>
    <col min="5912" max="5912" width="6.42578125" style="24" customWidth="1"/>
    <col min="5913" max="5913" width="5" style="24" bestFit="1" customWidth="1"/>
    <col min="5914" max="5914" width="4.5703125" style="24" bestFit="1" customWidth="1"/>
    <col min="5915" max="5915" width="4.42578125" style="24" bestFit="1" customWidth="1"/>
    <col min="5916" max="5916" width="4" style="24" customWidth="1"/>
    <col min="5917" max="6144" width="11.42578125" style="24"/>
    <col min="6145" max="6145" width="14.85546875" style="24" bestFit="1" customWidth="1"/>
    <col min="6146" max="6146" width="28" style="24" bestFit="1" customWidth="1"/>
    <col min="6147" max="6147" width="4.42578125" style="24" bestFit="1" customWidth="1"/>
    <col min="6148" max="6148" width="8" style="24" bestFit="1" customWidth="1"/>
    <col min="6149" max="6149" width="11.42578125" style="24"/>
    <col min="6150" max="6150" width="22.85546875" style="24" bestFit="1" customWidth="1"/>
    <col min="6151" max="6151" width="7" style="24" customWidth="1"/>
    <col min="6152" max="6152" width="6.28515625" style="24" customWidth="1"/>
    <col min="6153" max="6153" width="5.7109375" style="24" customWidth="1"/>
    <col min="6154" max="6154" width="5.7109375" style="24" bestFit="1" customWidth="1"/>
    <col min="6155" max="6155" width="5.85546875" style="24" bestFit="1" customWidth="1"/>
    <col min="6156" max="6156" width="9.42578125" style="24" customWidth="1"/>
    <col min="6157" max="6157" width="5.140625" style="24" customWidth="1"/>
    <col min="6158" max="6158" width="9.7109375" style="24" customWidth="1"/>
    <col min="6159" max="6159" width="6.7109375" style="24" bestFit="1" customWidth="1"/>
    <col min="6160" max="6160" width="4.85546875" style="24" customWidth="1"/>
    <col min="6161" max="6161" width="5.28515625" style="24" customWidth="1"/>
    <col min="6162" max="6163" width="4.42578125" style="24" bestFit="1" customWidth="1"/>
    <col min="6164" max="6164" width="13.28515625" style="24" bestFit="1" customWidth="1"/>
    <col min="6165" max="6165" width="3.140625" style="24" customWidth="1"/>
    <col min="6166" max="6166" width="5.42578125" style="24" bestFit="1" customWidth="1"/>
    <col min="6167" max="6167" width="4.42578125" style="24" bestFit="1" customWidth="1"/>
    <col min="6168" max="6168" width="6.42578125" style="24" customWidth="1"/>
    <col min="6169" max="6169" width="5" style="24" bestFit="1" customWidth="1"/>
    <col min="6170" max="6170" width="4.5703125" style="24" bestFit="1" customWidth="1"/>
    <col min="6171" max="6171" width="4.42578125" style="24" bestFit="1" customWidth="1"/>
    <col min="6172" max="6172" width="4" style="24" customWidth="1"/>
    <col min="6173" max="6400" width="11.42578125" style="24"/>
    <col min="6401" max="6401" width="14.85546875" style="24" bestFit="1" customWidth="1"/>
    <col min="6402" max="6402" width="28" style="24" bestFit="1" customWidth="1"/>
    <col min="6403" max="6403" width="4.42578125" style="24" bestFit="1" customWidth="1"/>
    <col min="6404" max="6404" width="8" style="24" bestFit="1" customWidth="1"/>
    <col min="6405" max="6405" width="11.42578125" style="24"/>
    <col min="6406" max="6406" width="22.85546875" style="24" bestFit="1" customWidth="1"/>
    <col min="6407" max="6407" width="7" style="24" customWidth="1"/>
    <col min="6408" max="6408" width="6.28515625" style="24" customWidth="1"/>
    <col min="6409" max="6409" width="5.7109375" style="24" customWidth="1"/>
    <col min="6410" max="6410" width="5.7109375" style="24" bestFit="1" customWidth="1"/>
    <col min="6411" max="6411" width="5.85546875" style="24" bestFit="1" customWidth="1"/>
    <col min="6412" max="6412" width="9.42578125" style="24" customWidth="1"/>
    <col min="6413" max="6413" width="5.140625" style="24" customWidth="1"/>
    <col min="6414" max="6414" width="9.7109375" style="24" customWidth="1"/>
    <col min="6415" max="6415" width="6.7109375" style="24" bestFit="1" customWidth="1"/>
    <col min="6416" max="6416" width="4.85546875" style="24" customWidth="1"/>
    <col min="6417" max="6417" width="5.28515625" style="24" customWidth="1"/>
    <col min="6418" max="6419" width="4.42578125" style="24" bestFit="1" customWidth="1"/>
    <col min="6420" max="6420" width="13.28515625" style="24" bestFit="1" customWidth="1"/>
    <col min="6421" max="6421" width="3.140625" style="24" customWidth="1"/>
    <col min="6422" max="6422" width="5.42578125" style="24" bestFit="1" customWidth="1"/>
    <col min="6423" max="6423" width="4.42578125" style="24" bestFit="1" customWidth="1"/>
    <col min="6424" max="6424" width="6.42578125" style="24" customWidth="1"/>
    <col min="6425" max="6425" width="5" style="24" bestFit="1" customWidth="1"/>
    <col min="6426" max="6426" width="4.5703125" style="24" bestFit="1" customWidth="1"/>
    <col min="6427" max="6427" width="4.42578125" style="24" bestFit="1" customWidth="1"/>
    <col min="6428" max="6428" width="4" style="24" customWidth="1"/>
    <col min="6429" max="6656" width="11.42578125" style="24"/>
    <col min="6657" max="6657" width="14.85546875" style="24" bestFit="1" customWidth="1"/>
    <col min="6658" max="6658" width="28" style="24" bestFit="1" customWidth="1"/>
    <col min="6659" max="6659" width="4.42578125" style="24" bestFit="1" customWidth="1"/>
    <col min="6660" max="6660" width="8" style="24" bestFit="1" customWidth="1"/>
    <col min="6661" max="6661" width="11.42578125" style="24"/>
    <col min="6662" max="6662" width="22.85546875" style="24" bestFit="1" customWidth="1"/>
    <col min="6663" max="6663" width="7" style="24" customWidth="1"/>
    <col min="6664" max="6664" width="6.28515625" style="24" customWidth="1"/>
    <col min="6665" max="6665" width="5.7109375" style="24" customWidth="1"/>
    <col min="6666" max="6666" width="5.7109375" style="24" bestFit="1" customWidth="1"/>
    <col min="6667" max="6667" width="5.85546875" style="24" bestFit="1" customWidth="1"/>
    <col min="6668" max="6668" width="9.42578125" style="24" customWidth="1"/>
    <col min="6669" max="6669" width="5.140625" style="24" customWidth="1"/>
    <col min="6670" max="6670" width="9.7109375" style="24" customWidth="1"/>
    <col min="6671" max="6671" width="6.7109375" style="24" bestFit="1" customWidth="1"/>
    <col min="6672" max="6672" width="4.85546875" style="24" customWidth="1"/>
    <col min="6673" max="6673" width="5.28515625" style="24" customWidth="1"/>
    <col min="6674" max="6675" width="4.42578125" style="24" bestFit="1" customWidth="1"/>
    <col min="6676" max="6676" width="13.28515625" style="24" bestFit="1" customWidth="1"/>
    <col min="6677" max="6677" width="3.140625" style="24" customWidth="1"/>
    <col min="6678" max="6678" width="5.42578125" style="24" bestFit="1" customWidth="1"/>
    <col min="6679" max="6679" width="4.42578125" style="24" bestFit="1" customWidth="1"/>
    <col min="6680" max="6680" width="6.42578125" style="24" customWidth="1"/>
    <col min="6681" max="6681" width="5" style="24" bestFit="1" customWidth="1"/>
    <col min="6682" max="6682" width="4.5703125" style="24" bestFit="1" customWidth="1"/>
    <col min="6683" max="6683" width="4.42578125" style="24" bestFit="1" customWidth="1"/>
    <col min="6684" max="6684" width="4" style="24" customWidth="1"/>
    <col min="6685" max="6912" width="11.42578125" style="24"/>
    <col min="6913" max="6913" width="14.85546875" style="24" bestFit="1" customWidth="1"/>
    <col min="6914" max="6914" width="28" style="24" bestFit="1" customWidth="1"/>
    <col min="6915" max="6915" width="4.42578125" style="24" bestFit="1" customWidth="1"/>
    <col min="6916" max="6916" width="8" style="24" bestFit="1" customWidth="1"/>
    <col min="6917" max="6917" width="11.42578125" style="24"/>
    <col min="6918" max="6918" width="22.85546875" style="24" bestFit="1" customWidth="1"/>
    <col min="6919" max="6919" width="7" style="24" customWidth="1"/>
    <col min="6920" max="6920" width="6.28515625" style="24" customWidth="1"/>
    <col min="6921" max="6921" width="5.7109375" style="24" customWidth="1"/>
    <col min="6922" max="6922" width="5.7109375" style="24" bestFit="1" customWidth="1"/>
    <col min="6923" max="6923" width="5.85546875" style="24" bestFit="1" customWidth="1"/>
    <col min="6924" max="6924" width="9.42578125" style="24" customWidth="1"/>
    <col min="6925" max="6925" width="5.140625" style="24" customWidth="1"/>
    <col min="6926" max="6926" width="9.7109375" style="24" customWidth="1"/>
    <col min="6927" max="6927" width="6.7109375" style="24" bestFit="1" customWidth="1"/>
    <col min="6928" max="6928" width="4.85546875" style="24" customWidth="1"/>
    <col min="6929" max="6929" width="5.28515625" style="24" customWidth="1"/>
    <col min="6930" max="6931" width="4.42578125" style="24" bestFit="1" customWidth="1"/>
    <col min="6932" max="6932" width="13.28515625" style="24" bestFit="1" customWidth="1"/>
    <col min="6933" max="6933" width="3.140625" style="24" customWidth="1"/>
    <col min="6934" max="6934" width="5.42578125" style="24" bestFit="1" customWidth="1"/>
    <col min="6935" max="6935" width="4.42578125" style="24" bestFit="1" customWidth="1"/>
    <col min="6936" max="6936" width="6.42578125" style="24" customWidth="1"/>
    <col min="6937" max="6937" width="5" style="24" bestFit="1" customWidth="1"/>
    <col min="6938" max="6938" width="4.5703125" style="24" bestFit="1" customWidth="1"/>
    <col min="6939" max="6939" width="4.42578125" style="24" bestFit="1" customWidth="1"/>
    <col min="6940" max="6940" width="4" style="24" customWidth="1"/>
    <col min="6941" max="7168" width="11.42578125" style="24"/>
    <col min="7169" max="7169" width="14.85546875" style="24" bestFit="1" customWidth="1"/>
    <col min="7170" max="7170" width="28" style="24" bestFit="1" customWidth="1"/>
    <col min="7171" max="7171" width="4.42578125" style="24" bestFit="1" customWidth="1"/>
    <col min="7172" max="7172" width="8" style="24" bestFit="1" customWidth="1"/>
    <col min="7173" max="7173" width="11.42578125" style="24"/>
    <col min="7174" max="7174" width="22.85546875" style="24" bestFit="1" customWidth="1"/>
    <col min="7175" max="7175" width="7" style="24" customWidth="1"/>
    <col min="7176" max="7176" width="6.28515625" style="24" customWidth="1"/>
    <col min="7177" max="7177" width="5.7109375" style="24" customWidth="1"/>
    <col min="7178" max="7178" width="5.7109375" style="24" bestFit="1" customWidth="1"/>
    <col min="7179" max="7179" width="5.85546875" style="24" bestFit="1" customWidth="1"/>
    <col min="7180" max="7180" width="9.42578125" style="24" customWidth="1"/>
    <col min="7181" max="7181" width="5.140625" style="24" customWidth="1"/>
    <col min="7182" max="7182" width="9.7109375" style="24" customWidth="1"/>
    <col min="7183" max="7183" width="6.7109375" style="24" bestFit="1" customWidth="1"/>
    <col min="7184" max="7184" width="4.85546875" style="24" customWidth="1"/>
    <col min="7185" max="7185" width="5.28515625" style="24" customWidth="1"/>
    <col min="7186" max="7187" width="4.42578125" style="24" bestFit="1" customWidth="1"/>
    <col min="7188" max="7188" width="13.28515625" style="24" bestFit="1" customWidth="1"/>
    <col min="7189" max="7189" width="3.140625" style="24" customWidth="1"/>
    <col min="7190" max="7190" width="5.42578125" style="24" bestFit="1" customWidth="1"/>
    <col min="7191" max="7191" width="4.42578125" style="24" bestFit="1" customWidth="1"/>
    <col min="7192" max="7192" width="6.42578125" style="24" customWidth="1"/>
    <col min="7193" max="7193" width="5" style="24" bestFit="1" customWidth="1"/>
    <col min="7194" max="7194" width="4.5703125" style="24" bestFit="1" customWidth="1"/>
    <col min="7195" max="7195" width="4.42578125" style="24" bestFit="1" customWidth="1"/>
    <col min="7196" max="7196" width="4" style="24" customWidth="1"/>
    <col min="7197" max="7424" width="11.42578125" style="24"/>
    <col min="7425" max="7425" width="14.85546875" style="24" bestFit="1" customWidth="1"/>
    <col min="7426" max="7426" width="28" style="24" bestFit="1" customWidth="1"/>
    <col min="7427" max="7427" width="4.42578125" style="24" bestFit="1" customWidth="1"/>
    <col min="7428" max="7428" width="8" style="24" bestFit="1" customWidth="1"/>
    <col min="7429" max="7429" width="11.42578125" style="24"/>
    <col min="7430" max="7430" width="22.85546875" style="24" bestFit="1" customWidth="1"/>
    <col min="7431" max="7431" width="7" style="24" customWidth="1"/>
    <col min="7432" max="7432" width="6.28515625" style="24" customWidth="1"/>
    <col min="7433" max="7433" width="5.7109375" style="24" customWidth="1"/>
    <col min="7434" max="7434" width="5.7109375" style="24" bestFit="1" customWidth="1"/>
    <col min="7435" max="7435" width="5.85546875" style="24" bestFit="1" customWidth="1"/>
    <col min="7436" max="7436" width="9.42578125" style="24" customWidth="1"/>
    <col min="7437" max="7437" width="5.140625" style="24" customWidth="1"/>
    <col min="7438" max="7438" width="9.7109375" style="24" customWidth="1"/>
    <col min="7439" max="7439" width="6.7109375" style="24" bestFit="1" customWidth="1"/>
    <col min="7440" max="7440" width="4.85546875" style="24" customWidth="1"/>
    <col min="7441" max="7441" width="5.28515625" style="24" customWidth="1"/>
    <col min="7442" max="7443" width="4.42578125" style="24" bestFit="1" customWidth="1"/>
    <col min="7444" max="7444" width="13.28515625" style="24" bestFit="1" customWidth="1"/>
    <col min="7445" max="7445" width="3.140625" style="24" customWidth="1"/>
    <col min="7446" max="7446" width="5.42578125" style="24" bestFit="1" customWidth="1"/>
    <col min="7447" max="7447" width="4.42578125" style="24" bestFit="1" customWidth="1"/>
    <col min="7448" max="7448" width="6.42578125" style="24" customWidth="1"/>
    <col min="7449" max="7449" width="5" style="24" bestFit="1" customWidth="1"/>
    <col min="7450" max="7450" width="4.5703125" style="24" bestFit="1" customWidth="1"/>
    <col min="7451" max="7451" width="4.42578125" style="24" bestFit="1" customWidth="1"/>
    <col min="7452" max="7452" width="4" style="24" customWidth="1"/>
    <col min="7453" max="7680" width="11.42578125" style="24"/>
    <col min="7681" max="7681" width="14.85546875" style="24" bestFit="1" customWidth="1"/>
    <col min="7682" max="7682" width="28" style="24" bestFit="1" customWidth="1"/>
    <col min="7683" max="7683" width="4.42578125" style="24" bestFit="1" customWidth="1"/>
    <col min="7684" max="7684" width="8" style="24" bestFit="1" customWidth="1"/>
    <col min="7685" max="7685" width="11.42578125" style="24"/>
    <col min="7686" max="7686" width="22.85546875" style="24" bestFit="1" customWidth="1"/>
    <col min="7687" max="7687" width="7" style="24" customWidth="1"/>
    <col min="7688" max="7688" width="6.28515625" style="24" customWidth="1"/>
    <col min="7689" max="7689" width="5.7109375" style="24" customWidth="1"/>
    <col min="7690" max="7690" width="5.7109375" style="24" bestFit="1" customWidth="1"/>
    <col min="7691" max="7691" width="5.85546875" style="24" bestFit="1" customWidth="1"/>
    <col min="7692" max="7692" width="9.42578125" style="24" customWidth="1"/>
    <col min="7693" max="7693" width="5.140625" style="24" customWidth="1"/>
    <col min="7694" max="7694" width="9.7109375" style="24" customWidth="1"/>
    <col min="7695" max="7695" width="6.7109375" style="24" bestFit="1" customWidth="1"/>
    <col min="7696" max="7696" width="4.85546875" style="24" customWidth="1"/>
    <col min="7697" max="7697" width="5.28515625" style="24" customWidth="1"/>
    <col min="7698" max="7699" width="4.42578125" style="24" bestFit="1" customWidth="1"/>
    <col min="7700" max="7700" width="13.28515625" style="24" bestFit="1" customWidth="1"/>
    <col min="7701" max="7701" width="3.140625" style="24" customWidth="1"/>
    <col min="7702" max="7702" width="5.42578125" style="24" bestFit="1" customWidth="1"/>
    <col min="7703" max="7703" width="4.42578125" style="24" bestFit="1" customWidth="1"/>
    <col min="7704" max="7704" width="6.42578125" style="24" customWidth="1"/>
    <col min="7705" max="7705" width="5" style="24" bestFit="1" customWidth="1"/>
    <col min="7706" max="7706" width="4.5703125" style="24" bestFit="1" customWidth="1"/>
    <col min="7707" max="7707" width="4.42578125" style="24" bestFit="1" customWidth="1"/>
    <col min="7708" max="7708" width="4" style="24" customWidth="1"/>
    <col min="7709" max="7936" width="11.42578125" style="24"/>
    <col min="7937" max="7937" width="14.85546875" style="24" bestFit="1" customWidth="1"/>
    <col min="7938" max="7938" width="28" style="24" bestFit="1" customWidth="1"/>
    <col min="7939" max="7939" width="4.42578125" style="24" bestFit="1" customWidth="1"/>
    <col min="7940" max="7940" width="8" style="24" bestFit="1" customWidth="1"/>
    <col min="7941" max="7941" width="11.42578125" style="24"/>
    <col min="7942" max="7942" width="22.85546875" style="24" bestFit="1" customWidth="1"/>
    <col min="7943" max="7943" width="7" style="24" customWidth="1"/>
    <col min="7944" max="7944" width="6.28515625" style="24" customWidth="1"/>
    <col min="7945" max="7945" width="5.7109375" style="24" customWidth="1"/>
    <col min="7946" max="7946" width="5.7109375" style="24" bestFit="1" customWidth="1"/>
    <col min="7947" max="7947" width="5.85546875" style="24" bestFit="1" customWidth="1"/>
    <col min="7948" max="7948" width="9.42578125" style="24" customWidth="1"/>
    <col min="7949" max="7949" width="5.140625" style="24" customWidth="1"/>
    <col min="7950" max="7950" width="9.7109375" style="24" customWidth="1"/>
    <col min="7951" max="7951" width="6.7109375" style="24" bestFit="1" customWidth="1"/>
    <col min="7952" max="7952" width="4.85546875" style="24" customWidth="1"/>
    <col min="7953" max="7953" width="5.28515625" style="24" customWidth="1"/>
    <col min="7954" max="7955" width="4.42578125" style="24" bestFit="1" customWidth="1"/>
    <col min="7956" max="7956" width="13.28515625" style="24" bestFit="1" customWidth="1"/>
    <col min="7957" max="7957" width="3.140625" style="24" customWidth="1"/>
    <col min="7958" max="7958" width="5.42578125" style="24" bestFit="1" customWidth="1"/>
    <col min="7959" max="7959" width="4.42578125" style="24" bestFit="1" customWidth="1"/>
    <col min="7960" max="7960" width="6.42578125" style="24" customWidth="1"/>
    <col min="7961" max="7961" width="5" style="24" bestFit="1" customWidth="1"/>
    <col min="7962" max="7962" width="4.5703125" style="24" bestFit="1" customWidth="1"/>
    <col min="7963" max="7963" width="4.42578125" style="24" bestFit="1" customWidth="1"/>
    <col min="7964" max="7964" width="4" style="24" customWidth="1"/>
    <col min="7965" max="8192" width="11.42578125" style="24"/>
    <col min="8193" max="8193" width="14.85546875" style="24" bestFit="1" customWidth="1"/>
    <col min="8194" max="8194" width="28" style="24" bestFit="1" customWidth="1"/>
    <col min="8195" max="8195" width="4.42578125" style="24" bestFit="1" customWidth="1"/>
    <col min="8196" max="8196" width="8" style="24" bestFit="1" customWidth="1"/>
    <col min="8197" max="8197" width="11.42578125" style="24"/>
    <col min="8198" max="8198" width="22.85546875" style="24" bestFit="1" customWidth="1"/>
    <col min="8199" max="8199" width="7" style="24" customWidth="1"/>
    <col min="8200" max="8200" width="6.28515625" style="24" customWidth="1"/>
    <col min="8201" max="8201" width="5.7109375" style="24" customWidth="1"/>
    <col min="8202" max="8202" width="5.7109375" style="24" bestFit="1" customWidth="1"/>
    <col min="8203" max="8203" width="5.85546875" style="24" bestFit="1" customWidth="1"/>
    <col min="8204" max="8204" width="9.42578125" style="24" customWidth="1"/>
    <col min="8205" max="8205" width="5.140625" style="24" customWidth="1"/>
    <col min="8206" max="8206" width="9.7109375" style="24" customWidth="1"/>
    <col min="8207" max="8207" width="6.7109375" style="24" bestFit="1" customWidth="1"/>
    <col min="8208" max="8208" width="4.85546875" style="24" customWidth="1"/>
    <col min="8209" max="8209" width="5.28515625" style="24" customWidth="1"/>
    <col min="8210" max="8211" width="4.42578125" style="24" bestFit="1" customWidth="1"/>
    <col min="8212" max="8212" width="13.28515625" style="24" bestFit="1" customWidth="1"/>
    <col min="8213" max="8213" width="3.140625" style="24" customWidth="1"/>
    <col min="8214" max="8214" width="5.42578125" style="24" bestFit="1" customWidth="1"/>
    <col min="8215" max="8215" width="4.42578125" style="24" bestFit="1" customWidth="1"/>
    <col min="8216" max="8216" width="6.42578125" style="24" customWidth="1"/>
    <col min="8217" max="8217" width="5" style="24" bestFit="1" customWidth="1"/>
    <col min="8218" max="8218" width="4.5703125" style="24" bestFit="1" customWidth="1"/>
    <col min="8219" max="8219" width="4.42578125" style="24" bestFit="1" customWidth="1"/>
    <col min="8220" max="8220" width="4" style="24" customWidth="1"/>
    <col min="8221" max="8448" width="11.42578125" style="24"/>
    <col min="8449" max="8449" width="14.85546875" style="24" bestFit="1" customWidth="1"/>
    <col min="8450" max="8450" width="28" style="24" bestFit="1" customWidth="1"/>
    <col min="8451" max="8451" width="4.42578125" style="24" bestFit="1" customWidth="1"/>
    <col min="8452" max="8452" width="8" style="24" bestFit="1" customWidth="1"/>
    <col min="8453" max="8453" width="11.42578125" style="24"/>
    <col min="8454" max="8454" width="22.85546875" style="24" bestFit="1" customWidth="1"/>
    <col min="8455" max="8455" width="7" style="24" customWidth="1"/>
    <col min="8456" max="8456" width="6.28515625" style="24" customWidth="1"/>
    <col min="8457" max="8457" width="5.7109375" style="24" customWidth="1"/>
    <col min="8458" max="8458" width="5.7109375" style="24" bestFit="1" customWidth="1"/>
    <col min="8459" max="8459" width="5.85546875" style="24" bestFit="1" customWidth="1"/>
    <col min="8460" max="8460" width="9.42578125" style="24" customWidth="1"/>
    <col min="8461" max="8461" width="5.140625" style="24" customWidth="1"/>
    <col min="8462" max="8462" width="9.7109375" style="24" customWidth="1"/>
    <col min="8463" max="8463" width="6.7109375" style="24" bestFit="1" customWidth="1"/>
    <col min="8464" max="8464" width="4.85546875" style="24" customWidth="1"/>
    <col min="8465" max="8465" width="5.28515625" style="24" customWidth="1"/>
    <col min="8466" max="8467" width="4.42578125" style="24" bestFit="1" customWidth="1"/>
    <col min="8468" max="8468" width="13.28515625" style="24" bestFit="1" customWidth="1"/>
    <col min="8469" max="8469" width="3.140625" style="24" customWidth="1"/>
    <col min="8470" max="8470" width="5.42578125" style="24" bestFit="1" customWidth="1"/>
    <col min="8471" max="8471" width="4.42578125" style="24" bestFit="1" customWidth="1"/>
    <col min="8472" max="8472" width="6.42578125" style="24" customWidth="1"/>
    <col min="8473" max="8473" width="5" style="24" bestFit="1" customWidth="1"/>
    <col min="8474" max="8474" width="4.5703125" style="24" bestFit="1" customWidth="1"/>
    <col min="8475" max="8475" width="4.42578125" style="24" bestFit="1" customWidth="1"/>
    <col min="8476" max="8476" width="4" style="24" customWidth="1"/>
    <col min="8477" max="8704" width="11.42578125" style="24"/>
    <col min="8705" max="8705" width="14.85546875" style="24" bestFit="1" customWidth="1"/>
    <col min="8706" max="8706" width="28" style="24" bestFit="1" customWidth="1"/>
    <col min="8707" max="8707" width="4.42578125" style="24" bestFit="1" customWidth="1"/>
    <col min="8708" max="8708" width="8" style="24" bestFit="1" customWidth="1"/>
    <col min="8709" max="8709" width="11.42578125" style="24"/>
    <col min="8710" max="8710" width="22.85546875" style="24" bestFit="1" customWidth="1"/>
    <col min="8711" max="8711" width="7" style="24" customWidth="1"/>
    <col min="8712" max="8712" width="6.28515625" style="24" customWidth="1"/>
    <col min="8713" max="8713" width="5.7109375" style="24" customWidth="1"/>
    <col min="8714" max="8714" width="5.7109375" style="24" bestFit="1" customWidth="1"/>
    <col min="8715" max="8715" width="5.85546875" style="24" bestFit="1" customWidth="1"/>
    <col min="8716" max="8716" width="9.42578125" style="24" customWidth="1"/>
    <col min="8717" max="8717" width="5.140625" style="24" customWidth="1"/>
    <col min="8718" max="8718" width="9.7109375" style="24" customWidth="1"/>
    <col min="8719" max="8719" width="6.7109375" style="24" bestFit="1" customWidth="1"/>
    <col min="8720" max="8720" width="4.85546875" style="24" customWidth="1"/>
    <col min="8721" max="8721" width="5.28515625" style="24" customWidth="1"/>
    <col min="8722" max="8723" width="4.42578125" style="24" bestFit="1" customWidth="1"/>
    <col min="8724" max="8724" width="13.28515625" style="24" bestFit="1" customWidth="1"/>
    <col min="8725" max="8725" width="3.140625" style="24" customWidth="1"/>
    <col min="8726" max="8726" width="5.42578125" style="24" bestFit="1" customWidth="1"/>
    <col min="8727" max="8727" width="4.42578125" style="24" bestFit="1" customWidth="1"/>
    <col min="8728" max="8728" width="6.42578125" style="24" customWidth="1"/>
    <col min="8729" max="8729" width="5" style="24" bestFit="1" customWidth="1"/>
    <col min="8730" max="8730" width="4.5703125" style="24" bestFit="1" customWidth="1"/>
    <col min="8731" max="8731" width="4.42578125" style="24" bestFit="1" customWidth="1"/>
    <col min="8732" max="8732" width="4" style="24" customWidth="1"/>
    <col min="8733" max="8960" width="11.42578125" style="24"/>
    <col min="8961" max="8961" width="14.85546875" style="24" bestFit="1" customWidth="1"/>
    <col min="8962" max="8962" width="28" style="24" bestFit="1" customWidth="1"/>
    <col min="8963" max="8963" width="4.42578125" style="24" bestFit="1" customWidth="1"/>
    <col min="8964" max="8964" width="8" style="24" bestFit="1" customWidth="1"/>
    <col min="8965" max="8965" width="11.42578125" style="24"/>
    <col min="8966" max="8966" width="22.85546875" style="24" bestFit="1" customWidth="1"/>
    <col min="8967" max="8967" width="7" style="24" customWidth="1"/>
    <col min="8968" max="8968" width="6.28515625" style="24" customWidth="1"/>
    <col min="8969" max="8969" width="5.7109375" style="24" customWidth="1"/>
    <col min="8970" max="8970" width="5.7109375" style="24" bestFit="1" customWidth="1"/>
    <col min="8971" max="8971" width="5.85546875" style="24" bestFit="1" customWidth="1"/>
    <col min="8972" max="8972" width="9.42578125" style="24" customWidth="1"/>
    <col min="8973" max="8973" width="5.140625" style="24" customWidth="1"/>
    <col min="8974" max="8974" width="9.7109375" style="24" customWidth="1"/>
    <col min="8975" max="8975" width="6.7109375" style="24" bestFit="1" customWidth="1"/>
    <col min="8976" max="8976" width="4.85546875" style="24" customWidth="1"/>
    <col min="8977" max="8977" width="5.28515625" style="24" customWidth="1"/>
    <col min="8978" max="8979" width="4.42578125" style="24" bestFit="1" customWidth="1"/>
    <col min="8980" max="8980" width="13.28515625" style="24" bestFit="1" customWidth="1"/>
    <col min="8981" max="8981" width="3.140625" style="24" customWidth="1"/>
    <col min="8982" max="8982" width="5.42578125" style="24" bestFit="1" customWidth="1"/>
    <col min="8983" max="8983" width="4.42578125" style="24" bestFit="1" customWidth="1"/>
    <col min="8984" max="8984" width="6.42578125" style="24" customWidth="1"/>
    <col min="8985" max="8985" width="5" style="24" bestFit="1" customWidth="1"/>
    <col min="8986" max="8986" width="4.5703125" style="24" bestFit="1" customWidth="1"/>
    <col min="8987" max="8987" width="4.42578125" style="24" bestFit="1" customWidth="1"/>
    <col min="8988" max="8988" width="4" style="24" customWidth="1"/>
    <col min="8989" max="9216" width="11.42578125" style="24"/>
    <col min="9217" max="9217" width="14.85546875" style="24" bestFit="1" customWidth="1"/>
    <col min="9218" max="9218" width="28" style="24" bestFit="1" customWidth="1"/>
    <col min="9219" max="9219" width="4.42578125" style="24" bestFit="1" customWidth="1"/>
    <col min="9220" max="9220" width="8" style="24" bestFit="1" customWidth="1"/>
    <col min="9221" max="9221" width="11.42578125" style="24"/>
    <col min="9222" max="9222" width="22.85546875" style="24" bestFit="1" customWidth="1"/>
    <col min="9223" max="9223" width="7" style="24" customWidth="1"/>
    <col min="9224" max="9224" width="6.28515625" style="24" customWidth="1"/>
    <col min="9225" max="9225" width="5.7109375" style="24" customWidth="1"/>
    <col min="9226" max="9226" width="5.7109375" style="24" bestFit="1" customWidth="1"/>
    <col min="9227" max="9227" width="5.85546875" style="24" bestFit="1" customWidth="1"/>
    <col min="9228" max="9228" width="9.42578125" style="24" customWidth="1"/>
    <col min="9229" max="9229" width="5.140625" style="24" customWidth="1"/>
    <col min="9230" max="9230" width="9.7109375" style="24" customWidth="1"/>
    <col min="9231" max="9231" width="6.7109375" style="24" bestFit="1" customWidth="1"/>
    <col min="9232" max="9232" width="4.85546875" style="24" customWidth="1"/>
    <col min="9233" max="9233" width="5.28515625" style="24" customWidth="1"/>
    <col min="9234" max="9235" width="4.42578125" style="24" bestFit="1" customWidth="1"/>
    <col min="9236" max="9236" width="13.28515625" style="24" bestFit="1" customWidth="1"/>
    <col min="9237" max="9237" width="3.140625" style="24" customWidth="1"/>
    <col min="9238" max="9238" width="5.42578125" style="24" bestFit="1" customWidth="1"/>
    <col min="9239" max="9239" width="4.42578125" style="24" bestFit="1" customWidth="1"/>
    <col min="9240" max="9240" width="6.42578125" style="24" customWidth="1"/>
    <col min="9241" max="9241" width="5" style="24" bestFit="1" customWidth="1"/>
    <col min="9242" max="9242" width="4.5703125" style="24" bestFit="1" customWidth="1"/>
    <col min="9243" max="9243" width="4.42578125" style="24" bestFit="1" customWidth="1"/>
    <col min="9244" max="9244" width="4" style="24" customWidth="1"/>
    <col min="9245" max="9472" width="11.42578125" style="24"/>
    <col min="9473" max="9473" width="14.85546875" style="24" bestFit="1" customWidth="1"/>
    <col min="9474" max="9474" width="28" style="24" bestFit="1" customWidth="1"/>
    <col min="9475" max="9475" width="4.42578125" style="24" bestFit="1" customWidth="1"/>
    <col min="9476" max="9476" width="8" style="24" bestFit="1" customWidth="1"/>
    <col min="9477" max="9477" width="11.42578125" style="24"/>
    <col min="9478" max="9478" width="22.85546875" style="24" bestFit="1" customWidth="1"/>
    <col min="9479" max="9479" width="7" style="24" customWidth="1"/>
    <col min="9480" max="9480" width="6.28515625" style="24" customWidth="1"/>
    <col min="9481" max="9481" width="5.7109375" style="24" customWidth="1"/>
    <col min="9482" max="9482" width="5.7109375" style="24" bestFit="1" customWidth="1"/>
    <col min="9483" max="9483" width="5.85546875" style="24" bestFit="1" customWidth="1"/>
    <col min="9484" max="9484" width="9.42578125" style="24" customWidth="1"/>
    <col min="9485" max="9485" width="5.140625" style="24" customWidth="1"/>
    <col min="9486" max="9486" width="9.7109375" style="24" customWidth="1"/>
    <col min="9487" max="9487" width="6.7109375" style="24" bestFit="1" customWidth="1"/>
    <col min="9488" max="9488" width="4.85546875" style="24" customWidth="1"/>
    <col min="9489" max="9489" width="5.28515625" style="24" customWidth="1"/>
    <col min="9490" max="9491" width="4.42578125" style="24" bestFit="1" customWidth="1"/>
    <col min="9492" max="9492" width="13.28515625" style="24" bestFit="1" customWidth="1"/>
    <col min="9493" max="9493" width="3.140625" style="24" customWidth="1"/>
    <col min="9494" max="9494" width="5.42578125" style="24" bestFit="1" customWidth="1"/>
    <col min="9495" max="9495" width="4.42578125" style="24" bestFit="1" customWidth="1"/>
    <col min="9496" max="9496" width="6.42578125" style="24" customWidth="1"/>
    <col min="9497" max="9497" width="5" style="24" bestFit="1" customWidth="1"/>
    <col min="9498" max="9498" width="4.5703125" style="24" bestFit="1" customWidth="1"/>
    <col min="9499" max="9499" width="4.42578125" style="24" bestFit="1" customWidth="1"/>
    <col min="9500" max="9500" width="4" style="24" customWidth="1"/>
    <col min="9501" max="9728" width="11.42578125" style="24"/>
    <col min="9729" max="9729" width="14.85546875" style="24" bestFit="1" customWidth="1"/>
    <col min="9730" max="9730" width="28" style="24" bestFit="1" customWidth="1"/>
    <col min="9731" max="9731" width="4.42578125" style="24" bestFit="1" customWidth="1"/>
    <col min="9732" max="9732" width="8" style="24" bestFit="1" customWidth="1"/>
    <col min="9733" max="9733" width="11.42578125" style="24"/>
    <col min="9734" max="9734" width="22.85546875" style="24" bestFit="1" customWidth="1"/>
    <col min="9735" max="9735" width="7" style="24" customWidth="1"/>
    <col min="9736" max="9736" width="6.28515625" style="24" customWidth="1"/>
    <col min="9737" max="9737" width="5.7109375" style="24" customWidth="1"/>
    <col min="9738" max="9738" width="5.7109375" style="24" bestFit="1" customWidth="1"/>
    <col min="9739" max="9739" width="5.85546875" style="24" bestFit="1" customWidth="1"/>
    <col min="9740" max="9740" width="9.42578125" style="24" customWidth="1"/>
    <col min="9741" max="9741" width="5.140625" style="24" customWidth="1"/>
    <col min="9742" max="9742" width="9.7109375" style="24" customWidth="1"/>
    <col min="9743" max="9743" width="6.7109375" style="24" bestFit="1" customWidth="1"/>
    <col min="9744" max="9744" width="4.85546875" style="24" customWidth="1"/>
    <col min="9745" max="9745" width="5.28515625" style="24" customWidth="1"/>
    <col min="9746" max="9747" width="4.42578125" style="24" bestFit="1" customWidth="1"/>
    <col min="9748" max="9748" width="13.28515625" style="24" bestFit="1" customWidth="1"/>
    <col min="9749" max="9749" width="3.140625" style="24" customWidth="1"/>
    <col min="9750" max="9750" width="5.42578125" style="24" bestFit="1" customWidth="1"/>
    <col min="9751" max="9751" width="4.42578125" style="24" bestFit="1" customWidth="1"/>
    <col min="9752" max="9752" width="6.42578125" style="24" customWidth="1"/>
    <col min="9753" max="9753" width="5" style="24" bestFit="1" customWidth="1"/>
    <col min="9754" max="9754" width="4.5703125" style="24" bestFit="1" customWidth="1"/>
    <col min="9755" max="9755" width="4.42578125" style="24" bestFit="1" customWidth="1"/>
    <col min="9756" max="9756" width="4" style="24" customWidth="1"/>
    <col min="9757" max="9984" width="11.42578125" style="24"/>
    <col min="9985" max="9985" width="14.85546875" style="24" bestFit="1" customWidth="1"/>
    <col min="9986" max="9986" width="28" style="24" bestFit="1" customWidth="1"/>
    <col min="9987" max="9987" width="4.42578125" style="24" bestFit="1" customWidth="1"/>
    <col min="9988" max="9988" width="8" style="24" bestFit="1" customWidth="1"/>
    <col min="9989" max="9989" width="11.42578125" style="24"/>
    <col min="9990" max="9990" width="22.85546875" style="24" bestFit="1" customWidth="1"/>
    <col min="9991" max="9991" width="7" style="24" customWidth="1"/>
    <col min="9992" max="9992" width="6.28515625" style="24" customWidth="1"/>
    <col min="9993" max="9993" width="5.7109375" style="24" customWidth="1"/>
    <col min="9994" max="9994" width="5.7109375" style="24" bestFit="1" customWidth="1"/>
    <col min="9995" max="9995" width="5.85546875" style="24" bestFit="1" customWidth="1"/>
    <col min="9996" max="9996" width="9.42578125" style="24" customWidth="1"/>
    <col min="9997" max="9997" width="5.140625" style="24" customWidth="1"/>
    <col min="9998" max="9998" width="9.7109375" style="24" customWidth="1"/>
    <col min="9999" max="9999" width="6.7109375" style="24" bestFit="1" customWidth="1"/>
    <col min="10000" max="10000" width="4.85546875" style="24" customWidth="1"/>
    <col min="10001" max="10001" width="5.28515625" style="24" customWidth="1"/>
    <col min="10002" max="10003" width="4.42578125" style="24" bestFit="1" customWidth="1"/>
    <col min="10004" max="10004" width="13.28515625" style="24" bestFit="1" customWidth="1"/>
    <col min="10005" max="10005" width="3.140625" style="24" customWidth="1"/>
    <col min="10006" max="10006" width="5.42578125" style="24" bestFit="1" customWidth="1"/>
    <col min="10007" max="10007" width="4.42578125" style="24" bestFit="1" customWidth="1"/>
    <col min="10008" max="10008" width="6.42578125" style="24" customWidth="1"/>
    <col min="10009" max="10009" width="5" style="24" bestFit="1" customWidth="1"/>
    <col min="10010" max="10010" width="4.5703125" style="24" bestFit="1" customWidth="1"/>
    <col min="10011" max="10011" width="4.42578125" style="24" bestFit="1" customWidth="1"/>
    <col min="10012" max="10012" width="4" style="24" customWidth="1"/>
    <col min="10013" max="10240" width="11.42578125" style="24"/>
    <col min="10241" max="10241" width="14.85546875" style="24" bestFit="1" customWidth="1"/>
    <col min="10242" max="10242" width="28" style="24" bestFit="1" customWidth="1"/>
    <col min="10243" max="10243" width="4.42578125" style="24" bestFit="1" customWidth="1"/>
    <col min="10244" max="10244" width="8" style="24" bestFit="1" customWidth="1"/>
    <col min="10245" max="10245" width="11.42578125" style="24"/>
    <col min="10246" max="10246" width="22.85546875" style="24" bestFit="1" customWidth="1"/>
    <col min="10247" max="10247" width="7" style="24" customWidth="1"/>
    <col min="10248" max="10248" width="6.28515625" style="24" customWidth="1"/>
    <col min="10249" max="10249" width="5.7109375" style="24" customWidth="1"/>
    <col min="10250" max="10250" width="5.7109375" style="24" bestFit="1" customWidth="1"/>
    <col min="10251" max="10251" width="5.85546875" style="24" bestFit="1" customWidth="1"/>
    <col min="10252" max="10252" width="9.42578125" style="24" customWidth="1"/>
    <col min="10253" max="10253" width="5.140625" style="24" customWidth="1"/>
    <col min="10254" max="10254" width="9.7109375" style="24" customWidth="1"/>
    <col min="10255" max="10255" width="6.7109375" style="24" bestFit="1" customWidth="1"/>
    <col min="10256" max="10256" width="4.85546875" style="24" customWidth="1"/>
    <col min="10257" max="10257" width="5.28515625" style="24" customWidth="1"/>
    <col min="10258" max="10259" width="4.42578125" style="24" bestFit="1" customWidth="1"/>
    <col min="10260" max="10260" width="13.28515625" style="24" bestFit="1" customWidth="1"/>
    <col min="10261" max="10261" width="3.140625" style="24" customWidth="1"/>
    <col min="10262" max="10262" width="5.42578125" style="24" bestFit="1" customWidth="1"/>
    <col min="10263" max="10263" width="4.42578125" style="24" bestFit="1" customWidth="1"/>
    <col min="10264" max="10264" width="6.42578125" style="24" customWidth="1"/>
    <col min="10265" max="10265" width="5" style="24" bestFit="1" customWidth="1"/>
    <col min="10266" max="10266" width="4.5703125" style="24" bestFit="1" customWidth="1"/>
    <col min="10267" max="10267" width="4.42578125" style="24" bestFit="1" customWidth="1"/>
    <col min="10268" max="10268" width="4" style="24" customWidth="1"/>
    <col min="10269" max="10496" width="11.42578125" style="24"/>
    <col min="10497" max="10497" width="14.85546875" style="24" bestFit="1" customWidth="1"/>
    <col min="10498" max="10498" width="28" style="24" bestFit="1" customWidth="1"/>
    <col min="10499" max="10499" width="4.42578125" style="24" bestFit="1" customWidth="1"/>
    <col min="10500" max="10500" width="8" style="24" bestFit="1" customWidth="1"/>
    <col min="10501" max="10501" width="11.42578125" style="24"/>
    <col min="10502" max="10502" width="22.85546875" style="24" bestFit="1" customWidth="1"/>
    <col min="10503" max="10503" width="7" style="24" customWidth="1"/>
    <col min="10504" max="10504" width="6.28515625" style="24" customWidth="1"/>
    <col min="10505" max="10505" width="5.7109375" style="24" customWidth="1"/>
    <col min="10506" max="10506" width="5.7109375" style="24" bestFit="1" customWidth="1"/>
    <col min="10507" max="10507" width="5.85546875" style="24" bestFit="1" customWidth="1"/>
    <col min="10508" max="10508" width="9.42578125" style="24" customWidth="1"/>
    <col min="10509" max="10509" width="5.140625" style="24" customWidth="1"/>
    <col min="10510" max="10510" width="9.7109375" style="24" customWidth="1"/>
    <col min="10511" max="10511" width="6.7109375" style="24" bestFit="1" customWidth="1"/>
    <col min="10512" max="10512" width="4.85546875" style="24" customWidth="1"/>
    <col min="10513" max="10513" width="5.28515625" style="24" customWidth="1"/>
    <col min="10514" max="10515" width="4.42578125" style="24" bestFit="1" customWidth="1"/>
    <col min="10516" max="10516" width="13.28515625" style="24" bestFit="1" customWidth="1"/>
    <col min="10517" max="10517" width="3.140625" style="24" customWidth="1"/>
    <col min="10518" max="10518" width="5.42578125" style="24" bestFit="1" customWidth="1"/>
    <col min="10519" max="10519" width="4.42578125" style="24" bestFit="1" customWidth="1"/>
    <col min="10520" max="10520" width="6.42578125" style="24" customWidth="1"/>
    <col min="10521" max="10521" width="5" style="24" bestFit="1" customWidth="1"/>
    <col min="10522" max="10522" width="4.5703125" style="24" bestFit="1" customWidth="1"/>
    <col min="10523" max="10523" width="4.42578125" style="24" bestFit="1" customWidth="1"/>
    <col min="10524" max="10524" width="4" style="24" customWidth="1"/>
    <col min="10525" max="10752" width="11.42578125" style="24"/>
    <col min="10753" max="10753" width="14.85546875" style="24" bestFit="1" customWidth="1"/>
    <col min="10754" max="10754" width="28" style="24" bestFit="1" customWidth="1"/>
    <col min="10755" max="10755" width="4.42578125" style="24" bestFit="1" customWidth="1"/>
    <col min="10756" max="10756" width="8" style="24" bestFit="1" customWidth="1"/>
    <col min="10757" max="10757" width="11.42578125" style="24"/>
    <col min="10758" max="10758" width="22.85546875" style="24" bestFit="1" customWidth="1"/>
    <col min="10759" max="10759" width="7" style="24" customWidth="1"/>
    <col min="10760" max="10760" width="6.28515625" style="24" customWidth="1"/>
    <col min="10761" max="10761" width="5.7109375" style="24" customWidth="1"/>
    <col min="10762" max="10762" width="5.7109375" style="24" bestFit="1" customWidth="1"/>
    <col min="10763" max="10763" width="5.85546875" style="24" bestFit="1" customWidth="1"/>
    <col min="10764" max="10764" width="9.42578125" style="24" customWidth="1"/>
    <col min="10765" max="10765" width="5.140625" style="24" customWidth="1"/>
    <col min="10766" max="10766" width="9.7109375" style="24" customWidth="1"/>
    <col min="10767" max="10767" width="6.7109375" style="24" bestFit="1" customWidth="1"/>
    <col min="10768" max="10768" width="4.85546875" style="24" customWidth="1"/>
    <col min="10769" max="10769" width="5.28515625" style="24" customWidth="1"/>
    <col min="10770" max="10771" width="4.42578125" style="24" bestFit="1" customWidth="1"/>
    <col min="10772" max="10772" width="13.28515625" style="24" bestFit="1" customWidth="1"/>
    <col min="10773" max="10773" width="3.140625" style="24" customWidth="1"/>
    <col min="10774" max="10774" width="5.42578125" style="24" bestFit="1" customWidth="1"/>
    <col min="10775" max="10775" width="4.42578125" style="24" bestFit="1" customWidth="1"/>
    <col min="10776" max="10776" width="6.42578125" style="24" customWidth="1"/>
    <col min="10777" max="10777" width="5" style="24" bestFit="1" customWidth="1"/>
    <col min="10778" max="10778" width="4.5703125" style="24" bestFit="1" customWidth="1"/>
    <col min="10779" max="10779" width="4.42578125" style="24" bestFit="1" customWidth="1"/>
    <col min="10780" max="10780" width="4" style="24" customWidth="1"/>
    <col min="10781" max="11008" width="11.42578125" style="24"/>
    <col min="11009" max="11009" width="14.85546875" style="24" bestFit="1" customWidth="1"/>
    <col min="11010" max="11010" width="28" style="24" bestFit="1" customWidth="1"/>
    <col min="11011" max="11011" width="4.42578125" style="24" bestFit="1" customWidth="1"/>
    <col min="11012" max="11012" width="8" style="24" bestFit="1" customWidth="1"/>
    <col min="11013" max="11013" width="11.42578125" style="24"/>
    <col min="11014" max="11014" width="22.85546875" style="24" bestFit="1" customWidth="1"/>
    <col min="11015" max="11015" width="7" style="24" customWidth="1"/>
    <col min="11016" max="11016" width="6.28515625" style="24" customWidth="1"/>
    <col min="11017" max="11017" width="5.7109375" style="24" customWidth="1"/>
    <col min="11018" max="11018" width="5.7109375" style="24" bestFit="1" customWidth="1"/>
    <col min="11019" max="11019" width="5.85546875" style="24" bestFit="1" customWidth="1"/>
    <col min="11020" max="11020" width="9.42578125" style="24" customWidth="1"/>
    <col min="11021" max="11021" width="5.140625" style="24" customWidth="1"/>
    <col min="11022" max="11022" width="9.7109375" style="24" customWidth="1"/>
    <col min="11023" max="11023" width="6.7109375" style="24" bestFit="1" customWidth="1"/>
    <col min="11024" max="11024" width="4.85546875" style="24" customWidth="1"/>
    <col min="11025" max="11025" width="5.28515625" style="24" customWidth="1"/>
    <col min="11026" max="11027" width="4.42578125" style="24" bestFit="1" customWidth="1"/>
    <col min="11028" max="11028" width="13.28515625" style="24" bestFit="1" customWidth="1"/>
    <col min="11029" max="11029" width="3.140625" style="24" customWidth="1"/>
    <col min="11030" max="11030" width="5.42578125" style="24" bestFit="1" customWidth="1"/>
    <col min="11031" max="11031" width="4.42578125" style="24" bestFit="1" customWidth="1"/>
    <col min="11032" max="11032" width="6.42578125" style="24" customWidth="1"/>
    <col min="11033" max="11033" width="5" style="24" bestFit="1" customWidth="1"/>
    <col min="11034" max="11034" width="4.5703125" style="24" bestFit="1" customWidth="1"/>
    <col min="11035" max="11035" width="4.42578125" style="24" bestFit="1" customWidth="1"/>
    <col min="11036" max="11036" width="4" style="24" customWidth="1"/>
    <col min="11037" max="11264" width="11.42578125" style="24"/>
    <col min="11265" max="11265" width="14.85546875" style="24" bestFit="1" customWidth="1"/>
    <col min="11266" max="11266" width="28" style="24" bestFit="1" customWidth="1"/>
    <col min="11267" max="11267" width="4.42578125" style="24" bestFit="1" customWidth="1"/>
    <col min="11268" max="11268" width="8" style="24" bestFit="1" customWidth="1"/>
    <col min="11269" max="11269" width="11.42578125" style="24"/>
    <col min="11270" max="11270" width="22.85546875" style="24" bestFit="1" customWidth="1"/>
    <col min="11271" max="11271" width="7" style="24" customWidth="1"/>
    <col min="11272" max="11272" width="6.28515625" style="24" customWidth="1"/>
    <col min="11273" max="11273" width="5.7109375" style="24" customWidth="1"/>
    <col min="11274" max="11274" width="5.7109375" style="24" bestFit="1" customWidth="1"/>
    <col min="11275" max="11275" width="5.85546875" style="24" bestFit="1" customWidth="1"/>
    <col min="11276" max="11276" width="9.42578125" style="24" customWidth="1"/>
    <col min="11277" max="11277" width="5.140625" style="24" customWidth="1"/>
    <col min="11278" max="11278" width="9.7109375" style="24" customWidth="1"/>
    <col min="11279" max="11279" width="6.7109375" style="24" bestFit="1" customWidth="1"/>
    <col min="11280" max="11280" width="4.85546875" style="24" customWidth="1"/>
    <col min="11281" max="11281" width="5.28515625" style="24" customWidth="1"/>
    <col min="11282" max="11283" width="4.42578125" style="24" bestFit="1" customWidth="1"/>
    <col min="11284" max="11284" width="13.28515625" style="24" bestFit="1" customWidth="1"/>
    <col min="11285" max="11285" width="3.140625" style="24" customWidth="1"/>
    <col min="11286" max="11286" width="5.42578125" style="24" bestFit="1" customWidth="1"/>
    <col min="11287" max="11287" width="4.42578125" style="24" bestFit="1" customWidth="1"/>
    <col min="11288" max="11288" width="6.42578125" style="24" customWidth="1"/>
    <col min="11289" max="11289" width="5" style="24" bestFit="1" customWidth="1"/>
    <col min="11290" max="11290" width="4.5703125" style="24" bestFit="1" customWidth="1"/>
    <col min="11291" max="11291" width="4.42578125" style="24" bestFit="1" customWidth="1"/>
    <col min="11292" max="11292" width="4" style="24" customWidth="1"/>
    <col min="11293" max="11520" width="11.42578125" style="24"/>
    <col min="11521" max="11521" width="14.85546875" style="24" bestFit="1" customWidth="1"/>
    <col min="11522" max="11522" width="28" style="24" bestFit="1" customWidth="1"/>
    <col min="11523" max="11523" width="4.42578125" style="24" bestFit="1" customWidth="1"/>
    <col min="11524" max="11524" width="8" style="24" bestFit="1" customWidth="1"/>
    <col min="11525" max="11525" width="11.42578125" style="24"/>
    <col min="11526" max="11526" width="22.85546875" style="24" bestFit="1" customWidth="1"/>
    <col min="11527" max="11527" width="7" style="24" customWidth="1"/>
    <col min="11528" max="11528" width="6.28515625" style="24" customWidth="1"/>
    <col min="11529" max="11529" width="5.7109375" style="24" customWidth="1"/>
    <col min="11530" max="11530" width="5.7109375" style="24" bestFit="1" customWidth="1"/>
    <col min="11531" max="11531" width="5.85546875" style="24" bestFit="1" customWidth="1"/>
    <col min="11532" max="11532" width="9.42578125" style="24" customWidth="1"/>
    <col min="11533" max="11533" width="5.140625" style="24" customWidth="1"/>
    <col min="11534" max="11534" width="9.7109375" style="24" customWidth="1"/>
    <col min="11535" max="11535" width="6.7109375" style="24" bestFit="1" customWidth="1"/>
    <col min="11536" max="11536" width="4.85546875" style="24" customWidth="1"/>
    <col min="11537" max="11537" width="5.28515625" style="24" customWidth="1"/>
    <col min="11538" max="11539" width="4.42578125" style="24" bestFit="1" customWidth="1"/>
    <col min="11540" max="11540" width="13.28515625" style="24" bestFit="1" customWidth="1"/>
    <col min="11541" max="11541" width="3.140625" style="24" customWidth="1"/>
    <col min="11542" max="11542" width="5.42578125" style="24" bestFit="1" customWidth="1"/>
    <col min="11543" max="11543" width="4.42578125" style="24" bestFit="1" customWidth="1"/>
    <col min="11544" max="11544" width="6.42578125" style="24" customWidth="1"/>
    <col min="11545" max="11545" width="5" style="24" bestFit="1" customWidth="1"/>
    <col min="11546" max="11546" width="4.5703125" style="24" bestFit="1" customWidth="1"/>
    <col min="11547" max="11547" width="4.42578125" style="24" bestFit="1" customWidth="1"/>
    <col min="11548" max="11548" width="4" style="24" customWidth="1"/>
    <col min="11549" max="11776" width="11.42578125" style="24"/>
    <col min="11777" max="11777" width="14.85546875" style="24" bestFit="1" customWidth="1"/>
    <col min="11778" max="11778" width="28" style="24" bestFit="1" customWidth="1"/>
    <col min="11779" max="11779" width="4.42578125" style="24" bestFit="1" customWidth="1"/>
    <col min="11780" max="11780" width="8" style="24" bestFit="1" customWidth="1"/>
    <col min="11781" max="11781" width="11.42578125" style="24"/>
    <col min="11782" max="11782" width="22.85546875" style="24" bestFit="1" customWidth="1"/>
    <col min="11783" max="11783" width="7" style="24" customWidth="1"/>
    <col min="11784" max="11784" width="6.28515625" style="24" customWidth="1"/>
    <col min="11785" max="11785" width="5.7109375" style="24" customWidth="1"/>
    <col min="11786" max="11786" width="5.7109375" style="24" bestFit="1" customWidth="1"/>
    <col min="11787" max="11787" width="5.85546875" style="24" bestFit="1" customWidth="1"/>
    <col min="11788" max="11788" width="9.42578125" style="24" customWidth="1"/>
    <col min="11789" max="11789" width="5.140625" style="24" customWidth="1"/>
    <col min="11790" max="11790" width="9.7109375" style="24" customWidth="1"/>
    <col min="11791" max="11791" width="6.7109375" style="24" bestFit="1" customWidth="1"/>
    <col min="11792" max="11792" width="4.85546875" style="24" customWidth="1"/>
    <col min="11793" max="11793" width="5.28515625" style="24" customWidth="1"/>
    <col min="11794" max="11795" width="4.42578125" style="24" bestFit="1" customWidth="1"/>
    <col min="11796" max="11796" width="13.28515625" style="24" bestFit="1" customWidth="1"/>
    <col min="11797" max="11797" width="3.140625" style="24" customWidth="1"/>
    <col min="11798" max="11798" width="5.42578125" style="24" bestFit="1" customWidth="1"/>
    <col min="11799" max="11799" width="4.42578125" style="24" bestFit="1" customWidth="1"/>
    <col min="11800" max="11800" width="6.42578125" style="24" customWidth="1"/>
    <col min="11801" max="11801" width="5" style="24" bestFit="1" customWidth="1"/>
    <col min="11802" max="11802" width="4.5703125" style="24" bestFit="1" customWidth="1"/>
    <col min="11803" max="11803" width="4.42578125" style="24" bestFit="1" customWidth="1"/>
    <col min="11804" max="11804" width="4" style="24" customWidth="1"/>
    <col min="11805" max="12032" width="11.42578125" style="24"/>
    <col min="12033" max="12033" width="14.85546875" style="24" bestFit="1" customWidth="1"/>
    <col min="12034" max="12034" width="28" style="24" bestFit="1" customWidth="1"/>
    <col min="12035" max="12035" width="4.42578125" style="24" bestFit="1" customWidth="1"/>
    <col min="12036" max="12036" width="8" style="24" bestFit="1" customWidth="1"/>
    <col min="12037" max="12037" width="11.42578125" style="24"/>
    <col min="12038" max="12038" width="22.85546875" style="24" bestFit="1" customWidth="1"/>
    <col min="12039" max="12039" width="7" style="24" customWidth="1"/>
    <col min="12040" max="12040" width="6.28515625" style="24" customWidth="1"/>
    <col min="12041" max="12041" width="5.7109375" style="24" customWidth="1"/>
    <col min="12042" max="12042" width="5.7109375" style="24" bestFit="1" customWidth="1"/>
    <col min="12043" max="12043" width="5.85546875" style="24" bestFit="1" customWidth="1"/>
    <col min="12044" max="12044" width="9.42578125" style="24" customWidth="1"/>
    <col min="12045" max="12045" width="5.140625" style="24" customWidth="1"/>
    <col min="12046" max="12046" width="9.7109375" style="24" customWidth="1"/>
    <col min="12047" max="12047" width="6.7109375" style="24" bestFit="1" customWidth="1"/>
    <col min="12048" max="12048" width="4.85546875" style="24" customWidth="1"/>
    <col min="12049" max="12049" width="5.28515625" style="24" customWidth="1"/>
    <col min="12050" max="12051" width="4.42578125" style="24" bestFit="1" customWidth="1"/>
    <col min="12052" max="12052" width="13.28515625" style="24" bestFit="1" customWidth="1"/>
    <col min="12053" max="12053" width="3.140625" style="24" customWidth="1"/>
    <col min="12054" max="12054" width="5.42578125" style="24" bestFit="1" customWidth="1"/>
    <col min="12055" max="12055" width="4.42578125" style="24" bestFit="1" customWidth="1"/>
    <col min="12056" max="12056" width="6.42578125" style="24" customWidth="1"/>
    <col min="12057" max="12057" width="5" style="24" bestFit="1" customWidth="1"/>
    <col min="12058" max="12058" width="4.5703125" style="24" bestFit="1" customWidth="1"/>
    <col min="12059" max="12059" width="4.42578125" style="24" bestFit="1" customWidth="1"/>
    <col min="12060" max="12060" width="4" style="24" customWidth="1"/>
    <col min="12061" max="12288" width="11.42578125" style="24"/>
    <col min="12289" max="12289" width="14.85546875" style="24" bestFit="1" customWidth="1"/>
    <col min="12290" max="12290" width="28" style="24" bestFit="1" customWidth="1"/>
    <col min="12291" max="12291" width="4.42578125" style="24" bestFit="1" customWidth="1"/>
    <col min="12292" max="12292" width="8" style="24" bestFit="1" customWidth="1"/>
    <col min="12293" max="12293" width="11.42578125" style="24"/>
    <col min="12294" max="12294" width="22.85546875" style="24" bestFit="1" customWidth="1"/>
    <col min="12295" max="12295" width="7" style="24" customWidth="1"/>
    <col min="12296" max="12296" width="6.28515625" style="24" customWidth="1"/>
    <col min="12297" max="12297" width="5.7109375" style="24" customWidth="1"/>
    <col min="12298" max="12298" width="5.7109375" style="24" bestFit="1" customWidth="1"/>
    <col min="12299" max="12299" width="5.85546875" style="24" bestFit="1" customWidth="1"/>
    <col min="12300" max="12300" width="9.42578125" style="24" customWidth="1"/>
    <col min="12301" max="12301" width="5.140625" style="24" customWidth="1"/>
    <col min="12302" max="12302" width="9.7109375" style="24" customWidth="1"/>
    <col min="12303" max="12303" width="6.7109375" style="24" bestFit="1" customWidth="1"/>
    <col min="12304" max="12304" width="4.85546875" style="24" customWidth="1"/>
    <col min="12305" max="12305" width="5.28515625" style="24" customWidth="1"/>
    <col min="12306" max="12307" width="4.42578125" style="24" bestFit="1" customWidth="1"/>
    <col min="12308" max="12308" width="13.28515625" style="24" bestFit="1" customWidth="1"/>
    <col min="12309" max="12309" width="3.140625" style="24" customWidth="1"/>
    <col min="12310" max="12310" width="5.42578125" style="24" bestFit="1" customWidth="1"/>
    <col min="12311" max="12311" width="4.42578125" style="24" bestFit="1" customWidth="1"/>
    <col min="12312" max="12312" width="6.42578125" style="24" customWidth="1"/>
    <col min="12313" max="12313" width="5" style="24" bestFit="1" customWidth="1"/>
    <col min="12314" max="12314" width="4.5703125" style="24" bestFit="1" customWidth="1"/>
    <col min="12315" max="12315" width="4.42578125" style="24" bestFit="1" customWidth="1"/>
    <col min="12316" max="12316" width="4" style="24" customWidth="1"/>
    <col min="12317" max="12544" width="11.42578125" style="24"/>
    <col min="12545" max="12545" width="14.85546875" style="24" bestFit="1" customWidth="1"/>
    <col min="12546" max="12546" width="28" style="24" bestFit="1" customWidth="1"/>
    <col min="12547" max="12547" width="4.42578125" style="24" bestFit="1" customWidth="1"/>
    <col min="12548" max="12548" width="8" style="24" bestFit="1" customWidth="1"/>
    <col min="12549" max="12549" width="11.42578125" style="24"/>
    <col min="12550" max="12550" width="22.85546875" style="24" bestFit="1" customWidth="1"/>
    <col min="12551" max="12551" width="7" style="24" customWidth="1"/>
    <col min="12552" max="12552" width="6.28515625" style="24" customWidth="1"/>
    <col min="12553" max="12553" width="5.7109375" style="24" customWidth="1"/>
    <col min="12554" max="12554" width="5.7109375" style="24" bestFit="1" customWidth="1"/>
    <col min="12555" max="12555" width="5.85546875" style="24" bestFit="1" customWidth="1"/>
    <col min="12556" max="12556" width="9.42578125" style="24" customWidth="1"/>
    <col min="12557" max="12557" width="5.140625" style="24" customWidth="1"/>
    <col min="12558" max="12558" width="9.7109375" style="24" customWidth="1"/>
    <col min="12559" max="12559" width="6.7109375" style="24" bestFit="1" customWidth="1"/>
    <col min="12560" max="12560" width="4.85546875" style="24" customWidth="1"/>
    <col min="12561" max="12561" width="5.28515625" style="24" customWidth="1"/>
    <col min="12562" max="12563" width="4.42578125" style="24" bestFit="1" customWidth="1"/>
    <col min="12564" max="12564" width="13.28515625" style="24" bestFit="1" customWidth="1"/>
    <col min="12565" max="12565" width="3.140625" style="24" customWidth="1"/>
    <col min="12566" max="12566" width="5.42578125" style="24" bestFit="1" customWidth="1"/>
    <col min="12567" max="12567" width="4.42578125" style="24" bestFit="1" customWidth="1"/>
    <col min="12568" max="12568" width="6.42578125" style="24" customWidth="1"/>
    <col min="12569" max="12569" width="5" style="24" bestFit="1" customWidth="1"/>
    <col min="12570" max="12570" width="4.5703125" style="24" bestFit="1" customWidth="1"/>
    <col min="12571" max="12571" width="4.42578125" style="24" bestFit="1" customWidth="1"/>
    <col min="12572" max="12572" width="4" style="24" customWidth="1"/>
    <col min="12573" max="12800" width="11.42578125" style="24"/>
    <col min="12801" max="12801" width="14.85546875" style="24" bestFit="1" customWidth="1"/>
    <col min="12802" max="12802" width="28" style="24" bestFit="1" customWidth="1"/>
    <col min="12803" max="12803" width="4.42578125" style="24" bestFit="1" customWidth="1"/>
    <col min="12804" max="12804" width="8" style="24" bestFit="1" customWidth="1"/>
    <col min="12805" max="12805" width="11.42578125" style="24"/>
    <col min="12806" max="12806" width="22.85546875" style="24" bestFit="1" customWidth="1"/>
    <col min="12807" max="12807" width="7" style="24" customWidth="1"/>
    <col min="12808" max="12808" width="6.28515625" style="24" customWidth="1"/>
    <col min="12809" max="12809" width="5.7109375" style="24" customWidth="1"/>
    <col min="12810" max="12810" width="5.7109375" style="24" bestFit="1" customWidth="1"/>
    <col min="12811" max="12811" width="5.85546875" style="24" bestFit="1" customWidth="1"/>
    <col min="12812" max="12812" width="9.42578125" style="24" customWidth="1"/>
    <col min="12813" max="12813" width="5.140625" style="24" customWidth="1"/>
    <col min="12814" max="12814" width="9.7109375" style="24" customWidth="1"/>
    <col min="12815" max="12815" width="6.7109375" style="24" bestFit="1" customWidth="1"/>
    <col min="12816" max="12816" width="4.85546875" style="24" customWidth="1"/>
    <col min="12817" max="12817" width="5.28515625" style="24" customWidth="1"/>
    <col min="12818" max="12819" width="4.42578125" style="24" bestFit="1" customWidth="1"/>
    <col min="12820" max="12820" width="13.28515625" style="24" bestFit="1" customWidth="1"/>
    <col min="12821" max="12821" width="3.140625" style="24" customWidth="1"/>
    <col min="12822" max="12822" width="5.42578125" style="24" bestFit="1" customWidth="1"/>
    <col min="12823" max="12823" width="4.42578125" style="24" bestFit="1" customWidth="1"/>
    <col min="12824" max="12824" width="6.42578125" style="24" customWidth="1"/>
    <col min="12825" max="12825" width="5" style="24" bestFit="1" customWidth="1"/>
    <col min="12826" max="12826" width="4.5703125" style="24" bestFit="1" customWidth="1"/>
    <col min="12827" max="12827" width="4.42578125" style="24" bestFit="1" customWidth="1"/>
    <col min="12828" max="12828" width="4" style="24" customWidth="1"/>
    <col min="12829" max="13056" width="11.42578125" style="24"/>
    <col min="13057" max="13057" width="14.85546875" style="24" bestFit="1" customWidth="1"/>
    <col min="13058" max="13058" width="28" style="24" bestFit="1" customWidth="1"/>
    <col min="13059" max="13059" width="4.42578125" style="24" bestFit="1" customWidth="1"/>
    <col min="13060" max="13060" width="8" style="24" bestFit="1" customWidth="1"/>
    <col min="13061" max="13061" width="11.42578125" style="24"/>
    <col min="13062" max="13062" width="22.85546875" style="24" bestFit="1" customWidth="1"/>
    <col min="13063" max="13063" width="7" style="24" customWidth="1"/>
    <col min="13064" max="13064" width="6.28515625" style="24" customWidth="1"/>
    <col min="13065" max="13065" width="5.7109375" style="24" customWidth="1"/>
    <col min="13066" max="13066" width="5.7109375" style="24" bestFit="1" customWidth="1"/>
    <col min="13067" max="13067" width="5.85546875" style="24" bestFit="1" customWidth="1"/>
    <col min="13068" max="13068" width="9.42578125" style="24" customWidth="1"/>
    <col min="13069" max="13069" width="5.140625" style="24" customWidth="1"/>
    <col min="13070" max="13070" width="9.7109375" style="24" customWidth="1"/>
    <col min="13071" max="13071" width="6.7109375" style="24" bestFit="1" customWidth="1"/>
    <col min="13072" max="13072" width="4.85546875" style="24" customWidth="1"/>
    <col min="13073" max="13073" width="5.28515625" style="24" customWidth="1"/>
    <col min="13074" max="13075" width="4.42578125" style="24" bestFit="1" customWidth="1"/>
    <col min="13076" max="13076" width="13.28515625" style="24" bestFit="1" customWidth="1"/>
    <col min="13077" max="13077" width="3.140625" style="24" customWidth="1"/>
    <col min="13078" max="13078" width="5.42578125" style="24" bestFit="1" customWidth="1"/>
    <col min="13079" max="13079" width="4.42578125" style="24" bestFit="1" customWidth="1"/>
    <col min="13080" max="13080" width="6.42578125" style="24" customWidth="1"/>
    <col min="13081" max="13081" width="5" style="24" bestFit="1" customWidth="1"/>
    <col min="13082" max="13082" width="4.5703125" style="24" bestFit="1" customWidth="1"/>
    <col min="13083" max="13083" width="4.42578125" style="24" bestFit="1" customWidth="1"/>
    <col min="13084" max="13084" width="4" style="24" customWidth="1"/>
    <col min="13085" max="13312" width="11.42578125" style="24"/>
    <col min="13313" max="13313" width="14.85546875" style="24" bestFit="1" customWidth="1"/>
    <col min="13314" max="13314" width="28" style="24" bestFit="1" customWidth="1"/>
    <col min="13315" max="13315" width="4.42578125" style="24" bestFit="1" customWidth="1"/>
    <col min="13316" max="13316" width="8" style="24" bestFit="1" customWidth="1"/>
    <col min="13317" max="13317" width="11.42578125" style="24"/>
    <col min="13318" max="13318" width="22.85546875" style="24" bestFit="1" customWidth="1"/>
    <col min="13319" max="13319" width="7" style="24" customWidth="1"/>
    <col min="13320" max="13320" width="6.28515625" style="24" customWidth="1"/>
    <col min="13321" max="13321" width="5.7109375" style="24" customWidth="1"/>
    <col min="13322" max="13322" width="5.7109375" style="24" bestFit="1" customWidth="1"/>
    <col min="13323" max="13323" width="5.85546875" style="24" bestFit="1" customWidth="1"/>
    <col min="13324" max="13324" width="9.42578125" style="24" customWidth="1"/>
    <col min="13325" max="13325" width="5.140625" style="24" customWidth="1"/>
    <col min="13326" max="13326" width="9.7109375" style="24" customWidth="1"/>
    <col min="13327" max="13327" width="6.7109375" style="24" bestFit="1" customWidth="1"/>
    <col min="13328" max="13328" width="4.85546875" style="24" customWidth="1"/>
    <col min="13329" max="13329" width="5.28515625" style="24" customWidth="1"/>
    <col min="13330" max="13331" width="4.42578125" style="24" bestFit="1" customWidth="1"/>
    <col min="13332" max="13332" width="13.28515625" style="24" bestFit="1" customWidth="1"/>
    <col min="13333" max="13333" width="3.140625" style="24" customWidth="1"/>
    <col min="13334" max="13334" width="5.42578125" style="24" bestFit="1" customWidth="1"/>
    <col min="13335" max="13335" width="4.42578125" style="24" bestFit="1" customWidth="1"/>
    <col min="13336" max="13336" width="6.42578125" style="24" customWidth="1"/>
    <col min="13337" max="13337" width="5" style="24" bestFit="1" customWidth="1"/>
    <col min="13338" max="13338" width="4.5703125" style="24" bestFit="1" customWidth="1"/>
    <col min="13339" max="13339" width="4.42578125" style="24" bestFit="1" customWidth="1"/>
    <col min="13340" max="13340" width="4" style="24" customWidth="1"/>
    <col min="13341" max="13568" width="11.42578125" style="24"/>
    <col min="13569" max="13569" width="14.85546875" style="24" bestFit="1" customWidth="1"/>
    <col min="13570" max="13570" width="28" style="24" bestFit="1" customWidth="1"/>
    <col min="13571" max="13571" width="4.42578125" style="24" bestFit="1" customWidth="1"/>
    <col min="13572" max="13572" width="8" style="24" bestFit="1" customWidth="1"/>
    <col min="13573" max="13573" width="11.42578125" style="24"/>
    <col min="13574" max="13574" width="22.85546875" style="24" bestFit="1" customWidth="1"/>
    <col min="13575" max="13575" width="7" style="24" customWidth="1"/>
    <col min="13576" max="13576" width="6.28515625" style="24" customWidth="1"/>
    <col min="13577" max="13577" width="5.7109375" style="24" customWidth="1"/>
    <col min="13578" max="13578" width="5.7109375" style="24" bestFit="1" customWidth="1"/>
    <col min="13579" max="13579" width="5.85546875" style="24" bestFit="1" customWidth="1"/>
    <col min="13580" max="13580" width="9.42578125" style="24" customWidth="1"/>
    <col min="13581" max="13581" width="5.140625" style="24" customWidth="1"/>
    <col min="13582" max="13582" width="9.7109375" style="24" customWidth="1"/>
    <col min="13583" max="13583" width="6.7109375" style="24" bestFit="1" customWidth="1"/>
    <col min="13584" max="13584" width="4.85546875" style="24" customWidth="1"/>
    <col min="13585" max="13585" width="5.28515625" style="24" customWidth="1"/>
    <col min="13586" max="13587" width="4.42578125" style="24" bestFit="1" customWidth="1"/>
    <col min="13588" max="13588" width="13.28515625" style="24" bestFit="1" customWidth="1"/>
    <col min="13589" max="13589" width="3.140625" style="24" customWidth="1"/>
    <col min="13590" max="13590" width="5.42578125" style="24" bestFit="1" customWidth="1"/>
    <col min="13591" max="13591" width="4.42578125" style="24" bestFit="1" customWidth="1"/>
    <col min="13592" max="13592" width="6.42578125" style="24" customWidth="1"/>
    <col min="13593" max="13593" width="5" style="24" bestFit="1" customWidth="1"/>
    <col min="13594" max="13594" width="4.5703125" style="24" bestFit="1" customWidth="1"/>
    <col min="13595" max="13595" width="4.42578125" style="24" bestFit="1" customWidth="1"/>
    <col min="13596" max="13596" width="4" style="24" customWidth="1"/>
    <col min="13597" max="13824" width="11.42578125" style="24"/>
    <col min="13825" max="13825" width="14.85546875" style="24" bestFit="1" customWidth="1"/>
    <col min="13826" max="13826" width="28" style="24" bestFit="1" customWidth="1"/>
    <col min="13827" max="13827" width="4.42578125" style="24" bestFit="1" customWidth="1"/>
    <col min="13828" max="13828" width="8" style="24" bestFit="1" customWidth="1"/>
    <col min="13829" max="13829" width="11.42578125" style="24"/>
    <col min="13830" max="13830" width="22.85546875" style="24" bestFit="1" customWidth="1"/>
    <col min="13831" max="13831" width="7" style="24" customWidth="1"/>
    <col min="13832" max="13832" width="6.28515625" style="24" customWidth="1"/>
    <col min="13833" max="13833" width="5.7109375" style="24" customWidth="1"/>
    <col min="13834" max="13834" width="5.7109375" style="24" bestFit="1" customWidth="1"/>
    <col min="13835" max="13835" width="5.85546875" style="24" bestFit="1" customWidth="1"/>
    <col min="13836" max="13836" width="9.42578125" style="24" customWidth="1"/>
    <col min="13837" max="13837" width="5.140625" style="24" customWidth="1"/>
    <col min="13838" max="13838" width="9.7109375" style="24" customWidth="1"/>
    <col min="13839" max="13839" width="6.7109375" style="24" bestFit="1" customWidth="1"/>
    <col min="13840" max="13840" width="4.85546875" style="24" customWidth="1"/>
    <col min="13841" max="13841" width="5.28515625" style="24" customWidth="1"/>
    <col min="13842" max="13843" width="4.42578125" style="24" bestFit="1" customWidth="1"/>
    <col min="13844" max="13844" width="13.28515625" style="24" bestFit="1" customWidth="1"/>
    <col min="13845" max="13845" width="3.140625" style="24" customWidth="1"/>
    <col min="13846" max="13846" width="5.42578125" style="24" bestFit="1" customWidth="1"/>
    <col min="13847" max="13847" width="4.42578125" style="24" bestFit="1" customWidth="1"/>
    <col min="13848" max="13848" width="6.42578125" style="24" customWidth="1"/>
    <col min="13849" max="13849" width="5" style="24" bestFit="1" customWidth="1"/>
    <col min="13850" max="13850" width="4.5703125" style="24" bestFit="1" customWidth="1"/>
    <col min="13851" max="13851" width="4.42578125" style="24" bestFit="1" customWidth="1"/>
    <col min="13852" max="13852" width="4" style="24" customWidth="1"/>
    <col min="13853" max="14080" width="11.42578125" style="24"/>
    <col min="14081" max="14081" width="14.85546875" style="24" bestFit="1" customWidth="1"/>
    <col min="14082" max="14082" width="28" style="24" bestFit="1" customWidth="1"/>
    <col min="14083" max="14083" width="4.42578125" style="24" bestFit="1" customWidth="1"/>
    <col min="14084" max="14084" width="8" style="24" bestFit="1" customWidth="1"/>
    <col min="14085" max="14085" width="11.42578125" style="24"/>
    <col min="14086" max="14086" width="22.85546875" style="24" bestFit="1" customWidth="1"/>
    <col min="14087" max="14087" width="7" style="24" customWidth="1"/>
    <col min="14088" max="14088" width="6.28515625" style="24" customWidth="1"/>
    <col min="14089" max="14089" width="5.7109375" style="24" customWidth="1"/>
    <col min="14090" max="14090" width="5.7109375" style="24" bestFit="1" customWidth="1"/>
    <col min="14091" max="14091" width="5.85546875" style="24" bestFit="1" customWidth="1"/>
    <col min="14092" max="14092" width="9.42578125" style="24" customWidth="1"/>
    <col min="14093" max="14093" width="5.140625" style="24" customWidth="1"/>
    <col min="14094" max="14094" width="9.7109375" style="24" customWidth="1"/>
    <col min="14095" max="14095" width="6.7109375" style="24" bestFit="1" customWidth="1"/>
    <col min="14096" max="14096" width="4.85546875" style="24" customWidth="1"/>
    <col min="14097" max="14097" width="5.28515625" style="24" customWidth="1"/>
    <col min="14098" max="14099" width="4.42578125" style="24" bestFit="1" customWidth="1"/>
    <col min="14100" max="14100" width="13.28515625" style="24" bestFit="1" customWidth="1"/>
    <col min="14101" max="14101" width="3.140625" style="24" customWidth="1"/>
    <col min="14102" max="14102" width="5.42578125" style="24" bestFit="1" customWidth="1"/>
    <col min="14103" max="14103" width="4.42578125" style="24" bestFit="1" customWidth="1"/>
    <col min="14104" max="14104" width="6.42578125" style="24" customWidth="1"/>
    <col min="14105" max="14105" width="5" style="24" bestFit="1" customWidth="1"/>
    <col min="14106" max="14106" width="4.5703125" style="24" bestFit="1" customWidth="1"/>
    <col min="14107" max="14107" width="4.42578125" style="24" bestFit="1" customWidth="1"/>
    <col min="14108" max="14108" width="4" style="24" customWidth="1"/>
    <col min="14109" max="14336" width="11.42578125" style="24"/>
    <col min="14337" max="14337" width="14.85546875" style="24" bestFit="1" customWidth="1"/>
    <col min="14338" max="14338" width="28" style="24" bestFit="1" customWidth="1"/>
    <col min="14339" max="14339" width="4.42578125" style="24" bestFit="1" customWidth="1"/>
    <col min="14340" max="14340" width="8" style="24" bestFit="1" customWidth="1"/>
    <col min="14341" max="14341" width="11.42578125" style="24"/>
    <col min="14342" max="14342" width="22.85546875" style="24" bestFit="1" customWidth="1"/>
    <col min="14343" max="14343" width="7" style="24" customWidth="1"/>
    <col min="14344" max="14344" width="6.28515625" style="24" customWidth="1"/>
    <col min="14345" max="14345" width="5.7109375" style="24" customWidth="1"/>
    <col min="14346" max="14346" width="5.7109375" style="24" bestFit="1" customWidth="1"/>
    <col min="14347" max="14347" width="5.85546875" style="24" bestFit="1" customWidth="1"/>
    <col min="14348" max="14348" width="9.42578125" style="24" customWidth="1"/>
    <col min="14349" max="14349" width="5.140625" style="24" customWidth="1"/>
    <col min="14350" max="14350" width="9.7109375" style="24" customWidth="1"/>
    <col min="14351" max="14351" width="6.7109375" style="24" bestFit="1" customWidth="1"/>
    <col min="14352" max="14352" width="4.85546875" style="24" customWidth="1"/>
    <col min="14353" max="14353" width="5.28515625" style="24" customWidth="1"/>
    <col min="14354" max="14355" width="4.42578125" style="24" bestFit="1" customWidth="1"/>
    <col min="14356" max="14356" width="13.28515625" style="24" bestFit="1" customWidth="1"/>
    <col min="14357" max="14357" width="3.140625" style="24" customWidth="1"/>
    <col min="14358" max="14358" width="5.42578125" style="24" bestFit="1" customWidth="1"/>
    <col min="14359" max="14359" width="4.42578125" style="24" bestFit="1" customWidth="1"/>
    <col min="14360" max="14360" width="6.42578125" style="24" customWidth="1"/>
    <col min="14361" max="14361" width="5" style="24" bestFit="1" customWidth="1"/>
    <col min="14362" max="14362" width="4.5703125" style="24" bestFit="1" customWidth="1"/>
    <col min="14363" max="14363" width="4.42578125" style="24" bestFit="1" customWidth="1"/>
    <col min="14364" max="14364" width="4" style="24" customWidth="1"/>
    <col min="14365" max="14592" width="11.42578125" style="24"/>
    <col min="14593" max="14593" width="14.85546875" style="24" bestFit="1" customWidth="1"/>
    <col min="14594" max="14594" width="28" style="24" bestFit="1" customWidth="1"/>
    <col min="14595" max="14595" width="4.42578125" style="24" bestFit="1" customWidth="1"/>
    <col min="14596" max="14596" width="8" style="24" bestFit="1" customWidth="1"/>
    <col min="14597" max="14597" width="11.42578125" style="24"/>
    <col min="14598" max="14598" width="22.85546875" style="24" bestFit="1" customWidth="1"/>
    <col min="14599" max="14599" width="7" style="24" customWidth="1"/>
    <col min="14600" max="14600" width="6.28515625" style="24" customWidth="1"/>
    <col min="14601" max="14601" width="5.7109375" style="24" customWidth="1"/>
    <col min="14602" max="14602" width="5.7109375" style="24" bestFit="1" customWidth="1"/>
    <col min="14603" max="14603" width="5.85546875" style="24" bestFit="1" customWidth="1"/>
    <col min="14604" max="14604" width="9.42578125" style="24" customWidth="1"/>
    <col min="14605" max="14605" width="5.140625" style="24" customWidth="1"/>
    <col min="14606" max="14606" width="9.7109375" style="24" customWidth="1"/>
    <col min="14607" max="14607" width="6.7109375" style="24" bestFit="1" customWidth="1"/>
    <col min="14608" max="14608" width="4.85546875" style="24" customWidth="1"/>
    <col min="14609" max="14609" width="5.28515625" style="24" customWidth="1"/>
    <col min="14610" max="14611" width="4.42578125" style="24" bestFit="1" customWidth="1"/>
    <col min="14612" max="14612" width="13.28515625" style="24" bestFit="1" customWidth="1"/>
    <col min="14613" max="14613" width="3.140625" style="24" customWidth="1"/>
    <col min="14614" max="14614" width="5.42578125" style="24" bestFit="1" customWidth="1"/>
    <col min="14615" max="14615" width="4.42578125" style="24" bestFit="1" customWidth="1"/>
    <col min="14616" max="14616" width="6.42578125" style="24" customWidth="1"/>
    <col min="14617" max="14617" width="5" style="24" bestFit="1" customWidth="1"/>
    <col min="14618" max="14618" width="4.5703125" style="24" bestFit="1" customWidth="1"/>
    <col min="14619" max="14619" width="4.42578125" style="24" bestFit="1" customWidth="1"/>
    <col min="14620" max="14620" width="4" style="24" customWidth="1"/>
    <col min="14621" max="14848" width="11.42578125" style="24"/>
    <col min="14849" max="14849" width="14.85546875" style="24" bestFit="1" customWidth="1"/>
    <col min="14850" max="14850" width="28" style="24" bestFit="1" customWidth="1"/>
    <col min="14851" max="14851" width="4.42578125" style="24" bestFit="1" customWidth="1"/>
    <col min="14852" max="14852" width="8" style="24" bestFit="1" customWidth="1"/>
    <col min="14853" max="14853" width="11.42578125" style="24"/>
    <col min="14854" max="14854" width="22.85546875" style="24" bestFit="1" customWidth="1"/>
    <col min="14855" max="14855" width="7" style="24" customWidth="1"/>
    <col min="14856" max="14856" width="6.28515625" style="24" customWidth="1"/>
    <col min="14857" max="14857" width="5.7109375" style="24" customWidth="1"/>
    <col min="14858" max="14858" width="5.7109375" style="24" bestFit="1" customWidth="1"/>
    <col min="14859" max="14859" width="5.85546875" style="24" bestFit="1" customWidth="1"/>
    <col min="14860" max="14860" width="9.42578125" style="24" customWidth="1"/>
    <col min="14861" max="14861" width="5.140625" style="24" customWidth="1"/>
    <col min="14862" max="14862" width="9.7109375" style="24" customWidth="1"/>
    <col min="14863" max="14863" width="6.7109375" style="24" bestFit="1" customWidth="1"/>
    <col min="14864" max="14864" width="4.85546875" style="24" customWidth="1"/>
    <col min="14865" max="14865" width="5.28515625" style="24" customWidth="1"/>
    <col min="14866" max="14867" width="4.42578125" style="24" bestFit="1" customWidth="1"/>
    <col min="14868" max="14868" width="13.28515625" style="24" bestFit="1" customWidth="1"/>
    <col min="14869" max="14869" width="3.140625" style="24" customWidth="1"/>
    <col min="14870" max="14870" width="5.42578125" style="24" bestFit="1" customWidth="1"/>
    <col min="14871" max="14871" width="4.42578125" style="24" bestFit="1" customWidth="1"/>
    <col min="14872" max="14872" width="6.42578125" style="24" customWidth="1"/>
    <col min="14873" max="14873" width="5" style="24" bestFit="1" customWidth="1"/>
    <col min="14874" max="14874" width="4.5703125" style="24" bestFit="1" customWidth="1"/>
    <col min="14875" max="14875" width="4.42578125" style="24" bestFit="1" customWidth="1"/>
    <col min="14876" max="14876" width="4" style="24" customWidth="1"/>
    <col min="14877" max="15104" width="11.42578125" style="24"/>
    <col min="15105" max="15105" width="14.85546875" style="24" bestFit="1" customWidth="1"/>
    <col min="15106" max="15106" width="28" style="24" bestFit="1" customWidth="1"/>
    <col min="15107" max="15107" width="4.42578125" style="24" bestFit="1" customWidth="1"/>
    <col min="15108" max="15108" width="8" style="24" bestFit="1" customWidth="1"/>
    <col min="15109" max="15109" width="11.42578125" style="24"/>
    <col min="15110" max="15110" width="22.85546875" style="24" bestFit="1" customWidth="1"/>
    <col min="15111" max="15111" width="7" style="24" customWidth="1"/>
    <col min="15112" max="15112" width="6.28515625" style="24" customWidth="1"/>
    <col min="15113" max="15113" width="5.7109375" style="24" customWidth="1"/>
    <col min="15114" max="15114" width="5.7109375" style="24" bestFit="1" customWidth="1"/>
    <col min="15115" max="15115" width="5.85546875" style="24" bestFit="1" customWidth="1"/>
    <col min="15116" max="15116" width="9.42578125" style="24" customWidth="1"/>
    <col min="15117" max="15117" width="5.140625" style="24" customWidth="1"/>
    <col min="15118" max="15118" width="9.7109375" style="24" customWidth="1"/>
    <col min="15119" max="15119" width="6.7109375" style="24" bestFit="1" customWidth="1"/>
    <col min="15120" max="15120" width="4.85546875" style="24" customWidth="1"/>
    <col min="15121" max="15121" width="5.28515625" style="24" customWidth="1"/>
    <col min="15122" max="15123" width="4.42578125" style="24" bestFit="1" customWidth="1"/>
    <col min="15124" max="15124" width="13.28515625" style="24" bestFit="1" customWidth="1"/>
    <col min="15125" max="15125" width="3.140625" style="24" customWidth="1"/>
    <col min="15126" max="15126" width="5.42578125" style="24" bestFit="1" customWidth="1"/>
    <col min="15127" max="15127" width="4.42578125" style="24" bestFit="1" customWidth="1"/>
    <col min="15128" max="15128" width="6.42578125" style="24" customWidth="1"/>
    <col min="15129" max="15129" width="5" style="24" bestFit="1" customWidth="1"/>
    <col min="15130" max="15130" width="4.5703125" style="24" bestFit="1" customWidth="1"/>
    <col min="15131" max="15131" width="4.42578125" style="24" bestFit="1" customWidth="1"/>
    <col min="15132" max="15132" width="4" style="24" customWidth="1"/>
    <col min="15133" max="15360" width="11.42578125" style="24"/>
    <col min="15361" max="15361" width="14.85546875" style="24" bestFit="1" customWidth="1"/>
    <col min="15362" max="15362" width="28" style="24" bestFit="1" customWidth="1"/>
    <col min="15363" max="15363" width="4.42578125" style="24" bestFit="1" customWidth="1"/>
    <col min="15364" max="15364" width="8" style="24" bestFit="1" customWidth="1"/>
    <col min="15365" max="15365" width="11.42578125" style="24"/>
    <col min="15366" max="15366" width="22.85546875" style="24" bestFit="1" customWidth="1"/>
    <col min="15367" max="15367" width="7" style="24" customWidth="1"/>
    <col min="15368" max="15368" width="6.28515625" style="24" customWidth="1"/>
    <col min="15369" max="15369" width="5.7109375" style="24" customWidth="1"/>
    <col min="15370" max="15370" width="5.7109375" style="24" bestFit="1" customWidth="1"/>
    <col min="15371" max="15371" width="5.85546875" style="24" bestFit="1" customWidth="1"/>
    <col min="15372" max="15372" width="9.42578125" style="24" customWidth="1"/>
    <col min="15373" max="15373" width="5.140625" style="24" customWidth="1"/>
    <col min="15374" max="15374" width="9.7109375" style="24" customWidth="1"/>
    <col min="15375" max="15375" width="6.7109375" style="24" bestFit="1" customWidth="1"/>
    <col min="15376" max="15376" width="4.85546875" style="24" customWidth="1"/>
    <col min="15377" max="15377" width="5.28515625" style="24" customWidth="1"/>
    <col min="15378" max="15379" width="4.42578125" style="24" bestFit="1" customWidth="1"/>
    <col min="15380" max="15380" width="13.28515625" style="24" bestFit="1" customWidth="1"/>
    <col min="15381" max="15381" width="3.140625" style="24" customWidth="1"/>
    <col min="15382" max="15382" width="5.42578125" style="24" bestFit="1" customWidth="1"/>
    <col min="15383" max="15383" width="4.42578125" style="24" bestFit="1" customWidth="1"/>
    <col min="15384" max="15384" width="6.42578125" style="24" customWidth="1"/>
    <col min="15385" max="15385" width="5" style="24" bestFit="1" customWidth="1"/>
    <col min="15386" max="15386" width="4.5703125" style="24" bestFit="1" customWidth="1"/>
    <col min="15387" max="15387" width="4.42578125" style="24" bestFit="1" customWidth="1"/>
    <col min="15388" max="15388" width="4" style="24" customWidth="1"/>
    <col min="15389" max="15616" width="11.42578125" style="24"/>
    <col min="15617" max="15617" width="14.85546875" style="24" bestFit="1" customWidth="1"/>
    <col min="15618" max="15618" width="28" style="24" bestFit="1" customWidth="1"/>
    <col min="15619" max="15619" width="4.42578125" style="24" bestFit="1" customWidth="1"/>
    <col min="15620" max="15620" width="8" style="24" bestFit="1" customWidth="1"/>
    <col min="15621" max="15621" width="11.42578125" style="24"/>
    <col min="15622" max="15622" width="22.85546875" style="24" bestFit="1" customWidth="1"/>
    <col min="15623" max="15623" width="7" style="24" customWidth="1"/>
    <col min="15624" max="15624" width="6.28515625" style="24" customWidth="1"/>
    <col min="15625" max="15625" width="5.7109375" style="24" customWidth="1"/>
    <col min="15626" max="15626" width="5.7109375" style="24" bestFit="1" customWidth="1"/>
    <col min="15627" max="15627" width="5.85546875" style="24" bestFit="1" customWidth="1"/>
    <col min="15628" max="15628" width="9.42578125" style="24" customWidth="1"/>
    <col min="15629" max="15629" width="5.140625" style="24" customWidth="1"/>
    <col min="15630" max="15630" width="9.7109375" style="24" customWidth="1"/>
    <col min="15631" max="15631" width="6.7109375" style="24" bestFit="1" customWidth="1"/>
    <col min="15632" max="15632" width="4.85546875" style="24" customWidth="1"/>
    <col min="15633" max="15633" width="5.28515625" style="24" customWidth="1"/>
    <col min="15634" max="15635" width="4.42578125" style="24" bestFit="1" customWidth="1"/>
    <col min="15636" max="15636" width="13.28515625" style="24" bestFit="1" customWidth="1"/>
    <col min="15637" max="15637" width="3.140625" style="24" customWidth="1"/>
    <col min="15638" max="15638" width="5.42578125" style="24" bestFit="1" customWidth="1"/>
    <col min="15639" max="15639" width="4.42578125" style="24" bestFit="1" customWidth="1"/>
    <col min="15640" max="15640" width="6.42578125" style="24" customWidth="1"/>
    <col min="15641" max="15641" width="5" style="24" bestFit="1" customWidth="1"/>
    <col min="15642" max="15642" width="4.5703125" style="24" bestFit="1" customWidth="1"/>
    <col min="15643" max="15643" width="4.42578125" style="24" bestFit="1" customWidth="1"/>
    <col min="15644" max="15644" width="4" style="24" customWidth="1"/>
    <col min="15645" max="15872" width="11.42578125" style="24"/>
    <col min="15873" max="15873" width="14.85546875" style="24" bestFit="1" customWidth="1"/>
    <col min="15874" max="15874" width="28" style="24" bestFit="1" customWidth="1"/>
    <col min="15875" max="15875" width="4.42578125" style="24" bestFit="1" customWidth="1"/>
    <col min="15876" max="15876" width="8" style="24" bestFit="1" customWidth="1"/>
    <col min="15877" max="15877" width="11.42578125" style="24"/>
    <col min="15878" max="15878" width="22.85546875" style="24" bestFit="1" customWidth="1"/>
    <col min="15879" max="15879" width="7" style="24" customWidth="1"/>
    <col min="15880" max="15880" width="6.28515625" style="24" customWidth="1"/>
    <col min="15881" max="15881" width="5.7109375" style="24" customWidth="1"/>
    <col min="15882" max="15882" width="5.7109375" style="24" bestFit="1" customWidth="1"/>
    <col min="15883" max="15883" width="5.85546875" style="24" bestFit="1" customWidth="1"/>
    <col min="15884" max="15884" width="9.42578125" style="24" customWidth="1"/>
    <col min="15885" max="15885" width="5.140625" style="24" customWidth="1"/>
    <col min="15886" max="15886" width="9.7109375" style="24" customWidth="1"/>
    <col min="15887" max="15887" width="6.7109375" style="24" bestFit="1" customWidth="1"/>
    <col min="15888" max="15888" width="4.85546875" style="24" customWidth="1"/>
    <col min="15889" max="15889" width="5.28515625" style="24" customWidth="1"/>
    <col min="15890" max="15891" width="4.42578125" style="24" bestFit="1" customWidth="1"/>
    <col min="15892" max="15892" width="13.28515625" style="24" bestFit="1" customWidth="1"/>
    <col min="15893" max="15893" width="3.140625" style="24" customWidth="1"/>
    <col min="15894" max="15894" width="5.42578125" style="24" bestFit="1" customWidth="1"/>
    <col min="15895" max="15895" width="4.42578125" style="24" bestFit="1" customWidth="1"/>
    <col min="15896" max="15896" width="6.42578125" style="24" customWidth="1"/>
    <col min="15897" max="15897" width="5" style="24" bestFit="1" customWidth="1"/>
    <col min="15898" max="15898" width="4.5703125" style="24" bestFit="1" customWidth="1"/>
    <col min="15899" max="15899" width="4.42578125" style="24" bestFit="1" customWidth="1"/>
    <col min="15900" max="15900" width="4" style="24" customWidth="1"/>
    <col min="15901" max="16128" width="11.42578125" style="24"/>
    <col min="16129" max="16129" width="14.85546875" style="24" bestFit="1" customWidth="1"/>
    <col min="16130" max="16130" width="28" style="24" bestFit="1" customWidth="1"/>
    <col min="16131" max="16131" width="4.42578125" style="24" bestFit="1" customWidth="1"/>
    <col min="16132" max="16132" width="8" style="24" bestFit="1" customWidth="1"/>
    <col min="16133" max="16133" width="11.42578125" style="24"/>
    <col min="16134" max="16134" width="22.85546875" style="24" bestFit="1" customWidth="1"/>
    <col min="16135" max="16135" width="7" style="24" customWidth="1"/>
    <col min="16136" max="16136" width="6.28515625" style="24" customWidth="1"/>
    <col min="16137" max="16137" width="5.7109375" style="24" customWidth="1"/>
    <col min="16138" max="16138" width="5.7109375" style="24" bestFit="1" customWidth="1"/>
    <col min="16139" max="16139" width="5.85546875" style="24" bestFit="1" customWidth="1"/>
    <col min="16140" max="16140" width="9.42578125" style="24" customWidth="1"/>
    <col min="16141" max="16141" width="5.140625" style="24" customWidth="1"/>
    <col min="16142" max="16142" width="9.7109375" style="24" customWidth="1"/>
    <col min="16143" max="16143" width="6.7109375" style="24" bestFit="1" customWidth="1"/>
    <col min="16144" max="16144" width="4.85546875" style="24" customWidth="1"/>
    <col min="16145" max="16145" width="5.28515625" style="24" customWidth="1"/>
    <col min="16146" max="16147" width="4.42578125" style="24" bestFit="1" customWidth="1"/>
    <col min="16148" max="16148" width="13.28515625" style="24" bestFit="1" customWidth="1"/>
    <col min="16149" max="16149" width="3.140625" style="24" customWidth="1"/>
    <col min="16150" max="16150" width="5.42578125" style="24" bestFit="1" customWidth="1"/>
    <col min="16151" max="16151" width="4.42578125" style="24" bestFit="1" customWidth="1"/>
    <col min="16152" max="16152" width="6.42578125" style="24" customWidth="1"/>
    <col min="16153" max="16153" width="5" style="24" bestFit="1" customWidth="1"/>
    <col min="16154" max="16154" width="4.5703125" style="24" bestFit="1" customWidth="1"/>
    <col min="16155" max="16155" width="4.42578125" style="24" bestFit="1" customWidth="1"/>
    <col min="16156" max="16156" width="4" style="24" customWidth="1"/>
    <col min="16157" max="16384" width="11.42578125" style="24"/>
  </cols>
  <sheetData>
    <row r="1" spans="1:42" x14ac:dyDescent="0.2">
      <c r="E1" s="1"/>
      <c r="F1" s="1"/>
      <c r="G1" s="631" t="s">
        <v>0</v>
      </c>
      <c r="H1" s="632"/>
      <c r="I1" s="632"/>
      <c r="J1" s="632"/>
      <c r="K1" s="632"/>
      <c r="L1" s="633"/>
      <c r="M1" s="589"/>
      <c r="N1" s="632" t="s">
        <v>1</v>
      </c>
      <c r="O1" s="632"/>
      <c r="P1" s="632"/>
      <c r="Q1" s="632"/>
      <c r="R1" s="632"/>
      <c r="S1" s="632"/>
      <c r="T1" s="632"/>
      <c r="U1" s="1"/>
      <c r="V1" s="632" t="s">
        <v>2</v>
      </c>
      <c r="W1" s="632"/>
      <c r="X1" s="632"/>
      <c r="Y1" s="632"/>
      <c r="Z1" s="632"/>
      <c r="AA1" s="632"/>
      <c r="AB1" s="28"/>
    </row>
    <row r="2" spans="1:42" ht="15" customHeight="1" x14ac:dyDescent="0.25">
      <c r="E2" s="1"/>
      <c r="F2" s="1"/>
      <c r="G2" s="634" t="s">
        <v>43</v>
      </c>
      <c r="H2" s="635"/>
      <c r="I2" s="636" t="s">
        <v>3</v>
      </c>
      <c r="J2" s="635"/>
      <c r="K2" s="635"/>
      <c r="L2" s="635"/>
      <c r="M2" s="378"/>
      <c r="N2" s="637" t="s">
        <v>4</v>
      </c>
      <c r="O2" s="639" t="s">
        <v>5</v>
      </c>
      <c r="P2" s="640"/>
      <c r="Q2" s="640"/>
      <c r="R2" s="640"/>
      <c r="S2" s="640"/>
      <c r="T2" s="641"/>
      <c r="U2" s="1"/>
      <c r="V2" s="643" t="s">
        <v>515</v>
      </c>
      <c r="W2" s="640"/>
      <c r="X2" s="640"/>
      <c r="Y2" s="640"/>
      <c r="Z2" s="640"/>
      <c r="AA2" s="641"/>
      <c r="AB2" s="29"/>
      <c r="AJ2" s="578"/>
      <c r="AK2" s="571"/>
      <c r="AL2" s="578"/>
      <c r="AM2" s="570" t="s">
        <v>514</v>
      </c>
      <c r="AN2" s="571"/>
      <c r="AO2" s="572"/>
    </row>
    <row r="3" spans="1:42" s="25" customFormat="1" ht="38.25" x14ac:dyDescent="0.2">
      <c r="E3" s="4"/>
      <c r="F3" s="4"/>
      <c r="G3" s="30"/>
      <c r="H3" s="30"/>
      <c r="I3" s="644" t="s">
        <v>6</v>
      </c>
      <c r="J3" s="635"/>
      <c r="K3" s="644" t="s">
        <v>52</v>
      </c>
      <c r="L3" s="635"/>
      <c r="M3" s="379" t="s">
        <v>474</v>
      </c>
      <c r="N3" s="638"/>
      <c r="O3" s="642"/>
      <c r="P3" s="640"/>
      <c r="Q3" s="640"/>
      <c r="R3" s="640"/>
      <c r="S3" s="640"/>
      <c r="T3" s="641"/>
      <c r="U3" s="4"/>
      <c r="V3" s="642"/>
      <c r="W3" s="633"/>
      <c r="X3" s="633"/>
      <c r="Y3" s="633"/>
      <c r="Z3" s="633"/>
      <c r="AA3" s="641"/>
      <c r="AB3" s="31"/>
      <c r="AD3" s="579"/>
      <c r="AE3" s="579" t="s">
        <v>499</v>
      </c>
      <c r="AF3" s="579"/>
      <c r="AG3" s="579" t="s">
        <v>516</v>
      </c>
      <c r="AH3" s="579"/>
      <c r="AI3" s="579" t="s">
        <v>459</v>
      </c>
      <c r="AJ3" s="573"/>
      <c r="AK3" s="574"/>
      <c r="AL3" s="574"/>
      <c r="AM3" s="574"/>
      <c r="AN3" s="574"/>
      <c r="AO3" s="572"/>
    </row>
    <row r="4" spans="1:42" ht="15" x14ac:dyDescent="0.25">
      <c r="A4" s="648" t="s">
        <v>44</v>
      </c>
      <c r="B4" s="649"/>
      <c r="C4" s="649"/>
      <c r="E4" s="22" t="s">
        <v>7</v>
      </c>
      <c r="F4" s="22" t="s">
        <v>8</v>
      </c>
      <c r="G4" s="32"/>
      <c r="H4" s="33" t="s">
        <v>9</v>
      </c>
      <c r="I4" s="21"/>
      <c r="J4" s="51" t="s">
        <v>9</v>
      </c>
      <c r="K4" s="21"/>
      <c r="L4" s="51" t="s">
        <v>9</v>
      </c>
      <c r="M4" s="33"/>
      <c r="N4" s="638"/>
      <c r="O4" s="14" t="s">
        <v>10</v>
      </c>
      <c r="P4" s="14" t="s">
        <v>11</v>
      </c>
      <c r="Q4" s="14" t="s">
        <v>12</v>
      </c>
      <c r="R4" s="13" t="s">
        <v>13</v>
      </c>
      <c r="S4" s="12" t="s">
        <v>14</v>
      </c>
      <c r="T4" s="12" t="s">
        <v>15</v>
      </c>
      <c r="U4" s="10"/>
      <c r="V4" s="20" t="s">
        <v>9</v>
      </c>
      <c r="W4" s="14" t="s">
        <v>16</v>
      </c>
      <c r="X4" s="14" t="s">
        <v>17</v>
      </c>
      <c r="Y4" s="13" t="s">
        <v>18</v>
      </c>
      <c r="Z4" s="12" t="s">
        <v>19</v>
      </c>
      <c r="AA4" s="12" t="s">
        <v>20</v>
      </c>
      <c r="AB4" s="24" t="s">
        <v>517</v>
      </c>
      <c r="AD4" s="14" t="s">
        <v>16</v>
      </c>
      <c r="AE4" s="14" t="s">
        <v>17</v>
      </c>
      <c r="AF4" s="13" t="s">
        <v>18</v>
      </c>
      <c r="AG4" s="12" t="s">
        <v>19</v>
      </c>
      <c r="AH4" s="12" t="s">
        <v>20</v>
      </c>
      <c r="AI4" s="594" t="s">
        <v>459</v>
      </c>
      <c r="AJ4" s="575" t="s">
        <v>9</v>
      </c>
      <c r="AK4" s="575" t="s">
        <v>16</v>
      </c>
      <c r="AL4" s="575" t="s">
        <v>17</v>
      </c>
      <c r="AM4" s="576" t="s">
        <v>18</v>
      </c>
      <c r="AN4" s="577" t="s">
        <v>19</v>
      </c>
      <c r="AO4" s="577" t="s">
        <v>20</v>
      </c>
    </row>
    <row r="5" spans="1:42" ht="15" x14ac:dyDescent="0.25">
      <c r="A5" s="24" t="s">
        <v>9</v>
      </c>
      <c r="C5" s="26">
        <f>SUM(C7:C25)</f>
        <v>263.82083685086769</v>
      </c>
      <c r="E5" s="2"/>
      <c r="F5" s="19"/>
      <c r="G5" s="34">
        <f>SUM(G7:G44)-R23-S23</f>
        <v>263.21490583379767</v>
      </c>
      <c r="H5" s="19"/>
      <c r="I5" s="18"/>
      <c r="J5" s="17"/>
      <c r="L5" s="8"/>
      <c r="N5" s="16"/>
      <c r="O5" s="15"/>
      <c r="P5" s="14"/>
      <c r="Q5" s="14"/>
      <c r="R5" s="13"/>
      <c r="S5" s="12"/>
      <c r="T5" s="11">
        <f>T7+T23+T26+T39</f>
        <v>153.54227414911855</v>
      </c>
      <c r="U5" s="10"/>
      <c r="V5" s="9">
        <f>SUM(V7,V21,V26:V32,V34)</f>
        <v>144.09920072654168</v>
      </c>
      <c r="W5" s="9">
        <f>SUM(W7:W44)</f>
        <v>4.692578084392105</v>
      </c>
      <c r="X5" s="9">
        <f t="shared" ref="X5:Z5" si="0">SUM(X7:X44)</f>
        <v>35.289697017854934</v>
      </c>
      <c r="Y5" s="9">
        <f t="shared" si="0"/>
        <v>38.629757860755575</v>
      </c>
      <c r="Z5" s="9">
        <f t="shared" si="0"/>
        <v>22.608972895113475</v>
      </c>
      <c r="AA5" s="9">
        <f>SUM(AA7:AA44)</f>
        <v>42.878194868425588</v>
      </c>
      <c r="AB5" s="27"/>
      <c r="AJ5" s="9">
        <f>SUM(AJ13,AJ23,AJ26:AJ32,AJ40)</f>
        <v>154.03950986673482</v>
      </c>
      <c r="AK5" s="9">
        <f>SUM(AK7:AK44)</f>
        <v>4.7115533247379862</v>
      </c>
      <c r="AL5" s="9">
        <f t="shared" ref="AL5:AO5" si="1">SUM(AL7:AL44)</f>
        <v>35.400564722695307</v>
      </c>
      <c r="AM5" s="9">
        <f t="shared" si="1"/>
        <v>43.154943089738673</v>
      </c>
      <c r="AN5" s="9">
        <f t="shared" si="1"/>
        <v>23.372293698905821</v>
      </c>
      <c r="AO5" s="9">
        <f t="shared" si="1"/>
        <v>47.400155030657011</v>
      </c>
      <c r="AP5" s="27"/>
    </row>
    <row r="6" spans="1:42" x14ac:dyDescent="0.2">
      <c r="E6" s="1"/>
      <c r="F6" s="1"/>
      <c r="G6" s="607">
        <f>G5-'bilan complet'!K132-I40-I41</f>
        <v>0.15230431050580828</v>
      </c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09">
        <f>T5-'bilan complet'!K126+(SUM(AD7:AH19)-T7)</f>
        <v>-7.1054273576010019E-15</v>
      </c>
      <c r="U6" s="510"/>
      <c r="V6" s="511">
        <f>V5-'scenario demande'!E368</f>
        <v>0</v>
      </c>
      <c r="W6" s="1"/>
      <c r="X6" s="1"/>
      <c r="Y6" s="1"/>
      <c r="Z6" s="1"/>
      <c r="AA6" s="1"/>
      <c r="AB6" s="35"/>
      <c r="AJ6" s="580">
        <f>AJ5-'bilan complet'!K126</f>
        <v>-4.9942856482573461E-2</v>
      </c>
      <c r="AK6" s="1"/>
      <c r="AL6" s="1"/>
      <c r="AM6" s="1"/>
      <c r="AN6" s="1"/>
      <c r="AO6" s="1"/>
    </row>
    <row r="7" spans="1:42" x14ac:dyDescent="0.2">
      <c r="A7" s="24" t="s">
        <v>45</v>
      </c>
      <c r="B7" s="24" t="s">
        <v>46</v>
      </c>
      <c r="C7" s="27">
        <f>G29+G35+G13</f>
        <v>15.168776193637902</v>
      </c>
      <c r="E7" s="650" t="s">
        <v>14</v>
      </c>
      <c r="F7" s="1" t="s">
        <v>21</v>
      </c>
      <c r="G7" s="2">
        <f>électricité!E27*0.086</f>
        <v>3.2770971874999999</v>
      </c>
      <c r="H7" s="651">
        <f>SUM(G7:G20)</f>
        <v>130.45315926794871</v>
      </c>
      <c r="I7" s="3"/>
      <c r="J7" s="652">
        <f>SUM(I7:I19)</f>
        <v>82.126413779526771</v>
      </c>
      <c r="K7" s="2">
        <f>G7-I7</f>
        <v>3.2770971874999999</v>
      </c>
      <c r="L7" s="652">
        <f>SUM(K6:K19)</f>
        <v>51.431973281634832</v>
      </c>
      <c r="N7" s="651">
        <f>L7-M13</f>
        <v>46.181397743558691</v>
      </c>
      <c r="O7" s="46"/>
      <c r="P7" s="46"/>
      <c r="Q7" s="46"/>
      <c r="R7" s="45"/>
      <c r="S7" s="588"/>
      <c r="T7" s="666">
        <f>N7-O12-P12-Q12</f>
        <v>40.012002140043066</v>
      </c>
      <c r="U7" s="23"/>
      <c r="V7" s="655">
        <f>SUM(W7:AA19)</f>
        <v>39.386329811466517</v>
      </c>
      <c r="W7" s="503"/>
      <c r="X7" s="506"/>
      <c r="Y7" s="503"/>
      <c r="Z7" s="506"/>
      <c r="AA7" s="503"/>
      <c r="AB7" s="36"/>
      <c r="AC7" s="514"/>
      <c r="AD7" s="645">
        <f>'bilan complet'!$I$124</f>
        <v>0.71948119750612871</v>
      </c>
      <c r="AE7" s="645">
        <f>'bilan complet'!$I$121</f>
        <v>10.967756658447003</v>
      </c>
      <c r="AF7" s="645">
        <f>'bilan complet'!$I$122</f>
        <v>14.240906691842394</v>
      </c>
      <c r="AG7" s="645">
        <f>'bilan complet'!$I$123</f>
        <v>13.022671342785156</v>
      </c>
      <c r="AH7" s="655">
        <f>'bilan complet'!$I$125</f>
        <v>1.6083648235612082</v>
      </c>
      <c r="AJ7" s="554"/>
      <c r="AK7" s="555"/>
      <c r="AL7" s="506"/>
      <c r="AM7" s="503"/>
      <c r="AN7" s="506"/>
      <c r="AO7" s="503"/>
    </row>
    <row r="8" spans="1:42" x14ac:dyDescent="0.2">
      <c r="B8" s="24" t="s">
        <v>21</v>
      </c>
      <c r="C8" s="27">
        <f>G7</f>
        <v>3.2770971874999999</v>
      </c>
      <c r="D8" s="27"/>
      <c r="E8" s="650"/>
      <c r="F8" s="1" t="s">
        <v>22</v>
      </c>
      <c r="G8" s="2">
        <f>électricité!E25*0.086</f>
        <v>5.6249993125</v>
      </c>
      <c r="H8" s="651"/>
      <c r="I8" s="3"/>
      <c r="J8" s="652"/>
      <c r="K8" s="2">
        <f t="shared" ref="K8:K44" si="2">G8-I8</f>
        <v>5.6249993125</v>
      </c>
      <c r="L8" s="652"/>
      <c r="N8" s="651"/>
      <c r="O8" s="46"/>
      <c r="P8" s="46"/>
      <c r="Q8" s="46"/>
      <c r="R8" s="45"/>
      <c r="S8" s="588"/>
      <c r="T8" s="666"/>
      <c r="U8" s="23"/>
      <c r="V8" s="656"/>
      <c r="W8" s="504"/>
      <c r="X8" s="507"/>
      <c r="Y8" s="504"/>
      <c r="Z8" s="507"/>
      <c r="AA8" s="504"/>
      <c r="AB8" s="36"/>
      <c r="AC8" s="38"/>
      <c r="AD8" s="646"/>
      <c r="AE8" s="646"/>
      <c r="AF8" s="646"/>
      <c r="AG8" s="646"/>
      <c r="AH8" s="656"/>
      <c r="AJ8" s="591"/>
      <c r="AK8" s="556"/>
      <c r="AL8" s="507"/>
      <c r="AM8" s="504"/>
      <c r="AN8" s="507"/>
      <c r="AO8" s="504"/>
    </row>
    <row r="9" spans="1:42" x14ac:dyDescent="0.2">
      <c r="B9" s="24" t="s">
        <v>47</v>
      </c>
      <c r="C9" s="27">
        <f>G11+G21+G22+G26+G34</f>
        <v>0</v>
      </c>
      <c r="E9" s="650"/>
      <c r="F9" s="1" t="s">
        <v>23</v>
      </c>
      <c r="G9" s="2">
        <f>électricité!E26*0.086</f>
        <v>1.0582100117187498</v>
      </c>
      <c r="H9" s="651"/>
      <c r="I9" s="3"/>
      <c r="J9" s="652"/>
      <c r="K9" s="2">
        <f t="shared" si="2"/>
        <v>1.0582100117187498</v>
      </c>
      <c r="L9" s="652"/>
      <c r="N9" s="651"/>
      <c r="O9" s="46"/>
      <c r="P9" s="46"/>
      <c r="Q9" s="46"/>
      <c r="R9" s="45"/>
      <c r="S9" s="588"/>
      <c r="T9" s="666"/>
      <c r="U9" s="23"/>
      <c r="V9" s="656"/>
      <c r="W9" s="504"/>
      <c r="X9" s="507"/>
      <c r="Y9" s="504"/>
      <c r="Z9" s="507"/>
      <c r="AA9" s="504"/>
      <c r="AB9" s="36"/>
      <c r="AC9" s="38"/>
      <c r="AD9" s="646"/>
      <c r="AE9" s="646"/>
      <c r="AF9" s="646"/>
      <c r="AG9" s="646"/>
      <c r="AH9" s="656"/>
      <c r="AJ9" s="591"/>
      <c r="AK9" s="556"/>
      <c r="AL9" s="507"/>
      <c r="AM9" s="504"/>
      <c r="AN9" s="507"/>
      <c r="AO9" s="504"/>
    </row>
    <row r="10" spans="1:42" x14ac:dyDescent="0.2">
      <c r="B10" s="24" t="s">
        <v>28</v>
      </c>
      <c r="C10" s="27">
        <f>G14+G30+G37</f>
        <v>0.15293512138261758</v>
      </c>
      <c r="E10" s="650"/>
      <c r="F10" s="1" t="s">
        <v>24</v>
      </c>
      <c r="G10" s="2">
        <f>105.77+'bilan complet'!H104</f>
        <v>102.83022924804688</v>
      </c>
      <c r="H10" s="651"/>
      <c r="I10" s="3">
        <f>K10/0.33-K10</f>
        <v>70.864153943359369</v>
      </c>
      <c r="J10" s="652"/>
      <c r="K10" s="3">
        <f>électricité!E22*0.086</f>
        <v>34.903240001953122</v>
      </c>
      <c r="L10" s="652"/>
      <c r="N10" s="651"/>
      <c r="O10" s="46"/>
      <c r="P10" s="46"/>
      <c r="Q10" s="46"/>
      <c r="R10" s="45"/>
      <c r="S10" s="588"/>
      <c r="T10" s="666"/>
      <c r="U10" s="23"/>
      <c r="V10" s="656"/>
      <c r="W10" s="504"/>
      <c r="X10" s="507"/>
      <c r="Y10" s="504"/>
      <c r="Z10" s="507"/>
      <c r="AA10" s="504"/>
      <c r="AB10" s="36"/>
      <c r="AC10" s="38"/>
      <c r="AD10" s="646"/>
      <c r="AE10" s="646"/>
      <c r="AF10" s="646"/>
      <c r="AG10" s="646"/>
      <c r="AH10" s="656"/>
      <c r="AJ10" s="591"/>
      <c r="AK10" s="556"/>
      <c r="AL10" s="507"/>
      <c r="AM10" s="504"/>
      <c r="AN10" s="507"/>
      <c r="AO10" s="504"/>
    </row>
    <row r="11" spans="1:42" x14ac:dyDescent="0.2">
      <c r="B11" s="24" t="s">
        <v>22</v>
      </c>
      <c r="C11" s="27">
        <f>G8</f>
        <v>5.6249993125</v>
      </c>
      <c r="E11" s="650"/>
      <c r="F11" s="1" t="s">
        <v>25</v>
      </c>
      <c r="G11" s="2"/>
      <c r="H11" s="651"/>
      <c r="I11" s="3"/>
      <c r="J11" s="652"/>
      <c r="K11" s="2">
        <f t="shared" si="2"/>
        <v>0</v>
      </c>
      <c r="L11" s="652"/>
      <c r="N11" s="651"/>
      <c r="O11" s="46"/>
      <c r="P11" s="46"/>
      <c r="Q11" s="46"/>
      <c r="R11" s="45"/>
      <c r="S11" s="588"/>
      <c r="T11" s="666"/>
      <c r="U11" s="23"/>
      <c r="V11" s="656"/>
      <c r="W11" s="504"/>
      <c r="X11" s="507"/>
      <c r="Y11" s="504"/>
      <c r="Z11" s="507"/>
      <c r="AA11" s="504"/>
      <c r="AB11" s="36"/>
      <c r="AC11" s="38"/>
      <c r="AD11" s="646"/>
      <c r="AE11" s="646"/>
      <c r="AF11" s="646"/>
      <c r="AG11" s="646"/>
      <c r="AH11" s="656"/>
      <c r="AJ11" s="591"/>
      <c r="AK11" s="556"/>
      <c r="AL11" s="507"/>
      <c r="AM11" s="504"/>
      <c r="AN11" s="507"/>
      <c r="AO11" s="504"/>
    </row>
    <row r="12" spans="1:42" x14ac:dyDescent="0.2">
      <c r="B12" s="24" t="s">
        <v>23</v>
      </c>
      <c r="C12" s="27">
        <f>G9</f>
        <v>1.0582100117187498</v>
      </c>
      <c r="D12" s="27"/>
      <c r="E12" s="650"/>
      <c r="F12" s="1" t="s">
        <v>26</v>
      </c>
      <c r="G12" s="2">
        <f>'bilan complet'!J118</f>
        <v>3.3445720177742642</v>
      </c>
      <c r="H12" s="651"/>
      <c r="I12" s="3">
        <f>G12-K12</f>
        <v>2.4543095080086395</v>
      </c>
      <c r="J12" s="652"/>
      <c r="K12" s="2">
        <f>électricité!E21*0.086</f>
        <v>0.89026250976562482</v>
      </c>
      <c r="L12" s="652"/>
      <c r="N12" s="651"/>
      <c r="O12" s="46">
        <f>(électricité!E32)*0.086</f>
        <v>3.2296248515624999</v>
      </c>
      <c r="P12" s="46">
        <f>électricité!E36*0.086</f>
        <v>2.9397707519531253</v>
      </c>
      <c r="Q12" s="46"/>
      <c r="R12" s="45"/>
      <c r="S12" s="588"/>
      <c r="T12" s="666"/>
      <c r="U12" s="7"/>
      <c r="V12" s="656"/>
      <c r="W12" s="504"/>
      <c r="X12" s="507"/>
      <c r="Y12" s="504"/>
      <c r="Z12" s="507"/>
      <c r="AA12" s="504"/>
      <c r="AB12" s="36"/>
      <c r="AC12" s="38" t="s">
        <v>497</v>
      </c>
      <c r="AD12" s="646"/>
      <c r="AE12" s="646"/>
      <c r="AF12" s="646"/>
      <c r="AG12" s="646"/>
      <c r="AH12" s="656"/>
      <c r="AJ12" s="591"/>
      <c r="AK12" s="556"/>
      <c r="AL12" s="507"/>
      <c r="AM12" s="504"/>
      <c r="AN12" s="507"/>
      <c r="AO12" s="504"/>
    </row>
    <row r="13" spans="1:42" x14ac:dyDescent="0.2">
      <c r="B13" s="24" t="s">
        <v>62</v>
      </c>
      <c r="C13" s="27">
        <f>G39</f>
        <v>4.7850841611254396</v>
      </c>
      <c r="E13" s="650"/>
      <c r="F13" s="1" t="s">
        <v>27</v>
      </c>
      <c r="G13" s="2"/>
      <c r="H13" s="651"/>
      <c r="I13" s="3"/>
      <c r="J13" s="652"/>
      <c r="K13" s="2">
        <f t="shared" si="2"/>
        <v>0</v>
      </c>
      <c r="L13" s="652"/>
      <c r="M13" s="37">
        <f>électricité!E34*0.086</f>
        <v>5.2505755380761387</v>
      </c>
      <c r="N13" s="651"/>
      <c r="O13" s="46"/>
      <c r="P13" s="46"/>
      <c r="Q13" s="46"/>
      <c r="R13" s="45"/>
      <c r="S13" s="588"/>
      <c r="T13" s="666"/>
      <c r="U13" s="1"/>
      <c r="V13" s="656"/>
      <c r="W13" s="504">
        <f>'scenario demande'!$E$339</f>
        <v>0.66807039040894411</v>
      </c>
      <c r="X13" s="507">
        <f>'scenario demande'!$E$12</f>
        <v>10.946602933937289</v>
      </c>
      <c r="Y13" s="504">
        <f>'scenario demande'!$E$113</f>
        <v>13.296885090416801</v>
      </c>
      <c r="Z13" s="507">
        <f>'scenario demande'!$E$188</f>
        <v>12.8644906440834</v>
      </c>
      <c r="AA13" s="504">
        <f>'scenario demande'!$E$278</f>
        <v>1.6102807526200791</v>
      </c>
      <c r="AB13" s="36"/>
      <c r="AC13" s="38"/>
      <c r="AD13" s="646"/>
      <c r="AE13" s="646"/>
      <c r="AF13" s="646"/>
      <c r="AG13" s="646"/>
      <c r="AH13" s="656"/>
      <c r="AI13" s="27">
        <f>SUM(AD7:AH19)</f>
        <v>40.559180714141895</v>
      </c>
      <c r="AJ13" s="591">
        <f>SUM(AK7:AO19)</f>
        <v>40.559180714141895</v>
      </c>
      <c r="AK13" s="557">
        <f>AD7</f>
        <v>0.71948119750612871</v>
      </c>
      <c r="AL13" s="507">
        <f>AE7</f>
        <v>10.967756658447003</v>
      </c>
      <c r="AM13" s="507">
        <f>AF7</f>
        <v>14.240906691842394</v>
      </c>
      <c r="AN13" s="507">
        <f>AG7</f>
        <v>13.022671342785156</v>
      </c>
      <c r="AO13" s="507">
        <f>AH7</f>
        <v>1.6083648235612082</v>
      </c>
    </row>
    <row r="14" spans="1:42" x14ac:dyDescent="0.2">
      <c r="B14" s="24" t="s">
        <v>48</v>
      </c>
      <c r="C14" s="27">
        <f>G38</f>
        <v>1.48</v>
      </c>
      <c r="E14" s="650"/>
      <c r="F14" s="1" t="s">
        <v>28</v>
      </c>
      <c r="G14" s="2"/>
      <c r="H14" s="651"/>
      <c r="I14" s="3"/>
      <c r="J14" s="652"/>
      <c r="K14" s="2">
        <f t="shared" si="2"/>
        <v>0</v>
      </c>
      <c r="L14" s="652"/>
      <c r="N14" s="651"/>
      <c r="O14" s="46"/>
      <c r="P14" s="46"/>
      <c r="Q14" s="46"/>
      <c r="R14" s="45"/>
      <c r="S14" s="588"/>
      <c r="T14" s="666"/>
      <c r="U14" s="1"/>
      <c r="V14" s="656"/>
      <c r="W14" s="504"/>
      <c r="X14" s="507"/>
      <c r="Y14" s="504"/>
      <c r="Z14" s="507"/>
      <c r="AA14" s="504"/>
      <c r="AB14" s="36"/>
      <c r="AC14" s="38"/>
      <c r="AD14" s="646"/>
      <c r="AE14" s="646"/>
      <c r="AF14" s="646"/>
      <c r="AG14" s="646"/>
      <c r="AH14" s="656"/>
      <c r="AJ14" s="591"/>
      <c r="AK14" s="556"/>
      <c r="AL14" s="507"/>
      <c r="AM14" s="504"/>
      <c r="AN14" s="507"/>
      <c r="AO14" s="504"/>
    </row>
    <row r="15" spans="1:42" x14ac:dyDescent="0.2">
      <c r="B15" s="24" t="s">
        <v>35</v>
      </c>
      <c r="C15" s="27">
        <f>G36+G31</f>
        <v>0.45639925496156419</v>
      </c>
      <c r="E15" s="650"/>
      <c r="F15" s="1" t="s">
        <v>29</v>
      </c>
      <c r="G15" s="2">
        <f>électricité!E30*0.086</f>
        <v>7.5335997971706095E-8</v>
      </c>
      <c r="H15" s="651"/>
      <c r="I15" s="3"/>
      <c r="J15" s="652"/>
      <c r="K15" s="2">
        <f t="shared" si="2"/>
        <v>7.5335997971706095E-8</v>
      </c>
      <c r="L15" s="652"/>
      <c r="N15" s="651"/>
      <c r="O15" s="46"/>
      <c r="P15" s="46"/>
      <c r="Q15" s="46"/>
      <c r="R15" s="45"/>
      <c r="S15" s="588"/>
      <c r="T15" s="666"/>
      <c r="U15" s="1"/>
      <c r="V15" s="656"/>
      <c r="W15" s="504"/>
      <c r="X15" s="507"/>
      <c r="Y15" s="504"/>
      <c r="Z15" s="507"/>
      <c r="AA15" s="504"/>
      <c r="AB15" s="36"/>
      <c r="AC15" s="38"/>
      <c r="AD15" s="646"/>
      <c r="AE15" s="646"/>
      <c r="AF15" s="646"/>
      <c r="AG15" s="646"/>
      <c r="AH15" s="656"/>
      <c r="AJ15" s="591"/>
      <c r="AK15" s="556"/>
      <c r="AL15" s="507"/>
      <c r="AM15" s="504"/>
      <c r="AN15" s="507"/>
      <c r="AO15" s="504"/>
    </row>
    <row r="16" spans="1:42" x14ac:dyDescent="0.2">
      <c r="B16" s="24" t="s">
        <v>39</v>
      </c>
      <c r="C16" s="27">
        <f>G12+G16+G27+G28</f>
        <v>4.2147271500243022</v>
      </c>
      <c r="E16" s="650"/>
      <c r="F16" s="1" t="s">
        <v>30</v>
      </c>
      <c r="G16" s="2">
        <v>0</v>
      </c>
      <c r="H16" s="651"/>
      <c r="I16" s="3"/>
      <c r="J16" s="652"/>
      <c r="K16" s="2">
        <f>électricité!E20*0.086</f>
        <v>0.16806309594726559</v>
      </c>
      <c r="L16" s="652"/>
      <c r="N16" s="651"/>
      <c r="O16" s="46"/>
      <c r="P16" s="46"/>
      <c r="Q16" s="46"/>
      <c r="R16" s="45"/>
      <c r="S16" s="588"/>
      <c r="T16" s="666"/>
      <c r="U16" s="1"/>
      <c r="V16" s="656"/>
      <c r="W16" s="504"/>
      <c r="X16" s="507"/>
      <c r="Y16" s="504"/>
      <c r="Z16" s="507"/>
      <c r="AA16" s="504"/>
      <c r="AB16" s="36"/>
      <c r="AC16" s="38"/>
      <c r="AD16" s="646"/>
      <c r="AE16" s="646"/>
      <c r="AF16" s="646"/>
      <c r="AG16" s="646"/>
      <c r="AH16" s="656"/>
      <c r="AJ16" s="591"/>
      <c r="AK16" s="556"/>
      <c r="AL16" s="507"/>
      <c r="AM16" s="504"/>
      <c r="AN16" s="507"/>
      <c r="AO16" s="504"/>
    </row>
    <row r="17" spans="1:41" x14ac:dyDescent="0.2">
      <c r="C17" s="27"/>
      <c r="E17" s="650"/>
      <c r="F17" s="1" t="s">
        <v>473</v>
      </c>
      <c r="G17" s="2">
        <f>électricité!E6</f>
        <v>0.4849151916503906</v>
      </c>
      <c r="H17" s="651"/>
      <c r="I17" s="3">
        <f>G17-K17</f>
        <v>0.29318579223632812</v>
      </c>
      <c r="J17" s="652"/>
      <c r="K17" s="5">
        <f>électricité!E17*0.086</f>
        <v>0.19172939941406247</v>
      </c>
      <c r="L17" s="652"/>
      <c r="N17" s="651"/>
      <c r="O17" s="46"/>
      <c r="P17" s="46"/>
      <c r="Q17" s="46"/>
      <c r="R17" s="45"/>
      <c r="S17" s="588"/>
      <c r="T17" s="666"/>
      <c r="U17" s="1"/>
      <c r="V17" s="656"/>
      <c r="W17" s="504"/>
      <c r="X17" s="507"/>
      <c r="Y17" s="504"/>
      <c r="Z17" s="507"/>
      <c r="AA17" s="504"/>
      <c r="AB17" s="36"/>
      <c r="AC17" s="38"/>
      <c r="AD17" s="646"/>
      <c r="AE17" s="646"/>
      <c r="AF17" s="646"/>
      <c r="AG17" s="646"/>
      <c r="AH17" s="656"/>
      <c r="AJ17" s="591"/>
      <c r="AK17" s="556"/>
      <c r="AL17" s="507"/>
      <c r="AM17" s="504"/>
      <c r="AN17" s="507"/>
      <c r="AO17" s="504"/>
    </row>
    <row r="18" spans="1:41" x14ac:dyDescent="0.2">
      <c r="C18" s="27"/>
      <c r="E18" s="650"/>
      <c r="F18" s="1" t="s">
        <v>182</v>
      </c>
      <c r="G18" s="2">
        <f>'bilan complet'!B118</f>
        <v>5.3267362681362478</v>
      </c>
      <c r="H18" s="651"/>
      <c r="I18" s="3">
        <f>G18-K18</f>
        <v>3.6546644712612482</v>
      </c>
      <c r="J18" s="652"/>
      <c r="K18" s="2">
        <f>électricité!E10*0.086</f>
        <v>1.6720717968749998</v>
      </c>
      <c r="L18" s="652"/>
      <c r="N18" s="651"/>
      <c r="O18" s="46"/>
      <c r="P18" s="46"/>
      <c r="Q18" s="46"/>
      <c r="R18" s="45"/>
      <c r="S18" s="588"/>
      <c r="T18" s="666"/>
      <c r="U18" s="1"/>
      <c r="V18" s="656"/>
      <c r="W18" s="504"/>
      <c r="X18" s="507"/>
      <c r="Y18" s="504"/>
      <c r="Z18" s="507"/>
      <c r="AA18" s="504"/>
      <c r="AB18" s="36"/>
      <c r="AC18" s="38"/>
      <c r="AD18" s="646"/>
      <c r="AE18" s="646"/>
      <c r="AF18" s="646"/>
      <c r="AG18" s="646"/>
      <c r="AH18" s="656"/>
      <c r="AJ18" s="591"/>
      <c r="AK18" s="556"/>
      <c r="AL18" s="507"/>
      <c r="AM18" s="504"/>
      <c r="AN18" s="507"/>
      <c r="AO18" s="504"/>
    </row>
    <row r="19" spans="1:41" x14ac:dyDescent="0.2">
      <c r="B19" s="24" t="s">
        <v>49</v>
      </c>
      <c r="C19" s="27">
        <f>G15</f>
        <v>7.5335997971706095E-8</v>
      </c>
      <c r="D19" s="27"/>
      <c r="E19" s="650"/>
      <c r="F19" s="1" t="s">
        <v>31</v>
      </c>
      <c r="G19" s="2">
        <f>'bilan complet'!F118-I32-I29</f>
        <v>8.5063999552861969</v>
      </c>
      <c r="H19" s="651"/>
      <c r="I19" s="3">
        <f>G19-K19</f>
        <v>4.8601000646611965</v>
      </c>
      <c r="J19" s="652"/>
      <c r="K19" s="2">
        <f>électricité!E12*0.086</f>
        <v>3.6462998906249999</v>
      </c>
      <c r="L19" s="652"/>
      <c r="N19" s="651"/>
      <c r="O19" s="46"/>
      <c r="P19" s="46"/>
      <c r="Q19" s="46"/>
      <c r="R19" s="45"/>
      <c r="S19" s="588"/>
      <c r="T19" s="666"/>
      <c r="U19" s="1"/>
      <c r="V19" s="657"/>
      <c r="W19" s="505"/>
      <c r="X19" s="508"/>
      <c r="Y19" s="505"/>
      <c r="Z19" s="508"/>
      <c r="AA19" s="505"/>
      <c r="AB19" s="36"/>
      <c r="AC19" s="516"/>
      <c r="AD19" s="647"/>
      <c r="AE19" s="647"/>
      <c r="AF19" s="647"/>
      <c r="AG19" s="647"/>
      <c r="AH19" s="657"/>
      <c r="AJ19" s="592"/>
      <c r="AK19" s="558"/>
      <c r="AL19" s="508"/>
      <c r="AM19" s="505"/>
      <c r="AN19" s="508"/>
      <c r="AO19" s="505"/>
    </row>
    <row r="20" spans="1:41" x14ac:dyDescent="0.2">
      <c r="E20" s="1"/>
      <c r="F20" s="1"/>
      <c r="G20" s="1"/>
      <c r="H20" s="1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610">
        <f>T7-électricité!E38*0.086</f>
        <v>0</v>
      </c>
      <c r="U20" s="512"/>
      <c r="V20" s="2"/>
      <c r="W20" s="1"/>
      <c r="X20" s="2"/>
      <c r="Y20" s="1"/>
      <c r="Z20" s="2"/>
      <c r="AA20" s="1"/>
      <c r="AJ20" s="2"/>
      <c r="AK20" s="1"/>
      <c r="AL20" s="2"/>
      <c r="AM20" s="1"/>
      <c r="AN20" s="2"/>
      <c r="AO20" s="1"/>
    </row>
    <row r="21" spans="1:41" x14ac:dyDescent="0.2">
      <c r="A21" s="24" t="s">
        <v>50</v>
      </c>
      <c r="B21" s="24" t="s">
        <v>24</v>
      </c>
      <c r="C21" s="27">
        <f>G10</f>
        <v>102.83022924804688</v>
      </c>
      <c r="E21" s="658" t="s">
        <v>12</v>
      </c>
      <c r="F21" s="1" t="s">
        <v>25</v>
      </c>
      <c r="G21" s="2"/>
      <c r="H21" s="659">
        <f>SUM(G21:G24)</f>
        <v>38.98275506564989</v>
      </c>
      <c r="J21" s="659"/>
      <c r="K21" s="2">
        <f t="shared" si="2"/>
        <v>0</v>
      </c>
      <c r="L21" s="660">
        <f>SUM(K21:K24)</f>
        <v>38.98275506564989</v>
      </c>
      <c r="M21" s="2"/>
      <c r="N21" s="660">
        <f>L21</f>
        <v>38.98275506564989</v>
      </c>
      <c r="O21" s="662"/>
      <c r="P21" s="662"/>
      <c r="Q21" s="662"/>
      <c r="R21" s="569"/>
      <c r="S21" s="569"/>
      <c r="T21" s="569"/>
      <c r="U21" s="1"/>
      <c r="V21" s="663">
        <f>SUM(W23:AA23)</f>
        <v>28.44761885668537</v>
      </c>
      <c r="W21" s="477"/>
      <c r="X21" s="477"/>
      <c r="Y21" s="477"/>
      <c r="Z21" s="477"/>
      <c r="AA21" s="478"/>
      <c r="AC21" s="514"/>
      <c r="AD21" s="524"/>
      <c r="AE21" s="524"/>
      <c r="AF21" s="524"/>
      <c r="AG21" s="524"/>
      <c r="AH21" s="517"/>
      <c r="AJ21" s="551"/>
      <c r="AK21" s="478"/>
      <c r="AL21" s="477"/>
      <c r="AM21" s="477"/>
      <c r="AN21" s="477"/>
      <c r="AO21" s="478"/>
    </row>
    <row r="22" spans="1:41" x14ac:dyDescent="0.2">
      <c r="B22" s="24" t="s">
        <v>34</v>
      </c>
      <c r="C22" s="27">
        <f>G24+G32</f>
        <v>41.627616496214912</v>
      </c>
      <c r="E22" s="658"/>
      <c r="F22" s="1" t="s">
        <v>32</v>
      </c>
      <c r="G22" s="2"/>
      <c r="H22" s="641"/>
      <c r="J22" s="641"/>
      <c r="K22" s="2">
        <f t="shared" si="2"/>
        <v>0</v>
      </c>
      <c r="L22" s="661"/>
      <c r="M22" s="2"/>
      <c r="N22" s="660"/>
      <c r="O22" s="662"/>
      <c r="P22" s="662"/>
      <c r="Q22" s="662"/>
      <c r="R22" s="581"/>
      <c r="S22" s="587"/>
      <c r="T22" s="587"/>
      <c r="U22" s="1"/>
      <c r="V22" s="664"/>
      <c r="W22" s="581"/>
      <c r="X22" s="581"/>
      <c r="Y22" s="581"/>
      <c r="Z22" s="581"/>
      <c r="AA22" s="587"/>
      <c r="AC22" s="515"/>
      <c r="AD22" s="525"/>
      <c r="AE22" s="525"/>
      <c r="AF22" s="525"/>
      <c r="AG22" s="525"/>
      <c r="AH22" s="518"/>
      <c r="AJ22" s="552"/>
      <c r="AK22" s="587"/>
      <c r="AL22" s="581"/>
      <c r="AM22" s="581"/>
      <c r="AN22" s="581"/>
      <c r="AO22" s="587"/>
    </row>
    <row r="23" spans="1:41" x14ac:dyDescent="0.2">
      <c r="B23" s="24" t="s">
        <v>51</v>
      </c>
      <c r="C23" s="27">
        <f>G40+G41</f>
        <v>72.082235731001816</v>
      </c>
      <c r="E23" s="658"/>
      <c r="F23" s="1" t="s">
        <v>33</v>
      </c>
      <c r="G23" s="2"/>
      <c r="H23" s="641"/>
      <c r="I23" s="27"/>
      <c r="J23" s="641"/>
      <c r="K23" s="2">
        <f t="shared" si="2"/>
        <v>0</v>
      </c>
      <c r="L23" s="661"/>
      <c r="M23" s="2"/>
      <c r="N23" s="660"/>
      <c r="O23" s="662"/>
      <c r="P23" s="662"/>
      <c r="Q23" s="662"/>
      <c r="R23" s="581">
        <f>G32</f>
        <v>2.6448614305650189</v>
      </c>
      <c r="S23" s="587">
        <f>G19</f>
        <v>8.5063999552861969</v>
      </c>
      <c r="T23" s="587">
        <f>N21-R23-S23</f>
        <v>27.831493679798669</v>
      </c>
      <c r="U23" s="1"/>
      <c r="V23" s="664"/>
      <c r="W23" s="482">
        <f>'scenario demande'!E337</f>
        <v>0.47774398581346622</v>
      </c>
      <c r="X23" s="491">
        <f>'scenario demande'!E10</f>
        <v>10.526304227281699</v>
      </c>
      <c r="Y23" s="491">
        <f>'scenario demande'!E110</f>
        <v>11.610298435465051</v>
      </c>
      <c r="Z23" s="491">
        <f>'scenario demande'!E186</f>
        <v>5.7156374581256841</v>
      </c>
      <c r="AA23" s="479">
        <f>'scenario demande'!E277+'scenario demande'!E279</f>
        <v>0.11763474999947128</v>
      </c>
      <c r="AC23" s="38"/>
      <c r="AD23" s="525"/>
      <c r="AE23" s="525"/>
      <c r="AF23" s="525"/>
      <c r="AG23" s="525"/>
      <c r="AH23" s="518"/>
      <c r="AJ23" s="552">
        <f>SUM(AK23:AO23)</f>
        <v>27.831493679798673</v>
      </c>
      <c r="AK23" s="559">
        <f>$T$23*W23/$V$21</f>
        <v>0.46739689492868008</v>
      </c>
      <c r="AL23" s="559">
        <f t="shared" ref="AL23:AO23" si="3">$T$23*X23/$V$21</f>
        <v>10.298323070522317</v>
      </c>
      <c r="AM23" s="559">
        <f t="shared" si="3"/>
        <v>11.358839878835198</v>
      </c>
      <c r="AN23" s="559">
        <f t="shared" si="3"/>
        <v>5.5918468464175843</v>
      </c>
      <c r="AO23" s="559">
        <f t="shared" si="3"/>
        <v>0.1150869890948916</v>
      </c>
    </row>
    <row r="24" spans="1:41" x14ac:dyDescent="0.2">
      <c r="B24" s="24" t="s">
        <v>40</v>
      </c>
      <c r="C24" s="27">
        <f>G44+G18</f>
        <v>11.062526907417471</v>
      </c>
      <c r="E24" s="658"/>
      <c r="F24" s="1" t="s">
        <v>34</v>
      </c>
      <c r="G24" s="2">
        <f>'bilan complet'!F132-'bilan complet'!F129</f>
        <v>38.98275506564989</v>
      </c>
      <c r="H24" s="641"/>
      <c r="J24" s="641"/>
      <c r="K24" s="2">
        <f t="shared" si="2"/>
        <v>38.98275506564989</v>
      </c>
      <c r="L24" s="661"/>
      <c r="M24" s="6"/>
      <c r="N24" s="660"/>
      <c r="O24" s="662"/>
      <c r="P24" s="662"/>
      <c r="Q24" s="662"/>
      <c r="R24" s="581"/>
      <c r="S24" s="587"/>
      <c r="T24" s="587"/>
      <c r="U24" s="1"/>
      <c r="V24" s="665"/>
      <c r="W24" s="480"/>
      <c r="X24" s="480"/>
      <c r="Y24" s="480"/>
      <c r="Z24" s="480"/>
      <c r="AA24" s="481"/>
      <c r="AC24" s="38"/>
      <c r="AD24" s="525"/>
      <c r="AE24" s="525"/>
      <c r="AF24" s="525"/>
      <c r="AG24" s="525"/>
      <c r="AH24" s="518"/>
      <c r="AJ24" s="553"/>
      <c r="AK24" s="481"/>
      <c r="AL24" s="480"/>
      <c r="AM24" s="480"/>
      <c r="AN24" s="480"/>
      <c r="AO24" s="481"/>
    </row>
    <row r="25" spans="1:41" x14ac:dyDescent="0.2">
      <c r="B25" s="24" t="s">
        <v>39</v>
      </c>
      <c r="C25" s="27">
        <f>G42</f>
        <v>0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W25" s="464"/>
      <c r="X25" s="495"/>
      <c r="Y25" s="495"/>
      <c r="Z25" s="495"/>
      <c r="AA25" s="464"/>
      <c r="AC25" s="520" t="s">
        <v>472</v>
      </c>
      <c r="AD25" s="526">
        <f>'bilan complet'!$F$124+'bilan complet'!$J$124</f>
        <v>0.3307875233416776</v>
      </c>
      <c r="AE25" s="526">
        <f>'bilan complet'!$F$121+'bilan complet'!$J$121</f>
        <v>14.732622629191059</v>
      </c>
      <c r="AF25" s="526">
        <f>'bilan complet'!$F$122+'bilan complet'!$J$122</f>
        <v>24.289215404185391</v>
      </c>
      <c r="AG25" s="526">
        <f>'bilan complet'!$F$123+'bilan complet'!$J$123</f>
        <v>6.1562721679100294</v>
      </c>
      <c r="AH25" s="521">
        <f>'bilan complet'!$F$125+'bilan complet'!$J$125</f>
        <v>2.8720316310981322</v>
      </c>
      <c r="AI25" s="27">
        <f>SUM(AD25:AH25)</f>
        <v>48.380929355726295</v>
      </c>
      <c r="AK25" s="464"/>
      <c r="AL25" s="495"/>
      <c r="AM25" s="495"/>
      <c r="AN25" s="495"/>
      <c r="AO25" s="464"/>
    </row>
    <row r="26" spans="1:41" x14ac:dyDescent="0.2">
      <c r="E26" s="671" t="s">
        <v>13</v>
      </c>
      <c r="F26" s="1" t="s">
        <v>25</v>
      </c>
      <c r="G26" s="377">
        <v>0</v>
      </c>
      <c r="H26" s="653">
        <f>SUM(G26:G32)</f>
        <v>4.8243782735166629</v>
      </c>
      <c r="I26" s="377">
        <f>G26-K26</f>
        <v>0</v>
      </c>
      <c r="J26" s="672"/>
      <c r="K26" s="27">
        <f>$L$26*J49</f>
        <v>0</v>
      </c>
      <c r="L26" s="672">
        <f>V29</f>
        <v>4.2006868166471429</v>
      </c>
      <c r="M26" s="1"/>
      <c r="N26" s="653">
        <f>L26</f>
        <v>4.2006868166471429</v>
      </c>
      <c r="O26" s="654"/>
      <c r="P26" s="654"/>
      <c r="Q26" s="654"/>
      <c r="R26" s="673"/>
      <c r="S26" s="674"/>
      <c r="T26" s="674">
        <f>N26-O26-Q26</f>
        <v>4.2006868166471429</v>
      </c>
      <c r="U26" s="1"/>
      <c r="V26" s="483"/>
      <c r="W26" s="483"/>
      <c r="X26" s="483"/>
      <c r="Y26" s="483"/>
      <c r="Z26" s="496"/>
      <c r="AA26" s="483"/>
      <c r="AC26" s="522" t="s">
        <v>498</v>
      </c>
      <c r="AD26" s="527"/>
      <c r="AE26" s="527"/>
      <c r="AF26" s="527"/>
      <c r="AG26" s="527"/>
      <c r="AH26" s="523"/>
      <c r="AI26" s="27"/>
      <c r="AJ26" s="483"/>
      <c r="AK26" s="483"/>
      <c r="AL26" s="483"/>
      <c r="AM26" s="483"/>
      <c r="AN26" s="496"/>
      <c r="AO26" s="483"/>
    </row>
    <row r="27" spans="1:41" x14ac:dyDescent="0.2">
      <c r="E27" s="671"/>
      <c r="F27" s="1" t="s">
        <v>26</v>
      </c>
      <c r="G27" s="377">
        <f>$K$27/'Réseaux de chaleur'!$E$63</f>
        <v>0.87015513225003804</v>
      </c>
      <c r="H27" s="653"/>
      <c r="I27" s="377">
        <f t="shared" ref="I27:I31" si="4">G27-K27</f>
        <v>0</v>
      </c>
      <c r="J27" s="672"/>
      <c r="K27" s="27">
        <f t="shared" ref="K27:K31" si="5">$L$26*J50</f>
        <v>0.87015513225003804</v>
      </c>
      <c r="L27" s="672"/>
      <c r="M27" s="1"/>
      <c r="N27" s="653"/>
      <c r="O27" s="654"/>
      <c r="P27" s="654"/>
      <c r="Q27" s="654"/>
      <c r="R27" s="673"/>
      <c r="S27" s="674"/>
      <c r="T27" s="674"/>
      <c r="U27" s="1"/>
      <c r="V27" s="485"/>
      <c r="W27" s="585"/>
      <c r="X27" s="585"/>
      <c r="Y27" s="585"/>
      <c r="Z27" s="586"/>
      <c r="AA27" s="585"/>
      <c r="AC27" s="38"/>
      <c r="AD27" s="525"/>
      <c r="AE27" s="525"/>
      <c r="AF27" s="525"/>
      <c r="AG27" s="525"/>
      <c r="AH27" s="518"/>
      <c r="AJ27" s="485"/>
      <c r="AK27" s="585"/>
      <c r="AL27" s="585"/>
      <c r="AM27" s="585"/>
      <c r="AN27" s="586"/>
      <c r="AO27" s="585"/>
    </row>
    <row r="28" spans="1:41" x14ac:dyDescent="0.2">
      <c r="E28" s="671"/>
      <c r="F28" s="1" t="s">
        <v>30</v>
      </c>
      <c r="G28" s="377">
        <v>0</v>
      </c>
      <c r="H28" s="653"/>
      <c r="I28" s="377">
        <f t="shared" si="4"/>
        <v>0</v>
      </c>
      <c r="J28" s="672"/>
      <c r="K28" s="27">
        <f>$L$26*J51</f>
        <v>0</v>
      </c>
      <c r="L28" s="672"/>
      <c r="M28" s="1"/>
      <c r="N28" s="653"/>
      <c r="O28" s="654"/>
      <c r="P28" s="654" t="e">
        <v>#REF!</v>
      </c>
      <c r="Q28" s="654"/>
      <c r="R28" s="673" t="e">
        <v>#REF!</v>
      </c>
      <c r="S28" s="674" t="e">
        <v>#REF!</v>
      </c>
      <c r="T28" s="674"/>
      <c r="U28" s="1"/>
      <c r="V28" s="485"/>
      <c r="W28" s="585"/>
      <c r="X28" s="585"/>
      <c r="Y28" s="585"/>
      <c r="Z28" s="586"/>
      <c r="AA28" s="585"/>
      <c r="AC28" s="38"/>
      <c r="AD28" s="525"/>
      <c r="AE28" s="525"/>
      <c r="AF28" s="525"/>
      <c r="AG28" s="525"/>
      <c r="AH28" s="518"/>
      <c r="AJ28" s="485"/>
      <c r="AK28" s="585"/>
      <c r="AL28" s="585"/>
      <c r="AM28" s="585"/>
      <c r="AN28" s="586"/>
      <c r="AO28" s="585"/>
    </row>
    <row r="29" spans="1:41" x14ac:dyDescent="0.2">
      <c r="E29" s="671"/>
      <c r="F29" s="1" t="s">
        <v>27</v>
      </c>
      <c r="G29" s="377">
        <f>$K$29/'Réseaux de chaleur'!$E$62</f>
        <v>0.79344465647689677</v>
      </c>
      <c r="H29" s="653"/>
      <c r="I29" s="377">
        <f>G29-K29</f>
        <v>0.14573473282228711</v>
      </c>
      <c r="J29" s="672"/>
      <c r="K29" s="27">
        <f t="shared" si="5"/>
        <v>0.64770992365460967</v>
      </c>
      <c r="L29" s="672"/>
      <c r="M29" s="1"/>
      <c r="N29" s="653"/>
      <c r="O29" s="654"/>
      <c r="P29" s="654" t="e">
        <v>#REF!</v>
      </c>
      <c r="Q29" s="654"/>
      <c r="R29" s="673" t="e">
        <v>#REF!</v>
      </c>
      <c r="S29" s="674" t="e">
        <v>#REF!</v>
      </c>
      <c r="T29" s="674"/>
      <c r="U29" s="1"/>
      <c r="V29" s="489">
        <f>SUM(W29:AA29)</f>
        <v>4.2006868166471429</v>
      </c>
      <c r="W29" s="490">
        <f>'scenario demande'!E340</f>
        <v>0</v>
      </c>
      <c r="X29" s="490">
        <f>'scenario demande'!E13</f>
        <v>1.8059752500370991</v>
      </c>
      <c r="Y29" s="490">
        <f>'scenario demande'!E114</f>
        <v>1.5950484876803115</v>
      </c>
      <c r="Z29" s="488">
        <f>'scenario demande'!E189</f>
        <v>0.7996630789297321</v>
      </c>
      <c r="AA29" s="585"/>
      <c r="AC29" s="38"/>
      <c r="AD29" s="525"/>
      <c r="AE29" s="525"/>
      <c r="AF29" s="525"/>
      <c r="AG29" s="525"/>
      <c r="AH29" s="518"/>
      <c r="AJ29" s="489">
        <f>SUM(AK29:AO29)</f>
        <v>4.2006868166471429</v>
      </c>
      <c r="AK29" s="490">
        <f>W29</f>
        <v>0</v>
      </c>
      <c r="AL29" s="490">
        <f>X29</f>
        <v>1.8059752500370991</v>
      </c>
      <c r="AM29" s="490">
        <f>Y29</f>
        <v>1.5950484876803115</v>
      </c>
      <c r="AN29" s="490">
        <f>Z29</f>
        <v>0.7996630789297321</v>
      </c>
      <c r="AO29" s="490">
        <f>AA29</f>
        <v>0</v>
      </c>
    </row>
    <row r="30" spans="1:41" x14ac:dyDescent="0.2">
      <c r="E30" s="671"/>
      <c r="F30" s="1" t="s">
        <v>28</v>
      </c>
      <c r="G30" s="377">
        <f>$K$30/'Réseaux de chaleur'!$E$64</f>
        <v>0.15293512138261758</v>
      </c>
      <c r="H30" s="653"/>
      <c r="I30" s="377">
        <f t="shared" si="4"/>
        <v>0</v>
      </c>
      <c r="J30" s="672"/>
      <c r="K30" s="27">
        <f t="shared" si="5"/>
        <v>0.15293512138261758</v>
      </c>
      <c r="L30" s="672"/>
      <c r="M30" s="1"/>
      <c r="N30" s="653"/>
      <c r="O30" s="654"/>
      <c r="P30" s="654"/>
      <c r="Q30" s="654"/>
      <c r="R30" s="673"/>
      <c r="S30" s="674"/>
      <c r="T30" s="674"/>
      <c r="U30" s="1"/>
      <c r="V30" s="485"/>
      <c r="W30" s="585"/>
      <c r="X30" s="585"/>
      <c r="Y30" s="585"/>
      <c r="Z30" s="586"/>
      <c r="AA30" s="585"/>
      <c r="AC30" s="38"/>
      <c r="AD30" s="525"/>
      <c r="AE30" s="525"/>
      <c r="AF30" s="525"/>
      <c r="AG30" s="525"/>
      <c r="AH30" s="518"/>
      <c r="AJ30" s="485"/>
      <c r="AK30" s="585"/>
      <c r="AL30" s="585"/>
      <c r="AM30" s="585"/>
      <c r="AN30" s="586"/>
      <c r="AO30" s="585"/>
    </row>
    <row r="31" spans="1:41" x14ac:dyDescent="0.2">
      <c r="E31" s="671"/>
      <c r="F31" s="1" t="s">
        <v>35</v>
      </c>
      <c r="G31" s="377">
        <f>$K$31/'Réseaux de chaleur'!$E$65</f>
        <v>0.36298193284209201</v>
      </c>
      <c r="H31" s="653"/>
      <c r="I31" s="377">
        <f t="shared" si="4"/>
        <v>0</v>
      </c>
      <c r="J31" s="672"/>
      <c r="K31" s="27">
        <f t="shared" si="5"/>
        <v>0.36298193284209201</v>
      </c>
      <c r="L31" s="672"/>
      <c r="M31" s="1"/>
      <c r="N31" s="653"/>
      <c r="O31" s="654"/>
      <c r="P31" s="654"/>
      <c r="Q31" s="654"/>
      <c r="R31" s="673"/>
      <c r="S31" s="674"/>
      <c r="T31" s="674"/>
      <c r="U31" s="1"/>
      <c r="V31" s="485"/>
      <c r="W31" s="585"/>
      <c r="X31" s="585"/>
      <c r="Y31" s="585"/>
      <c r="Z31" s="586"/>
      <c r="AA31" s="585"/>
      <c r="AC31" s="38"/>
      <c r="AD31" s="525"/>
      <c r="AE31" s="525"/>
      <c r="AF31" s="525"/>
      <c r="AG31" s="525"/>
      <c r="AH31" s="518"/>
      <c r="AJ31" s="485"/>
      <c r="AK31" s="585"/>
      <c r="AL31" s="585"/>
      <c r="AM31" s="585"/>
      <c r="AN31" s="586"/>
      <c r="AO31" s="585"/>
    </row>
    <row r="32" spans="1:41" x14ac:dyDescent="0.2">
      <c r="E32" s="671"/>
      <c r="F32" s="1" t="s">
        <v>31</v>
      </c>
      <c r="G32" s="377">
        <f>$K$32/'Réseaux de chaleur'!$E$61</f>
        <v>2.6448614305650189</v>
      </c>
      <c r="H32" s="653"/>
      <c r="I32" s="377">
        <f>G32-K32</f>
        <v>0.47795672404723311</v>
      </c>
      <c r="J32" s="672"/>
      <c r="K32" s="27">
        <f>$L$26*J55</f>
        <v>2.1669047065177858</v>
      </c>
      <c r="L32" s="672"/>
      <c r="M32" s="1"/>
      <c r="N32" s="653"/>
      <c r="O32" s="654"/>
      <c r="P32" s="654"/>
      <c r="Q32" s="654"/>
      <c r="R32" s="673"/>
      <c r="S32" s="674"/>
      <c r="T32" s="674"/>
      <c r="U32" s="1"/>
      <c r="V32" s="486"/>
      <c r="W32" s="484"/>
      <c r="X32" s="484"/>
      <c r="Y32" s="484"/>
      <c r="Z32" s="487"/>
      <c r="AA32" s="484"/>
      <c r="AC32" s="38"/>
      <c r="AD32" s="525"/>
      <c r="AE32" s="525"/>
      <c r="AF32" s="525"/>
      <c r="AG32" s="525"/>
      <c r="AH32" s="518"/>
      <c r="AJ32" s="486"/>
      <c r="AK32" s="484"/>
      <c r="AL32" s="484"/>
      <c r="AM32" s="484"/>
      <c r="AN32" s="487"/>
      <c r="AO32" s="484"/>
    </row>
    <row r="33" spans="5:41" x14ac:dyDescent="0.2">
      <c r="E33" s="4"/>
      <c r="F33" s="1"/>
      <c r="H33" s="610">
        <f>SUM(G49:G55)-'Réseaux de chaleur'!E78</f>
        <v>0</v>
      </c>
      <c r="I33" s="1"/>
      <c r="J33" s="1"/>
      <c r="K33" s="2"/>
      <c r="L33" s="611">
        <f>SUM(H49:H55)-'Réseaux de chaleur'!E54</f>
        <v>0</v>
      </c>
      <c r="M33" s="1"/>
      <c r="N33" s="1"/>
      <c r="O33" s="1"/>
      <c r="P33" s="1"/>
      <c r="Q33" s="1"/>
      <c r="R33" s="1"/>
      <c r="S33" s="1"/>
      <c r="T33" s="608">
        <f>T23+T26+G35+G36+G38-('bilan complet'!F126+'bilan complet'!G126+'bilan complet'!J126)</f>
        <v>0</v>
      </c>
      <c r="U33" s="1"/>
      <c r="X33" s="27"/>
      <c r="Y33" s="27"/>
      <c r="Z33" s="27"/>
      <c r="AC33" s="38"/>
      <c r="AD33" s="525"/>
      <c r="AE33" s="525"/>
      <c r="AF33" s="525"/>
      <c r="AG33" s="525"/>
      <c r="AH33" s="518"/>
      <c r="AL33" s="27"/>
      <c r="AM33" s="27"/>
      <c r="AN33" s="27"/>
    </row>
    <row r="34" spans="5:41" x14ac:dyDescent="0.2">
      <c r="E34" s="667" t="s">
        <v>36</v>
      </c>
      <c r="F34" s="1" t="s">
        <v>25</v>
      </c>
      <c r="H34" s="667">
        <f>SUM(G34:G44)</f>
        <v>100.10587461253363</v>
      </c>
      <c r="I34" s="590"/>
      <c r="J34" s="669"/>
      <c r="K34" s="2">
        <f t="shared" si="2"/>
        <v>0</v>
      </c>
      <c r="L34" s="667">
        <f>SUM(K34:K44)</f>
        <v>94.766449743570519</v>
      </c>
      <c r="M34" s="584"/>
      <c r="N34" s="584"/>
      <c r="O34" s="584"/>
      <c r="P34" s="584"/>
      <c r="Q34" s="584"/>
      <c r="R34" s="584"/>
      <c r="S34" s="584"/>
      <c r="T34" s="499"/>
      <c r="V34" s="667">
        <f>SUM(W34:AA44)</f>
        <v>72.064565241742642</v>
      </c>
      <c r="W34" s="367"/>
      <c r="X34" s="366"/>
      <c r="Y34" s="367"/>
      <c r="Z34" s="368"/>
      <c r="AA34" s="365"/>
      <c r="AC34" s="38"/>
      <c r="AD34" s="525"/>
      <c r="AE34" s="525"/>
      <c r="AF34" s="525"/>
      <c r="AG34" s="525"/>
      <c r="AH34" s="518"/>
      <c r="AJ34" s="365"/>
      <c r="AK34" s="367"/>
      <c r="AL34" s="366"/>
      <c r="AM34" s="367"/>
      <c r="AN34" s="368"/>
      <c r="AO34" s="365"/>
    </row>
    <row r="35" spans="5:41" x14ac:dyDescent="0.2">
      <c r="E35" s="667"/>
      <c r="F35" s="1" t="s">
        <v>27</v>
      </c>
      <c r="G35" s="27">
        <f>'bilan complet'!J132-G12-G27-G29-G30-G31-G36-G38</f>
        <v>14.375331537161005</v>
      </c>
      <c r="H35" s="667"/>
      <c r="I35" s="590">
        <v>0</v>
      </c>
      <c r="J35" s="669"/>
      <c r="K35" s="2">
        <f>G35-I35</f>
        <v>14.375331537161005</v>
      </c>
      <c r="L35" s="667"/>
      <c r="M35" s="584"/>
      <c r="N35" s="584"/>
      <c r="O35" s="584"/>
      <c r="P35" s="584"/>
      <c r="Q35" s="584"/>
      <c r="R35" s="584"/>
      <c r="S35" s="584"/>
      <c r="T35" s="500"/>
      <c r="V35" s="667"/>
      <c r="W35" s="598">
        <f>'scenario demande'!E341</f>
        <v>9.2682333247812443E-2</v>
      </c>
      <c r="X35" s="599">
        <f>'scenario demande'!E14</f>
        <v>3.0603088268478418</v>
      </c>
      <c r="Y35" s="598">
        <f>'scenario demande'!E115-'scenario demande'!E166</f>
        <v>7.9956329014995218</v>
      </c>
      <c r="Z35" s="600">
        <f>'scenario demande'!E190-'scenario demande'!E236</f>
        <v>0.76716351942684158</v>
      </c>
      <c r="AA35" s="386"/>
      <c r="AB35" s="24">
        <f>SUM(W35:AA35)</f>
        <v>11.915787581022016</v>
      </c>
      <c r="AC35" s="38"/>
      <c r="AD35" s="525"/>
      <c r="AE35" s="525"/>
      <c r="AF35" s="525"/>
      <c r="AG35" s="525"/>
      <c r="AH35" s="518"/>
      <c r="AJ35" s="582"/>
      <c r="AK35" s="369">
        <f>W35</f>
        <v>9.2682333247812443E-2</v>
      </c>
      <c r="AL35" s="369">
        <f t="shared" ref="AL35:AO35" si="6">X35</f>
        <v>3.0603088268478418</v>
      </c>
      <c r="AM35" s="388">
        <f>Y35+K35-SUM(W35:AA35)</f>
        <v>10.455176857638509</v>
      </c>
      <c r="AN35" s="369">
        <f t="shared" si="6"/>
        <v>0.76716351942684158</v>
      </c>
      <c r="AO35" s="369">
        <f t="shared" si="6"/>
        <v>0</v>
      </c>
    </row>
    <row r="36" spans="5:41" x14ac:dyDescent="0.2">
      <c r="E36" s="667"/>
      <c r="F36" s="1" t="s">
        <v>35</v>
      </c>
      <c r="G36" s="27">
        <f>'scenario demande'!E166</f>
        <v>9.3417322119472179E-2</v>
      </c>
      <c r="H36" s="667"/>
      <c r="I36" s="590"/>
      <c r="J36" s="669"/>
      <c r="K36" s="2">
        <f t="shared" si="2"/>
        <v>9.3417322119472179E-2</v>
      </c>
      <c r="L36" s="667"/>
      <c r="M36" s="584"/>
      <c r="N36" s="584"/>
      <c r="O36" s="584"/>
      <c r="P36" s="584"/>
      <c r="Q36" s="584"/>
      <c r="R36" s="584"/>
      <c r="S36" s="584"/>
      <c r="T36" s="500"/>
      <c r="V36" s="667"/>
      <c r="W36" s="601"/>
      <c r="X36" s="599"/>
      <c r="Y36" s="598">
        <f>'scenario demande'!E166</f>
        <v>9.3417322119472179E-2</v>
      </c>
      <c r="Z36" s="600">
        <f>'scenario demande'!E236</f>
        <v>7.782967123846702E-3</v>
      </c>
      <c r="AA36" s="593"/>
      <c r="AB36" s="24">
        <f>SUM(W36:AA36)</f>
        <v>0.10120028924331888</v>
      </c>
      <c r="AC36" s="516"/>
      <c r="AD36" s="528"/>
      <c r="AE36" s="528"/>
      <c r="AF36" s="528"/>
      <c r="AG36" s="528"/>
      <c r="AH36" s="519"/>
      <c r="AJ36" s="582"/>
      <c r="AK36" s="367"/>
      <c r="AL36" s="366"/>
      <c r="AM36" s="388">
        <f>K36</f>
        <v>9.3417322119472179E-2</v>
      </c>
      <c r="AN36" s="370">
        <f>'scenario demande'!V237</f>
        <v>0</v>
      </c>
      <c r="AO36" s="365"/>
    </row>
    <row r="37" spans="5:41" x14ac:dyDescent="0.2">
      <c r="E37" s="667"/>
      <c r="F37" s="1" t="s">
        <v>41</v>
      </c>
      <c r="G37" s="27"/>
      <c r="H37" s="667"/>
      <c r="I37" s="590"/>
      <c r="J37" s="669"/>
      <c r="K37" s="2">
        <f t="shared" si="2"/>
        <v>0</v>
      </c>
      <c r="L37" s="667"/>
      <c r="M37" s="584"/>
      <c r="N37" s="584"/>
      <c r="O37" s="584"/>
      <c r="P37" s="584"/>
      <c r="Q37" s="584"/>
      <c r="R37" s="584"/>
      <c r="S37" s="584"/>
      <c r="T37" s="500"/>
      <c r="V37" s="667"/>
      <c r="W37" s="367"/>
      <c r="X37" s="366"/>
      <c r="Y37" s="369"/>
      <c r="Z37" s="370"/>
      <c r="AA37" s="365"/>
      <c r="AJ37" s="582"/>
      <c r="AK37" s="602"/>
      <c r="AL37" s="366"/>
      <c r="AM37" s="387">
        <f>K38</f>
        <v>1.48</v>
      </c>
      <c r="AN37" s="369"/>
      <c r="AO37" s="365"/>
    </row>
    <row r="38" spans="5:41" x14ac:dyDescent="0.2">
      <c r="E38" s="667"/>
      <c r="F38" s="1" t="s">
        <v>42</v>
      </c>
      <c r="G38" s="27">
        <f>indicateurs!E14</f>
        <v>1.48</v>
      </c>
      <c r="H38" s="667"/>
      <c r="I38" s="590"/>
      <c r="J38" s="669"/>
      <c r="K38" s="2">
        <f t="shared" si="2"/>
        <v>1.48</v>
      </c>
      <c r="L38" s="667"/>
      <c r="M38" s="584"/>
      <c r="N38" s="584"/>
      <c r="O38" s="584"/>
      <c r="P38" s="584"/>
      <c r="Q38" s="584"/>
      <c r="R38" s="584"/>
      <c r="S38" s="584"/>
      <c r="T38" s="500"/>
      <c r="V38" s="667"/>
      <c r="W38" s="367"/>
      <c r="X38" s="366"/>
      <c r="Y38" s="369"/>
      <c r="Z38" s="370"/>
      <c r="AA38" s="365"/>
      <c r="AJ38" s="582"/>
      <c r="AK38" s="602"/>
      <c r="AL38" s="366"/>
      <c r="AM38" s="602"/>
      <c r="AN38" s="366"/>
      <c r="AO38" s="602"/>
    </row>
    <row r="39" spans="5:41" x14ac:dyDescent="0.2">
      <c r="E39" s="667"/>
      <c r="F39" s="1" t="s">
        <v>63</v>
      </c>
      <c r="G39" s="27">
        <f>K39</f>
        <v>4.7850841611254396</v>
      </c>
      <c r="H39" s="667"/>
      <c r="I39" s="40"/>
      <c r="J39" s="669"/>
      <c r="K39" s="2">
        <f>'bilan complet'!E126*0.08</f>
        <v>4.7850841611254396</v>
      </c>
      <c r="L39" s="667"/>
      <c r="M39" s="584"/>
      <c r="N39" s="584"/>
      <c r="O39" s="584"/>
      <c r="P39" s="584"/>
      <c r="Q39" s="584"/>
      <c r="R39" s="584"/>
      <c r="S39" s="584"/>
      <c r="T39" s="502">
        <f>L34-K41-K43</f>
        <v>81.498091512629685</v>
      </c>
      <c r="V39" s="667"/>
      <c r="W39" s="369"/>
      <c r="X39" s="366"/>
      <c r="Y39" s="369"/>
      <c r="Z39" s="370"/>
      <c r="AA39" s="371"/>
      <c r="AC39" s="529" t="s">
        <v>518</v>
      </c>
      <c r="AD39" s="533">
        <f>'bilan complet'!$E$124</f>
        <v>3.4319928990553654</v>
      </c>
      <c r="AE39" s="533">
        <f>'bilan complet'!E121</f>
        <v>3.5823531340424273</v>
      </c>
      <c r="AF39" s="533">
        <f>'bilan complet'!$E$122</f>
        <v>3.9315538516227848</v>
      </c>
      <c r="AG39" s="533">
        <f>'bilan complet'!$E$123</f>
        <v>3.1909489113465059</v>
      </c>
      <c r="AH39" s="530">
        <f>'bilan complet'!$E$125</f>
        <v>45.67670321800091</v>
      </c>
      <c r="AJ39" s="365"/>
      <c r="AK39" s="366">
        <f>AD39</f>
        <v>3.4319928990553654</v>
      </c>
      <c r="AL39" s="366">
        <f>AE39</f>
        <v>3.5823531340424273</v>
      </c>
      <c r="AM39" s="366">
        <f>AF39</f>
        <v>3.9315538516227848</v>
      </c>
      <c r="AN39" s="366">
        <f>AG39</f>
        <v>3.1909489113465059</v>
      </c>
      <c r="AO39" s="369">
        <f>AH39</f>
        <v>45.67670321800091</v>
      </c>
    </row>
    <row r="40" spans="5:41" x14ac:dyDescent="0.2">
      <c r="E40" s="667"/>
      <c r="F40" s="1" t="s">
        <v>37</v>
      </c>
      <c r="G40" s="27">
        <f>K40+I40</f>
        <v>59.430745281177963</v>
      </c>
      <c r="H40" s="667"/>
      <c r="I40" s="40">
        <f>0.08*K40</f>
        <v>4.4022774282354042</v>
      </c>
      <c r="J40" s="669"/>
      <c r="K40" s="2">
        <f>'bilan complet'!E126-K39</f>
        <v>55.028467852942555</v>
      </c>
      <c r="L40" s="667"/>
      <c r="M40" s="584"/>
      <c r="N40" s="584"/>
      <c r="O40" s="584"/>
      <c r="P40" s="584"/>
      <c r="Q40" s="584"/>
      <c r="R40" s="584"/>
      <c r="S40" s="584"/>
      <c r="T40" s="500"/>
      <c r="V40" s="667"/>
      <c r="W40" s="595">
        <f>'scenario demande'!E336</f>
        <v>3.4540813749218828</v>
      </c>
      <c r="X40" s="366">
        <f>'scenario demande'!E9</f>
        <v>3.5491803318559478</v>
      </c>
      <c r="Y40" s="369">
        <f>'scenario demande'!E109+'scenario demande'!E112</f>
        <v>4.0284894388738204</v>
      </c>
      <c r="Z40" s="370">
        <f>'scenario demande'!E185</f>
        <v>2.360803988364264</v>
      </c>
      <c r="AA40" s="371">
        <f>'scenario demande'!E273+'scenario demande'!E274+'scenario demande'!E275+'scenario demande'!E276</f>
        <v>41.150279365806036</v>
      </c>
      <c r="AB40" s="27">
        <f>SUM(W40:AA40)</f>
        <v>54.54283449982195</v>
      </c>
      <c r="AC40" s="531" t="s">
        <v>182</v>
      </c>
      <c r="AD40" s="609">
        <f>'bilan complet'!$B$124</f>
        <v>0</v>
      </c>
      <c r="AE40" s="535">
        <f>'bilan complet'!$B$121</f>
        <v>5.6858477827986196</v>
      </c>
      <c r="AF40" s="609">
        <f>'bilan complet'!$B$122</f>
        <v>0</v>
      </c>
      <c r="AG40" s="609">
        <f>'bilan complet'!$B$123</f>
        <v>4.9942856482604062E-2</v>
      </c>
      <c r="AH40" s="609">
        <f>'bilan complet'!$B$125</f>
        <v>0</v>
      </c>
      <c r="AI40" s="27">
        <f>SUM(AD39:AH40)</f>
        <v>65.549342653349214</v>
      </c>
      <c r="AJ40" s="582">
        <f>SUM(AK34:AO44)</f>
        <v>81.448148656147083</v>
      </c>
      <c r="AK40" s="602"/>
      <c r="AL40" s="602"/>
      <c r="AM40" s="602"/>
      <c r="AN40" s="602"/>
      <c r="AO40" s="602"/>
    </row>
    <row r="41" spans="5:41" x14ac:dyDescent="0.2">
      <c r="E41" s="667"/>
      <c r="F41" s="1" t="s">
        <v>38</v>
      </c>
      <c r="G41" s="27">
        <f>K41+I41</f>
        <v>12.651490449823847</v>
      </c>
      <c r="H41" s="667"/>
      <c r="I41" s="40">
        <f>0.08*K41</f>
        <v>0.9371474407276924</v>
      </c>
      <c r="J41" s="669"/>
      <c r="K41" s="2">
        <f>'bilan complet'!E129</f>
        <v>11.714343009096154</v>
      </c>
      <c r="L41" s="667"/>
      <c r="M41" s="584"/>
      <c r="N41" s="584"/>
      <c r="O41" s="584"/>
      <c r="P41" s="584"/>
      <c r="Q41" s="584"/>
      <c r="R41" s="584"/>
      <c r="S41" s="584"/>
      <c r="T41" s="500"/>
      <c r="V41" s="667"/>
      <c r="W41" s="369"/>
      <c r="X41" s="366"/>
      <c r="Y41" s="369"/>
      <c r="Z41" s="370"/>
      <c r="AA41" s="371"/>
      <c r="AJ41" s="582"/>
      <c r="AK41" s="366"/>
      <c r="AL41" s="366"/>
      <c r="AM41" s="366"/>
      <c r="AN41" s="366"/>
      <c r="AO41" s="366"/>
    </row>
    <row r="42" spans="5:41" x14ac:dyDescent="0.2">
      <c r="E42" s="667"/>
      <c r="F42" s="1" t="s">
        <v>39</v>
      </c>
      <c r="G42" s="27"/>
      <c r="H42" s="667"/>
      <c r="I42" s="40"/>
      <c r="J42" s="669"/>
      <c r="K42" s="2">
        <f t="shared" si="2"/>
        <v>0</v>
      </c>
      <c r="L42" s="667"/>
      <c r="M42" s="584"/>
      <c r="N42" s="584"/>
      <c r="O42" s="584"/>
      <c r="P42" s="584"/>
      <c r="Q42" s="584"/>
      <c r="R42" s="584"/>
      <c r="S42" s="584"/>
      <c r="T42" s="500"/>
      <c r="V42" s="667"/>
      <c r="W42" s="369"/>
      <c r="X42" s="366"/>
      <c r="Y42" s="369"/>
      <c r="Z42" s="370"/>
      <c r="AA42" s="371"/>
      <c r="AJ42" s="582"/>
      <c r="AK42" s="366"/>
      <c r="AL42" s="366"/>
      <c r="AM42" s="366"/>
      <c r="AN42" s="366"/>
      <c r="AO42" s="366"/>
    </row>
    <row r="43" spans="5:41" x14ac:dyDescent="0.2">
      <c r="E43" s="667"/>
      <c r="F43" s="1" t="s">
        <v>472</v>
      </c>
      <c r="G43" s="27">
        <f>'bilan complet'!F129</f>
        <v>1.5540152218446721</v>
      </c>
      <c r="H43" s="667"/>
      <c r="I43" s="40"/>
      <c r="J43" s="669"/>
      <c r="K43" s="2">
        <f t="shared" si="2"/>
        <v>1.5540152218446721</v>
      </c>
      <c r="L43" s="667"/>
      <c r="M43" s="584"/>
      <c r="N43" s="584"/>
      <c r="O43" s="584"/>
      <c r="P43" s="584"/>
      <c r="Q43" s="584"/>
      <c r="R43" s="584"/>
      <c r="S43" s="584"/>
      <c r="T43" s="500"/>
      <c r="V43" s="667"/>
      <c r="W43" s="369"/>
      <c r="X43" s="366"/>
      <c r="Y43" s="369"/>
      <c r="Z43" s="370"/>
      <c r="AA43" s="371"/>
      <c r="AJ43" s="582"/>
      <c r="AK43" s="369"/>
      <c r="AL43" s="366"/>
      <c r="AM43" s="369"/>
      <c r="AN43" s="371"/>
      <c r="AO43" s="366"/>
    </row>
    <row r="44" spans="5:41" x14ac:dyDescent="0.2">
      <c r="E44" s="668"/>
      <c r="F44" s="1" t="s">
        <v>40</v>
      </c>
      <c r="G44" s="27">
        <f>'bilan complet'!B126</f>
        <v>5.7357906392812232</v>
      </c>
      <c r="H44" s="668"/>
      <c r="I44" s="590"/>
      <c r="J44" s="670"/>
      <c r="K44" s="2">
        <f t="shared" si="2"/>
        <v>5.7357906392812232</v>
      </c>
      <c r="L44" s="668"/>
      <c r="M44" s="584"/>
      <c r="N44" s="584"/>
      <c r="O44" s="584"/>
      <c r="P44" s="584"/>
      <c r="Q44" s="584"/>
      <c r="R44" s="584"/>
      <c r="S44" s="584"/>
      <c r="T44" s="501"/>
      <c r="V44" s="668"/>
      <c r="W44" s="497">
        <f>'scenario demande'!E338</f>
        <v>0</v>
      </c>
      <c r="X44" s="596">
        <f>'scenario demande'!E11</f>
        <v>5.4013254478950614</v>
      </c>
      <c r="Y44" s="374">
        <f>'scenario demande'!E111</f>
        <v>9.9861847006010619E-3</v>
      </c>
      <c r="Z44" s="597">
        <f>'scenario demande'!E187</f>
        <v>9.3431239059703408E-2</v>
      </c>
      <c r="AA44" s="372"/>
      <c r="AB44" s="24">
        <f>SUM(W44:AA44)</f>
        <v>5.5047428716553659</v>
      </c>
      <c r="AI44" s="612">
        <f>AI13+AI25+AI40-'bilan complet'!K126</f>
        <v>0.40000000000000568</v>
      </c>
      <c r="AJ44" s="583"/>
      <c r="AK44" s="497"/>
      <c r="AL44" s="373">
        <f>AE40</f>
        <v>5.6858477827986196</v>
      </c>
      <c r="AM44" s="374"/>
      <c r="AN44" s="604"/>
      <c r="AO44" s="605"/>
    </row>
    <row r="45" spans="5:41" x14ac:dyDescent="0.2">
      <c r="E45" s="1"/>
      <c r="F45" s="1"/>
      <c r="G45" s="389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536">
        <f>T39-K35-K36-K38-SUM(AD39:AH40)</f>
        <v>0</v>
      </c>
      <c r="U45" s="1"/>
      <c r="W45" s="27"/>
      <c r="X45" s="27"/>
      <c r="Y45" s="27"/>
      <c r="Z45" s="27"/>
      <c r="AA45" s="27"/>
    </row>
    <row r="46" spans="5:41" x14ac:dyDescent="0.2">
      <c r="F46" s="1"/>
      <c r="G46" s="466"/>
      <c r="H46" s="462"/>
      <c r="I46" s="462"/>
      <c r="J46" s="462"/>
      <c r="K46" s="462"/>
      <c r="L46" s="462"/>
      <c r="M46" s="463"/>
      <c r="N46" s="463"/>
      <c r="O46" s="463"/>
      <c r="P46" s="464"/>
      <c r="Q46" s="462"/>
      <c r="R46" s="462"/>
      <c r="S46" s="462"/>
      <c r="T46" s="1"/>
      <c r="U46" s="1"/>
      <c r="V46" s="6"/>
      <c r="W46" s="2"/>
      <c r="X46" s="2"/>
      <c r="Y46" s="2"/>
      <c r="Z46" s="2"/>
      <c r="AA46" s="2"/>
    </row>
    <row r="47" spans="5:41" x14ac:dyDescent="0.2">
      <c r="G47" s="465"/>
      <c r="H47" s="462"/>
      <c r="I47" s="462"/>
      <c r="J47" s="462"/>
      <c r="K47" s="462"/>
      <c r="L47" s="462"/>
      <c r="M47" s="466"/>
      <c r="N47" s="466"/>
      <c r="O47" s="466"/>
      <c r="P47" s="465"/>
      <c r="Q47" s="462"/>
      <c r="R47" s="466"/>
      <c r="S47" s="466"/>
      <c r="T47" s="1"/>
      <c r="U47" s="1"/>
    </row>
    <row r="48" spans="5:41" x14ac:dyDescent="0.2">
      <c r="F48" s="470" t="s">
        <v>495</v>
      </c>
      <c r="G48" s="471" t="s">
        <v>174</v>
      </c>
      <c r="H48" s="472" t="s">
        <v>494</v>
      </c>
      <c r="I48" s="471" t="s">
        <v>174</v>
      </c>
      <c r="J48" s="472" t="s">
        <v>494</v>
      </c>
      <c r="K48" s="462"/>
      <c r="L48" s="462"/>
      <c r="M48" s="377"/>
      <c r="N48" s="467"/>
      <c r="O48" s="467"/>
      <c r="P48" s="464"/>
      <c r="Q48" s="462"/>
      <c r="R48" s="467"/>
      <c r="S48" s="467"/>
      <c r="T48" s="1"/>
      <c r="U48" s="1"/>
      <c r="V48" s="2"/>
      <c r="W48" s="2"/>
      <c r="X48" s="2"/>
      <c r="Y48" s="2"/>
      <c r="Z48" s="2"/>
      <c r="AA48" s="2"/>
    </row>
    <row r="49" spans="6:27" x14ac:dyDescent="0.2">
      <c r="F49" s="470" t="s">
        <v>25</v>
      </c>
      <c r="G49" s="473">
        <v>0</v>
      </c>
      <c r="H49" s="474">
        <v>0</v>
      </c>
      <c r="I49" s="476">
        <f>G49/$G$56</f>
        <v>0</v>
      </c>
      <c r="J49" s="476">
        <f>H49/$H$56</f>
        <v>0</v>
      </c>
      <c r="K49" s="462"/>
      <c r="L49" s="462"/>
      <c r="M49" s="377"/>
      <c r="N49" s="467"/>
      <c r="O49" s="467"/>
      <c r="P49" s="464"/>
      <c r="Q49" s="462"/>
      <c r="R49" s="467"/>
      <c r="S49" s="467"/>
      <c r="T49" s="1"/>
      <c r="U49" s="1"/>
      <c r="V49" s="498"/>
      <c r="W49" s="1"/>
      <c r="X49" s="1"/>
      <c r="Y49" s="1"/>
      <c r="Z49" s="1"/>
      <c r="AA49" s="1"/>
    </row>
    <row r="50" spans="6:27" x14ac:dyDescent="0.2">
      <c r="F50" s="470" t="s">
        <v>26</v>
      </c>
      <c r="G50" s="473">
        <f>'Réseaux de chaleur'!$E$75</f>
        <v>0.49605472888061164</v>
      </c>
      <c r="H50" s="474">
        <f>'Réseaux de chaleur'!$E$51</f>
        <v>0.49605472888061164</v>
      </c>
      <c r="I50" s="476">
        <f t="shared" ref="I50:I55" si="7">G50/$G$56</f>
        <v>0.18161652291210867</v>
      </c>
      <c r="J50" s="476">
        <f t="shared" ref="J50:J55" si="8">H50/$H$56</f>
        <v>0.20714591928197321</v>
      </c>
      <c r="K50" s="462"/>
      <c r="L50" s="462"/>
      <c r="M50" s="377"/>
      <c r="N50" s="467"/>
      <c r="O50" s="467"/>
      <c r="P50" s="464"/>
      <c r="Q50" s="462"/>
      <c r="R50" s="467"/>
      <c r="S50" s="467"/>
      <c r="T50" s="1"/>
      <c r="U50" s="1"/>
      <c r="V50" s="2"/>
      <c r="W50" s="1"/>
      <c r="X50" s="1"/>
      <c r="Y50" s="1"/>
      <c r="Z50" s="1"/>
      <c r="AA50" s="1"/>
    </row>
    <row r="51" spans="6:27" x14ac:dyDescent="0.2">
      <c r="F51" s="470" t="s">
        <v>30</v>
      </c>
      <c r="G51" s="473">
        <v>0</v>
      </c>
      <c r="H51" s="474"/>
      <c r="I51" s="476">
        <f t="shared" si="7"/>
        <v>0</v>
      </c>
      <c r="J51" s="476">
        <f t="shared" si="8"/>
        <v>0</v>
      </c>
      <c r="K51" s="462"/>
      <c r="L51" s="462"/>
      <c r="M51" s="377"/>
      <c r="N51" s="467"/>
      <c r="O51" s="467"/>
      <c r="P51" s="464"/>
      <c r="Q51" s="464"/>
      <c r="R51" s="467"/>
      <c r="S51" s="467"/>
      <c r="T51" s="1"/>
      <c r="U51" s="1"/>
      <c r="V51" s="1"/>
      <c r="W51" s="1"/>
      <c r="X51" s="1"/>
      <c r="Y51" s="1"/>
      <c r="Z51" s="1"/>
      <c r="AA51" s="1"/>
    </row>
    <row r="52" spans="6:27" x14ac:dyDescent="0.2">
      <c r="F52" s="470" t="s">
        <v>27</v>
      </c>
      <c r="G52" s="473">
        <f>'Réseaux de chaleur'!$E$74</f>
        <v>0.45232391255645549</v>
      </c>
      <c r="H52" s="474">
        <f>'Réseaux de chaleur'!$E$50</f>
        <v>0.36924401025016773</v>
      </c>
      <c r="I52" s="476">
        <f t="shared" si="7"/>
        <v>0.16560571131713883</v>
      </c>
      <c r="J52" s="476">
        <f t="shared" si="8"/>
        <v>0.15419143390737031</v>
      </c>
      <c r="K52" s="462"/>
      <c r="L52" s="462"/>
      <c r="M52" s="377"/>
      <c r="N52" s="467"/>
      <c r="O52" s="467"/>
      <c r="P52" s="464"/>
      <c r="Q52" s="462"/>
      <c r="R52" s="467"/>
      <c r="S52" s="467"/>
      <c r="T52" s="1"/>
      <c r="U52" s="1"/>
      <c r="V52" s="1"/>
      <c r="W52" s="1"/>
      <c r="X52" s="1"/>
      <c r="Y52" s="1"/>
      <c r="Z52" s="1"/>
      <c r="AA52" s="1"/>
    </row>
    <row r="53" spans="6:27" x14ac:dyDescent="0.2">
      <c r="F53" s="470" t="s">
        <v>28</v>
      </c>
      <c r="G53" s="473">
        <f>'Réseaux de chaleur'!$E$76</f>
        <v>8.7184672436062025E-2</v>
      </c>
      <c r="H53" s="474">
        <f>'Réseaux de chaleur'!$E$52</f>
        <v>8.7184672436062025E-2</v>
      </c>
      <c r="I53" s="476">
        <f t="shared" si="7"/>
        <v>3.1920221977925448E-2</v>
      </c>
      <c r="J53" s="476">
        <f t="shared" si="8"/>
        <v>3.6407170555191645E-2</v>
      </c>
      <c r="K53" s="462"/>
      <c r="L53" s="462"/>
      <c r="M53" s="377"/>
      <c r="N53" s="467"/>
      <c r="O53" s="467"/>
      <c r="P53" s="465"/>
      <c r="Q53" s="462"/>
      <c r="R53" s="466"/>
      <c r="S53" s="466"/>
      <c r="T53" s="1"/>
      <c r="U53" s="1"/>
      <c r="V53" s="1"/>
      <c r="W53" s="1"/>
      <c r="X53" s="1"/>
      <c r="Y53" s="1"/>
      <c r="Z53" s="1"/>
      <c r="AA53" s="1"/>
    </row>
    <row r="54" spans="6:27" x14ac:dyDescent="0.2">
      <c r="F54" s="470" t="s">
        <v>35</v>
      </c>
      <c r="G54" s="473">
        <f>'Réseaux de chaleur'!$E$77</f>
        <v>0.20692735997424955</v>
      </c>
      <c r="H54" s="474">
        <f>'Réseaux de chaleur'!$E$53</f>
        <v>0.20692735997424955</v>
      </c>
      <c r="I54" s="476">
        <f t="shared" si="7"/>
        <v>7.5760647819467494E-2</v>
      </c>
      <c r="J54" s="476">
        <f t="shared" si="8"/>
        <v>8.6410139266657554E-2</v>
      </c>
      <c r="K54" s="462"/>
      <c r="L54" s="462"/>
      <c r="M54" s="377"/>
      <c r="N54" s="467"/>
      <c r="O54" s="467"/>
      <c r="P54" s="464"/>
      <c r="Q54" s="462"/>
      <c r="R54" s="467"/>
      <c r="S54" s="467"/>
      <c r="T54" s="1"/>
      <c r="U54" s="1"/>
      <c r="V54" s="1"/>
      <c r="W54" s="1"/>
      <c r="X54" s="1"/>
      <c r="Y54" s="1"/>
      <c r="Z54" s="1"/>
      <c r="AA54" s="1"/>
    </row>
    <row r="55" spans="6:27" x14ac:dyDescent="0.2">
      <c r="F55" s="470" t="s">
        <v>31</v>
      </c>
      <c r="G55" s="473">
        <f>'Réseaux de chaleur'!$E$73+'Réseaux de chaleur'!$E$72+'Réseaux de chaleur'!$E$71</f>
        <v>1.4888397190413336</v>
      </c>
      <c r="H55" s="474">
        <f>'Réseaux de chaleur'!$E$49+'Réseaux de chaleur'!$E$48+'Réseaux de chaleur'!$E$47</f>
        <v>1.2353007950689525</v>
      </c>
      <c r="I55" s="476">
        <f t="shared" si="7"/>
        <v>0.54509689597335953</v>
      </c>
      <c r="J55" s="476">
        <f t="shared" si="8"/>
        <v>0.5158453369888073</v>
      </c>
      <c r="K55" s="462"/>
      <c r="L55" s="462"/>
      <c r="M55" s="467"/>
      <c r="N55" s="467"/>
      <c r="O55" s="467"/>
      <c r="P55" s="464"/>
      <c r="Q55" s="462"/>
      <c r="R55" s="467"/>
      <c r="S55" s="467"/>
      <c r="T55" s="1"/>
      <c r="U55" s="1"/>
      <c r="V55" s="1"/>
      <c r="W55" s="1"/>
      <c r="X55" s="1"/>
      <c r="Y55" s="1"/>
      <c r="Z55" s="1"/>
      <c r="AA55" s="1"/>
    </row>
    <row r="56" spans="6:27" x14ac:dyDescent="0.2">
      <c r="F56" s="470" t="s">
        <v>496</v>
      </c>
      <c r="G56" s="475">
        <f>SUM(G49:G55)</f>
        <v>2.7313303928887125</v>
      </c>
      <c r="H56" s="475">
        <f>SUM(H49:H55)</f>
        <v>2.3947115666100434</v>
      </c>
      <c r="I56" s="475">
        <f>SUM(I49:I55)</f>
        <v>1</v>
      </c>
      <c r="J56" s="475">
        <f>SUM(J49:J55)</f>
        <v>1</v>
      </c>
      <c r="K56" s="462"/>
      <c r="L56" s="462"/>
      <c r="M56" s="467"/>
      <c r="N56" s="467"/>
      <c r="O56" s="467"/>
      <c r="P56" s="464"/>
      <c r="Q56" s="464"/>
      <c r="R56" s="464"/>
      <c r="S56" s="464"/>
      <c r="T56" s="1"/>
      <c r="U56" s="1"/>
      <c r="V56" s="1"/>
      <c r="W56" s="1"/>
      <c r="X56" s="1"/>
      <c r="Y56" s="1"/>
      <c r="Z56" s="1"/>
      <c r="AA56" s="1"/>
    </row>
    <row r="57" spans="6:27" x14ac:dyDescent="0.2">
      <c r="F57" s="1"/>
      <c r="G57" s="462"/>
      <c r="H57" s="462"/>
      <c r="I57" s="462"/>
      <c r="J57" s="462"/>
      <c r="K57" s="462"/>
      <c r="L57" s="462"/>
      <c r="M57" s="467"/>
      <c r="N57" s="467"/>
      <c r="O57" s="467"/>
      <c r="P57" s="464"/>
      <c r="Q57" s="468"/>
      <c r="R57" s="469"/>
      <c r="S57" s="469"/>
      <c r="T57" s="1"/>
      <c r="U57" s="1"/>
      <c r="V57" s="1"/>
      <c r="W57" s="1"/>
      <c r="X57" s="1"/>
      <c r="Y57" s="1"/>
      <c r="Z57" s="1"/>
      <c r="AA57" s="1"/>
    </row>
    <row r="58" spans="6:27" x14ac:dyDescent="0.2">
      <c r="F58" s="1"/>
      <c r="G58" s="462"/>
      <c r="H58" s="462"/>
      <c r="I58" s="462"/>
      <c r="J58" s="462"/>
      <c r="K58" s="462"/>
      <c r="L58" s="462"/>
      <c r="M58" s="467"/>
      <c r="N58" s="467"/>
      <c r="O58" s="467"/>
      <c r="P58" s="464"/>
      <c r="Q58" s="468"/>
      <c r="R58" s="469"/>
      <c r="S58" s="469"/>
      <c r="T58" s="1"/>
      <c r="U58" s="1"/>
      <c r="V58" s="1"/>
      <c r="W58" s="1"/>
      <c r="X58" s="1"/>
      <c r="Y58" s="1"/>
      <c r="Z58" s="1"/>
      <c r="AA58" s="1"/>
    </row>
    <row r="62" spans="6:27" x14ac:dyDescent="0.2">
      <c r="G62" s="492"/>
    </row>
    <row r="63" spans="6:27" x14ac:dyDescent="0.2">
      <c r="G63" s="493"/>
    </row>
    <row r="64" spans="6:27" x14ac:dyDescent="0.2">
      <c r="G64" s="492"/>
    </row>
    <row r="65" spans="7:7" x14ac:dyDescent="0.2">
      <c r="G65" s="492"/>
    </row>
    <row r="66" spans="7:7" x14ac:dyDescent="0.2">
      <c r="G66" s="494"/>
    </row>
  </sheetData>
  <mergeCells count="48">
    <mergeCell ref="V34:V44"/>
    <mergeCell ref="P26:P32"/>
    <mergeCell ref="Q26:Q32"/>
    <mergeCell ref="R26:R32"/>
    <mergeCell ref="S26:S32"/>
    <mergeCell ref="T26:T32"/>
    <mergeCell ref="E34:E44"/>
    <mergeCell ref="H34:H44"/>
    <mergeCell ref="J34:J44"/>
    <mergeCell ref="L34:L44"/>
    <mergeCell ref="E26:E32"/>
    <mergeCell ref="H26:H32"/>
    <mergeCell ref="J26:J32"/>
    <mergeCell ref="L26:L32"/>
    <mergeCell ref="N26:N32"/>
    <mergeCell ref="O26:O32"/>
    <mergeCell ref="AH7:AH19"/>
    <mergeCell ref="E21:E24"/>
    <mergeCell ref="H21:H24"/>
    <mergeCell ref="J21:J24"/>
    <mergeCell ref="L21:L24"/>
    <mergeCell ref="N21:N24"/>
    <mergeCell ref="O21:O24"/>
    <mergeCell ref="P21:P24"/>
    <mergeCell ref="Q21:Q24"/>
    <mergeCell ref="V21:V24"/>
    <mergeCell ref="T7:T19"/>
    <mergeCell ref="V7:V19"/>
    <mergeCell ref="AD7:AD19"/>
    <mergeCell ref="AE7:AE19"/>
    <mergeCell ref="AF7:AF19"/>
    <mergeCell ref="AG7:AG19"/>
    <mergeCell ref="A4:C4"/>
    <mergeCell ref="E7:E19"/>
    <mergeCell ref="H7:H19"/>
    <mergeCell ref="J7:J19"/>
    <mergeCell ref="L7:L19"/>
    <mergeCell ref="N7:N19"/>
    <mergeCell ref="G1:L1"/>
    <mergeCell ref="N1:T1"/>
    <mergeCell ref="V1:AA1"/>
    <mergeCell ref="G2:H2"/>
    <mergeCell ref="I2:L2"/>
    <mergeCell ref="N2:N4"/>
    <mergeCell ref="O2:T3"/>
    <mergeCell ref="V2:AA3"/>
    <mergeCell ref="I3:J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6"/>
  <sheetViews>
    <sheetView zoomScaleNormal="100" workbookViewId="0">
      <pane xSplit="6" ySplit="4" topLeftCell="AE14" activePane="bottomRight" state="frozen"/>
      <selection pane="topRight" activeCell="G1" sqref="G1"/>
      <selection pane="bottomLeft" activeCell="A5" sqref="A5"/>
      <selection pane="bottomRight" activeCell="AI44" sqref="AI44"/>
    </sheetView>
  </sheetViews>
  <sheetFormatPr baseColWidth="10" defaultRowHeight="12.75" x14ac:dyDescent="0.2"/>
  <cols>
    <col min="1" max="1" width="14.85546875" style="24" bestFit="1" customWidth="1"/>
    <col min="2" max="2" width="28" style="24" bestFit="1" customWidth="1"/>
    <col min="3" max="3" width="4.42578125" style="24" bestFit="1" customWidth="1"/>
    <col min="4" max="4" width="8" style="24" bestFit="1" customWidth="1"/>
    <col min="5" max="5" width="11.42578125" style="24"/>
    <col min="6" max="6" width="22.85546875" style="24" bestFit="1" customWidth="1"/>
    <col min="7" max="7" width="7" style="24" customWidth="1"/>
    <col min="8" max="8" width="6.28515625" style="24" customWidth="1"/>
    <col min="9" max="9" width="5.7109375" style="24" customWidth="1"/>
    <col min="10" max="10" width="5.7109375" style="24" bestFit="1" customWidth="1"/>
    <col min="11" max="11" width="5.85546875" style="24" bestFit="1" customWidth="1"/>
    <col min="12" max="12" width="9.42578125" style="24" customWidth="1"/>
    <col min="13" max="13" width="9.28515625" style="24" customWidth="1"/>
    <col min="14" max="14" width="9.7109375" style="24" customWidth="1"/>
    <col min="15" max="15" width="6.7109375" style="24" bestFit="1" customWidth="1"/>
    <col min="16" max="16" width="4.85546875" style="24" customWidth="1"/>
    <col min="17" max="17" width="5.28515625" style="24" customWidth="1"/>
    <col min="18" max="19" width="4.42578125" style="24" bestFit="1" customWidth="1"/>
    <col min="20" max="20" width="19.28515625" style="24" customWidth="1"/>
    <col min="21" max="21" width="6" style="24" customWidth="1"/>
    <col min="22" max="22" width="5.85546875" style="24" bestFit="1" customWidth="1"/>
    <col min="23" max="23" width="4.42578125" style="24" bestFit="1" customWidth="1"/>
    <col min="24" max="24" width="6.42578125" style="24" customWidth="1"/>
    <col min="25" max="26" width="5.42578125" style="24" bestFit="1" customWidth="1"/>
    <col min="27" max="27" width="4.42578125" style="24" bestFit="1" customWidth="1"/>
    <col min="28" max="28" width="7.28515625" style="24" customWidth="1"/>
    <col min="29" max="29" width="12.7109375" style="24" customWidth="1"/>
    <col min="30" max="256" width="11.42578125" style="24"/>
    <col min="257" max="257" width="14.85546875" style="24" bestFit="1" customWidth="1"/>
    <col min="258" max="258" width="28" style="24" bestFit="1" customWidth="1"/>
    <col min="259" max="259" width="4.42578125" style="24" bestFit="1" customWidth="1"/>
    <col min="260" max="260" width="8" style="24" bestFit="1" customWidth="1"/>
    <col min="261" max="261" width="11.42578125" style="24"/>
    <col min="262" max="262" width="22.85546875" style="24" bestFit="1" customWidth="1"/>
    <col min="263" max="263" width="7" style="24" customWidth="1"/>
    <col min="264" max="264" width="6.28515625" style="24" customWidth="1"/>
    <col min="265" max="265" width="5.7109375" style="24" customWidth="1"/>
    <col min="266" max="266" width="5.7109375" style="24" bestFit="1" customWidth="1"/>
    <col min="267" max="267" width="5.85546875" style="24" bestFit="1" customWidth="1"/>
    <col min="268" max="268" width="9.42578125" style="24" customWidth="1"/>
    <col min="269" max="269" width="5.140625" style="24" customWidth="1"/>
    <col min="270" max="270" width="9.7109375" style="24" customWidth="1"/>
    <col min="271" max="271" width="6.7109375" style="24" bestFit="1" customWidth="1"/>
    <col min="272" max="272" width="4.85546875" style="24" customWidth="1"/>
    <col min="273" max="273" width="5.28515625" style="24" customWidth="1"/>
    <col min="274" max="275" width="4.42578125" style="24" bestFit="1" customWidth="1"/>
    <col min="276" max="276" width="13.28515625" style="24" bestFit="1" customWidth="1"/>
    <col min="277" max="277" width="3.140625" style="24" customWidth="1"/>
    <col min="278" max="278" width="5.42578125" style="24" bestFit="1" customWidth="1"/>
    <col min="279" max="279" width="4.42578125" style="24" bestFit="1" customWidth="1"/>
    <col min="280" max="280" width="6.42578125" style="24" customWidth="1"/>
    <col min="281" max="281" width="5" style="24" bestFit="1" customWidth="1"/>
    <col min="282" max="282" width="4.5703125" style="24" bestFit="1" customWidth="1"/>
    <col min="283" max="283" width="4.42578125" style="24" bestFit="1" customWidth="1"/>
    <col min="284" max="284" width="4" style="24" customWidth="1"/>
    <col min="285" max="512" width="11.42578125" style="24"/>
    <col min="513" max="513" width="14.85546875" style="24" bestFit="1" customWidth="1"/>
    <col min="514" max="514" width="28" style="24" bestFit="1" customWidth="1"/>
    <col min="515" max="515" width="4.42578125" style="24" bestFit="1" customWidth="1"/>
    <col min="516" max="516" width="8" style="24" bestFit="1" customWidth="1"/>
    <col min="517" max="517" width="11.42578125" style="24"/>
    <col min="518" max="518" width="22.85546875" style="24" bestFit="1" customWidth="1"/>
    <col min="519" max="519" width="7" style="24" customWidth="1"/>
    <col min="520" max="520" width="6.28515625" style="24" customWidth="1"/>
    <col min="521" max="521" width="5.7109375" style="24" customWidth="1"/>
    <col min="522" max="522" width="5.7109375" style="24" bestFit="1" customWidth="1"/>
    <col min="523" max="523" width="5.85546875" style="24" bestFit="1" customWidth="1"/>
    <col min="524" max="524" width="9.42578125" style="24" customWidth="1"/>
    <col min="525" max="525" width="5.140625" style="24" customWidth="1"/>
    <col min="526" max="526" width="9.7109375" style="24" customWidth="1"/>
    <col min="527" max="527" width="6.7109375" style="24" bestFit="1" customWidth="1"/>
    <col min="528" max="528" width="4.85546875" style="24" customWidth="1"/>
    <col min="529" max="529" width="5.28515625" style="24" customWidth="1"/>
    <col min="530" max="531" width="4.42578125" style="24" bestFit="1" customWidth="1"/>
    <col min="532" max="532" width="13.28515625" style="24" bestFit="1" customWidth="1"/>
    <col min="533" max="533" width="3.140625" style="24" customWidth="1"/>
    <col min="534" max="534" width="5.42578125" style="24" bestFit="1" customWidth="1"/>
    <col min="535" max="535" width="4.42578125" style="24" bestFit="1" customWidth="1"/>
    <col min="536" max="536" width="6.42578125" style="24" customWidth="1"/>
    <col min="537" max="537" width="5" style="24" bestFit="1" customWidth="1"/>
    <col min="538" max="538" width="4.5703125" style="24" bestFit="1" customWidth="1"/>
    <col min="539" max="539" width="4.42578125" style="24" bestFit="1" customWidth="1"/>
    <col min="540" max="540" width="4" style="24" customWidth="1"/>
    <col min="541" max="768" width="11.42578125" style="24"/>
    <col min="769" max="769" width="14.85546875" style="24" bestFit="1" customWidth="1"/>
    <col min="770" max="770" width="28" style="24" bestFit="1" customWidth="1"/>
    <col min="771" max="771" width="4.42578125" style="24" bestFit="1" customWidth="1"/>
    <col min="772" max="772" width="8" style="24" bestFit="1" customWidth="1"/>
    <col min="773" max="773" width="11.42578125" style="24"/>
    <col min="774" max="774" width="22.85546875" style="24" bestFit="1" customWidth="1"/>
    <col min="775" max="775" width="7" style="24" customWidth="1"/>
    <col min="776" max="776" width="6.28515625" style="24" customWidth="1"/>
    <col min="777" max="777" width="5.7109375" style="24" customWidth="1"/>
    <col min="778" max="778" width="5.7109375" style="24" bestFit="1" customWidth="1"/>
    <col min="779" max="779" width="5.85546875" style="24" bestFit="1" customWidth="1"/>
    <col min="780" max="780" width="9.42578125" style="24" customWidth="1"/>
    <col min="781" max="781" width="5.140625" style="24" customWidth="1"/>
    <col min="782" max="782" width="9.7109375" style="24" customWidth="1"/>
    <col min="783" max="783" width="6.7109375" style="24" bestFit="1" customWidth="1"/>
    <col min="784" max="784" width="4.85546875" style="24" customWidth="1"/>
    <col min="785" max="785" width="5.28515625" style="24" customWidth="1"/>
    <col min="786" max="787" width="4.42578125" style="24" bestFit="1" customWidth="1"/>
    <col min="788" max="788" width="13.28515625" style="24" bestFit="1" customWidth="1"/>
    <col min="789" max="789" width="3.140625" style="24" customWidth="1"/>
    <col min="790" max="790" width="5.42578125" style="24" bestFit="1" customWidth="1"/>
    <col min="791" max="791" width="4.42578125" style="24" bestFit="1" customWidth="1"/>
    <col min="792" max="792" width="6.42578125" style="24" customWidth="1"/>
    <col min="793" max="793" width="5" style="24" bestFit="1" customWidth="1"/>
    <col min="794" max="794" width="4.5703125" style="24" bestFit="1" customWidth="1"/>
    <col min="795" max="795" width="4.42578125" style="24" bestFit="1" customWidth="1"/>
    <col min="796" max="796" width="4" style="24" customWidth="1"/>
    <col min="797" max="1024" width="11.42578125" style="24"/>
    <col min="1025" max="1025" width="14.85546875" style="24" bestFit="1" customWidth="1"/>
    <col min="1026" max="1026" width="28" style="24" bestFit="1" customWidth="1"/>
    <col min="1027" max="1027" width="4.42578125" style="24" bestFit="1" customWidth="1"/>
    <col min="1028" max="1028" width="8" style="24" bestFit="1" customWidth="1"/>
    <col min="1029" max="1029" width="11.42578125" style="24"/>
    <col min="1030" max="1030" width="22.85546875" style="24" bestFit="1" customWidth="1"/>
    <col min="1031" max="1031" width="7" style="24" customWidth="1"/>
    <col min="1032" max="1032" width="6.28515625" style="24" customWidth="1"/>
    <col min="1033" max="1033" width="5.7109375" style="24" customWidth="1"/>
    <col min="1034" max="1034" width="5.7109375" style="24" bestFit="1" customWidth="1"/>
    <col min="1035" max="1035" width="5.85546875" style="24" bestFit="1" customWidth="1"/>
    <col min="1036" max="1036" width="9.42578125" style="24" customWidth="1"/>
    <col min="1037" max="1037" width="5.140625" style="24" customWidth="1"/>
    <col min="1038" max="1038" width="9.7109375" style="24" customWidth="1"/>
    <col min="1039" max="1039" width="6.7109375" style="24" bestFit="1" customWidth="1"/>
    <col min="1040" max="1040" width="4.85546875" style="24" customWidth="1"/>
    <col min="1041" max="1041" width="5.28515625" style="24" customWidth="1"/>
    <col min="1042" max="1043" width="4.42578125" style="24" bestFit="1" customWidth="1"/>
    <col min="1044" max="1044" width="13.28515625" style="24" bestFit="1" customWidth="1"/>
    <col min="1045" max="1045" width="3.140625" style="24" customWidth="1"/>
    <col min="1046" max="1046" width="5.42578125" style="24" bestFit="1" customWidth="1"/>
    <col min="1047" max="1047" width="4.42578125" style="24" bestFit="1" customWidth="1"/>
    <col min="1048" max="1048" width="6.42578125" style="24" customWidth="1"/>
    <col min="1049" max="1049" width="5" style="24" bestFit="1" customWidth="1"/>
    <col min="1050" max="1050" width="4.5703125" style="24" bestFit="1" customWidth="1"/>
    <col min="1051" max="1051" width="4.42578125" style="24" bestFit="1" customWidth="1"/>
    <col min="1052" max="1052" width="4" style="24" customWidth="1"/>
    <col min="1053" max="1280" width="11.42578125" style="24"/>
    <col min="1281" max="1281" width="14.85546875" style="24" bestFit="1" customWidth="1"/>
    <col min="1282" max="1282" width="28" style="24" bestFit="1" customWidth="1"/>
    <col min="1283" max="1283" width="4.42578125" style="24" bestFit="1" customWidth="1"/>
    <col min="1284" max="1284" width="8" style="24" bestFit="1" customWidth="1"/>
    <col min="1285" max="1285" width="11.42578125" style="24"/>
    <col min="1286" max="1286" width="22.85546875" style="24" bestFit="1" customWidth="1"/>
    <col min="1287" max="1287" width="7" style="24" customWidth="1"/>
    <col min="1288" max="1288" width="6.28515625" style="24" customWidth="1"/>
    <col min="1289" max="1289" width="5.7109375" style="24" customWidth="1"/>
    <col min="1290" max="1290" width="5.7109375" style="24" bestFit="1" customWidth="1"/>
    <col min="1291" max="1291" width="5.85546875" style="24" bestFit="1" customWidth="1"/>
    <col min="1292" max="1292" width="9.42578125" style="24" customWidth="1"/>
    <col min="1293" max="1293" width="5.140625" style="24" customWidth="1"/>
    <col min="1294" max="1294" width="9.7109375" style="24" customWidth="1"/>
    <col min="1295" max="1295" width="6.7109375" style="24" bestFit="1" customWidth="1"/>
    <col min="1296" max="1296" width="4.85546875" style="24" customWidth="1"/>
    <col min="1297" max="1297" width="5.28515625" style="24" customWidth="1"/>
    <col min="1298" max="1299" width="4.42578125" style="24" bestFit="1" customWidth="1"/>
    <col min="1300" max="1300" width="13.28515625" style="24" bestFit="1" customWidth="1"/>
    <col min="1301" max="1301" width="3.140625" style="24" customWidth="1"/>
    <col min="1302" max="1302" width="5.42578125" style="24" bestFit="1" customWidth="1"/>
    <col min="1303" max="1303" width="4.42578125" style="24" bestFit="1" customWidth="1"/>
    <col min="1304" max="1304" width="6.42578125" style="24" customWidth="1"/>
    <col min="1305" max="1305" width="5" style="24" bestFit="1" customWidth="1"/>
    <col min="1306" max="1306" width="4.5703125" style="24" bestFit="1" customWidth="1"/>
    <col min="1307" max="1307" width="4.42578125" style="24" bestFit="1" customWidth="1"/>
    <col min="1308" max="1308" width="4" style="24" customWidth="1"/>
    <col min="1309" max="1536" width="11.42578125" style="24"/>
    <col min="1537" max="1537" width="14.85546875" style="24" bestFit="1" customWidth="1"/>
    <col min="1538" max="1538" width="28" style="24" bestFit="1" customWidth="1"/>
    <col min="1539" max="1539" width="4.42578125" style="24" bestFit="1" customWidth="1"/>
    <col min="1540" max="1540" width="8" style="24" bestFit="1" customWidth="1"/>
    <col min="1541" max="1541" width="11.42578125" style="24"/>
    <col min="1542" max="1542" width="22.85546875" style="24" bestFit="1" customWidth="1"/>
    <col min="1543" max="1543" width="7" style="24" customWidth="1"/>
    <col min="1544" max="1544" width="6.28515625" style="24" customWidth="1"/>
    <col min="1545" max="1545" width="5.7109375" style="24" customWidth="1"/>
    <col min="1546" max="1546" width="5.7109375" style="24" bestFit="1" customWidth="1"/>
    <col min="1547" max="1547" width="5.85546875" style="24" bestFit="1" customWidth="1"/>
    <col min="1548" max="1548" width="9.42578125" style="24" customWidth="1"/>
    <col min="1549" max="1549" width="5.140625" style="24" customWidth="1"/>
    <col min="1550" max="1550" width="9.7109375" style="24" customWidth="1"/>
    <col min="1551" max="1551" width="6.7109375" style="24" bestFit="1" customWidth="1"/>
    <col min="1552" max="1552" width="4.85546875" style="24" customWidth="1"/>
    <col min="1553" max="1553" width="5.28515625" style="24" customWidth="1"/>
    <col min="1554" max="1555" width="4.42578125" style="24" bestFit="1" customWidth="1"/>
    <col min="1556" max="1556" width="13.28515625" style="24" bestFit="1" customWidth="1"/>
    <col min="1557" max="1557" width="3.140625" style="24" customWidth="1"/>
    <col min="1558" max="1558" width="5.42578125" style="24" bestFit="1" customWidth="1"/>
    <col min="1559" max="1559" width="4.42578125" style="24" bestFit="1" customWidth="1"/>
    <col min="1560" max="1560" width="6.42578125" style="24" customWidth="1"/>
    <col min="1561" max="1561" width="5" style="24" bestFit="1" customWidth="1"/>
    <col min="1562" max="1562" width="4.5703125" style="24" bestFit="1" customWidth="1"/>
    <col min="1563" max="1563" width="4.42578125" style="24" bestFit="1" customWidth="1"/>
    <col min="1564" max="1564" width="4" style="24" customWidth="1"/>
    <col min="1565" max="1792" width="11.42578125" style="24"/>
    <col min="1793" max="1793" width="14.85546875" style="24" bestFit="1" customWidth="1"/>
    <col min="1794" max="1794" width="28" style="24" bestFit="1" customWidth="1"/>
    <col min="1795" max="1795" width="4.42578125" style="24" bestFit="1" customWidth="1"/>
    <col min="1796" max="1796" width="8" style="24" bestFit="1" customWidth="1"/>
    <col min="1797" max="1797" width="11.42578125" style="24"/>
    <col min="1798" max="1798" width="22.85546875" style="24" bestFit="1" customWidth="1"/>
    <col min="1799" max="1799" width="7" style="24" customWidth="1"/>
    <col min="1800" max="1800" width="6.28515625" style="24" customWidth="1"/>
    <col min="1801" max="1801" width="5.7109375" style="24" customWidth="1"/>
    <col min="1802" max="1802" width="5.7109375" style="24" bestFit="1" customWidth="1"/>
    <col min="1803" max="1803" width="5.85546875" style="24" bestFit="1" customWidth="1"/>
    <col min="1804" max="1804" width="9.42578125" style="24" customWidth="1"/>
    <col min="1805" max="1805" width="5.140625" style="24" customWidth="1"/>
    <col min="1806" max="1806" width="9.7109375" style="24" customWidth="1"/>
    <col min="1807" max="1807" width="6.7109375" style="24" bestFit="1" customWidth="1"/>
    <col min="1808" max="1808" width="4.85546875" style="24" customWidth="1"/>
    <col min="1809" max="1809" width="5.28515625" style="24" customWidth="1"/>
    <col min="1810" max="1811" width="4.42578125" style="24" bestFit="1" customWidth="1"/>
    <col min="1812" max="1812" width="13.28515625" style="24" bestFit="1" customWidth="1"/>
    <col min="1813" max="1813" width="3.140625" style="24" customWidth="1"/>
    <col min="1814" max="1814" width="5.42578125" style="24" bestFit="1" customWidth="1"/>
    <col min="1815" max="1815" width="4.42578125" style="24" bestFit="1" customWidth="1"/>
    <col min="1816" max="1816" width="6.42578125" style="24" customWidth="1"/>
    <col min="1817" max="1817" width="5" style="24" bestFit="1" customWidth="1"/>
    <col min="1818" max="1818" width="4.5703125" style="24" bestFit="1" customWidth="1"/>
    <col min="1819" max="1819" width="4.42578125" style="24" bestFit="1" customWidth="1"/>
    <col min="1820" max="1820" width="4" style="24" customWidth="1"/>
    <col min="1821" max="2048" width="11.42578125" style="24"/>
    <col min="2049" max="2049" width="14.85546875" style="24" bestFit="1" customWidth="1"/>
    <col min="2050" max="2050" width="28" style="24" bestFit="1" customWidth="1"/>
    <col min="2051" max="2051" width="4.42578125" style="24" bestFit="1" customWidth="1"/>
    <col min="2052" max="2052" width="8" style="24" bestFit="1" customWidth="1"/>
    <col min="2053" max="2053" width="11.42578125" style="24"/>
    <col min="2054" max="2054" width="22.85546875" style="24" bestFit="1" customWidth="1"/>
    <col min="2055" max="2055" width="7" style="24" customWidth="1"/>
    <col min="2056" max="2056" width="6.28515625" style="24" customWidth="1"/>
    <col min="2057" max="2057" width="5.7109375" style="24" customWidth="1"/>
    <col min="2058" max="2058" width="5.7109375" style="24" bestFit="1" customWidth="1"/>
    <col min="2059" max="2059" width="5.85546875" style="24" bestFit="1" customWidth="1"/>
    <col min="2060" max="2060" width="9.42578125" style="24" customWidth="1"/>
    <col min="2061" max="2061" width="5.140625" style="24" customWidth="1"/>
    <col min="2062" max="2062" width="9.7109375" style="24" customWidth="1"/>
    <col min="2063" max="2063" width="6.7109375" style="24" bestFit="1" customWidth="1"/>
    <col min="2064" max="2064" width="4.85546875" style="24" customWidth="1"/>
    <col min="2065" max="2065" width="5.28515625" style="24" customWidth="1"/>
    <col min="2066" max="2067" width="4.42578125" style="24" bestFit="1" customWidth="1"/>
    <col min="2068" max="2068" width="13.28515625" style="24" bestFit="1" customWidth="1"/>
    <col min="2069" max="2069" width="3.140625" style="24" customWidth="1"/>
    <col min="2070" max="2070" width="5.42578125" style="24" bestFit="1" customWidth="1"/>
    <col min="2071" max="2071" width="4.42578125" style="24" bestFit="1" customWidth="1"/>
    <col min="2072" max="2072" width="6.42578125" style="24" customWidth="1"/>
    <col min="2073" max="2073" width="5" style="24" bestFit="1" customWidth="1"/>
    <col min="2074" max="2074" width="4.5703125" style="24" bestFit="1" customWidth="1"/>
    <col min="2075" max="2075" width="4.42578125" style="24" bestFit="1" customWidth="1"/>
    <col min="2076" max="2076" width="4" style="24" customWidth="1"/>
    <col min="2077" max="2304" width="11.42578125" style="24"/>
    <col min="2305" max="2305" width="14.85546875" style="24" bestFit="1" customWidth="1"/>
    <col min="2306" max="2306" width="28" style="24" bestFit="1" customWidth="1"/>
    <col min="2307" max="2307" width="4.42578125" style="24" bestFit="1" customWidth="1"/>
    <col min="2308" max="2308" width="8" style="24" bestFit="1" customWidth="1"/>
    <col min="2309" max="2309" width="11.42578125" style="24"/>
    <col min="2310" max="2310" width="22.85546875" style="24" bestFit="1" customWidth="1"/>
    <col min="2311" max="2311" width="7" style="24" customWidth="1"/>
    <col min="2312" max="2312" width="6.28515625" style="24" customWidth="1"/>
    <col min="2313" max="2313" width="5.7109375" style="24" customWidth="1"/>
    <col min="2314" max="2314" width="5.7109375" style="24" bestFit="1" customWidth="1"/>
    <col min="2315" max="2315" width="5.85546875" style="24" bestFit="1" customWidth="1"/>
    <col min="2316" max="2316" width="9.42578125" style="24" customWidth="1"/>
    <col min="2317" max="2317" width="5.140625" style="24" customWidth="1"/>
    <col min="2318" max="2318" width="9.7109375" style="24" customWidth="1"/>
    <col min="2319" max="2319" width="6.7109375" style="24" bestFit="1" customWidth="1"/>
    <col min="2320" max="2320" width="4.85546875" style="24" customWidth="1"/>
    <col min="2321" max="2321" width="5.28515625" style="24" customWidth="1"/>
    <col min="2322" max="2323" width="4.42578125" style="24" bestFit="1" customWidth="1"/>
    <col min="2324" max="2324" width="13.28515625" style="24" bestFit="1" customWidth="1"/>
    <col min="2325" max="2325" width="3.140625" style="24" customWidth="1"/>
    <col min="2326" max="2326" width="5.42578125" style="24" bestFit="1" customWidth="1"/>
    <col min="2327" max="2327" width="4.42578125" style="24" bestFit="1" customWidth="1"/>
    <col min="2328" max="2328" width="6.42578125" style="24" customWidth="1"/>
    <col min="2329" max="2329" width="5" style="24" bestFit="1" customWidth="1"/>
    <col min="2330" max="2330" width="4.5703125" style="24" bestFit="1" customWidth="1"/>
    <col min="2331" max="2331" width="4.42578125" style="24" bestFit="1" customWidth="1"/>
    <col min="2332" max="2332" width="4" style="24" customWidth="1"/>
    <col min="2333" max="2560" width="11.42578125" style="24"/>
    <col min="2561" max="2561" width="14.85546875" style="24" bestFit="1" customWidth="1"/>
    <col min="2562" max="2562" width="28" style="24" bestFit="1" customWidth="1"/>
    <col min="2563" max="2563" width="4.42578125" style="24" bestFit="1" customWidth="1"/>
    <col min="2564" max="2564" width="8" style="24" bestFit="1" customWidth="1"/>
    <col min="2565" max="2565" width="11.42578125" style="24"/>
    <col min="2566" max="2566" width="22.85546875" style="24" bestFit="1" customWidth="1"/>
    <col min="2567" max="2567" width="7" style="24" customWidth="1"/>
    <col min="2568" max="2568" width="6.28515625" style="24" customWidth="1"/>
    <col min="2569" max="2569" width="5.7109375" style="24" customWidth="1"/>
    <col min="2570" max="2570" width="5.7109375" style="24" bestFit="1" customWidth="1"/>
    <col min="2571" max="2571" width="5.85546875" style="24" bestFit="1" customWidth="1"/>
    <col min="2572" max="2572" width="9.42578125" style="24" customWidth="1"/>
    <col min="2573" max="2573" width="5.140625" style="24" customWidth="1"/>
    <col min="2574" max="2574" width="9.7109375" style="24" customWidth="1"/>
    <col min="2575" max="2575" width="6.7109375" style="24" bestFit="1" customWidth="1"/>
    <col min="2576" max="2576" width="4.85546875" style="24" customWidth="1"/>
    <col min="2577" max="2577" width="5.28515625" style="24" customWidth="1"/>
    <col min="2578" max="2579" width="4.42578125" style="24" bestFit="1" customWidth="1"/>
    <col min="2580" max="2580" width="13.28515625" style="24" bestFit="1" customWidth="1"/>
    <col min="2581" max="2581" width="3.140625" style="24" customWidth="1"/>
    <col min="2582" max="2582" width="5.42578125" style="24" bestFit="1" customWidth="1"/>
    <col min="2583" max="2583" width="4.42578125" style="24" bestFit="1" customWidth="1"/>
    <col min="2584" max="2584" width="6.42578125" style="24" customWidth="1"/>
    <col min="2585" max="2585" width="5" style="24" bestFit="1" customWidth="1"/>
    <col min="2586" max="2586" width="4.5703125" style="24" bestFit="1" customWidth="1"/>
    <col min="2587" max="2587" width="4.42578125" style="24" bestFit="1" customWidth="1"/>
    <col min="2588" max="2588" width="4" style="24" customWidth="1"/>
    <col min="2589" max="2816" width="11.42578125" style="24"/>
    <col min="2817" max="2817" width="14.85546875" style="24" bestFit="1" customWidth="1"/>
    <col min="2818" max="2818" width="28" style="24" bestFit="1" customWidth="1"/>
    <col min="2819" max="2819" width="4.42578125" style="24" bestFit="1" customWidth="1"/>
    <col min="2820" max="2820" width="8" style="24" bestFit="1" customWidth="1"/>
    <col min="2821" max="2821" width="11.42578125" style="24"/>
    <col min="2822" max="2822" width="22.85546875" style="24" bestFit="1" customWidth="1"/>
    <col min="2823" max="2823" width="7" style="24" customWidth="1"/>
    <col min="2824" max="2824" width="6.28515625" style="24" customWidth="1"/>
    <col min="2825" max="2825" width="5.7109375" style="24" customWidth="1"/>
    <col min="2826" max="2826" width="5.7109375" style="24" bestFit="1" customWidth="1"/>
    <col min="2827" max="2827" width="5.85546875" style="24" bestFit="1" customWidth="1"/>
    <col min="2828" max="2828" width="9.42578125" style="24" customWidth="1"/>
    <col min="2829" max="2829" width="5.140625" style="24" customWidth="1"/>
    <col min="2830" max="2830" width="9.7109375" style="24" customWidth="1"/>
    <col min="2831" max="2831" width="6.7109375" style="24" bestFit="1" customWidth="1"/>
    <col min="2832" max="2832" width="4.85546875" style="24" customWidth="1"/>
    <col min="2833" max="2833" width="5.28515625" style="24" customWidth="1"/>
    <col min="2834" max="2835" width="4.42578125" style="24" bestFit="1" customWidth="1"/>
    <col min="2836" max="2836" width="13.28515625" style="24" bestFit="1" customWidth="1"/>
    <col min="2837" max="2837" width="3.140625" style="24" customWidth="1"/>
    <col min="2838" max="2838" width="5.42578125" style="24" bestFit="1" customWidth="1"/>
    <col min="2839" max="2839" width="4.42578125" style="24" bestFit="1" customWidth="1"/>
    <col min="2840" max="2840" width="6.42578125" style="24" customWidth="1"/>
    <col min="2841" max="2841" width="5" style="24" bestFit="1" customWidth="1"/>
    <col min="2842" max="2842" width="4.5703125" style="24" bestFit="1" customWidth="1"/>
    <col min="2843" max="2843" width="4.42578125" style="24" bestFit="1" customWidth="1"/>
    <col min="2844" max="2844" width="4" style="24" customWidth="1"/>
    <col min="2845" max="3072" width="11.42578125" style="24"/>
    <col min="3073" max="3073" width="14.85546875" style="24" bestFit="1" customWidth="1"/>
    <col min="3074" max="3074" width="28" style="24" bestFit="1" customWidth="1"/>
    <col min="3075" max="3075" width="4.42578125" style="24" bestFit="1" customWidth="1"/>
    <col min="3076" max="3076" width="8" style="24" bestFit="1" customWidth="1"/>
    <col min="3077" max="3077" width="11.42578125" style="24"/>
    <col min="3078" max="3078" width="22.85546875" style="24" bestFit="1" customWidth="1"/>
    <col min="3079" max="3079" width="7" style="24" customWidth="1"/>
    <col min="3080" max="3080" width="6.28515625" style="24" customWidth="1"/>
    <col min="3081" max="3081" width="5.7109375" style="24" customWidth="1"/>
    <col min="3082" max="3082" width="5.7109375" style="24" bestFit="1" customWidth="1"/>
    <col min="3083" max="3083" width="5.85546875" style="24" bestFit="1" customWidth="1"/>
    <col min="3084" max="3084" width="9.42578125" style="24" customWidth="1"/>
    <col min="3085" max="3085" width="5.140625" style="24" customWidth="1"/>
    <col min="3086" max="3086" width="9.7109375" style="24" customWidth="1"/>
    <col min="3087" max="3087" width="6.7109375" style="24" bestFit="1" customWidth="1"/>
    <col min="3088" max="3088" width="4.85546875" style="24" customWidth="1"/>
    <col min="3089" max="3089" width="5.28515625" style="24" customWidth="1"/>
    <col min="3090" max="3091" width="4.42578125" style="24" bestFit="1" customWidth="1"/>
    <col min="3092" max="3092" width="13.28515625" style="24" bestFit="1" customWidth="1"/>
    <col min="3093" max="3093" width="3.140625" style="24" customWidth="1"/>
    <col min="3094" max="3094" width="5.42578125" style="24" bestFit="1" customWidth="1"/>
    <col min="3095" max="3095" width="4.42578125" style="24" bestFit="1" customWidth="1"/>
    <col min="3096" max="3096" width="6.42578125" style="24" customWidth="1"/>
    <col min="3097" max="3097" width="5" style="24" bestFit="1" customWidth="1"/>
    <col min="3098" max="3098" width="4.5703125" style="24" bestFit="1" customWidth="1"/>
    <col min="3099" max="3099" width="4.42578125" style="24" bestFit="1" customWidth="1"/>
    <col min="3100" max="3100" width="4" style="24" customWidth="1"/>
    <col min="3101" max="3328" width="11.42578125" style="24"/>
    <col min="3329" max="3329" width="14.85546875" style="24" bestFit="1" customWidth="1"/>
    <col min="3330" max="3330" width="28" style="24" bestFit="1" customWidth="1"/>
    <col min="3331" max="3331" width="4.42578125" style="24" bestFit="1" customWidth="1"/>
    <col min="3332" max="3332" width="8" style="24" bestFit="1" customWidth="1"/>
    <col min="3333" max="3333" width="11.42578125" style="24"/>
    <col min="3334" max="3334" width="22.85546875" style="24" bestFit="1" customWidth="1"/>
    <col min="3335" max="3335" width="7" style="24" customWidth="1"/>
    <col min="3336" max="3336" width="6.28515625" style="24" customWidth="1"/>
    <col min="3337" max="3337" width="5.7109375" style="24" customWidth="1"/>
    <col min="3338" max="3338" width="5.7109375" style="24" bestFit="1" customWidth="1"/>
    <col min="3339" max="3339" width="5.85546875" style="24" bestFit="1" customWidth="1"/>
    <col min="3340" max="3340" width="9.42578125" style="24" customWidth="1"/>
    <col min="3341" max="3341" width="5.140625" style="24" customWidth="1"/>
    <col min="3342" max="3342" width="9.7109375" style="24" customWidth="1"/>
    <col min="3343" max="3343" width="6.7109375" style="24" bestFit="1" customWidth="1"/>
    <col min="3344" max="3344" width="4.85546875" style="24" customWidth="1"/>
    <col min="3345" max="3345" width="5.28515625" style="24" customWidth="1"/>
    <col min="3346" max="3347" width="4.42578125" style="24" bestFit="1" customWidth="1"/>
    <col min="3348" max="3348" width="13.28515625" style="24" bestFit="1" customWidth="1"/>
    <col min="3349" max="3349" width="3.140625" style="24" customWidth="1"/>
    <col min="3350" max="3350" width="5.42578125" style="24" bestFit="1" customWidth="1"/>
    <col min="3351" max="3351" width="4.42578125" style="24" bestFit="1" customWidth="1"/>
    <col min="3352" max="3352" width="6.42578125" style="24" customWidth="1"/>
    <col min="3353" max="3353" width="5" style="24" bestFit="1" customWidth="1"/>
    <col min="3354" max="3354" width="4.5703125" style="24" bestFit="1" customWidth="1"/>
    <col min="3355" max="3355" width="4.42578125" style="24" bestFit="1" customWidth="1"/>
    <col min="3356" max="3356" width="4" style="24" customWidth="1"/>
    <col min="3357" max="3584" width="11.42578125" style="24"/>
    <col min="3585" max="3585" width="14.85546875" style="24" bestFit="1" customWidth="1"/>
    <col min="3586" max="3586" width="28" style="24" bestFit="1" customWidth="1"/>
    <col min="3587" max="3587" width="4.42578125" style="24" bestFit="1" customWidth="1"/>
    <col min="3588" max="3588" width="8" style="24" bestFit="1" customWidth="1"/>
    <col min="3589" max="3589" width="11.42578125" style="24"/>
    <col min="3590" max="3590" width="22.85546875" style="24" bestFit="1" customWidth="1"/>
    <col min="3591" max="3591" width="7" style="24" customWidth="1"/>
    <col min="3592" max="3592" width="6.28515625" style="24" customWidth="1"/>
    <col min="3593" max="3593" width="5.7109375" style="24" customWidth="1"/>
    <col min="3594" max="3594" width="5.7109375" style="24" bestFit="1" customWidth="1"/>
    <col min="3595" max="3595" width="5.85546875" style="24" bestFit="1" customWidth="1"/>
    <col min="3596" max="3596" width="9.42578125" style="24" customWidth="1"/>
    <col min="3597" max="3597" width="5.140625" style="24" customWidth="1"/>
    <col min="3598" max="3598" width="9.7109375" style="24" customWidth="1"/>
    <col min="3599" max="3599" width="6.7109375" style="24" bestFit="1" customWidth="1"/>
    <col min="3600" max="3600" width="4.85546875" style="24" customWidth="1"/>
    <col min="3601" max="3601" width="5.28515625" style="24" customWidth="1"/>
    <col min="3602" max="3603" width="4.42578125" style="24" bestFit="1" customWidth="1"/>
    <col min="3604" max="3604" width="13.28515625" style="24" bestFit="1" customWidth="1"/>
    <col min="3605" max="3605" width="3.140625" style="24" customWidth="1"/>
    <col min="3606" max="3606" width="5.42578125" style="24" bestFit="1" customWidth="1"/>
    <col min="3607" max="3607" width="4.42578125" style="24" bestFit="1" customWidth="1"/>
    <col min="3608" max="3608" width="6.42578125" style="24" customWidth="1"/>
    <col min="3609" max="3609" width="5" style="24" bestFit="1" customWidth="1"/>
    <col min="3610" max="3610" width="4.5703125" style="24" bestFit="1" customWidth="1"/>
    <col min="3611" max="3611" width="4.42578125" style="24" bestFit="1" customWidth="1"/>
    <col min="3612" max="3612" width="4" style="24" customWidth="1"/>
    <col min="3613" max="3840" width="11.42578125" style="24"/>
    <col min="3841" max="3841" width="14.85546875" style="24" bestFit="1" customWidth="1"/>
    <col min="3842" max="3842" width="28" style="24" bestFit="1" customWidth="1"/>
    <col min="3843" max="3843" width="4.42578125" style="24" bestFit="1" customWidth="1"/>
    <col min="3844" max="3844" width="8" style="24" bestFit="1" customWidth="1"/>
    <col min="3845" max="3845" width="11.42578125" style="24"/>
    <col min="3846" max="3846" width="22.85546875" style="24" bestFit="1" customWidth="1"/>
    <col min="3847" max="3847" width="7" style="24" customWidth="1"/>
    <col min="3848" max="3848" width="6.28515625" style="24" customWidth="1"/>
    <col min="3849" max="3849" width="5.7109375" style="24" customWidth="1"/>
    <col min="3850" max="3850" width="5.7109375" style="24" bestFit="1" customWidth="1"/>
    <col min="3851" max="3851" width="5.85546875" style="24" bestFit="1" customWidth="1"/>
    <col min="3852" max="3852" width="9.42578125" style="24" customWidth="1"/>
    <col min="3853" max="3853" width="5.140625" style="24" customWidth="1"/>
    <col min="3854" max="3854" width="9.7109375" style="24" customWidth="1"/>
    <col min="3855" max="3855" width="6.7109375" style="24" bestFit="1" customWidth="1"/>
    <col min="3856" max="3856" width="4.85546875" style="24" customWidth="1"/>
    <col min="3857" max="3857" width="5.28515625" style="24" customWidth="1"/>
    <col min="3858" max="3859" width="4.42578125" style="24" bestFit="1" customWidth="1"/>
    <col min="3860" max="3860" width="13.28515625" style="24" bestFit="1" customWidth="1"/>
    <col min="3861" max="3861" width="3.140625" style="24" customWidth="1"/>
    <col min="3862" max="3862" width="5.42578125" style="24" bestFit="1" customWidth="1"/>
    <col min="3863" max="3863" width="4.42578125" style="24" bestFit="1" customWidth="1"/>
    <col min="3864" max="3864" width="6.42578125" style="24" customWidth="1"/>
    <col min="3865" max="3865" width="5" style="24" bestFit="1" customWidth="1"/>
    <col min="3866" max="3866" width="4.5703125" style="24" bestFit="1" customWidth="1"/>
    <col min="3867" max="3867" width="4.42578125" style="24" bestFit="1" customWidth="1"/>
    <col min="3868" max="3868" width="4" style="24" customWidth="1"/>
    <col min="3869" max="4096" width="11.42578125" style="24"/>
    <col min="4097" max="4097" width="14.85546875" style="24" bestFit="1" customWidth="1"/>
    <col min="4098" max="4098" width="28" style="24" bestFit="1" customWidth="1"/>
    <col min="4099" max="4099" width="4.42578125" style="24" bestFit="1" customWidth="1"/>
    <col min="4100" max="4100" width="8" style="24" bestFit="1" customWidth="1"/>
    <col min="4101" max="4101" width="11.42578125" style="24"/>
    <col min="4102" max="4102" width="22.85546875" style="24" bestFit="1" customWidth="1"/>
    <col min="4103" max="4103" width="7" style="24" customWidth="1"/>
    <col min="4104" max="4104" width="6.28515625" style="24" customWidth="1"/>
    <col min="4105" max="4105" width="5.7109375" style="24" customWidth="1"/>
    <col min="4106" max="4106" width="5.7109375" style="24" bestFit="1" customWidth="1"/>
    <col min="4107" max="4107" width="5.85546875" style="24" bestFit="1" customWidth="1"/>
    <col min="4108" max="4108" width="9.42578125" style="24" customWidth="1"/>
    <col min="4109" max="4109" width="5.140625" style="24" customWidth="1"/>
    <col min="4110" max="4110" width="9.7109375" style="24" customWidth="1"/>
    <col min="4111" max="4111" width="6.7109375" style="24" bestFit="1" customWidth="1"/>
    <col min="4112" max="4112" width="4.85546875" style="24" customWidth="1"/>
    <col min="4113" max="4113" width="5.28515625" style="24" customWidth="1"/>
    <col min="4114" max="4115" width="4.42578125" style="24" bestFit="1" customWidth="1"/>
    <col min="4116" max="4116" width="13.28515625" style="24" bestFit="1" customWidth="1"/>
    <col min="4117" max="4117" width="3.140625" style="24" customWidth="1"/>
    <col min="4118" max="4118" width="5.42578125" style="24" bestFit="1" customWidth="1"/>
    <col min="4119" max="4119" width="4.42578125" style="24" bestFit="1" customWidth="1"/>
    <col min="4120" max="4120" width="6.42578125" style="24" customWidth="1"/>
    <col min="4121" max="4121" width="5" style="24" bestFit="1" customWidth="1"/>
    <col min="4122" max="4122" width="4.5703125" style="24" bestFit="1" customWidth="1"/>
    <col min="4123" max="4123" width="4.42578125" style="24" bestFit="1" customWidth="1"/>
    <col min="4124" max="4124" width="4" style="24" customWidth="1"/>
    <col min="4125" max="4352" width="11.42578125" style="24"/>
    <col min="4353" max="4353" width="14.85546875" style="24" bestFit="1" customWidth="1"/>
    <col min="4354" max="4354" width="28" style="24" bestFit="1" customWidth="1"/>
    <col min="4355" max="4355" width="4.42578125" style="24" bestFit="1" customWidth="1"/>
    <col min="4356" max="4356" width="8" style="24" bestFit="1" customWidth="1"/>
    <col min="4357" max="4357" width="11.42578125" style="24"/>
    <col min="4358" max="4358" width="22.85546875" style="24" bestFit="1" customWidth="1"/>
    <col min="4359" max="4359" width="7" style="24" customWidth="1"/>
    <col min="4360" max="4360" width="6.28515625" style="24" customWidth="1"/>
    <col min="4361" max="4361" width="5.7109375" style="24" customWidth="1"/>
    <col min="4362" max="4362" width="5.7109375" style="24" bestFit="1" customWidth="1"/>
    <col min="4363" max="4363" width="5.85546875" style="24" bestFit="1" customWidth="1"/>
    <col min="4364" max="4364" width="9.42578125" style="24" customWidth="1"/>
    <col min="4365" max="4365" width="5.140625" style="24" customWidth="1"/>
    <col min="4366" max="4366" width="9.7109375" style="24" customWidth="1"/>
    <col min="4367" max="4367" width="6.7109375" style="24" bestFit="1" customWidth="1"/>
    <col min="4368" max="4368" width="4.85546875" style="24" customWidth="1"/>
    <col min="4369" max="4369" width="5.28515625" style="24" customWidth="1"/>
    <col min="4370" max="4371" width="4.42578125" style="24" bestFit="1" customWidth="1"/>
    <col min="4372" max="4372" width="13.28515625" style="24" bestFit="1" customWidth="1"/>
    <col min="4373" max="4373" width="3.140625" style="24" customWidth="1"/>
    <col min="4374" max="4374" width="5.42578125" style="24" bestFit="1" customWidth="1"/>
    <col min="4375" max="4375" width="4.42578125" style="24" bestFit="1" customWidth="1"/>
    <col min="4376" max="4376" width="6.42578125" style="24" customWidth="1"/>
    <col min="4377" max="4377" width="5" style="24" bestFit="1" customWidth="1"/>
    <col min="4378" max="4378" width="4.5703125" style="24" bestFit="1" customWidth="1"/>
    <col min="4379" max="4379" width="4.42578125" style="24" bestFit="1" customWidth="1"/>
    <col min="4380" max="4380" width="4" style="24" customWidth="1"/>
    <col min="4381" max="4608" width="11.42578125" style="24"/>
    <col min="4609" max="4609" width="14.85546875" style="24" bestFit="1" customWidth="1"/>
    <col min="4610" max="4610" width="28" style="24" bestFit="1" customWidth="1"/>
    <col min="4611" max="4611" width="4.42578125" style="24" bestFit="1" customWidth="1"/>
    <col min="4612" max="4612" width="8" style="24" bestFit="1" customWidth="1"/>
    <col min="4613" max="4613" width="11.42578125" style="24"/>
    <col min="4614" max="4614" width="22.85546875" style="24" bestFit="1" customWidth="1"/>
    <col min="4615" max="4615" width="7" style="24" customWidth="1"/>
    <col min="4616" max="4616" width="6.28515625" style="24" customWidth="1"/>
    <col min="4617" max="4617" width="5.7109375" style="24" customWidth="1"/>
    <col min="4618" max="4618" width="5.7109375" style="24" bestFit="1" customWidth="1"/>
    <col min="4619" max="4619" width="5.85546875" style="24" bestFit="1" customWidth="1"/>
    <col min="4620" max="4620" width="9.42578125" style="24" customWidth="1"/>
    <col min="4621" max="4621" width="5.140625" style="24" customWidth="1"/>
    <col min="4622" max="4622" width="9.7109375" style="24" customWidth="1"/>
    <col min="4623" max="4623" width="6.7109375" style="24" bestFit="1" customWidth="1"/>
    <col min="4624" max="4624" width="4.85546875" style="24" customWidth="1"/>
    <col min="4625" max="4625" width="5.28515625" style="24" customWidth="1"/>
    <col min="4626" max="4627" width="4.42578125" style="24" bestFit="1" customWidth="1"/>
    <col min="4628" max="4628" width="13.28515625" style="24" bestFit="1" customWidth="1"/>
    <col min="4629" max="4629" width="3.140625" style="24" customWidth="1"/>
    <col min="4630" max="4630" width="5.42578125" style="24" bestFit="1" customWidth="1"/>
    <col min="4631" max="4631" width="4.42578125" style="24" bestFit="1" customWidth="1"/>
    <col min="4632" max="4632" width="6.42578125" style="24" customWidth="1"/>
    <col min="4633" max="4633" width="5" style="24" bestFit="1" customWidth="1"/>
    <col min="4634" max="4634" width="4.5703125" style="24" bestFit="1" customWidth="1"/>
    <col min="4635" max="4635" width="4.42578125" style="24" bestFit="1" customWidth="1"/>
    <col min="4636" max="4636" width="4" style="24" customWidth="1"/>
    <col min="4637" max="4864" width="11.42578125" style="24"/>
    <col min="4865" max="4865" width="14.85546875" style="24" bestFit="1" customWidth="1"/>
    <col min="4866" max="4866" width="28" style="24" bestFit="1" customWidth="1"/>
    <col min="4867" max="4867" width="4.42578125" style="24" bestFit="1" customWidth="1"/>
    <col min="4868" max="4868" width="8" style="24" bestFit="1" customWidth="1"/>
    <col min="4869" max="4869" width="11.42578125" style="24"/>
    <col min="4870" max="4870" width="22.85546875" style="24" bestFit="1" customWidth="1"/>
    <col min="4871" max="4871" width="7" style="24" customWidth="1"/>
    <col min="4872" max="4872" width="6.28515625" style="24" customWidth="1"/>
    <col min="4873" max="4873" width="5.7109375" style="24" customWidth="1"/>
    <col min="4874" max="4874" width="5.7109375" style="24" bestFit="1" customWidth="1"/>
    <col min="4875" max="4875" width="5.85546875" style="24" bestFit="1" customWidth="1"/>
    <col min="4876" max="4876" width="9.42578125" style="24" customWidth="1"/>
    <col min="4877" max="4877" width="5.140625" style="24" customWidth="1"/>
    <col min="4878" max="4878" width="9.7109375" style="24" customWidth="1"/>
    <col min="4879" max="4879" width="6.7109375" style="24" bestFit="1" customWidth="1"/>
    <col min="4880" max="4880" width="4.85546875" style="24" customWidth="1"/>
    <col min="4881" max="4881" width="5.28515625" style="24" customWidth="1"/>
    <col min="4882" max="4883" width="4.42578125" style="24" bestFit="1" customWidth="1"/>
    <col min="4884" max="4884" width="13.28515625" style="24" bestFit="1" customWidth="1"/>
    <col min="4885" max="4885" width="3.140625" style="24" customWidth="1"/>
    <col min="4886" max="4886" width="5.42578125" style="24" bestFit="1" customWidth="1"/>
    <col min="4887" max="4887" width="4.42578125" style="24" bestFit="1" customWidth="1"/>
    <col min="4888" max="4888" width="6.42578125" style="24" customWidth="1"/>
    <col min="4889" max="4889" width="5" style="24" bestFit="1" customWidth="1"/>
    <col min="4890" max="4890" width="4.5703125" style="24" bestFit="1" customWidth="1"/>
    <col min="4891" max="4891" width="4.42578125" style="24" bestFit="1" customWidth="1"/>
    <col min="4892" max="4892" width="4" style="24" customWidth="1"/>
    <col min="4893" max="5120" width="11.42578125" style="24"/>
    <col min="5121" max="5121" width="14.85546875" style="24" bestFit="1" customWidth="1"/>
    <col min="5122" max="5122" width="28" style="24" bestFit="1" customWidth="1"/>
    <col min="5123" max="5123" width="4.42578125" style="24" bestFit="1" customWidth="1"/>
    <col min="5124" max="5124" width="8" style="24" bestFit="1" customWidth="1"/>
    <col min="5125" max="5125" width="11.42578125" style="24"/>
    <col min="5126" max="5126" width="22.85546875" style="24" bestFit="1" customWidth="1"/>
    <col min="5127" max="5127" width="7" style="24" customWidth="1"/>
    <col min="5128" max="5128" width="6.28515625" style="24" customWidth="1"/>
    <col min="5129" max="5129" width="5.7109375" style="24" customWidth="1"/>
    <col min="5130" max="5130" width="5.7109375" style="24" bestFit="1" customWidth="1"/>
    <col min="5131" max="5131" width="5.85546875" style="24" bestFit="1" customWidth="1"/>
    <col min="5132" max="5132" width="9.42578125" style="24" customWidth="1"/>
    <col min="5133" max="5133" width="5.140625" style="24" customWidth="1"/>
    <col min="5134" max="5134" width="9.7109375" style="24" customWidth="1"/>
    <col min="5135" max="5135" width="6.7109375" style="24" bestFit="1" customWidth="1"/>
    <col min="5136" max="5136" width="4.85546875" style="24" customWidth="1"/>
    <col min="5137" max="5137" width="5.28515625" style="24" customWidth="1"/>
    <col min="5138" max="5139" width="4.42578125" style="24" bestFit="1" customWidth="1"/>
    <col min="5140" max="5140" width="13.28515625" style="24" bestFit="1" customWidth="1"/>
    <col min="5141" max="5141" width="3.140625" style="24" customWidth="1"/>
    <col min="5142" max="5142" width="5.42578125" style="24" bestFit="1" customWidth="1"/>
    <col min="5143" max="5143" width="4.42578125" style="24" bestFit="1" customWidth="1"/>
    <col min="5144" max="5144" width="6.42578125" style="24" customWidth="1"/>
    <col min="5145" max="5145" width="5" style="24" bestFit="1" customWidth="1"/>
    <col min="5146" max="5146" width="4.5703125" style="24" bestFit="1" customWidth="1"/>
    <col min="5147" max="5147" width="4.42578125" style="24" bestFit="1" customWidth="1"/>
    <col min="5148" max="5148" width="4" style="24" customWidth="1"/>
    <col min="5149" max="5376" width="11.42578125" style="24"/>
    <col min="5377" max="5377" width="14.85546875" style="24" bestFit="1" customWidth="1"/>
    <col min="5378" max="5378" width="28" style="24" bestFit="1" customWidth="1"/>
    <col min="5379" max="5379" width="4.42578125" style="24" bestFit="1" customWidth="1"/>
    <col min="5380" max="5380" width="8" style="24" bestFit="1" customWidth="1"/>
    <col min="5381" max="5381" width="11.42578125" style="24"/>
    <col min="5382" max="5382" width="22.85546875" style="24" bestFit="1" customWidth="1"/>
    <col min="5383" max="5383" width="7" style="24" customWidth="1"/>
    <col min="5384" max="5384" width="6.28515625" style="24" customWidth="1"/>
    <col min="5385" max="5385" width="5.7109375" style="24" customWidth="1"/>
    <col min="5386" max="5386" width="5.7109375" style="24" bestFit="1" customWidth="1"/>
    <col min="5387" max="5387" width="5.85546875" style="24" bestFit="1" customWidth="1"/>
    <col min="5388" max="5388" width="9.42578125" style="24" customWidth="1"/>
    <col min="5389" max="5389" width="5.140625" style="24" customWidth="1"/>
    <col min="5390" max="5390" width="9.7109375" style="24" customWidth="1"/>
    <col min="5391" max="5391" width="6.7109375" style="24" bestFit="1" customWidth="1"/>
    <col min="5392" max="5392" width="4.85546875" style="24" customWidth="1"/>
    <col min="5393" max="5393" width="5.28515625" style="24" customWidth="1"/>
    <col min="5394" max="5395" width="4.42578125" style="24" bestFit="1" customWidth="1"/>
    <col min="5396" max="5396" width="13.28515625" style="24" bestFit="1" customWidth="1"/>
    <col min="5397" max="5397" width="3.140625" style="24" customWidth="1"/>
    <col min="5398" max="5398" width="5.42578125" style="24" bestFit="1" customWidth="1"/>
    <col min="5399" max="5399" width="4.42578125" style="24" bestFit="1" customWidth="1"/>
    <col min="5400" max="5400" width="6.42578125" style="24" customWidth="1"/>
    <col min="5401" max="5401" width="5" style="24" bestFit="1" customWidth="1"/>
    <col min="5402" max="5402" width="4.5703125" style="24" bestFit="1" customWidth="1"/>
    <col min="5403" max="5403" width="4.42578125" style="24" bestFit="1" customWidth="1"/>
    <col min="5404" max="5404" width="4" style="24" customWidth="1"/>
    <col min="5405" max="5632" width="11.42578125" style="24"/>
    <col min="5633" max="5633" width="14.85546875" style="24" bestFit="1" customWidth="1"/>
    <col min="5634" max="5634" width="28" style="24" bestFit="1" customWidth="1"/>
    <col min="5635" max="5635" width="4.42578125" style="24" bestFit="1" customWidth="1"/>
    <col min="5636" max="5636" width="8" style="24" bestFit="1" customWidth="1"/>
    <col min="5637" max="5637" width="11.42578125" style="24"/>
    <col min="5638" max="5638" width="22.85546875" style="24" bestFit="1" customWidth="1"/>
    <col min="5639" max="5639" width="7" style="24" customWidth="1"/>
    <col min="5640" max="5640" width="6.28515625" style="24" customWidth="1"/>
    <col min="5641" max="5641" width="5.7109375" style="24" customWidth="1"/>
    <col min="5642" max="5642" width="5.7109375" style="24" bestFit="1" customWidth="1"/>
    <col min="5643" max="5643" width="5.85546875" style="24" bestFit="1" customWidth="1"/>
    <col min="5644" max="5644" width="9.42578125" style="24" customWidth="1"/>
    <col min="5645" max="5645" width="5.140625" style="24" customWidth="1"/>
    <col min="5646" max="5646" width="9.7109375" style="24" customWidth="1"/>
    <col min="5647" max="5647" width="6.7109375" style="24" bestFit="1" customWidth="1"/>
    <col min="5648" max="5648" width="4.85546875" style="24" customWidth="1"/>
    <col min="5649" max="5649" width="5.28515625" style="24" customWidth="1"/>
    <col min="5650" max="5651" width="4.42578125" style="24" bestFit="1" customWidth="1"/>
    <col min="5652" max="5652" width="13.28515625" style="24" bestFit="1" customWidth="1"/>
    <col min="5653" max="5653" width="3.140625" style="24" customWidth="1"/>
    <col min="5654" max="5654" width="5.42578125" style="24" bestFit="1" customWidth="1"/>
    <col min="5655" max="5655" width="4.42578125" style="24" bestFit="1" customWidth="1"/>
    <col min="5656" max="5656" width="6.42578125" style="24" customWidth="1"/>
    <col min="5657" max="5657" width="5" style="24" bestFit="1" customWidth="1"/>
    <col min="5658" max="5658" width="4.5703125" style="24" bestFit="1" customWidth="1"/>
    <col min="5659" max="5659" width="4.42578125" style="24" bestFit="1" customWidth="1"/>
    <col min="5660" max="5660" width="4" style="24" customWidth="1"/>
    <col min="5661" max="5888" width="11.42578125" style="24"/>
    <col min="5889" max="5889" width="14.85546875" style="24" bestFit="1" customWidth="1"/>
    <col min="5890" max="5890" width="28" style="24" bestFit="1" customWidth="1"/>
    <col min="5891" max="5891" width="4.42578125" style="24" bestFit="1" customWidth="1"/>
    <col min="5892" max="5892" width="8" style="24" bestFit="1" customWidth="1"/>
    <col min="5893" max="5893" width="11.42578125" style="24"/>
    <col min="5894" max="5894" width="22.85546875" style="24" bestFit="1" customWidth="1"/>
    <col min="5895" max="5895" width="7" style="24" customWidth="1"/>
    <col min="5896" max="5896" width="6.28515625" style="24" customWidth="1"/>
    <col min="5897" max="5897" width="5.7109375" style="24" customWidth="1"/>
    <col min="5898" max="5898" width="5.7109375" style="24" bestFit="1" customWidth="1"/>
    <col min="5899" max="5899" width="5.85546875" style="24" bestFit="1" customWidth="1"/>
    <col min="5900" max="5900" width="9.42578125" style="24" customWidth="1"/>
    <col min="5901" max="5901" width="5.140625" style="24" customWidth="1"/>
    <col min="5902" max="5902" width="9.7109375" style="24" customWidth="1"/>
    <col min="5903" max="5903" width="6.7109375" style="24" bestFit="1" customWidth="1"/>
    <col min="5904" max="5904" width="4.85546875" style="24" customWidth="1"/>
    <col min="5905" max="5905" width="5.28515625" style="24" customWidth="1"/>
    <col min="5906" max="5907" width="4.42578125" style="24" bestFit="1" customWidth="1"/>
    <col min="5908" max="5908" width="13.28515625" style="24" bestFit="1" customWidth="1"/>
    <col min="5909" max="5909" width="3.140625" style="24" customWidth="1"/>
    <col min="5910" max="5910" width="5.42578125" style="24" bestFit="1" customWidth="1"/>
    <col min="5911" max="5911" width="4.42578125" style="24" bestFit="1" customWidth="1"/>
    <col min="5912" max="5912" width="6.42578125" style="24" customWidth="1"/>
    <col min="5913" max="5913" width="5" style="24" bestFit="1" customWidth="1"/>
    <col min="5914" max="5914" width="4.5703125" style="24" bestFit="1" customWidth="1"/>
    <col min="5915" max="5915" width="4.42578125" style="24" bestFit="1" customWidth="1"/>
    <col min="5916" max="5916" width="4" style="24" customWidth="1"/>
    <col min="5917" max="6144" width="11.42578125" style="24"/>
    <col min="6145" max="6145" width="14.85546875" style="24" bestFit="1" customWidth="1"/>
    <col min="6146" max="6146" width="28" style="24" bestFit="1" customWidth="1"/>
    <col min="6147" max="6147" width="4.42578125" style="24" bestFit="1" customWidth="1"/>
    <col min="6148" max="6148" width="8" style="24" bestFit="1" customWidth="1"/>
    <col min="6149" max="6149" width="11.42578125" style="24"/>
    <col min="6150" max="6150" width="22.85546875" style="24" bestFit="1" customWidth="1"/>
    <col min="6151" max="6151" width="7" style="24" customWidth="1"/>
    <col min="6152" max="6152" width="6.28515625" style="24" customWidth="1"/>
    <col min="6153" max="6153" width="5.7109375" style="24" customWidth="1"/>
    <col min="6154" max="6154" width="5.7109375" style="24" bestFit="1" customWidth="1"/>
    <col min="6155" max="6155" width="5.85546875" style="24" bestFit="1" customWidth="1"/>
    <col min="6156" max="6156" width="9.42578125" style="24" customWidth="1"/>
    <col min="6157" max="6157" width="5.140625" style="24" customWidth="1"/>
    <col min="6158" max="6158" width="9.7109375" style="24" customWidth="1"/>
    <col min="6159" max="6159" width="6.7109375" style="24" bestFit="1" customWidth="1"/>
    <col min="6160" max="6160" width="4.85546875" style="24" customWidth="1"/>
    <col min="6161" max="6161" width="5.28515625" style="24" customWidth="1"/>
    <col min="6162" max="6163" width="4.42578125" style="24" bestFit="1" customWidth="1"/>
    <col min="6164" max="6164" width="13.28515625" style="24" bestFit="1" customWidth="1"/>
    <col min="6165" max="6165" width="3.140625" style="24" customWidth="1"/>
    <col min="6166" max="6166" width="5.42578125" style="24" bestFit="1" customWidth="1"/>
    <col min="6167" max="6167" width="4.42578125" style="24" bestFit="1" customWidth="1"/>
    <col min="6168" max="6168" width="6.42578125" style="24" customWidth="1"/>
    <col min="6169" max="6169" width="5" style="24" bestFit="1" customWidth="1"/>
    <col min="6170" max="6170" width="4.5703125" style="24" bestFit="1" customWidth="1"/>
    <col min="6171" max="6171" width="4.42578125" style="24" bestFit="1" customWidth="1"/>
    <col min="6172" max="6172" width="4" style="24" customWidth="1"/>
    <col min="6173" max="6400" width="11.42578125" style="24"/>
    <col min="6401" max="6401" width="14.85546875" style="24" bestFit="1" customWidth="1"/>
    <col min="6402" max="6402" width="28" style="24" bestFit="1" customWidth="1"/>
    <col min="6403" max="6403" width="4.42578125" style="24" bestFit="1" customWidth="1"/>
    <col min="6404" max="6404" width="8" style="24" bestFit="1" customWidth="1"/>
    <col min="6405" max="6405" width="11.42578125" style="24"/>
    <col min="6406" max="6406" width="22.85546875" style="24" bestFit="1" customWidth="1"/>
    <col min="6407" max="6407" width="7" style="24" customWidth="1"/>
    <col min="6408" max="6408" width="6.28515625" style="24" customWidth="1"/>
    <col min="6409" max="6409" width="5.7109375" style="24" customWidth="1"/>
    <col min="6410" max="6410" width="5.7109375" style="24" bestFit="1" customWidth="1"/>
    <col min="6411" max="6411" width="5.85546875" style="24" bestFit="1" customWidth="1"/>
    <col min="6412" max="6412" width="9.42578125" style="24" customWidth="1"/>
    <col min="6413" max="6413" width="5.140625" style="24" customWidth="1"/>
    <col min="6414" max="6414" width="9.7109375" style="24" customWidth="1"/>
    <col min="6415" max="6415" width="6.7109375" style="24" bestFit="1" customWidth="1"/>
    <col min="6416" max="6416" width="4.85546875" style="24" customWidth="1"/>
    <col min="6417" max="6417" width="5.28515625" style="24" customWidth="1"/>
    <col min="6418" max="6419" width="4.42578125" style="24" bestFit="1" customWidth="1"/>
    <col min="6420" max="6420" width="13.28515625" style="24" bestFit="1" customWidth="1"/>
    <col min="6421" max="6421" width="3.140625" style="24" customWidth="1"/>
    <col min="6422" max="6422" width="5.42578125" style="24" bestFit="1" customWidth="1"/>
    <col min="6423" max="6423" width="4.42578125" style="24" bestFit="1" customWidth="1"/>
    <col min="6424" max="6424" width="6.42578125" style="24" customWidth="1"/>
    <col min="6425" max="6425" width="5" style="24" bestFit="1" customWidth="1"/>
    <col min="6426" max="6426" width="4.5703125" style="24" bestFit="1" customWidth="1"/>
    <col min="6427" max="6427" width="4.42578125" style="24" bestFit="1" customWidth="1"/>
    <col min="6428" max="6428" width="4" style="24" customWidth="1"/>
    <col min="6429" max="6656" width="11.42578125" style="24"/>
    <col min="6657" max="6657" width="14.85546875" style="24" bestFit="1" customWidth="1"/>
    <col min="6658" max="6658" width="28" style="24" bestFit="1" customWidth="1"/>
    <col min="6659" max="6659" width="4.42578125" style="24" bestFit="1" customWidth="1"/>
    <col min="6660" max="6660" width="8" style="24" bestFit="1" customWidth="1"/>
    <col min="6661" max="6661" width="11.42578125" style="24"/>
    <col min="6662" max="6662" width="22.85546875" style="24" bestFit="1" customWidth="1"/>
    <col min="6663" max="6663" width="7" style="24" customWidth="1"/>
    <col min="6664" max="6664" width="6.28515625" style="24" customWidth="1"/>
    <col min="6665" max="6665" width="5.7109375" style="24" customWidth="1"/>
    <col min="6666" max="6666" width="5.7109375" style="24" bestFit="1" customWidth="1"/>
    <col min="6667" max="6667" width="5.85546875" style="24" bestFit="1" customWidth="1"/>
    <col min="6668" max="6668" width="9.42578125" style="24" customWidth="1"/>
    <col min="6669" max="6669" width="5.140625" style="24" customWidth="1"/>
    <col min="6670" max="6670" width="9.7109375" style="24" customWidth="1"/>
    <col min="6671" max="6671" width="6.7109375" style="24" bestFit="1" customWidth="1"/>
    <col min="6672" max="6672" width="4.85546875" style="24" customWidth="1"/>
    <col min="6673" max="6673" width="5.28515625" style="24" customWidth="1"/>
    <col min="6674" max="6675" width="4.42578125" style="24" bestFit="1" customWidth="1"/>
    <col min="6676" max="6676" width="13.28515625" style="24" bestFit="1" customWidth="1"/>
    <col min="6677" max="6677" width="3.140625" style="24" customWidth="1"/>
    <col min="6678" max="6678" width="5.42578125" style="24" bestFit="1" customWidth="1"/>
    <col min="6679" max="6679" width="4.42578125" style="24" bestFit="1" customWidth="1"/>
    <col min="6680" max="6680" width="6.42578125" style="24" customWidth="1"/>
    <col min="6681" max="6681" width="5" style="24" bestFit="1" customWidth="1"/>
    <col min="6682" max="6682" width="4.5703125" style="24" bestFit="1" customWidth="1"/>
    <col min="6683" max="6683" width="4.42578125" style="24" bestFit="1" customWidth="1"/>
    <col min="6684" max="6684" width="4" style="24" customWidth="1"/>
    <col min="6685" max="6912" width="11.42578125" style="24"/>
    <col min="6913" max="6913" width="14.85546875" style="24" bestFit="1" customWidth="1"/>
    <col min="6914" max="6914" width="28" style="24" bestFit="1" customWidth="1"/>
    <col min="6915" max="6915" width="4.42578125" style="24" bestFit="1" customWidth="1"/>
    <col min="6916" max="6916" width="8" style="24" bestFit="1" customWidth="1"/>
    <col min="6917" max="6917" width="11.42578125" style="24"/>
    <col min="6918" max="6918" width="22.85546875" style="24" bestFit="1" customWidth="1"/>
    <col min="6919" max="6919" width="7" style="24" customWidth="1"/>
    <col min="6920" max="6920" width="6.28515625" style="24" customWidth="1"/>
    <col min="6921" max="6921" width="5.7109375" style="24" customWidth="1"/>
    <col min="6922" max="6922" width="5.7109375" style="24" bestFit="1" customWidth="1"/>
    <col min="6923" max="6923" width="5.85546875" style="24" bestFit="1" customWidth="1"/>
    <col min="6924" max="6924" width="9.42578125" style="24" customWidth="1"/>
    <col min="6925" max="6925" width="5.140625" style="24" customWidth="1"/>
    <col min="6926" max="6926" width="9.7109375" style="24" customWidth="1"/>
    <col min="6927" max="6927" width="6.7109375" style="24" bestFit="1" customWidth="1"/>
    <col min="6928" max="6928" width="4.85546875" style="24" customWidth="1"/>
    <col min="6929" max="6929" width="5.28515625" style="24" customWidth="1"/>
    <col min="6930" max="6931" width="4.42578125" style="24" bestFit="1" customWidth="1"/>
    <col min="6932" max="6932" width="13.28515625" style="24" bestFit="1" customWidth="1"/>
    <col min="6933" max="6933" width="3.140625" style="24" customWidth="1"/>
    <col min="6934" max="6934" width="5.42578125" style="24" bestFit="1" customWidth="1"/>
    <col min="6935" max="6935" width="4.42578125" style="24" bestFit="1" customWidth="1"/>
    <col min="6936" max="6936" width="6.42578125" style="24" customWidth="1"/>
    <col min="6937" max="6937" width="5" style="24" bestFit="1" customWidth="1"/>
    <col min="6938" max="6938" width="4.5703125" style="24" bestFit="1" customWidth="1"/>
    <col min="6939" max="6939" width="4.42578125" style="24" bestFit="1" customWidth="1"/>
    <col min="6940" max="6940" width="4" style="24" customWidth="1"/>
    <col min="6941" max="7168" width="11.42578125" style="24"/>
    <col min="7169" max="7169" width="14.85546875" style="24" bestFit="1" customWidth="1"/>
    <col min="7170" max="7170" width="28" style="24" bestFit="1" customWidth="1"/>
    <col min="7171" max="7171" width="4.42578125" style="24" bestFit="1" customWidth="1"/>
    <col min="7172" max="7172" width="8" style="24" bestFit="1" customWidth="1"/>
    <col min="7173" max="7173" width="11.42578125" style="24"/>
    <col min="7174" max="7174" width="22.85546875" style="24" bestFit="1" customWidth="1"/>
    <col min="7175" max="7175" width="7" style="24" customWidth="1"/>
    <col min="7176" max="7176" width="6.28515625" style="24" customWidth="1"/>
    <col min="7177" max="7177" width="5.7109375" style="24" customWidth="1"/>
    <col min="7178" max="7178" width="5.7109375" style="24" bestFit="1" customWidth="1"/>
    <col min="7179" max="7179" width="5.85546875" style="24" bestFit="1" customWidth="1"/>
    <col min="7180" max="7180" width="9.42578125" style="24" customWidth="1"/>
    <col min="7181" max="7181" width="5.140625" style="24" customWidth="1"/>
    <col min="7182" max="7182" width="9.7109375" style="24" customWidth="1"/>
    <col min="7183" max="7183" width="6.7109375" style="24" bestFit="1" customWidth="1"/>
    <col min="7184" max="7184" width="4.85546875" style="24" customWidth="1"/>
    <col min="7185" max="7185" width="5.28515625" style="24" customWidth="1"/>
    <col min="7186" max="7187" width="4.42578125" style="24" bestFit="1" customWidth="1"/>
    <col min="7188" max="7188" width="13.28515625" style="24" bestFit="1" customWidth="1"/>
    <col min="7189" max="7189" width="3.140625" style="24" customWidth="1"/>
    <col min="7190" max="7190" width="5.42578125" style="24" bestFit="1" customWidth="1"/>
    <col min="7191" max="7191" width="4.42578125" style="24" bestFit="1" customWidth="1"/>
    <col min="7192" max="7192" width="6.42578125" style="24" customWidth="1"/>
    <col min="7193" max="7193" width="5" style="24" bestFit="1" customWidth="1"/>
    <col min="7194" max="7194" width="4.5703125" style="24" bestFit="1" customWidth="1"/>
    <col min="7195" max="7195" width="4.42578125" style="24" bestFit="1" customWidth="1"/>
    <col min="7196" max="7196" width="4" style="24" customWidth="1"/>
    <col min="7197" max="7424" width="11.42578125" style="24"/>
    <col min="7425" max="7425" width="14.85546875" style="24" bestFit="1" customWidth="1"/>
    <col min="7426" max="7426" width="28" style="24" bestFit="1" customWidth="1"/>
    <col min="7427" max="7427" width="4.42578125" style="24" bestFit="1" customWidth="1"/>
    <col min="7428" max="7428" width="8" style="24" bestFit="1" customWidth="1"/>
    <col min="7429" max="7429" width="11.42578125" style="24"/>
    <col min="7430" max="7430" width="22.85546875" style="24" bestFit="1" customWidth="1"/>
    <col min="7431" max="7431" width="7" style="24" customWidth="1"/>
    <col min="7432" max="7432" width="6.28515625" style="24" customWidth="1"/>
    <col min="7433" max="7433" width="5.7109375" style="24" customWidth="1"/>
    <col min="7434" max="7434" width="5.7109375" style="24" bestFit="1" customWidth="1"/>
    <col min="7435" max="7435" width="5.85546875" style="24" bestFit="1" customWidth="1"/>
    <col min="7436" max="7436" width="9.42578125" style="24" customWidth="1"/>
    <col min="7437" max="7437" width="5.140625" style="24" customWidth="1"/>
    <col min="7438" max="7438" width="9.7109375" style="24" customWidth="1"/>
    <col min="7439" max="7439" width="6.7109375" style="24" bestFit="1" customWidth="1"/>
    <col min="7440" max="7440" width="4.85546875" style="24" customWidth="1"/>
    <col min="7441" max="7441" width="5.28515625" style="24" customWidth="1"/>
    <col min="7442" max="7443" width="4.42578125" style="24" bestFit="1" customWidth="1"/>
    <col min="7444" max="7444" width="13.28515625" style="24" bestFit="1" customWidth="1"/>
    <col min="7445" max="7445" width="3.140625" style="24" customWidth="1"/>
    <col min="7446" max="7446" width="5.42578125" style="24" bestFit="1" customWidth="1"/>
    <col min="7447" max="7447" width="4.42578125" style="24" bestFit="1" customWidth="1"/>
    <col min="7448" max="7448" width="6.42578125" style="24" customWidth="1"/>
    <col min="7449" max="7449" width="5" style="24" bestFit="1" customWidth="1"/>
    <col min="7450" max="7450" width="4.5703125" style="24" bestFit="1" customWidth="1"/>
    <col min="7451" max="7451" width="4.42578125" style="24" bestFit="1" customWidth="1"/>
    <col min="7452" max="7452" width="4" style="24" customWidth="1"/>
    <col min="7453" max="7680" width="11.42578125" style="24"/>
    <col min="7681" max="7681" width="14.85546875" style="24" bestFit="1" customWidth="1"/>
    <col min="7682" max="7682" width="28" style="24" bestFit="1" customWidth="1"/>
    <col min="7683" max="7683" width="4.42578125" style="24" bestFit="1" customWidth="1"/>
    <col min="7684" max="7684" width="8" style="24" bestFit="1" customWidth="1"/>
    <col min="7685" max="7685" width="11.42578125" style="24"/>
    <col min="7686" max="7686" width="22.85546875" style="24" bestFit="1" customWidth="1"/>
    <col min="7687" max="7687" width="7" style="24" customWidth="1"/>
    <col min="7688" max="7688" width="6.28515625" style="24" customWidth="1"/>
    <col min="7689" max="7689" width="5.7109375" style="24" customWidth="1"/>
    <col min="7690" max="7690" width="5.7109375" style="24" bestFit="1" customWidth="1"/>
    <col min="7691" max="7691" width="5.85546875" style="24" bestFit="1" customWidth="1"/>
    <col min="7692" max="7692" width="9.42578125" style="24" customWidth="1"/>
    <col min="7693" max="7693" width="5.140625" style="24" customWidth="1"/>
    <col min="7694" max="7694" width="9.7109375" style="24" customWidth="1"/>
    <col min="7695" max="7695" width="6.7109375" style="24" bestFit="1" customWidth="1"/>
    <col min="7696" max="7696" width="4.85546875" style="24" customWidth="1"/>
    <col min="7697" max="7697" width="5.28515625" style="24" customWidth="1"/>
    <col min="7698" max="7699" width="4.42578125" style="24" bestFit="1" customWidth="1"/>
    <col min="7700" max="7700" width="13.28515625" style="24" bestFit="1" customWidth="1"/>
    <col min="7701" max="7701" width="3.140625" style="24" customWidth="1"/>
    <col min="7702" max="7702" width="5.42578125" style="24" bestFit="1" customWidth="1"/>
    <col min="7703" max="7703" width="4.42578125" style="24" bestFit="1" customWidth="1"/>
    <col min="7704" max="7704" width="6.42578125" style="24" customWidth="1"/>
    <col min="7705" max="7705" width="5" style="24" bestFit="1" customWidth="1"/>
    <col min="7706" max="7706" width="4.5703125" style="24" bestFit="1" customWidth="1"/>
    <col min="7707" max="7707" width="4.42578125" style="24" bestFit="1" customWidth="1"/>
    <col min="7708" max="7708" width="4" style="24" customWidth="1"/>
    <col min="7709" max="7936" width="11.42578125" style="24"/>
    <col min="7937" max="7937" width="14.85546875" style="24" bestFit="1" customWidth="1"/>
    <col min="7938" max="7938" width="28" style="24" bestFit="1" customWidth="1"/>
    <col min="7939" max="7939" width="4.42578125" style="24" bestFit="1" customWidth="1"/>
    <col min="7940" max="7940" width="8" style="24" bestFit="1" customWidth="1"/>
    <col min="7941" max="7941" width="11.42578125" style="24"/>
    <col min="7942" max="7942" width="22.85546875" style="24" bestFit="1" customWidth="1"/>
    <col min="7943" max="7943" width="7" style="24" customWidth="1"/>
    <col min="7944" max="7944" width="6.28515625" style="24" customWidth="1"/>
    <col min="7945" max="7945" width="5.7109375" style="24" customWidth="1"/>
    <col min="7946" max="7946" width="5.7109375" style="24" bestFit="1" customWidth="1"/>
    <col min="7947" max="7947" width="5.85546875" style="24" bestFit="1" customWidth="1"/>
    <col min="7948" max="7948" width="9.42578125" style="24" customWidth="1"/>
    <col min="7949" max="7949" width="5.140625" style="24" customWidth="1"/>
    <col min="7950" max="7950" width="9.7109375" style="24" customWidth="1"/>
    <col min="7951" max="7951" width="6.7109375" style="24" bestFit="1" customWidth="1"/>
    <col min="7952" max="7952" width="4.85546875" style="24" customWidth="1"/>
    <col min="7953" max="7953" width="5.28515625" style="24" customWidth="1"/>
    <col min="7954" max="7955" width="4.42578125" style="24" bestFit="1" customWidth="1"/>
    <col min="7956" max="7956" width="13.28515625" style="24" bestFit="1" customWidth="1"/>
    <col min="7957" max="7957" width="3.140625" style="24" customWidth="1"/>
    <col min="7958" max="7958" width="5.42578125" style="24" bestFit="1" customWidth="1"/>
    <col min="7959" max="7959" width="4.42578125" style="24" bestFit="1" customWidth="1"/>
    <col min="7960" max="7960" width="6.42578125" style="24" customWidth="1"/>
    <col min="7961" max="7961" width="5" style="24" bestFit="1" customWidth="1"/>
    <col min="7962" max="7962" width="4.5703125" style="24" bestFit="1" customWidth="1"/>
    <col min="7963" max="7963" width="4.42578125" style="24" bestFit="1" customWidth="1"/>
    <col min="7964" max="7964" width="4" style="24" customWidth="1"/>
    <col min="7965" max="8192" width="11.42578125" style="24"/>
    <col min="8193" max="8193" width="14.85546875" style="24" bestFit="1" customWidth="1"/>
    <col min="8194" max="8194" width="28" style="24" bestFit="1" customWidth="1"/>
    <col min="8195" max="8195" width="4.42578125" style="24" bestFit="1" customWidth="1"/>
    <col min="8196" max="8196" width="8" style="24" bestFit="1" customWidth="1"/>
    <col min="8197" max="8197" width="11.42578125" style="24"/>
    <col min="8198" max="8198" width="22.85546875" style="24" bestFit="1" customWidth="1"/>
    <col min="8199" max="8199" width="7" style="24" customWidth="1"/>
    <col min="8200" max="8200" width="6.28515625" style="24" customWidth="1"/>
    <col min="8201" max="8201" width="5.7109375" style="24" customWidth="1"/>
    <col min="8202" max="8202" width="5.7109375" style="24" bestFit="1" customWidth="1"/>
    <col min="8203" max="8203" width="5.85546875" style="24" bestFit="1" customWidth="1"/>
    <col min="8204" max="8204" width="9.42578125" style="24" customWidth="1"/>
    <col min="8205" max="8205" width="5.140625" style="24" customWidth="1"/>
    <col min="8206" max="8206" width="9.7109375" style="24" customWidth="1"/>
    <col min="8207" max="8207" width="6.7109375" style="24" bestFit="1" customWidth="1"/>
    <col min="8208" max="8208" width="4.85546875" style="24" customWidth="1"/>
    <col min="8209" max="8209" width="5.28515625" style="24" customWidth="1"/>
    <col min="8210" max="8211" width="4.42578125" style="24" bestFit="1" customWidth="1"/>
    <col min="8212" max="8212" width="13.28515625" style="24" bestFit="1" customWidth="1"/>
    <col min="8213" max="8213" width="3.140625" style="24" customWidth="1"/>
    <col min="8214" max="8214" width="5.42578125" style="24" bestFit="1" customWidth="1"/>
    <col min="8215" max="8215" width="4.42578125" style="24" bestFit="1" customWidth="1"/>
    <col min="8216" max="8216" width="6.42578125" style="24" customWidth="1"/>
    <col min="8217" max="8217" width="5" style="24" bestFit="1" customWidth="1"/>
    <col min="8218" max="8218" width="4.5703125" style="24" bestFit="1" customWidth="1"/>
    <col min="8219" max="8219" width="4.42578125" style="24" bestFit="1" customWidth="1"/>
    <col min="8220" max="8220" width="4" style="24" customWidth="1"/>
    <col min="8221" max="8448" width="11.42578125" style="24"/>
    <col min="8449" max="8449" width="14.85546875" style="24" bestFit="1" customWidth="1"/>
    <col min="8450" max="8450" width="28" style="24" bestFit="1" customWidth="1"/>
    <col min="8451" max="8451" width="4.42578125" style="24" bestFit="1" customWidth="1"/>
    <col min="8452" max="8452" width="8" style="24" bestFit="1" customWidth="1"/>
    <col min="8453" max="8453" width="11.42578125" style="24"/>
    <col min="8454" max="8454" width="22.85546875" style="24" bestFit="1" customWidth="1"/>
    <col min="8455" max="8455" width="7" style="24" customWidth="1"/>
    <col min="8456" max="8456" width="6.28515625" style="24" customWidth="1"/>
    <col min="8457" max="8457" width="5.7109375" style="24" customWidth="1"/>
    <col min="8458" max="8458" width="5.7109375" style="24" bestFit="1" customWidth="1"/>
    <col min="8459" max="8459" width="5.85546875" style="24" bestFit="1" customWidth="1"/>
    <col min="8460" max="8460" width="9.42578125" style="24" customWidth="1"/>
    <col min="8461" max="8461" width="5.140625" style="24" customWidth="1"/>
    <col min="8462" max="8462" width="9.7109375" style="24" customWidth="1"/>
    <col min="8463" max="8463" width="6.7109375" style="24" bestFit="1" customWidth="1"/>
    <col min="8464" max="8464" width="4.85546875" style="24" customWidth="1"/>
    <col min="8465" max="8465" width="5.28515625" style="24" customWidth="1"/>
    <col min="8466" max="8467" width="4.42578125" style="24" bestFit="1" customWidth="1"/>
    <col min="8468" max="8468" width="13.28515625" style="24" bestFit="1" customWidth="1"/>
    <col min="8469" max="8469" width="3.140625" style="24" customWidth="1"/>
    <col min="8470" max="8470" width="5.42578125" style="24" bestFit="1" customWidth="1"/>
    <col min="8471" max="8471" width="4.42578125" style="24" bestFit="1" customWidth="1"/>
    <col min="8472" max="8472" width="6.42578125" style="24" customWidth="1"/>
    <col min="8473" max="8473" width="5" style="24" bestFit="1" customWidth="1"/>
    <col min="8474" max="8474" width="4.5703125" style="24" bestFit="1" customWidth="1"/>
    <col min="8475" max="8475" width="4.42578125" style="24" bestFit="1" customWidth="1"/>
    <col min="8476" max="8476" width="4" style="24" customWidth="1"/>
    <col min="8477" max="8704" width="11.42578125" style="24"/>
    <col min="8705" max="8705" width="14.85546875" style="24" bestFit="1" customWidth="1"/>
    <col min="8706" max="8706" width="28" style="24" bestFit="1" customWidth="1"/>
    <col min="8707" max="8707" width="4.42578125" style="24" bestFit="1" customWidth="1"/>
    <col min="8708" max="8708" width="8" style="24" bestFit="1" customWidth="1"/>
    <col min="8709" max="8709" width="11.42578125" style="24"/>
    <col min="8710" max="8710" width="22.85546875" style="24" bestFit="1" customWidth="1"/>
    <col min="8711" max="8711" width="7" style="24" customWidth="1"/>
    <col min="8712" max="8712" width="6.28515625" style="24" customWidth="1"/>
    <col min="8713" max="8713" width="5.7109375" style="24" customWidth="1"/>
    <col min="8714" max="8714" width="5.7109375" style="24" bestFit="1" customWidth="1"/>
    <col min="8715" max="8715" width="5.85546875" style="24" bestFit="1" customWidth="1"/>
    <col min="8716" max="8716" width="9.42578125" style="24" customWidth="1"/>
    <col min="8717" max="8717" width="5.140625" style="24" customWidth="1"/>
    <col min="8718" max="8718" width="9.7109375" style="24" customWidth="1"/>
    <col min="8719" max="8719" width="6.7109375" style="24" bestFit="1" customWidth="1"/>
    <col min="8720" max="8720" width="4.85546875" style="24" customWidth="1"/>
    <col min="8721" max="8721" width="5.28515625" style="24" customWidth="1"/>
    <col min="8722" max="8723" width="4.42578125" style="24" bestFit="1" customWidth="1"/>
    <col min="8724" max="8724" width="13.28515625" style="24" bestFit="1" customWidth="1"/>
    <col min="8725" max="8725" width="3.140625" style="24" customWidth="1"/>
    <col min="8726" max="8726" width="5.42578125" style="24" bestFit="1" customWidth="1"/>
    <col min="8727" max="8727" width="4.42578125" style="24" bestFit="1" customWidth="1"/>
    <col min="8728" max="8728" width="6.42578125" style="24" customWidth="1"/>
    <col min="8729" max="8729" width="5" style="24" bestFit="1" customWidth="1"/>
    <col min="8730" max="8730" width="4.5703125" style="24" bestFit="1" customWidth="1"/>
    <col min="8731" max="8731" width="4.42578125" style="24" bestFit="1" customWidth="1"/>
    <col min="8732" max="8732" width="4" style="24" customWidth="1"/>
    <col min="8733" max="8960" width="11.42578125" style="24"/>
    <col min="8961" max="8961" width="14.85546875" style="24" bestFit="1" customWidth="1"/>
    <col min="8962" max="8962" width="28" style="24" bestFit="1" customWidth="1"/>
    <col min="8963" max="8963" width="4.42578125" style="24" bestFit="1" customWidth="1"/>
    <col min="8964" max="8964" width="8" style="24" bestFit="1" customWidth="1"/>
    <col min="8965" max="8965" width="11.42578125" style="24"/>
    <col min="8966" max="8966" width="22.85546875" style="24" bestFit="1" customWidth="1"/>
    <col min="8967" max="8967" width="7" style="24" customWidth="1"/>
    <col min="8968" max="8968" width="6.28515625" style="24" customWidth="1"/>
    <col min="8969" max="8969" width="5.7109375" style="24" customWidth="1"/>
    <col min="8970" max="8970" width="5.7109375" style="24" bestFit="1" customWidth="1"/>
    <col min="8971" max="8971" width="5.85546875" style="24" bestFit="1" customWidth="1"/>
    <col min="8972" max="8972" width="9.42578125" style="24" customWidth="1"/>
    <col min="8973" max="8973" width="5.140625" style="24" customWidth="1"/>
    <col min="8974" max="8974" width="9.7109375" style="24" customWidth="1"/>
    <col min="8975" max="8975" width="6.7109375" style="24" bestFit="1" customWidth="1"/>
    <col min="8976" max="8976" width="4.85546875" style="24" customWidth="1"/>
    <col min="8977" max="8977" width="5.28515625" style="24" customWidth="1"/>
    <col min="8978" max="8979" width="4.42578125" style="24" bestFit="1" customWidth="1"/>
    <col min="8980" max="8980" width="13.28515625" style="24" bestFit="1" customWidth="1"/>
    <col min="8981" max="8981" width="3.140625" style="24" customWidth="1"/>
    <col min="8982" max="8982" width="5.42578125" style="24" bestFit="1" customWidth="1"/>
    <col min="8983" max="8983" width="4.42578125" style="24" bestFit="1" customWidth="1"/>
    <col min="8984" max="8984" width="6.42578125" style="24" customWidth="1"/>
    <col min="8985" max="8985" width="5" style="24" bestFit="1" customWidth="1"/>
    <col min="8986" max="8986" width="4.5703125" style="24" bestFit="1" customWidth="1"/>
    <col min="8987" max="8987" width="4.42578125" style="24" bestFit="1" customWidth="1"/>
    <col min="8988" max="8988" width="4" style="24" customWidth="1"/>
    <col min="8989" max="9216" width="11.42578125" style="24"/>
    <col min="9217" max="9217" width="14.85546875" style="24" bestFit="1" customWidth="1"/>
    <col min="9218" max="9218" width="28" style="24" bestFit="1" customWidth="1"/>
    <col min="9219" max="9219" width="4.42578125" style="24" bestFit="1" customWidth="1"/>
    <col min="9220" max="9220" width="8" style="24" bestFit="1" customWidth="1"/>
    <col min="9221" max="9221" width="11.42578125" style="24"/>
    <col min="9222" max="9222" width="22.85546875" style="24" bestFit="1" customWidth="1"/>
    <col min="9223" max="9223" width="7" style="24" customWidth="1"/>
    <col min="9224" max="9224" width="6.28515625" style="24" customWidth="1"/>
    <col min="9225" max="9225" width="5.7109375" style="24" customWidth="1"/>
    <col min="9226" max="9226" width="5.7109375" style="24" bestFit="1" customWidth="1"/>
    <col min="9227" max="9227" width="5.85546875" style="24" bestFit="1" customWidth="1"/>
    <col min="9228" max="9228" width="9.42578125" style="24" customWidth="1"/>
    <col min="9229" max="9229" width="5.140625" style="24" customWidth="1"/>
    <col min="9230" max="9230" width="9.7109375" style="24" customWidth="1"/>
    <col min="9231" max="9231" width="6.7109375" style="24" bestFit="1" customWidth="1"/>
    <col min="9232" max="9232" width="4.85546875" style="24" customWidth="1"/>
    <col min="9233" max="9233" width="5.28515625" style="24" customWidth="1"/>
    <col min="9234" max="9235" width="4.42578125" style="24" bestFit="1" customWidth="1"/>
    <col min="9236" max="9236" width="13.28515625" style="24" bestFit="1" customWidth="1"/>
    <col min="9237" max="9237" width="3.140625" style="24" customWidth="1"/>
    <col min="9238" max="9238" width="5.42578125" style="24" bestFit="1" customWidth="1"/>
    <col min="9239" max="9239" width="4.42578125" style="24" bestFit="1" customWidth="1"/>
    <col min="9240" max="9240" width="6.42578125" style="24" customWidth="1"/>
    <col min="9241" max="9241" width="5" style="24" bestFit="1" customWidth="1"/>
    <col min="9242" max="9242" width="4.5703125" style="24" bestFit="1" customWidth="1"/>
    <col min="9243" max="9243" width="4.42578125" style="24" bestFit="1" customWidth="1"/>
    <col min="9244" max="9244" width="4" style="24" customWidth="1"/>
    <col min="9245" max="9472" width="11.42578125" style="24"/>
    <col min="9473" max="9473" width="14.85546875" style="24" bestFit="1" customWidth="1"/>
    <col min="9474" max="9474" width="28" style="24" bestFit="1" customWidth="1"/>
    <col min="9475" max="9475" width="4.42578125" style="24" bestFit="1" customWidth="1"/>
    <col min="9476" max="9476" width="8" style="24" bestFit="1" customWidth="1"/>
    <col min="9477" max="9477" width="11.42578125" style="24"/>
    <col min="9478" max="9478" width="22.85546875" style="24" bestFit="1" customWidth="1"/>
    <col min="9479" max="9479" width="7" style="24" customWidth="1"/>
    <col min="9480" max="9480" width="6.28515625" style="24" customWidth="1"/>
    <col min="9481" max="9481" width="5.7109375" style="24" customWidth="1"/>
    <col min="9482" max="9482" width="5.7109375" style="24" bestFit="1" customWidth="1"/>
    <col min="9483" max="9483" width="5.85546875" style="24" bestFit="1" customWidth="1"/>
    <col min="9484" max="9484" width="9.42578125" style="24" customWidth="1"/>
    <col min="9485" max="9485" width="5.140625" style="24" customWidth="1"/>
    <col min="9486" max="9486" width="9.7109375" style="24" customWidth="1"/>
    <col min="9487" max="9487" width="6.7109375" style="24" bestFit="1" customWidth="1"/>
    <col min="9488" max="9488" width="4.85546875" style="24" customWidth="1"/>
    <col min="9489" max="9489" width="5.28515625" style="24" customWidth="1"/>
    <col min="9490" max="9491" width="4.42578125" style="24" bestFit="1" customWidth="1"/>
    <col min="9492" max="9492" width="13.28515625" style="24" bestFit="1" customWidth="1"/>
    <col min="9493" max="9493" width="3.140625" style="24" customWidth="1"/>
    <col min="9494" max="9494" width="5.42578125" style="24" bestFit="1" customWidth="1"/>
    <col min="9495" max="9495" width="4.42578125" style="24" bestFit="1" customWidth="1"/>
    <col min="9496" max="9496" width="6.42578125" style="24" customWidth="1"/>
    <col min="9497" max="9497" width="5" style="24" bestFit="1" customWidth="1"/>
    <col min="9498" max="9498" width="4.5703125" style="24" bestFit="1" customWidth="1"/>
    <col min="9499" max="9499" width="4.42578125" style="24" bestFit="1" customWidth="1"/>
    <col min="9500" max="9500" width="4" style="24" customWidth="1"/>
    <col min="9501" max="9728" width="11.42578125" style="24"/>
    <col min="9729" max="9729" width="14.85546875" style="24" bestFit="1" customWidth="1"/>
    <col min="9730" max="9730" width="28" style="24" bestFit="1" customWidth="1"/>
    <col min="9731" max="9731" width="4.42578125" style="24" bestFit="1" customWidth="1"/>
    <col min="9732" max="9732" width="8" style="24" bestFit="1" customWidth="1"/>
    <col min="9733" max="9733" width="11.42578125" style="24"/>
    <col min="9734" max="9734" width="22.85546875" style="24" bestFit="1" customWidth="1"/>
    <col min="9735" max="9735" width="7" style="24" customWidth="1"/>
    <col min="9736" max="9736" width="6.28515625" style="24" customWidth="1"/>
    <col min="9737" max="9737" width="5.7109375" style="24" customWidth="1"/>
    <col min="9738" max="9738" width="5.7109375" style="24" bestFit="1" customWidth="1"/>
    <col min="9739" max="9739" width="5.85546875" style="24" bestFit="1" customWidth="1"/>
    <col min="9740" max="9740" width="9.42578125" style="24" customWidth="1"/>
    <col min="9741" max="9741" width="5.140625" style="24" customWidth="1"/>
    <col min="9742" max="9742" width="9.7109375" style="24" customWidth="1"/>
    <col min="9743" max="9743" width="6.7109375" style="24" bestFit="1" customWidth="1"/>
    <col min="9744" max="9744" width="4.85546875" style="24" customWidth="1"/>
    <col min="9745" max="9745" width="5.28515625" style="24" customWidth="1"/>
    <col min="9746" max="9747" width="4.42578125" style="24" bestFit="1" customWidth="1"/>
    <col min="9748" max="9748" width="13.28515625" style="24" bestFit="1" customWidth="1"/>
    <col min="9749" max="9749" width="3.140625" style="24" customWidth="1"/>
    <col min="9750" max="9750" width="5.42578125" style="24" bestFit="1" customWidth="1"/>
    <col min="9751" max="9751" width="4.42578125" style="24" bestFit="1" customWidth="1"/>
    <col min="9752" max="9752" width="6.42578125" style="24" customWidth="1"/>
    <col min="9753" max="9753" width="5" style="24" bestFit="1" customWidth="1"/>
    <col min="9754" max="9754" width="4.5703125" style="24" bestFit="1" customWidth="1"/>
    <col min="9755" max="9755" width="4.42578125" style="24" bestFit="1" customWidth="1"/>
    <col min="9756" max="9756" width="4" style="24" customWidth="1"/>
    <col min="9757" max="9984" width="11.42578125" style="24"/>
    <col min="9985" max="9985" width="14.85546875" style="24" bestFit="1" customWidth="1"/>
    <col min="9986" max="9986" width="28" style="24" bestFit="1" customWidth="1"/>
    <col min="9987" max="9987" width="4.42578125" style="24" bestFit="1" customWidth="1"/>
    <col min="9988" max="9988" width="8" style="24" bestFit="1" customWidth="1"/>
    <col min="9989" max="9989" width="11.42578125" style="24"/>
    <col min="9990" max="9990" width="22.85546875" style="24" bestFit="1" customWidth="1"/>
    <col min="9991" max="9991" width="7" style="24" customWidth="1"/>
    <col min="9992" max="9992" width="6.28515625" style="24" customWidth="1"/>
    <col min="9993" max="9993" width="5.7109375" style="24" customWidth="1"/>
    <col min="9994" max="9994" width="5.7109375" style="24" bestFit="1" customWidth="1"/>
    <col min="9995" max="9995" width="5.85546875" style="24" bestFit="1" customWidth="1"/>
    <col min="9996" max="9996" width="9.42578125" style="24" customWidth="1"/>
    <col min="9997" max="9997" width="5.140625" style="24" customWidth="1"/>
    <col min="9998" max="9998" width="9.7109375" style="24" customWidth="1"/>
    <col min="9999" max="9999" width="6.7109375" style="24" bestFit="1" customWidth="1"/>
    <col min="10000" max="10000" width="4.85546875" style="24" customWidth="1"/>
    <col min="10001" max="10001" width="5.28515625" style="24" customWidth="1"/>
    <col min="10002" max="10003" width="4.42578125" style="24" bestFit="1" customWidth="1"/>
    <col min="10004" max="10004" width="13.28515625" style="24" bestFit="1" customWidth="1"/>
    <col min="10005" max="10005" width="3.140625" style="24" customWidth="1"/>
    <col min="10006" max="10006" width="5.42578125" style="24" bestFit="1" customWidth="1"/>
    <col min="10007" max="10007" width="4.42578125" style="24" bestFit="1" customWidth="1"/>
    <col min="10008" max="10008" width="6.42578125" style="24" customWidth="1"/>
    <col min="10009" max="10009" width="5" style="24" bestFit="1" customWidth="1"/>
    <col min="10010" max="10010" width="4.5703125" style="24" bestFit="1" customWidth="1"/>
    <col min="10011" max="10011" width="4.42578125" style="24" bestFit="1" customWidth="1"/>
    <col min="10012" max="10012" width="4" style="24" customWidth="1"/>
    <col min="10013" max="10240" width="11.42578125" style="24"/>
    <col min="10241" max="10241" width="14.85546875" style="24" bestFit="1" customWidth="1"/>
    <col min="10242" max="10242" width="28" style="24" bestFit="1" customWidth="1"/>
    <col min="10243" max="10243" width="4.42578125" style="24" bestFit="1" customWidth="1"/>
    <col min="10244" max="10244" width="8" style="24" bestFit="1" customWidth="1"/>
    <col min="10245" max="10245" width="11.42578125" style="24"/>
    <col min="10246" max="10246" width="22.85546875" style="24" bestFit="1" customWidth="1"/>
    <col min="10247" max="10247" width="7" style="24" customWidth="1"/>
    <col min="10248" max="10248" width="6.28515625" style="24" customWidth="1"/>
    <col min="10249" max="10249" width="5.7109375" style="24" customWidth="1"/>
    <col min="10250" max="10250" width="5.7109375" style="24" bestFit="1" customWidth="1"/>
    <col min="10251" max="10251" width="5.85546875" style="24" bestFit="1" customWidth="1"/>
    <col min="10252" max="10252" width="9.42578125" style="24" customWidth="1"/>
    <col min="10253" max="10253" width="5.140625" style="24" customWidth="1"/>
    <col min="10254" max="10254" width="9.7109375" style="24" customWidth="1"/>
    <col min="10255" max="10255" width="6.7109375" style="24" bestFit="1" customWidth="1"/>
    <col min="10256" max="10256" width="4.85546875" style="24" customWidth="1"/>
    <col min="10257" max="10257" width="5.28515625" style="24" customWidth="1"/>
    <col min="10258" max="10259" width="4.42578125" style="24" bestFit="1" customWidth="1"/>
    <col min="10260" max="10260" width="13.28515625" style="24" bestFit="1" customWidth="1"/>
    <col min="10261" max="10261" width="3.140625" style="24" customWidth="1"/>
    <col min="10262" max="10262" width="5.42578125" style="24" bestFit="1" customWidth="1"/>
    <col min="10263" max="10263" width="4.42578125" style="24" bestFit="1" customWidth="1"/>
    <col min="10264" max="10264" width="6.42578125" style="24" customWidth="1"/>
    <col min="10265" max="10265" width="5" style="24" bestFit="1" customWidth="1"/>
    <col min="10266" max="10266" width="4.5703125" style="24" bestFit="1" customWidth="1"/>
    <col min="10267" max="10267" width="4.42578125" style="24" bestFit="1" customWidth="1"/>
    <col min="10268" max="10268" width="4" style="24" customWidth="1"/>
    <col min="10269" max="10496" width="11.42578125" style="24"/>
    <col min="10497" max="10497" width="14.85546875" style="24" bestFit="1" customWidth="1"/>
    <col min="10498" max="10498" width="28" style="24" bestFit="1" customWidth="1"/>
    <col min="10499" max="10499" width="4.42578125" style="24" bestFit="1" customWidth="1"/>
    <col min="10500" max="10500" width="8" style="24" bestFit="1" customWidth="1"/>
    <col min="10501" max="10501" width="11.42578125" style="24"/>
    <col min="10502" max="10502" width="22.85546875" style="24" bestFit="1" customWidth="1"/>
    <col min="10503" max="10503" width="7" style="24" customWidth="1"/>
    <col min="10504" max="10504" width="6.28515625" style="24" customWidth="1"/>
    <col min="10505" max="10505" width="5.7109375" style="24" customWidth="1"/>
    <col min="10506" max="10506" width="5.7109375" style="24" bestFit="1" customWidth="1"/>
    <col min="10507" max="10507" width="5.85546875" style="24" bestFit="1" customWidth="1"/>
    <col min="10508" max="10508" width="9.42578125" style="24" customWidth="1"/>
    <col min="10509" max="10509" width="5.140625" style="24" customWidth="1"/>
    <col min="10510" max="10510" width="9.7109375" style="24" customWidth="1"/>
    <col min="10511" max="10511" width="6.7109375" style="24" bestFit="1" customWidth="1"/>
    <col min="10512" max="10512" width="4.85546875" style="24" customWidth="1"/>
    <col min="10513" max="10513" width="5.28515625" style="24" customWidth="1"/>
    <col min="10514" max="10515" width="4.42578125" style="24" bestFit="1" customWidth="1"/>
    <col min="10516" max="10516" width="13.28515625" style="24" bestFit="1" customWidth="1"/>
    <col min="10517" max="10517" width="3.140625" style="24" customWidth="1"/>
    <col min="10518" max="10518" width="5.42578125" style="24" bestFit="1" customWidth="1"/>
    <col min="10519" max="10519" width="4.42578125" style="24" bestFit="1" customWidth="1"/>
    <col min="10520" max="10520" width="6.42578125" style="24" customWidth="1"/>
    <col min="10521" max="10521" width="5" style="24" bestFit="1" customWidth="1"/>
    <col min="10522" max="10522" width="4.5703125" style="24" bestFit="1" customWidth="1"/>
    <col min="10523" max="10523" width="4.42578125" style="24" bestFit="1" customWidth="1"/>
    <col min="10524" max="10524" width="4" style="24" customWidth="1"/>
    <col min="10525" max="10752" width="11.42578125" style="24"/>
    <col min="10753" max="10753" width="14.85546875" style="24" bestFit="1" customWidth="1"/>
    <col min="10754" max="10754" width="28" style="24" bestFit="1" customWidth="1"/>
    <col min="10755" max="10755" width="4.42578125" style="24" bestFit="1" customWidth="1"/>
    <col min="10756" max="10756" width="8" style="24" bestFit="1" customWidth="1"/>
    <col min="10757" max="10757" width="11.42578125" style="24"/>
    <col min="10758" max="10758" width="22.85546875" style="24" bestFit="1" customWidth="1"/>
    <col min="10759" max="10759" width="7" style="24" customWidth="1"/>
    <col min="10760" max="10760" width="6.28515625" style="24" customWidth="1"/>
    <col min="10761" max="10761" width="5.7109375" style="24" customWidth="1"/>
    <col min="10762" max="10762" width="5.7109375" style="24" bestFit="1" customWidth="1"/>
    <col min="10763" max="10763" width="5.85546875" style="24" bestFit="1" customWidth="1"/>
    <col min="10764" max="10764" width="9.42578125" style="24" customWidth="1"/>
    <col min="10765" max="10765" width="5.140625" style="24" customWidth="1"/>
    <col min="10766" max="10766" width="9.7109375" style="24" customWidth="1"/>
    <col min="10767" max="10767" width="6.7109375" style="24" bestFit="1" customWidth="1"/>
    <col min="10768" max="10768" width="4.85546875" style="24" customWidth="1"/>
    <col min="10769" max="10769" width="5.28515625" style="24" customWidth="1"/>
    <col min="10770" max="10771" width="4.42578125" style="24" bestFit="1" customWidth="1"/>
    <col min="10772" max="10772" width="13.28515625" style="24" bestFit="1" customWidth="1"/>
    <col min="10773" max="10773" width="3.140625" style="24" customWidth="1"/>
    <col min="10774" max="10774" width="5.42578125" style="24" bestFit="1" customWidth="1"/>
    <col min="10775" max="10775" width="4.42578125" style="24" bestFit="1" customWidth="1"/>
    <col min="10776" max="10776" width="6.42578125" style="24" customWidth="1"/>
    <col min="10777" max="10777" width="5" style="24" bestFit="1" customWidth="1"/>
    <col min="10778" max="10778" width="4.5703125" style="24" bestFit="1" customWidth="1"/>
    <col min="10779" max="10779" width="4.42578125" style="24" bestFit="1" customWidth="1"/>
    <col min="10780" max="10780" width="4" style="24" customWidth="1"/>
    <col min="10781" max="11008" width="11.42578125" style="24"/>
    <col min="11009" max="11009" width="14.85546875" style="24" bestFit="1" customWidth="1"/>
    <col min="11010" max="11010" width="28" style="24" bestFit="1" customWidth="1"/>
    <col min="11011" max="11011" width="4.42578125" style="24" bestFit="1" customWidth="1"/>
    <col min="11012" max="11012" width="8" style="24" bestFit="1" customWidth="1"/>
    <col min="11013" max="11013" width="11.42578125" style="24"/>
    <col min="11014" max="11014" width="22.85546875" style="24" bestFit="1" customWidth="1"/>
    <col min="11015" max="11015" width="7" style="24" customWidth="1"/>
    <col min="11016" max="11016" width="6.28515625" style="24" customWidth="1"/>
    <col min="11017" max="11017" width="5.7109375" style="24" customWidth="1"/>
    <col min="11018" max="11018" width="5.7109375" style="24" bestFit="1" customWidth="1"/>
    <col min="11019" max="11019" width="5.85546875" style="24" bestFit="1" customWidth="1"/>
    <col min="11020" max="11020" width="9.42578125" style="24" customWidth="1"/>
    <col min="11021" max="11021" width="5.140625" style="24" customWidth="1"/>
    <col min="11022" max="11022" width="9.7109375" style="24" customWidth="1"/>
    <col min="11023" max="11023" width="6.7109375" style="24" bestFit="1" customWidth="1"/>
    <col min="11024" max="11024" width="4.85546875" style="24" customWidth="1"/>
    <col min="11025" max="11025" width="5.28515625" style="24" customWidth="1"/>
    <col min="11026" max="11027" width="4.42578125" style="24" bestFit="1" customWidth="1"/>
    <col min="11028" max="11028" width="13.28515625" style="24" bestFit="1" customWidth="1"/>
    <col min="11029" max="11029" width="3.140625" style="24" customWidth="1"/>
    <col min="11030" max="11030" width="5.42578125" style="24" bestFit="1" customWidth="1"/>
    <col min="11031" max="11031" width="4.42578125" style="24" bestFit="1" customWidth="1"/>
    <col min="11032" max="11032" width="6.42578125" style="24" customWidth="1"/>
    <col min="11033" max="11033" width="5" style="24" bestFit="1" customWidth="1"/>
    <col min="11034" max="11034" width="4.5703125" style="24" bestFit="1" customWidth="1"/>
    <col min="11035" max="11035" width="4.42578125" style="24" bestFit="1" customWidth="1"/>
    <col min="11036" max="11036" width="4" style="24" customWidth="1"/>
    <col min="11037" max="11264" width="11.42578125" style="24"/>
    <col min="11265" max="11265" width="14.85546875" style="24" bestFit="1" customWidth="1"/>
    <col min="11266" max="11266" width="28" style="24" bestFit="1" customWidth="1"/>
    <col min="11267" max="11267" width="4.42578125" style="24" bestFit="1" customWidth="1"/>
    <col min="11268" max="11268" width="8" style="24" bestFit="1" customWidth="1"/>
    <col min="11269" max="11269" width="11.42578125" style="24"/>
    <col min="11270" max="11270" width="22.85546875" style="24" bestFit="1" customWidth="1"/>
    <col min="11271" max="11271" width="7" style="24" customWidth="1"/>
    <col min="11272" max="11272" width="6.28515625" style="24" customWidth="1"/>
    <col min="11273" max="11273" width="5.7109375" style="24" customWidth="1"/>
    <col min="11274" max="11274" width="5.7109375" style="24" bestFit="1" customWidth="1"/>
    <col min="11275" max="11275" width="5.85546875" style="24" bestFit="1" customWidth="1"/>
    <col min="11276" max="11276" width="9.42578125" style="24" customWidth="1"/>
    <col min="11277" max="11277" width="5.140625" style="24" customWidth="1"/>
    <col min="11278" max="11278" width="9.7109375" style="24" customWidth="1"/>
    <col min="11279" max="11279" width="6.7109375" style="24" bestFit="1" customWidth="1"/>
    <col min="11280" max="11280" width="4.85546875" style="24" customWidth="1"/>
    <col min="11281" max="11281" width="5.28515625" style="24" customWidth="1"/>
    <col min="11282" max="11283" width="4.42578125" style="24" bestFit="1" customWidth="1"/>
    <col min="11284" max="11284" width="13.28515625" style="24" bestFit="1" customWidth="1"/>
    <col min="11285" max="11285" width="3.140625" style="24" customWidth="1"/>
    <col min="11286" max="11286" width="5.42578125" style="24" bestFit="1" customWidth="1"/>
    <col min="11287" max="11287" width="4.42578125" style="24" bestFit="1" customWidth="1"/>
    <col min="11288" max="11288" width="6.42578125" style="24" customWidth="1"/>
    <col min="11289" max="11289" width="5" style="24" bestFit="1" customWidth="1"/>
    <col min="11290" max="11290" width="4.5703125" style="24" bestFit="1" customWidth="1"/>
    <col min="11291" max="11291" width="4.42578125" style="24" bestFit="1" customWidth="1"/>
    <col min="11292" max="11292" width="4" style="24" customWidth="1"/>
    <col min="11293" max="11520" width="11.42578125" style="24"/>
    <col min="11521" max="11521" width="14.85546875" style="24" bestFit="1" customWidth="1"/>
    <col min="11522" max="11522" width="28" style="24" bestFit="1" customWidth="1"/>
    <col min="11523" max="11523" width="4.42578125" style="24" bestFit="1" customWidth="1"/>
    <col min="11524" max="11524" width="8" style="24" bestFit="1" customWidth="1"/>
    <col min="11525" max="11525" width="11.42578125" style="24"/>
    <col min="11526" max="11526" width="22.85546875" style="24" bestFit="1" customWidth="1"/>
    <col min="11527" max="11527" width="7" style="24" customWidth="1"/>
    <col min="11528" max="11528" width="6.28515625" style="24" customWidth="1"/>
    <col min="11529" max="11529" width="5.7109375" style="24" customWidth="1"/>
    <col min="11530" max="11530" width="5.7109375" style="24" bestFit="1" customWidth="1"/>
    <col min="11531" max="11531" width="5.85546875" style="24" bestFit="1" customWidth="1"/>
    <col min="11532" max="11532" width="9.42578125" style="24" customWidth="1"/>
    <col min="11533" max="11533" width="5.140625" style="24" customWidth="1"/>
    <col min="11534" max="11534" width="9.7109375" style="24" customWidth="1"/>
    <col min="11535" max="11535" width="6.7109375" style="24" bestFit="1" customWidth="1"/>
    <col min="11536" max="11536" width="4.85546875" style="24" customWidth="1"/>
    <col min="11537" max="11537" width="5.28515625" style="24" customWidth="1"/>
    <col min="11538" max="11539" width="4.42578125" style="24" bestFit="1" customWidth="1"/>
    <col min="11540" max="11540" width="13.28515625" style="24" bestFit="1" customWidth="1"/>
    <col min="11541" max="11541" width="3.140625" style="24" customWidth="1"/>
    <col min="11542" max="11542" width="5.42578125" style="24" bestFit="1" customWidth="1"/>
    <col min="11543" max="11543" width="4.42578125" style="24" bestFit="1" customWidth="1"/>
    <col min="11544" max="11544" width="6.42578125" style="24" customWidth="1"/>
    <col min="11545" max="11545" width="5" style="24" bestFit="1" customWidth="1"/>
    <col min="11546" max="11546" width="4.5703125" style="24" bestFit="1" customWidth="1"/>
    <col min="11547" max="11547" width="4.42578125" style="24" bestFit="1" customWidth="1"/>
    <col min="11548" max="11548" width="4" style="24" customWidth="1"/>
    <col min="11549" max="11776" width="11.42578125" style="24"/>
    <col min="11777" max="11777" width="14.85546875" style="24" bestFit="1" customWidth="1"/>
    <col min="11778" max="11778" width="28" style="24" bestFit="1" customWidth="1"/>
    <col min="11779" max="11779" width="4.42578125" style="24" bestFit="1" customWidth="1"/>
    <col min="11780" max="11780" width="8" style="24" bestFit="1" customWidth="1"/>
    <col min="11781" max="11781" width="11.42578125" style="24"/>
    <col min="11782" max="11782" width="22.85546875" style="24" bestFit="1" customWidth="1"/>
    <col min="11783" max="11783" width="7" style="24" customWidth="1"/>
    <col min="11784" max="11784" width="6.28515625" style="24" customWidth="1"/>
    <col min="11785" max="11785" width="5.7109375" style="24" customWidth="1"/>
    <col min="11786" max="11786" width="5.7109375" style="24" bestFit="1" customWidth="1"/>
    <col min="11787" max="11787" width="5.85546875" style="24" bestFit="1" customWidth="1"/>
    <col min="11788" max="11788" width="9.42578125" style="24" customWidth="1"/>
    <col min="11789" max="11789" width="5.140625" style="24" customWidth="1"/>
    <col min="11790" max="11790" width="9.7109375" style="24" customWidth="1"/>
    <col min="11791" max="11791" width="6.7109375" style="24" bestFit="1" customWidth="1"/>
    <col min="11792" max="11792" width="4.85546875" style="24" customWidth="1"/>
    <col min="11793" max="11793" width="5.28515625" style="24" customWidth="1"/>
    <col min="11794" max="11795" width="4.42578125" style="24" bestFit="1" customWidth="1"/>
    <col min="11796" max="11796" width="13.28515625" style="24" bestFit="1" customWidth="1"/>
    <col min="11797" max="11797" width="3.140625" style="24" customWidth="1"/>
    <col min="11798" max="11798" width="5.42578125" style="24" bestFit="1" customWidth="1"/>
    <col min="11799" max="11799" width="4.42578125" style="24" bestFit="1" customWidth="1"/>
    <col min="11800" max="11800" width="6.42578125" style="24" customWidth="1"/>
    <col min="11801" max="11801" width="5" style="24" bestFit="1" customWidth="1"/>
    <col min="11802" max="11802" width="4.5703125" style="24" bestFit="1" customWidth="1"/>
    <col min="11803" max="11803" width="4.42578125" style="24" bestFit="1" customWidth="1"/>
    <col min="11804" max="11804" width="4" style="24" customWidth="1"/>
    <col min="11805" max="12032" width="11.42578125" style="24"/>
    <col min="12033" max="12033" width="14.85546875" style="24" bestFit="1" customWidth="1"/>
    <col min="12034" max="12034" width="28" style="24" bestFit="1" customWidth="1"/>
    <col min="12035" max="12035" width="4.42578125" style="24" bestFit="1" customWidth="1"/>
    <col min="12036" max="12036" width="8" style="24" bestFit="1" customWidth="1"/>
    <col min="12037" max="12037" width="11.42578125" style="24"/>
    <col min="12038" max="12038" width="22.85546875" style="24" bestFit="1" customWidth="1"/>
    <col min="12039" max="12039" width="7" style="24" customWidth="1"/>
    <col min="12040" max="12040" width="6.28515625" style="24" customWidth="1"/>
    <col min="12041" max="12041" width="5.7109375" style="24" customWidth="1"/>
    <col min="12042" max="12042" width="5.7109375" style="24" bestFit="1" customWidth="1"/>
    <col min="12043" max="12043" width="5.85546875" style="24" bestFit="1" customWidth="1"/>
    <col min="12044" max="12044" width="9.42578125" style="24" customWidth="1"/>
    <col min="12045" max="12045" width="5.140625" style="24" customWidth="1"/>
    <col min="12046" max="12046" width="9.7109375" style="24" customWidth="1"/>
    <col min="12047" max="12047" width="6.7109375" style="24" bestFit="1" customWidth="1"/>
    <col min="12048" max="12048" width="4.85546875" style="24" customWidth="1"/>
    <col min="12049" max="12049" width="5.28515625" style="24" customWidth="1"/>
    <col min="12050" max="12051" width="4.42578125" style="24" bestFit="1" customWidth="1"/>
    <col min="12052" max="12052" width="13.28515625" style="24" bestFit="1" customWidth="1"/>
    <col min="12053" max="12053" width="3.140625" style="24" customWidth="1"/>
    <col min="12054" max="12054" width="5.42578125" style="24" bestFit="1" customWidth="1"/>
    <col min="12055" max="12055" width="4.42578125" style="24" bestFit="1" customWidth="1"/>
    <col min="12056" max="12056" width="6.42578125" style="24" customWidth="1"/>
    <col min="12057" max="12057" width="5" style="24" bestFit="1" customWidth="1"/>
    <col min="12058" max="12058" width="4.5703125" style="24" bestFit="1" customWidth="1"/>
    <col min="12059" max="12059" width="4.42578125" style="24" bestFit="1" customWidth="1"/>
    <col min="12060" max="12060" width="4" style="24" customWidth="1"/>
    <col min="12061" max="12288" width="11.42578125" style="24"/>
    <col min="12289" max="12289" width="14.85546875" style="24" bestFit="1" customWidth="1"/>
    <col min="12290" max="12290" width="28" style="24" bestFit="1" customWidth="1"/>
    <col min="12291" max="12291" width="4.42578125" style="24" bestFit="1" customWidth="1"/>
    <col min="12292" max="12292" width="8" style="24" bestFit="1" customWidth="1"/>
    <col min="12293" max="12293" width="11.42578125" style="24"/>
    <col min="12294" max="12294" width="22.85546875" style="24" bestFit="1" customWidth="1"/>
    <col min="12295" max="12295" width="7" style="24" customWidth="1"/>
    <col min="12296" max="12296" width="6.28515625" style="24" customWidth="1"/>
    <col min="12297" max="12297" width="5.7109375" style="24" customWidth="1"/>
    <col min="12298" max="12298" width="5.7109375" style="24" bestFit="1" customWidth="1"/>
    <col min="12299" max="12299" width="5.85546875" style="24" bestFit="1" customWidth="1"/>
    <col min="12300" max="12300" width="9.42578125" style="24" customWidth="1"/>
    <col min="12301" max="12301" width="5.140625" style="24" customWidth="1"/>
    <col min="12302" max="12302" width="9.7109375" style="24" customWidth="1"/>
    <col min="12303" max="12303" width="6.7109375" style="24" bestFit="1" customWidth="1"/>
    <col min="12304" max="12304" width="4.85546875" style="24" customWidth="1"/>
    <col min="12305" max="12305" width="5.28515625" style="24" customWidth="1"/>
    <col min="12306" max="12307" width="4.42578125" style="24" bestFit="1" customWidth="1"/>
    <col min="12308" max="12308" width="13.28515625" style="24" bestFit="1" customWidth="1"/>
    <col min="12309" max="12309" width="3.140625" style="24" customWidth="1"/>
    <col min="12310" max="12310" width="5.42578125" style="24" bestFit="1" customWidth="1"/>
    <col min="12311" max="12311" width="4.42578125" style="24" bestFit="1" customWidth="1"/>
    <col min="12312" max="12312" width="6.42578125" style="24" customWidth="1"/>
    <col min="12313" max="12313" width="5" style="24" bestFit="1" customWidth="1"/>
    <col min="12314" max="12314" width="4.5703125" style="24" bestFit="1" customWidth="1"/>
    <col min="12315" max="12315" width="4.42578125" style="24" bestFit="1" customWidth="1"/>
    <col min="12316" max="12316" width="4" style="24" customWidth="1"/>
    <col min="12317" max="12544" width="11.42578125" style="24"/>
    <col min="12545" max="12545" width="14.85546875" style="24" bestFit="1" customWidth="1"/>
    <col min="12546" max="12546" width="28" style="24" bestFit="1" customWidth="1"/>
    <col min="12547" max="12547" width="4.42578125" style="24" bestFit="1" customWidth="1"/>
    <col min="12548" max="12548" width="8" style="24" bestFit="1" customWidth="1"/>
    <col min="12549" max="12549" width="11.42578125" style="24"/>
    <col min="12550" max="12550" width="22.85546875" style="24" bestFit="1" customWidth="1"/>
    <col min="12551" max="12551" width="7" style="24" customWidth="1"/>
    <col min="12552" max="12552" width="6.28515625" style="24" customWidth="1"/>
    <col min="12553" max="12553" width="5.7109375" style="24" customWidth="1"/>
    <col min="12554" max="12554" width="5.7109375" style="24" bestFit="1" customWidth="1"/>
    <col min="12555" max="12555" width="5.85546875" style="24" bestFit="1" customWidth="1"/>
    <col min="12556" max="12556" width="9.42578125" style="24" customWidth="1"/>
    <col min="12557" max="12557" width="5.140625" style="24" customWidth="1"/>
    <col min="12558" max="12558" width="9.7109375" style="24" customWidth="1"/>
    <col min="12559" max="12559" width="6.7109375" style="24" bestFit="1" customWidth="1"/>
    <col min="12560" max="12560" width="4.85546875" style="24" customWidth="1"/>
    <col min="12561" max="12561" width="5.28515625" style="24" customWidth="1"/>
    <col min="12562" max="12563" width="4.42578125" style="24" bestFit="1" customWidth="1"/>
    <col min="12564" max="12564" width="13.28515625" style="24" bestFit="1" customWidth="1"/>
    <col min="12565" max="12565" width="3.140625" style="24" customWidth="1"/>
    <col min="12566" max="12566" width="5.42578125" style="24" bestFit="1" customWidth="1"/>
    <col min="12567" max="12567" width="4.42578125" style="24" bestFit="1" customWidth="1"/>
    <col min="12568" max="12568" width="6.42578125" style="24" customWidth="1"/>
    <col min="12569" max="12569" width="5" style="24" bestFit="1" customWidth="1"/>
    <col min="12570" max="12570" width="4.5703125" style="24" bestFit="1" customWidth="1"/>
    <col min="12571" max="12571" width="4.42578125" style="24" bestFit="1" customWidth="1"/>
    <col min="12572" max="12572" width="4" style="24" customWidth="1"/>
    <col min="12573" max="12800" width="11.42578125" style="24"/>
    <col min="12801" max="12801" width="14.85546875" style="24" bestFit="1" customWidth="1"/>
    <col min="12802" max="12802" width="28" style="24" bestFit="1" customWidth="1"/>
    <col min="12803" max="12803" width="4.42578125" style="24" bestFit="1" customWidth="1"/>
    <col min="12804" max="12804" width="8" style="24" bestFit="1" customWidth="1"/>
    <col min="12805" max="12805" width="11.42578125" style="24"/>
    <col min="12806" max="12806" width="22.85546875" style="24" bestFit="1" customWidth="1"/>
    <col min="12807" max="12807" width="7" style="24" customWidth="1"/>
    <col min="12808" max="12808" width="6.28515625" style="24" customWidth="1"/>
    <col min="12809" max="12809" width="5.7109375" style="24" customWidth="1"/>
    <col min="12810" max="12810" width="5.7109375" style="24" bestFit="1" customWidth="1"/>
    <col min="12811" max="12811" width="5.85546875" style="24" bestFit="1" customWidth="1"/>
    <col min="12812" max="12812" width="9.42578125" style="24" customWidth="1"/>
    <col min="12813" max="12813" width="5.140625" style="24" customWidth="1"/>
    <col min="12814" max="12814" width="9.7109375" style="24" customWidth="1"/>
    <col min="12815" max="12815" width="6.7109375" style="24" bestFit="1" customWidth="1"/>
    <col min="12816" max="12816" width="4.85546875" style="24" customWidth="1"/>
    <col min="12817" max="12817" width="5.28515625" style="24" customWidth="1"/>
    <col min="12818" max="12819" width="4.42578125" style="24" bestFit="1" customWidth="1"/>
    <col min="12820" max="12820" width="13.28515625" style="24" bestFit="1" customWidth="1"/>
    <col min="12821" max="12821" width="3.140625" style="24" customWidth="1"/>
    <col min="12822" max="12822" width="5.42578125" style="24" bestFit="1" customWidth="1"/>
    <col min="12823" max="12823" width="4.42578125" style="24" bestFit="1" customWidth="1"/>
    <col min="12824" max="12824" width="6.42578125" style="24" customWidth="1"/>
    <col min="12825" max="12825" width="5" style="24" bestFit="1" customWidth="1"/>
    <col min="12826" max="12826" width="4.5703125" style="24" bestFit="1" customWidth="1"/>
    <col min="12827" max="12827" width="4.42578125" style="24" bestFit="1" customWidth="1"/>
    <col min="12828" max="12828" width="4" style="24" customWidth="1"/>
    <col min="12829" max="13056" width="11.42578125" style="24"/>
    <col min="13057" max="13057" width="14.85546875" style="24" bestFit="1" customWidth="1"/>
    <col min="13058" max="13058" width="28" style="24" bestFit="1" customWidth="1"/>
    <col min="13059" max="13059" width="4.42578125" style="24" bestFit="1" customWidth="1"/>
    <col min="13060" max="13060" width="8" style="24" bestFit="1" customWidth="1"/>
    <col min="13061" max="13061" width="11.42578125" style="24"/>
    <col min="13062" max="13062" width="22.85546875" style="24" bestFit="1" customWidth="1"/>
    <col min="13063" max="13063" width="7" style="24" customWidth="1"/>
    <col min="13064" max="13064" width="6.28515625" style="24" customWidth="1"/>
    <col min="13065" max="13065" width="5.7109375" style="24" customWidth="1"/>
    <col min="13066" max="13066" width="5.7109375" style="24" bestFit="1" customWidth="1"/>
    <col min="13067" max="13067" width="5.85546875" style="24" bestFit="1" customWidth="1"/>
    <col min="13068" max="13068" width="9.42578125" style="24" customWidth="1"/>
    <col min="13069" max="13069" width="5.140625" style="24" customWidth="1"/>
    <col min="13070" max="13070" width="9.7109375" style="24" customWidth="1"/>
    <col min="13071" max="13071" width="6.7109375" style="24" bestFit="1" customWidth="1"/>
    <col min="13072" max="13072" width="4.85546875" style="24" customWidth="1"/>
    <col min="13073" max="13073" width="5.28515625" style="24" customWidth="1"/>
    <col min="13074" max="13075" width="4.42578125" style="24" bestFit="1" customWidth="1"/>
    <col min="13076" max="13076" width="13.28515625" style="24" bestFit="1" customWidth="1"/>
    <col min="13077" max="13077" width="3.140625" style="24" customWidth="1"/>
    <col min="13078" max="13078" width="5.42578125" style="24" bestFit="1" customWidth="1"/>
    <col min="13079" max="13079" width="4.42578125" style="24" bestFit="1" customWidth="1"/>
    <col min="13080" max="13080" width="6.42578125" style="24" customWidth="1"/>
    <col min="13081" max="13081" width="5" style="24" bestFit="1" customWidth="1"/>
    <col min="13082" max="13082" width="4.5703125" style="24" bestFit="1" customWidth="1"/>
    <col min="13083" max="13083" width="4.42578125" style="24" bestFit="1" customWidth="1"/>
    <col min="13084" max="13084" width="4" style="24" customWidth="1"/>
    <col min="13085" max="13312" width="11.42578125" style="24"/>
    <col min="13313" max="13313" width="14.85546875" style="24" bestFit="1" customWidth="1"/>
    <col min="13314" max="13314" width="28" style="24" bestFit="1" customWidth="1"/>
    <col min="13315" max="13315" width="4.42578125" style="24" bestFit="1" customWidth="1"/>
    <col min="13316" max="13316" width="8" style="24" bestFit="1" customWidth="1"/>
    <col min="13317" max="13317" width="11.42578125" style="24"/>
    <col min="13318" max="13318" width="22.85546875" style="24" bestFit="1" customWidth="1"/>
    <col min="13319" max="13319" width="7" style="24" customWidth="1"/>
    <col min="13320" max="13320" width="6.28515625" style="24" customWidth="1"/>
    <col min="13321" max="13321" width="5.7109375" style="24" customWidth="1"/>
    <col min="13322" max="13322" width="5.7109375" style="24" bestFit="1" customWidth="1"/>
    <col min="13323" max="13323" width="5.85546875" style="24" bestFit="1" customWidth="1"/>
    <col min="13324" max="13324" width="9.42578125" style="24" customWidth="1"/>
    <col min="13325" max="13325" width="5.140625" style="24" customWidth="1"/>
    <col min="13326" max="13326" width="9.7109375" style="24" customWidth="1"/>
    <col min="13327" max="13327" width="6.7109375" style="24" bestFit="1" customWidth="1"/>
    <col min="13328" max="13328" width="4.85546875" style="24" customWidth="1"/>
    <col min="13329" max="13329" width="5.28515625" style="24" customWidth="1"/>
    <col min="13330" max="13331" width="4.42578125" style="24" bestFit="1" customWidth="1"/>
    <col min="13332" max="13332" width="13.28515625" style="24" bestFit="1" customWidth="1"/>
    <col min="13333" max="13333" width="3.140625" style="24" customWidth="1"/>
    <col min="13334" max="13334" width="5.42578125" style="24" bestFit="1" customWidth="1"/>
    <col min="13335" max="13335" width="4.42578125" style="24" bestFit="1" customWidth="1"/>
    <col min="13336" max="13336" width="6.42578125" style="24" customWidth="1"/>
    <col min="13337" max="13337" width="5" style="24" bestFit="1" customWidth="1"/>
    <col min="13338" max="13338" width="4.5703125" style="24" bestFit="1" customWidth="1"/>
    <col min="13339" max="13339" width="4.42578125" style="24" bestFit="1" customWidth="1"/>
    <col min="13340" max="13340" width="4" style="24" customWidth="1"/>
    <col min="13341" max="13568" width="11.42578125" style="24"/>
    <col min="13569" max="13569" width="14.85546875" style="24" bestFit="1" customWidth="1"/>
    <col min="13570" max="13570" width="28" style="24" bestFit="1" customWidth="1"/>
    <col min="13571" max="13571" width="4.42578125" style="24" bestFit="1" customWidth="1"/>
    <col min="13572" max="13572" width="8" style="24" bestFit="1" customWidth="1"/>
    <col min="13573" max="13573" width="11.42578125" style="24"/>
    <col min="13574" max="13574" width="22.85546875" style="24" bestFit="1" customWidth="1"/>
    <col min="13575" max="13575" width="7" style="24" customWidth="1"/>
    <col min="13576" max="13576" width="6.28515625" style="24" customWidth="1"/>
    <col min="13577" max="13577" width="5.7109375" style="24" customWidth="1"/>
    <col min="13578" max="13578" width="5.7109375" style="24" bestFit="1" customWidth="1"/>
    <col min="13579" max="13579" width="5.85546875" style="24" bestFit="1" customWidth="1"/>
    <col min="13580" max="13580" width="9.42578125" style="24" customWidth="1"/>
    <col min="13581" max="13581" width="5.140625" style="24" customWidth="1"/>
    <col min="13582" max="13582" width="9.7109375" style="24" customWidth="1"/>
    <col min="13583" max="13583" width="6.7109375" style="24" bestFit="1" customWidth="1"/>
    <col min="13584" max="13584" width="4.85546875" style="24" customWidth="1"/>
    <col min="13585" max="13585" width="5.28515625" style="24" customWidth="1"/>
    <col min="13586" max="13587" width="4.42578125" style="24" bestFit="1" customWidth="1"/>
    <col min="13588" max="13588" width="13.28515625" style="24" bestFit="1" customWidth="1"/>
    <col min="13589" max="13589" width="3.140625" style="24" customWidth="1"/>
    <col min="13590" max="13590" width="5.42578125" style="24" bestFit="1" customWidth="1"/>
    <col min="13591" max="13591" width="4.42578125" style="24" bestFit="1" customWidth="1"/>
    <col min="13592" max="13592" width="6.42578125" style="24" customWidth="1"/>
    <col min="13593" max="13593" width="5" style="24" bestFit="1" customWidth="1"/>
    <col min="13594" max="13594" width="4.5703125" style="24" bestFit="1" customWidth="1"/>
    <col min="13595" max="13595" width="4.42578125" style="24" bestFit="1" customWidth="1"/>
    <col min="13596" max="13596" width="4" style="24" customWidth="1"/>
    <col min="13597" max="13824" width="11.42578125" style="24"/>
    <col min="13825" max="13825" width="14.85546875" style="24" bestFit="1" customWidth="1"/>
    <col min="13826" max="13826" width="28" style="24" bestFit="1" customWidth="1"/>
    <col min="13827" max="13827" width="4.42578125" style="24" bestFit="1" customWidth="1"/>
    <col min="13828" max="13828" width="8" style="24" bestFit="1" customWidth="1"/>
    <col min="13829" max="13829" width="11.42578125" style="24"/>
    <col min="13830" max="13830" width="22.85546875" style="24" bestFit="1" customWidth="1"/>
    <col min="13831" max="13831" width="7" style="24" customWidth="1"/>
    <col min="13832" max="13832" width="6.28515625" style="24" customWidth="1"/>
    <col min="13833" max="13833" width="5.7109375" style="24" customWidth="1"/>
    <col min="13834" max="13834" width="5.7109375" style="24" bestFit="1" customWidth="1"/>
    <col min="13835" max="13835" width="5.85546875" style="24" bestFit="1" customWidth="1"/>
    <col min="13836" max="13836" width="9.42578125" style="24" customWidth="1"/>
    <col min="13837" max="13837" width="5.140625" style="24" customWidth="1"/>
    <col min="13838" max="13838" width="9.7109375" style="24" customWidth="1"/>
    <col min="13839" max="13839" width="6.7109375" style="24" bestFit="1" customWidth="1"/>
    <col min="13840" max="13840" width="4.85546875" style="24" customWidth="1"/>
    <col min="13841" max="13841" width="5.28515625" style="24" customWidth="1"/>
    <col min="13842" max="13843" width="4.42578125" style="24" bestFit="1" customWidth="1"/>
    <col min="13844" max="13844" width="13.28515625" style="24" bestFit="1" customWidth="1"/>
    <col min="13845" max="13845" width="3.140625" style="24" customWidth="1"/>
    <col min="13846" max="13846" width="5.42578125" style="24" bestFit="1" customWidth="1"/>
    <col min="13847" max="13847" width="4.42578125" style="24" bestFit="1" customWidth="1"/>
    <col min="13848" max="13848" width="6.42578125" style="24" customWidth="1"/>
    <col min="13849" max="13849" width="5" style="24" bestFit="1" customWidth="1"/>
    <col min="13850" max="13850" width="4.5703125" style="24" bestFit="1" customWidth="1"/>
    <col min="13851" max="13851" width="4.42578125" style="24" bestFit="1" customWidth="1"/>
    <col min="13852" max="13852" width="4" style="24" customWidth="1"/>
    <col min="13853" max="14080" width="11.42578125" style="24"/>
    <col min="14081" max="14081" width="14.85546875" style="24" bestFit="1" customWidth="1"/>
    <col min="14082" max="14082" width="28" style="24" bestFit="1" customWidth="1"/>
    <col min="14083" max="14083" width="4.42578125" style="24" bestFit="1" customWidth="1"/>
    <col min="14084" max="14084" width="8" style="24" bestFit="1" customWidth="1"/>
    <col min="14085" max="14085" width="11.42578125" style="24"/>
    <col min="14086" max="14086" width="22.85546875" style="24" bestFit="1" customWidth="1"/>
    <col min="14087" max="14087" width="7" style="24" customWidth="1"/>
    <col min="14088" max="14088" width="6.28515625" style="24" customWidth="1"/>
    <col min="14089" max="14089" width="5.7109375" style="24" customWidth="1"/>
    <col min="14090" max="14090" width="5.7109375" style="24" bestFit="1" customWidth="1"/>
    <col min="14091" max="14091" width="5.85546875" style="24" bestFit="1" customWidth="1"/>
    <col min="14092" max="14092" width="9.42578125" style="24" customWidth="1"/>
    <col min="14093" max="14093" width="5.140625" style="24" customWidth="1"/>
    <col min="14094" max="14094" width="9.7109375" style="24" customWidth="1"/>
    <col min="14095" max="14095" width="6.7109375" style="24" bestFit="1" customWidth="1"/>
    <col min="14096" max="14096" width="4.85546875" style="24" customWidth="1"/>
    <col min="14097" max="14097" width="5.28515625" style="24" customWidth="1"/>
    <col min="14098" max="14099" width="4.42578125" style="24" bestFit="1" customWidth="1"/>
    <col min="14100" max="14100" width="13.28515625" style="24" bestFit="1" customWidth="1"/>
    <col min="14101" max="14101" width="3.140625" style="24" customWidth="1"/>
    <col min="14102" max="14102" width="5.42578125" style="24" bestFit="1" customWidth="1"/>
    <col min="14103" max="14103" width="4.42578125" style="24" bestFit="1" customWidth="1"/>
    <col min="14104" max="14104" width="6.42578125" style="24" customWidth="1"/>
    <col min="14105" max="14105" width="5" style="24" bestFit="1" customWidth="1"/>
    <col min="14106" max="14106" width="4.5703125" style="24" bestFit="1" customWidth="1"/>
    <col min="14107" max="14107" width="4.42578125" style="24" bestFit="1" customWidth="1"/>
    <col min="14108" max="14108" width="4" style="24" customWidth="1"/>
    <col min="14109" max="14336" width="11.42578125" style="24"/>
    <col min="14337" max="14337" width="14.85546875" style="24" bestFit="1" customWidth="1"/>
    <col min="14338" max="14338" width="28" style="24" bestFit="1" customWidth="1"/>
    <col min="14339" max="14339" width="4.42578125" style="24" bestFit="1" customWidth="1"/>
    <col min="14340" max="14340" width="8" style="24" bestFit="1" customWidth="1"/>
    <col min="14341" max="14341" width="11.42578125" style="24"/>
    <col min="14342" max="14342" width="22.85546875" style="24" bestFit="1" customWidth="1"/>
    <col min="14343" max="14343" width="7" style="24" customWidth="1"/>
    <col min="14344" max="14344" width="6.28515625" style="24" customWidth="1"/>
    <col min="14345" max="14345" width="5.7109375" style="24" customWidth="1"/>
    <col min="14346" max="14346" width="5.7109375" style="24" bestFit="1" customWidth="1"/>
    <col min="14347" max="14347" width="5.85546875" style="24" bestFit="1" customWidth="1"/>
    <col min="14348" max="14348" width="9.42578125" style="24" customWidth="1"/>
    <col min="14349" max="14349" width="5.140625" style="24" customWidth="1"/>
    <col min="14350" max="14350" width="9.7109375" style="24" customWidth="1"/>
    <col min="14351" max="14351" width="6.7109375" style="24" bestFit="1" customWidth="1"/>
    <col min="14352" max="14352" width="4.85546875" style="24" customWidth="1"/>
    <col min="14353" max="14353" width="5.28515625" style="24" customWidth="1"/>
    <col min="14354" max="14355" width="4.42578125" style="24" bestFit="1" customWidth="1"/>
    <col min="14356" max="14356" width="13.28515625" style="24" bestFit="1" customWidth="1"/>
    <col min="14357" max="14357" width="3.140625" style="24" customWidth="1"/>
    <col min="14358" max="14358" width="5.42578125" style="24" bestFit="1" customWidth="1"/>
    <col min="14359" max="14359" width="4.42578125" style="24" bestFit="1" customWidth="1"/>
    <col min="14360" max="14360" width="6.42578125" style="24" customWidth="1"/>
    <col min="14361" max="14361" width="5" style="24" bestFit="1" customWidth="1"/>
    <col min="14362" max="14362" width="4.5703125" style="24" bestFit="1" customWidth="1"/>
    <col min="14363" max="14363" width="4.42578125" style="24" bestFit="1" customWidth="1"/>
    <col min="14364" max="14364" width="4" style="24" customWidth="1"/>
    <col min="14365" max="14592" width="11.42578125" style="24"/>
    <col min="14593" max="14593" width="14.85546875" style="24" bestFit="1" customWidth="1"/>
    <col min="14594" max="14594" width="28" style="24" bestFit="1" customWidth="1"/>
    <col min="14595" max="14595" width="4.42578125" style="24" bestFit="1" customWidth="1"/>
    <col min="14596" max="14596" width="8" style="24" bestFit="1" customWidth="1"/>
    <col min="14597" max="14597" width="11.42578125" style="24"/>
    <col min="14598" max="14598" width="22.85546875" style="24" bestFit="1" customWidth="1"/>
    <col min="14599" max="14599" width="7" style="24" customWidth="1"/>
    <col min="14600" max="14600" width="6.28515625" style="24" customWidth="1"/>
    <col min="14601" max="14601" width="5.7109375" style="24" customWidth="1"/>
    <col min="14602" max="14602" width="5.7109375" style="24" bestFit="1" customWidth="1"/>
    <col min="14603" max="14603" width="5.85546875" style="24" bestFit="1" customWidth="1"/>
    <col min="14604" max="14604" width="9.42578125" style="24" customWidth="1"/>
    <col min="14605" max="14605" width="5.140625" style="24" customWidth="1"/>
    <col min="14606" max="14606" width="9.7109375" style="24" customWidth="1"/>
    <col min="14607" max="14607" width="6.7109375" style="24" bestFit="1" customWidth="1"/>
    <col min="14608" max="14608" width="4.85546875" style="24" customWidth="1"/>
    <col min="14609" max="14609" width="5.28515625" style="24" customWidth="1"/>
    <col min="14610" max="14611" width="4.42578125" style="24" bestFit="1" customWidth="1"/>
    <col min="14612" max="14612" width="13.28515625" style="24" bestFit="1" customWidth="1"/>
    <col min="14613" max="14613" width="3.140625" style="24" customWidth="1"/>
    <col min="14614" max="14614" width="5.42578125" style="24" bestFit="1" customWidth="1"/>
    <col min="14615" max="14615" width="4.42578125" style="24" bestFit="1" customWidth="1"/>
    <col min="14616" max="14616" width="6.42578125" style="24" customWidth="1"/>
    <col min="14617" max="14617" width="5" style="24" bestFit="1" customWidth="1"/>
    <col min="14618" max="14618" width="4.5703125" style="24" bestFit="1" customWidth="1"/>
    <col min="14619" max="14619" width="4.42578125" style="24" bestFit="1" customWidth="1"/>
    <col min="14620" max="14620" width="4" style="24" customWidth="1"/>
    <col min="14621" max="14848" width="11.42578125" style="24"/>
    <col min="14849" max="14849" width="14.85546875" style="24" bestFit="1" customWidth="1"/>
    <col min="14850" max="14850" width="28" style="24" bestFit="1" customWidth="1"/>
    <col min="14851" max="14851" width="4.42578125" style="24" bestFit="1" customWidth="1"/>
    <col min="14852" max="14852" width="8" style="24" bestFit="1" customWidth="1"/>
    <col min="14853" max="14853" width="11.42578125" style="24"/>
    <col min="14854" max="14854" width="22.85546875" style="24" bestFit="1" customWidth="1"/>
    <col min="14855" max="14855" width="7" style="24" customWidth="1"/>
    <col min="14856" max="14856" width="6.28515625" style="24" customWidth="1"/>
    <col min="14857" max="14857" width="5.7109375" style="24" customWidth="1"/>
    <col min="14858" max="14858" width="5.7109375" style="24" bestFit="1" customWidth="1"/>
    <col min="14859" max="14859" width="5.85546875" style="24" bestFit="1" customWidth="1"/>
    <col min="14860" max="14860" width="9.42578125" style="24" customWidth="1"/>
    <col min="14861" max="14861" width="5.140625" style="24" customWidth="1"/>
    <col min="14862" max="14862" width="9.7109375" style="24" customWidth="1"/>
    <col min="14863" max="14863" width="6.7109375" style="24" bestFit="1" customWidth="1"/>
    <col min="14864" max="14864" width="4.85546875" style="24" customWidth="1"/>
    <col min="14865" max="14865" width="5.28515625" style="24" customWidth="1"/>
    <col min="14866" max="14867" width="4.42578125" style="24" bestFit="1" customWidth="1"/>
    <col min="14868" max="14868" width="13.28515625" style="24" bestFit="1" customWidth="1"/>
    <col min="14869" max="14869" width="3.140625" style="24" customWidth="1"/>
    <col min="14870" max="14870" width="5.42578125" style="24" bestFit="1" customWidth="1"/>
    <col min="14871" max="14871" width="4.42578125" style="24" bestFit="1" customWidth="1"/>
    <col min="14872" max="14872" width="6.42578125" style="24" customWidth="1"/>
    <col min="14873" max="14873" width="5" style="24" bestFit="1" customWidth="1"/>
    <col min="14874" max="14874" width="4.5703125" style="24" bestFit="1" customWidth="1"/>
    <col min="14875" max="14875" width="4.42578125" style="24" bestFit="1" customWidth="1"/>
    <col min="14876" max="14876" width="4" style="24" customWidth="1"/>
    <col min="14877" max="15104" width="11.42578125" style="24"/>
    <col min="15105" max="15105" width="14.85546875" style="24" bestFit="1" customWidth="1"/>
    <col min="15106" max="15106" width="28" style="24" bestFit="1" customWidth="1"/>
    <col min="15107" max="15107" width="4.42578125" style="24" bestFit="1" customWidth="1"/>
    <col min="15108" max="15108" width="8" style="24" bestFit="1" customWidth="1"/>
    <col min="15109" max="15109" width="11.42578125" style="24"/>
    <col min="15110" max="15110" width="22.85546875" style="24" bestFit="1" customWidth="1"/>
    <col min="15111" max="15111" width="7" style="24" customWidth="1"/>
    <col min="15112" max="15112" width="6.28515625" style="24" customWidth="1"/>
    <col min="15113" max="15113" width="5.7109375" style="24" customWidth="1"/>
    <col min="15114" max="15114" width="5.7109375" style="24" bestFit="1" customWidth="1"/>
    <col min="15115" max="15115" width="5.85546875" style="24" bestFit="1" customWidth="1"/>
    <col min="15116" max="15116" width="9.42578125" style="24" customWidth="1"/>
    <col min="15117" max="15117" width="5.140625" style="24" customWidth="1"/>
    <col min="15118" max="15118" width="9.7109375" style="24" customWidth="1"/>
    <col min="15119" max="15119" width="6.7109375" style="24" bestFit="1" customWidth="1"/>
    <col min="15120" max="15120" width="4.85546875" style="24" customWidth="1"/>
    <col min="15121" max="15121" width="5.28515625" style="24" customWidth="1"/>
    <col min="15122" max="15123" width="4.42578125" style="24" bestFit="1" customWidth="1"/>
    <col min="15124" max="15124" width="13.28515625" style="24" bestFit="1" customWidth="1"/>
    <col min="15125" max="15125" width="3.140625" style="24" customWidth="1"/>
    <col min="15126" max="15126" width="5.42578125" style="24" bestFit="1" customWidth="1"/>
    <col min="15127" max="15127" width="4.42578125" style="24" bestFit="1" customWidth="1"/>
    <col min="15128" max="15128" width="6.42578125" style="24" customWidth="1"/>
    <col min="15129" max="15129" width="5" style="24" bestFit="1" customWidth="1"/>
    <col min="15130" max="15130" width="4.5703125" style="24" bestFit="1" customWidth="1"/>
    <col min="15131" max="15131" width="4.42578125" style="24" bestFit="1" customWidth="1"/>
    <col min="15132" max="15132" width="4" style="24" customWidth="1"/>
    <col min="15133" max="15360" width="11.42578125" style="24"/>
    <col min="15361" max="15361" width="14.85546875" style="24" bestFit="1" customWidth="1"/>
    <col min="15362" max="15362" width="28" style="24" bestFit="1" customWidth="1"/>
    <col min="15363" max="15363" width="4.42578125" style="24" bestFit="1" customWidth="1"/>
    <col min="15364" max="15364" width="8" style="24" bestFit="1" customWidth="1"/>
    <col min="15365" max="15365" width="11.42578125" style="24"/>
    <col min="15366" max="15366" width="22.85546875" style="24" bestFit="1" customWidth="1"/>
    <col min="15367" max="15367" width="7" style="24" customWidth="1"/>
    <col min="15368" max="15368" width="6.28515625" style="24" customWidth="1"/>
    <col min="15369" max="15369" width="5.7109375" style="24" customWidth="1"/>
    <col min="15370" max="15370" width="5.7109375" style="24" bestFit="1" customWidth="1"/>
    <col min="15371" max="15371" width="5.85546875" style="24" bestFit="1" customWidth="1"/>
    <col min="15372" max="15372" width="9.42578125" style="24" customWidth="1"/>
    <col min="15373" max="15373" width="5.140625" style="24" customWidth="1"/>
    <col min="15374" max="15374" width="9.7109375" style="24" customWidth="1"/>
    <col min="15375" max="15375" width="6.7109375" style="24" bestFit="1" customWidth="1"/>
    <col min="15376" max="15376" width="4.85546875" style="24" customWidth="1"/>
    <col min="15377" max="15377" width="5.28515625" style="24" customWidth="1"/>
    <col min="15378" max="15379" width="4.42578125" style="24" bestFit="1" customWidth="1"/>
    <col min="15380" max="15380" width="13.28515625" style="24" bestFit="1" customWidth="1"/>
    <col min="15381" max="15381" width="3.140625" style="24" customWidth="1"/>
    <col min="15382" max="15382" width="5.42578125" style="24" bestFit="1" customWidth="1"/>
    <col min="15383" max="15383" width="4.42578125" style="24" bestFit="1" customWidth="1"/>
    <col min="15384" max="15384" width="6.42578125" style="24" customWidth="1"/>
    <col min="15385" max="15385" width="5" style="24" bestFit="1" customWidth="1"/>
    <col min="15386" max="15386" width="4.5703125" style="24" bestFit="1" customWidth="1"/>
    <col min="15387" max="15387" width="4.42578125" style="24" bestFit="1" customWidth="1"/>
    <col min="15388" max="15388" width="4" style="24" customWidth="1"/>
    <col min="15389" max="15616" width="11.42578125" style="24"/>
    <col min="15617" max="15617" width="14.85546875" style="24" bestFit="1" customWidth="1"/>
    <col min="15618" max="15618" width="28" style="24" bestFit="1" customWidth="1"/>
    <col min="15619" max="15619" width="4.42578125" style="24" bestFit="1" customWidth="1"/>
    <col min="15620" max="15620" width="8" style="24" bestFit="1" customWidth="1"/>
    <col min="15621" max="15621" width="11.42578125" style="24"/>
    <col min="15622" max="15622" width="22.85546875" style="24" bestFit="1" customWidth="1"/>
    <col min="15623" max="15623" width="7" style="24" customWidth="1"/>
    <col min="15624" max="15624" width="6.28515625" style="24" customWidth="1"/>
    <col min="15625" max="15625" width="5.7109375" style="24" customWidth="1"/>
    <col min="15626" max="15626" width="5.7109375" style="24" bestFit="1" customWidth="1"/>
    <col min="15627" max="15627" width="5.85546875" style="24" bestFit="1" customWidth="1"/>
    <col min="15628" max="15628" width="9.42578125" style="24" customWidth="1"/>
    <col min="15629" max="15629" width="5.140625" style="24" customWidth="1"/>
    <col min="15630" max="15630" width="9.7109375" style="24" customWidth="1"/>
    <col min="15631" max="15631" width="6.7109375" style="24" bestFit="1" customWidth="1"/>
    <col min="15632" max="15632" width="4.85546875" style="24" customWidth="1"/>
    <col min="15633" max="15633" width="5.28515625" style="24" customWidth="1"/>
    <col min="15634" max="15635" width="4.42578125" style="24" bestFit="1" customWidth="1"/>
    <col min="15636" max="15636" width="13.28515625" style="24" bestFit="1" customWidth="1"/>
    <col min="15637" max="15637" width="3.140625" style="24" customWidth="1"/>
    <col min="15638" max="15638" width="5.42578125" style="24" bestFit="1" customWidth="1"/>
    <col min="15639" max="15639" width="4.42578125" style="24" bestFit="1" customWidth="1"/>
    <col min="15640" max="15640" width="6.42578125" style="24" customWidth="1"/>
    <col min="15641" max="15641" width="5" style="24" bestFit="1" customWidth="1"/>
    <col min="15642" max="15642" width="4.5703125" style="24" bestFit="1" customWidth="1"/>
    <col min="15643" max="15643" width="4.42578125" style="24" bestFit="1" customWidth="1"/>
    <col min="15644" max="15644" width="4" style="24" customWidth="1"/>
    <col min="15645" max="15872" width="11.42578125" style="24"/>
    <col min="15873" max="15873" width="14.85546875" style="24" bestFit="1" customWidth="1"/>
    <col min="15874" max="15874" width="28" style="24" bestFit="1" customWidth="1"/>
    <col min="15875" max="15875" width="4.42578125" style="24" bestFit="1" customWidth="1"/>
    <col min="15876" max="15876" width="8" style="24" bestFit="1" customWidth="1"/>
    <col min="15877" max="15877" width="11.42578125" style="24"/>
    <col min="15878" max="15878" width="22.85546875" style="24" bestFit="1" customWidth="1"/>
    <col min="15879" max="15879" width="7" style="24" customWidth="1"/>
    <col min="15880" max="15880" width="6.28515625" style="24" customWidth="1"/>
    <col min="15881" max="15881" width="5.7109375" style="24" customWidth="1"/>
    <col min="15882" max="15882" width="5.7109375" style="24" bestFit="1" customWidth="1"/>
    <col min="15883" max="15883" width="5.85546875" style="24" bestFit="1" customWidth="1"/>
    <col min="15884" max="15884" width="9.42578125" style="24" customWidth="1"/>
    <col min="15885" max="15885" width="5.140625" style="24" customWidth="1"/>
    <col min="15886" max="15886" width="9.7109375" style="24" customWidth="1"/>
    <col min="15887" max="15887" width="6.7109375" style="24" bestFit="1" customWidth="1"/>
    <col min="15888" max="15888" width="4.85546875" style="24" customWidth="1"/>
    <col min="15889" max="15889" width="5.28515625" style="24" customWidth="1"/>
    <col min="15890" max="15891" width="4.42578125" style="24" bestFit="1" customWidth="1"/>
    <col min="15892" max="15892" width="13.28515625" style="24" bestFit="1" customWidth="1"/>
    <col min="15893" max="15893" width="3.140625" style="24" customWidth="1"/>
    <col min="15894" max="15894" width="5.42578125" style="24" bestFit="1" customWidth="1"/>
    <col min="15895" max="15895" width="4.42578125" style="24" bestFit="1" customWidth="1"/>
    <col min="15896" max="15896" width="6.42578125" style="24" customWidth="1"/>
    <col min="15897" max="15897" width="5" style="24" bestFit="1" customWidth="1"/>
    <col min="15898" max="15898" width="4.5703125" style="24" bestFit="1" customWidth="1"/>
    <col min="15899" max="15899" width="4.42578125" style="24" bestFit="1" customWidth="1"/>
    <col min="15900" max="15900" width="4" style="24" customWidth="1"/>
    <col min="15901" max="16128" width="11.42578125" style="24"/>
    <col min="16129" max="16129" width="14.85546875" style="24" bestFit="1" customWidth="1"/>
    <col min="16130" max="16130" width="28" style="24" bestFit="1" customWidth="1"/>
    <col min="16131" max="16131" width="4.42578125" style="24" bestFit="1" customWidth="1"/>
    <col min="16132" max="16132" width="8" style="24" bestFit="1" customWidth="1"/>
    <col min="16133" max="16133" width="11.42578125" style="24"/>
    <col min="16134" max="16134" width="22.85546875" style="24" bestFit="1" customWidth="1"/>
    <col min="16135" max="16135" width="7" style="24" customWidth="1"/>
    <col min="16136" max="16136" width="6.28515625" style="24" customWidth="1"/>
    <col min="16137" max="16137" width="5.7109375" style="24" customWidth="1"/>
    <col min="16138" max="16138" width="5.7109375" style="24" bestFit="1" customWidth="1"/>
    <col min="16139" max="16139" width="5.85546875" style="24" bestFit="1" customWidth="1"/>
    <col min="16140" max="16140" width="9.42578125" style="24" customWidth="1"/>
    <col min="16141" max="16141" width="5.140625" style="24" customWidth="1"/>
    <col min="16142" max="16142" width="9.7109375" style="24" customWidth="1"/>
    <col min="16143" max="16143" width="6.7109375" style="24" bestFit="1" customWidth="1"/>
    <col min="16144" max="16144" width="4.85546875" style="24" customWidth="1"/>
    <col min="16145" max="16145" width="5.28515625" style="24" customWidth="1"/>
    <col min="16146" max="16147" width="4.42578125" style="24" bestFit="1" customWidth="1"/>
    <col min="16148" max="16148" width="13.28515625" style="24" bestFit="1" customWidth="1"/>
    <col min="16149" max="16149" width="3.140625" style="24" customWidth="1"/>
    <col min="16150" max="16150" width="5.42578125" style="24" bestFit="1" customWidth="1"/>
    <col min="16151" max="16151" width="4.42578125" style="24" bestFit="1" customWidth="1"/>
    <col min="16152" max="16152" width="6.42578125" style="24" customWidth="1"/>
    <col min="16153" max="16153" width="5" style="24" bestFit="1" customWidth="1"/>
    <col min="16154" max="16154" width="4.5703125" style="24" bestFit="1" customWidth="1"/>
    <col min="16155" max="16155" width="4.42578125" style="24" bestFit="1" customWidth="1"/>
    <col min="16156" max="16156" width="4" style="24" customWidth="1"/>
    <col min="16157" max="16384" width="11.42578125" style="24"/>
  </cols>
  <sheetData>
    <row r="1" spans="1:42" x14ac:dyDescent="0.2">
      <c r="E1" s="1"/>
      <c r="F1" s="1"/>
      <c r="G1" s="631" t="s">
        <v>0</v>
      </c>
      <c r="H1" s="632"/>
      <c r="I1" s="632"/>
      <c r="J1" s="632"/>
      <c r="K1" s="632"/>
      <c r="L1" s="633"/>
      <c r="M1" s="589"/>
      <c r="N1" s="632" t="s">
        <v>1</v>
      </c>
      <c r="O1" s="632"/>
      <c r="P1" s="632"/>
      <c r="Q1" s="632"/>
      <c r="R1" s="632"/>
      <c r="S1" s="632"/>
      <c r="T1" s="632"/>
      <c r="U1" s="1"/>
      <c r="V1" s="632" t="s">
        <v>2</v>
      </c>
      <c r="W1" s="632"/>
      <c r="X1" s="632"/>
      <c r="Y1" s="632"/>
      <c r="Z1" s="632"/>
      <c r="AA1" s="632"/>
      <c r="AB1" s="28"/>
    </row>
    <row r="2" spans="1:42" ht="15" customHeight="1" x14ac:dyDescent="0.25">
      <c r="E2" s="1"/>
      <c r="F2" s="1"/>
      <c r="G2" s="634" t="s">
        <v>43</v>
      </c>
      <c r="H2" s="635"/>
      <c r="I2" s="636" t="s">
        <v>3</v>
      </c>
      <c r="J2" s="635"/>
      <c r="K2" s="635"/>
      <c r="L2" s="635"/>
      <c r="M2" s="378"/>
      <c r="N2" s="637" t="s">
        <v>4</v>
      </c>
      <c r="O2" s="639" t="s">
        <v>5</v>
      </c>
      <c r="P2" s="640"/>
      <c r="Q2" s="640"/>
      <c r="R2" s="640"/>
      <c r="S2" s="640"/>
      <c r="T2" s="641"/>
      <c r="U2" s="1"/>
      <c r="V2" s="643" t="s">
        <v>515</v>
      </c>
      <c r="W2" s="640"/>
      <c r="X2" s="640"/>
      <c r="Y2" s="640"/>
      <c r="Z2" s="640"/>
      <c r="AA2" s="641"/>
      <c r="AB2" s="29"/>
      <c r="AJ2" s="578"/>
      <c r="AK2" s="571"/>
      <c r="AL2" s="578"/>
      <c r="AM2" s="570" t="s">
        <v>514</v>
      </c>
      <c r="AN2" s="571"/>
      <c r="AO2" s="572"/>
    </row>
    <row r="3" spans="1:42" s="25" customFormat="1" ht="38.25" x14ac:dyDescent="0.2">
      <c r="E3" s="4"/>
      <c r="F3" s="4"/>
      <c r="G3" s="30"/>
      <c r="H3" s="30"/>
      <c r="I3" s="644" t="s">
        <v>6</v>
      </c>
      <c r="J3" s="635"/>
      <c r="K3" s="644" t="s">
        <v>52</v>
      </c>
      <c r="L3" s="635"/>
      <c r="M3" s="379" t="s">
        <v>474</v>
      </c>
      <c r="N3" s="638"/>
      <c r="O3" s="642"/>
      <c r="P3" s="640"/>
      <c r="Q3" s="640"/>
      <c r="R3" s="640"/>
      <c r="S3" s="640"/>
      <c r="T3" s="641"/>
      <c r="U3" s="4"/>
      <c r="V3" s="642"/>
      <c r="W3" s="633"/>
      <c r="X3" s="633"/>
      <c r="Y3" s="633"/>
      <c r="Z3" s="633"/>
      <c r="AA3" s="641"/>
      <c r="AB3" s="31"/>
      <c r="AD3" s="579"/>
      <c r="AE3" s="579" t="s">
        <v>499</v>
      </c>
      <c r="AF3" s="579"/>
      <c r="AG3" s="579" t="s">
        <v>516</v>
      </c>
      <c r="AH3" s="579"/>
      <c r="AI3" s="579" t="s">
        <v>459</v>
      </c>
      <c r="AJ3" s="573"/>
      <c r="AK3" s="574"/>
      <c r="AL3" s="574"/>
      <c r="AM3" s="574"/>
      <c r="AN3" s="574"/>
      <c r="AO3" s="572"/>
    </row>
    <row r="4" spans="1:42" ht="15" x14ac:dyDescent="0.25">
      <c r="A4" s="648" t="s">
        <v>44</v>
      </c>
      <c r="B4" s="649"/>
      <c r="C4" s="649"/>
      <c r="E4" s="22" t="s">
        <v>7</v>
      </c>
      <c r="F4" s="22" t="s">
        <v>8</v>
      </c>
      <c r="G4" s="32"/>
      <c r="H4" s="33" t="s">
        <v>9</v>
      </c>
      <c r="I4" s="21"/>
      <c r="J4" s="51" t="s">
        <v>9</v>
      </c>
      <c r="K4" s="21"/>
      <c r="L4" s="51" t="s">
        <v>9</v>
      </c>
      <c r="M4" s="33"/>
      <c r="N4" s="638"/>
      <c r="O4" s="14" t="s">
        <v>10</v>
      </c>
      <c r="P4" s="14" t="s">
        <v>11</v>
      </c>
      <c r="Q4" s="14" t="s">
        <v>12</v>
      </c>
      <c r="R4" s="13" t="s">
        <v>13</v>
      </c>
      <c r="S4" s="12" t="s">
        <v>14</v>
      </c>
      <c r="T4" s="12" t="s">
        <v>15</v>
      </c>
      <c r="U4" s="10"/>
      <c r="V4" s="20" t="s">
        <v>9</v>
      </c>
      <c r="W4" s="14" t="s">
        <v>16</v>
      </c>
      <c r="X4" s="14" t="s">
        <v>17</v>
      </c>
      <c r="Y4" s="13" t="s">
        <v>18</v>
      </c>
      <c r="Z4" s="12" t="s">
        <v>19</v>
      </c>
      <c r="AA4" s="12" t="s">
        <v>20</v>
      </c>
      <c r="AB4" s="24" t="s">
        <v>517</v>
      </c>
      <c r="AD4" s="14" t="s">
        <v>16</v>
      </c>
      <c r="AE4" s="14" t="s">
        <v>17</v>
      </c>
      <c r="AF4" s="13" t="s">
        <v>18</v>
      </c>
      <c r="AG4" s="12" t="s">
        <v>19</v>
      </c>
      <c r="AH4" s="12" t="s">
        <v>20</v>
      </c>
      <c r="AI4" s="594" t="s">
        <v>459</v>
      </c>
      <c r="AJ4" s="575" t="s">
        <v>9</v>
      </c>
      <c r="AK4" s="575" t="s">
        <v>16</v>
      </c>
      <c r="AL4" s="575" t="s">
        <v>17</v>
      </c>
      <c r="AM4" s="576" t="s">
        <v>18</v>
      </c>
      <c r="AN4" s="577" t="s">
        <v>19</v>
      </c>
      <c r="AO4" s="577" t="s">
        <v>20</v>
      </c>
    </row>
    <row r="5" spans="1:42" ht="15" x14ac:dyDescent="0.25">
      <c r="A5" s="24" t="s">
        <v>9</v>
      </c>
      <c r="C5" s="26">
        <f>SUM(C7:C25)</f>
        <v>259.87015180685842</v>
      </c>
      <c r="E5" s="2"/>
      <c r="F5" s="19"/>
      <c r="G5" s="34">
        <f>SUM(G7:G44)-R23-S23</f>
        <v>259.05026318249884</v>
      </c>
      <c r="H5" s="19"/>
      <c r="I5" s="18"/>
      <c r="J5" s="17"/>
      <c r="L5" s="8"/>
      <c r="N5" s="16"/>
      <c r="O5" s="15"/>
      <c r="P5" s="14"/>
      <c r="Q5" s="14"/>
      <c r="R5" s="13"/>
      <c r="S5" s="12"/>
      <c r="T5" s="11">
        <f>T7+T23+T26+T39</f>
        <v>153.14174329528547</v>
      </c>
      <c r="U5" s="10"/>
      <c r="V5" s="9">
        <f>SUM(V7,V21,V26:V32,V34)</f>
        <v>142.98916826780533</v>
      </c>
      <c r="W5" s="9">
        <f>SUM(W7:W44)</f>
        <v>4.7691888484630844</v>
      </c>
      <c r="X5" s="9">
        <f t="shared" ref="X5:Z5" si="0">SUM(X7:X44)</f>
        <v>35.376105334720208</v>
      </c>
      <c r="Y5" s="9">
        <f t="shared" si="0"/>
        <v>36.963452521291082</v>
      </c>
      <c r="Z5" s="9">
        <f t="shared" si="0"/>
        <v>22.641364530114025</v>
      </c>
      <c r="AA5" s="9">
        <f>SUM(AA7:AA44)</f>
        <v>43.23905703321693</v>
      </c>
      <c r="AB5" s="27"/>
      <c r="AJ5" s="9">
        <f>SUM(AJ13,AJ23,AJ26:AJ32,AJ40)</f>
        <v>153.82390993842546</v>
      </c>
      <c r="AK5" s="9">
        <f>SUM(AK7:AK44)</f>
        <v>4.784651622669065</v>
      </c>
      <c r="AL5" s="9">
        <f t="shared" ref="AL5:AO5" si="1">SUM(AL7:AL44)</f>
        <v>35.420285218027139</v>
      </c>
      <c r="AM5" s="9">
        <f t="shared" si="1"/>
        <v>41.896097113740332</v>
      </c>
      <c r="AN5" s="9">
        <f t="shared" si="1"/>
        <v>23.353806654276276</v>
      </c>
      <c r="AO5" s="9">
        <f t="shared" si="1"/>
        <v>48.369069329712609</v>
      </c>
      <c r="AP5" s="27"/>
    </row>
    <row r="6" spans="1:42" x14ac:dyDescent="0.2">
      <c r="E6" s="1"/>
      <c r="F6" s="1"/>
      <c r="G6" s="509">
        <f>G5-'bilan complet'!K175-I40-I41</f>
        <v>7.1259927405051826E-2</v>
      </c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09">
        <f>T5-'bilan complet'!K169+(SUM(AD7:AH19)-T7)</f>
        <v>0</v>
      </c>
      <c r="U6" s="510"/>
      <c r="V6" s="511">
        <f>V5-'scenario demande'!F368</f>
        <v>0</v>
      </c>
      <c r="W6" s="1"/>
      <c r="X6" s="1"/>
      <c r="Y6" s="1"/>
      <c r="Z6" s="1"/>
      <c r="AA6" s="1"/>
      <c r="AB6" s="35"/>
      <c r="AJ6" s="580">
        <f>AJ5-'bilan complet'!K169</f>
        <v>-1.9902650332682015E-2</v>
      </c>
      <c r="AK6" s="1"/>
      <c r="AL6" s="1"/>
      <c r="AM6" s="1"/>
      <c r="AN6" s="1"/>
      <c r="AO6" s="1"/>
    </row>
    <row r="7" spans="1:42" x14ac:dyDescent="0.2">
      <c r="A7" s="24" t="s">
        <v>45</v>
      </c>
      <c r="B7" s="24" t="s">
        <v>46</v>
      </c>
      <c r="C7" s="27">
        <f>G29+G35+G13</f>
        <v>15.293736465383139</v>
      </c>
      <c r="E7" s="650" t="s">
        <v>14</v>
      </c>
      <c r="F7" s="1" t="s">
        <v>21</v>
      </c>
      <c r="G7" s="2">
        <f>électricité!F27*0.086</f>
        <v>4.7328900703124992</v>
      </c>
      <c r="H7" s="651">
        <f>SUM(G7:G20)</f>
        <v>126.74593823002142</v>
      </c>
      <c r="I7" s="3"/>
      <c r="J7" s="652">
        <f>SUM(I7:I19)</f>
        <v>77.696375831535704</v>
      </c>
      <c r="K7" s="2">
        <f>G7-I7</f>
        <v>4.7328900703124992</v>
      </c>
      <c r="L7" s="652">
        <f>SUM(K6:K19)</f>
        <v>51.650731241229551</v>
      </c>
      <c r="N7" s="651">
        <f>L7-M13</f>
        <v>46.377823190552391</v>
      </c>
      <c r="O7" s="46"/>
      <c r="P7" s="46"/>
      <c r="Q7" s="46"/>
      <c r="R7" s="45"/>
      <c r="S7" s="588"/>
      <c r="T7" s="666">
        <f>N7-O12-P12-Q12</f>
        <v>40.71776128039614</v>
      </c>
      <c r="U7" s="23"/>
      <c r="V7" s="655">
        <f>SUM(W7:AA19)</f>
        <v>40.246979671193444</v>
      </c>
      <c r="W7" s="503"/>
      <c r="X7" s="506"/>
      <c r="Y7" s="503"/>
      <c r="Z7" s="506"/>
      <c r="AA7" s="503"/>
      <c r="AB7" s="36"/>
      <c r="AC7" s="514"/>
      <c r="AD7" s="645">
        <f>'bilan complet'!$I$167</f>
        <v>0.76231208949038942</v>
      </c>
      <c r="AE7" s="645">
        <f>'bilan complet'!$I$164</f>
        <v>11.273372563552359</v>
      </c>
      <c r="AF7" s="645">
        <f>'bilan complet'!$I$165</f>
        <v>14.11422187782588</v>
      </c>
      <c r="AG7" s="645">
        <f>'bilan complet'!$I$166</f>
        <v>13.388774514174349</v>
      </c>
      <c r="AH7" s="655">
        <f>'bilan complet'!$I$168</f>
        <v>1.8811495288258393</v>
      </c>
      <c r="AJ7" s="554"/>
      <c r="AK7" s="555"/>
      <c r="AL7" s="506"/>
      <c r="AM7" s="503"/>
      <c r="AN7" s="506"/>
      <c r="AO7" s="503"/>
    </row>
    <row r="8" spans="1:42" x14ac:dyDescent="0.2">
      <c r="B8" s="24" t="s">
        <v>21</v>
      </c>
      <c r="C8" s="27">
        <f>G7</f>
        <v>4.7328900703124992</v>
      </c>
      <c r="D8" s="27"/>
      <c r="E8" s="650"/>
      <c r="F8" s="1" t="s">
        <v>22</v>
      </c>
      <c r="G8" s="2">
        <f>électricité!F25*0.086</f>
        <v>5.626609460937499</v>
      </c>
      <c r="H8" s="651"/>
      <c r="I8" s="3"/>
      <c r="J8" s="652"/>
      <c r="K8" s="2">
        <f t="shared" ref="K8:K44" si="2">G8-I8</f>
        <v>5.626609460937499</v>
      </c>
      <c r="L8" s="652"/>
      <c r="N8" s="651"/>
      <c r="O8" s="46"/>
      <c r="P8" s="46"/>
      <c r="Q8" s="46"/>
      <c r="R8" s="45"/>
      <c r="S8" s="588"/>
      <c r="T8" s="666"/>
      <c r="U8" s="23"/>
      <c r="V8" s="656"/>
      <c r="W8" s="504"/>
      <c r="X8" s="507"/>
      <c r="Y8" s="504"/>
      <c r="Z8" s="507"/>
      <c r="AA8" s="504"/>
      <c r="AB8" s="36"/>
      <c r="AC8" s="38"/>
      <c r="AD8" s="646"/>
      <c r="AE8" s="646"/>
      <c r="AF8" s="646"/>
      <c r="AG8" s="646"/>
      <c r="AH8" s="656"/>
      <c r="AJ8" s="591"/>
      <c r="AK8" s="556"/>
      <c r="AL8" s="507"/>
      <c r="AM8" s="504"/>
      <c r="AN8" s="507"/>
      <c r="AO8" s="504"/>
    </row>
    <row r="9" spans="1:42" x14ac:dyDescent="0.2">
      <c r="B9" s="24" t="s">
        <v>47</v>
      </c>
      <c r="C9" s="27">
        <f>G11+G21+G22+G26+G34</f>
        <v>0</v>
      </c>
      <c r="E9" s="650"/>
      <c r="F9" s="1" t="s">
        <v>23</v>
      </c>
      <c r="G9" s="2">
        <f>électricité!F26*0.086</f>
        <v>1.5050305703125</v>
      </c>
      <c r="H9" s="651"/>
      <c r="I9" s="3"/>
      <c r="J9" s="652"/>
      <c r="K9" s="2">
        <f t="shared" si="2"/>
        <v>1.5050305703125</v>
      </c>
      <c r="L9" s="652"/>
      <c r="N9" s="651"/>
      <c r="O9" s="46"/>
      <c r="P9" s="46"/>
      <c r="Q9" s="46"/>
      <c r="R9" s="45"/>
      <c r="S9" s="588"/>
      <c r="T9" s="666"/>
      <c r="U9" s="23"/>
      <c r="V9" s="656"/>
      <c r="W9" s="504"/>
      <c r="X9" s="507"/>
      <c r="Y9" s="504"/>
      <c r="Z9" s="507"/>
      <c r="AA9" s="504"/>
      <c r="AB9" s="36"/>
      <c r="AC9" s="38"/>
      <c r="AD9" s="646"/>
      <c r="AE9" s="646"/>
      <c r="AF9" s="646"/>
      <c r="AG9" s="646"/>
      <c r="AH9" s="656"/>
      <c r="AJ9" s="591"/>
      <c r="AK9" s="556"/>
      <c r="AL9" s="507"/>
      <c r="AM9" s="504"/>
      <c r="AN9" s="507"/>
      <c r="AO9" s="504"/>
    </row>
    <row r="10" spans="1:42" x14ac:dyDescent="0.2">
      <c r="B10" s="24" t="s">
        <v>28</v>
      </c>
      <c r="C10" s="27">
        <f>G14+G30+G37</f>
        <v>0.15445019242835842</v>
      </c>
      <c r="E10" s="650"/>
      <c r="F10" s="1" t="s">
        <v>24</v>
      </c>
      <c r="G10" s="2">
        <f>95.87+'bilan complet'!H147</f>
        <v>93.540114746093749</v>
      </c>
      <c r="H10" s="651"/>
      <c r="I10" s="3">
        <f>K10/0.33-K10</f>
        <v>64.233486575165713</v>
      </c>
      <c r="J10" s="652"/>
      <c r="K10" s="3">
        <f>électricité!F22*0.086</f>
        <v>31.63738891015625</v>
      </c>
      <c r="L10" s="652"/>
      <c r="N10" s="651"/>
      <c r="O10" s="46"/>
      <c r="P10" s="46"/>
      <c r="Q10" s="46"/>
      <c r="R10" s="45"/>
      <c r="S10" s="588"/>
      <c r="T10" s="666"/>
      <c r="U10" s="23"/>
      <c r="V10" s="656"/>
      <c r="W10" s="504"/>
      <c r="X10" s="507"/>
      <c r="Y10" s="504"/>
      <c r="Z10" s="507"/>
      <c r="AA10" s="504"/>
      <c r="AB10" s="36"/>
      <c r="AC10" s="38"/>
      <c r="AD10" s="646"/>
      <c r="AE10" s="646"/>
      <c r="AF10" s="646"/>
      <c r="AG10" s="646"/>
      <c r="AH10" s="656"/>
      <c r="AJ10" s="591"/>
      <c r="AK10" s="556"/>
      <c r="AL10" s="507"/>
      <c r="AM10" s="504"/>
      <c r="AN10" s="507"/>
      <c r="AO10" s="504"/>
    </row>
    <row r="11" spans="1:42" x14ac:dyDescent="0.2">
      <c r="B11" s="24" t="s">
        <v>22</v>
      </c>
      <c r="C11" s="27">
        <f>G8</f>
        <v>5.626609460937499</v>
      </c>
      <c r="E11" s="650"/>
      <c r="F11" s="1" t="s">
        <v>25</v>
      </c>
      <c r="G11" s="2"/>
      <c r="H11" s="651"/>
      <c r="I11" s="3"/>
      <c r="J11" s="652"/>
      <c r="K11" s="2">
        <f t="shared" si="2"/>
        <v>0</v>
      </c>
      <c r="L11" s="652"/>
      <c r="N11" s="651"/>
      <c r="O11" s="46"/>
      <c r="P11" s="46"/>
      <c r="Q11" s="46"/>
      <c r="R11" s="45"/>
      <c r="S11" s="588"/>
      <c r="T11" s="666"/>
      <c r="U11" s="23"/>
      <c r="V11" s="656"/>
      <c r="W11" s="504"/>
      <c r="X11" s="507"/>
      <c r="Y11" s="504"/>
      <c r="Z11" s="507"/>
      <c r="AA11" s="504"/>
      <c r="AB11" s="36"/>
      <c r="AC11" s="38"/>
      <c r="AD11" s="646"/>
      <c r="AE11" s="646"/>
      <c r="AF11" s="646"/>
      <c r="AG11" s="646"/>
      <c r="AH11" s="656"/>
      <c r="AJ11" s="591"/>
      <c r="AK11" s="556"/>
      <c r="AL11" s="507"/>
      <c r="AM11" s="504"/>
      <c r="AN11" s="507"/>
      <c r="AO11" s="504"/>
    </row>
    <row r="12" spans="1:42" x14ac:dyDescent="0.2">
      <c r="B12" s="24" t="s">
        <v>23</v>
      </c>
      <c r="C12" s="27">
        <f>G9</f>
        <v>1.5050305703125</v>
      </c>
      <c r="D12" s="27"/>
      <c r="E12" s="650"/>
      <c r="F12" s="1" t="s">
        <v>26</v>
      </c>
      <c r="G12" s="2">
        <f>'bilan complet'!J161</f>
        <v>3.8959263544715892</v>
      </c>
      <c r="H12" s="651"/>
      <c r="I12" s="3">
        <f>G12-K12</f>
        <v>2.8201312743934643</v>
      </c>
      <c r="J12" s="652"/>
      <c r="K12" s="2">
        <f>électricité!F21*0.086</f>
        <v>1.0757950800781249</v>
      </c>
      <c r="L12" s="652"/>
      <c r="N12" s="651"/>
      <c r="O12" s="46">
        <f>(électricité!F32)*0.086</f>
        <v>3.3301766562499999</v>
      </c>
      <c r="P12" s="46">
        <f>électricité!F36*0.086</f>
        <v>2.3298852539062498</v>
      </c>
      <c r="Q12" s="46"/>
      <c r="R12" s="45"/>
      <c r="S12" s="588"/>
      <c r="T12" s="666"/>
      <c r="U12" s="7"/>
      <c r="V12" s="656"/>
      <c r="W12" s="504"/>
      <c r="X12" s="507"/>
      <c r="Y12" s="504"/>
      <c r="Z12" s="507"/>
      <c r="AA12" s="504"/>
      <c r="AB12" s="36"/>
      <c r="AC12" s="38" t="s">
        <v>497</v>
      </c>
      <c r="AD12" s="646"/>
      <c r="AE12" s="646"/>
      <c r="AF12" s="646"/>
      <c r="AG12" s="646"/>
      <c r="AH12" s="656"/>
      <c r="AJ12" s="591"/>
      <c r="AK12" s="556"/>
      <c r="AL12" s="507"/>
      <c r="AM12" s="504"/>
      <c r="AN12" s="507"/>
      <c r="AO12" s="504"/>
    </row>
    <row r="13" spans="1:42" x14ac:dyDescent="0.2">
      <c r="B13" s="24" t="s">
        <v>62</v>
      </c>
      <c r="C13" s="27">
        <f>G39</f>
        <v>5.0501375771517285</v>
      </c>
      <c r="E13" s="650"/>
      <c r="F13" s="1" t="s">
        <v>27</v>
      </c>
      <c r="G13" s="2"/>
      <c r="H13" s="651"/>
      <c r="I13" s="3"/>
      <c r="J13" s="652"/>
      <c r="K13" s="2">
        <f t="shared" si="2"/>
        <v>0</v>
      </c>
      <c r="L13" s="652"/>
      <c r="M13" s="37">
        <f>électricité!F34*0.086</f>
        <v>5.2729080506771613</v>
      </c>
      <c r="N13" s="651"/>
      <c r="O13" s="46"/>
      <c r="P13" s="46"/>
      <c r="Q13" s="46"/>
      <c r="R13" s="45"/>
      <c r="S13" s="588"/>
      <c r="T13" s="666"/>
      <c r="U13" s="1"/>
      <c r="V13" s="656"/>
      <c r="W13" s="504">
        <f>'scenario demande'!$F$339</f>
        <v>0.71090128239320483</v>
      </c>
      <c r="X13" s="507">
        <f>'scenario demande'!$F$12</f>
        <v>11.252218839042644</v>
      </c>
      <c r="Y13" s="504">
        <f>'scenario demande'!$F$113</f>
        <v>13.170200276400287</v>
      </c>
      <c r="Z13" s="507">
        <f>'scenario demande'!$F$188</f>
        <v>13.230593815472593</v>
      </c>
      <c r="AA13" s="504">
        <f>'scenario demande'!$F$278</f>
        <v>1.8830654578847101</v>
      </c>
      <c r="AB13" s="36"/>
      <c r="AC13" s="38"/>
      <c r="AD13" s="646"/>
      <c r="AE13" s="646"/>
      <c r="AF13" s="646"/>
      <c r="AG13" s="646"/>
      <c r="AH13" s="656"/>
      <c r="AI13" s="27">
        <f>SUM(AD7:AH19)</f>
        <v>41.419830573868815</v>
      </c>
      <c r="AJ13" s="591">
        <f>SUM(AK7:AO19)</f>
        <v>41.419830573868815</v>
      </c>
      <c r="AK13" s="557">
        <f>AD7</f>
        <v>0.76231208949038942</v>
      </c>
      <c r="AL13" s="507">
        <f>AE7</f>
        <v>11.273372563552359</v>
      </c>
      <c r="AM13" s="507">
        <f>AF7</f>
        <v>14.11422187782588</v>
      </c>
      <c r="AN13" s="507">
        <f>AG7</f>
        <v>13.388774514174349</v>
      </c>
      <c r="AO13" s="507">
        <f>AH7</f>
        <v>1.8811495288258393</v>
      </c>
    </row>
    <row r="14" spans="1:42" x14ac:dyDescent="0.2">
      <c r="B14" s="24" t="s">
        <v>48</v>
      </c>
      <c r="C14" s="27">
        <f>G38</f>
        <v>1.64</v>
      </c>
      <c r="E14" s="650"/>
      <c r="F14" s="1" t="s">
        <v>28</v>
      </c>
      <c r="G14" s="2"/>
      <c r="H14" s="651"/>
      <c r="I14" s="3"/>
      <c r="J14" s="652"/>
      <c r="K14" s="2">
        <f t="shared" si="2"/>
        <v>0</v>
      </c>
      <c r="L14" s="652"/>
      <c r="N14" s="651"/>
      <c r="O14" s="46"/>
      <c r="P14" s="46"/>
      <c r="Q14" s="46"/>
      <c r="R14" s="45"/>
      <c r="S14" s="588"/>
      <c r="T14" s="666"/>
      <c r="U14" s="1"/>
      <c r="V14" s="656"/>
      <c r="W14" s="504"/>
      <c r="X14" s="507"/>
      <c r="Y14" s="504"/>
      <c r="Z14" s="507"/>
      <c r="AA14" s="504"/>
      <c r="AB14" s="36"/>
      <c r="AC14" s="38"/>
      <c r="AD14" s="646"/>
      <c r="AE14" s="646"/>
      <c r="AF14" s="646"/>
      <c r="AG14" s="646"/>
      <c r="AH14" s="656"/>
      <c r="AJ14" s="591"/>
      <c r="AK14" s="556"/>
      <c r="AL14" s="507"/>
      <c r="AM14" s="504"/>
      <c r="AN14" s="507"/>
      <c r="AO14" s="504"/>
    </row>
    <row r="15" spans="1:42" x14ac:dyDescent="0.2">
      <c r="B15" s="24" t="s">
        <v>35</v>
      </c>
      <c r="C15" s="27">
        <f>G36+G31</f>
        <v>0.48362080873648244</v>
      </c>
      <c r="E15" s="650"/>
      <c r="F15" s="1" t="s">
        <v>29</v>
      </c>
      <c r="G15" s="2">
        <f>électricité!F30*0.086</f>
        <v>7.5335997971706095E-8</v>
      </c>
      <c r="H15" s="651"/>
      <c r="I15" s="3"/>
      <c r="J15" s="652"/>
      <c r="K15" s="2">
        <f t="shared" si="2"/>
        <v>7.5335997971706095E-8</v>
      </c>
      <c r="L15" s="652"/>
      <c r="N15" s="651"/>
      <c r="O15" s="46"/>
      <c r="P15" s="46"/>
      <c r="Q15" s="46"/>
      <c r="R15" s="45"/>
      <c r="S15" s="588"/>
      <c r="T15" s="666"/>
      <c r="U15" s="1"/>
      <c r="V15" s="656"/>
      <c r="W15" s="504"/>
      <c r="X15" s="507"/>
      <c r="Y15" s="504"/>
      <c r="Z15" s="507"/>
      <c r="AA15" s="504"/>
      <c r="AB15" s="36"/>
      <c r="AC15" s="38"/>
      <c r="AD15" s="646"/>
      <c r="AE15" s="646"/>
      <c r="AF15" s="646"/>
      <c r="AG15" s="646"/>
      <c r="AH15" s="656"/>
      <c r="AJ15" s="591"/>
      <c r="AK15" s="556"/>
      <c r="AL15" s="507"/>
      <c r="AM15" s="504"/>
      <c r="AN15" s="507"/>
      <c r="AO15" s="504"/>
    </row>
    <row r="16" spans="1:42" x14ac:dyDescent="0.2">
      <c r="B16" s="24" t="s">
        <v>39</v>
      </c>
      <c r="C16" s="27">
        <f>G12+G16+G27+G28</f>
        <v>4.774701788155701</v>
      </c>
      <c r="E16" s="650"/>
      <c r="F16" s="1" t="s">
        <v>30</v>
      </c>
      <c r="G16" s="2">
        <v>0</v>
      </c>
      <c r="H16" s="651"/>
      <c r="I16" s="3"/>
      <c r="J16" s="652"/>
      <c r="K16" s="2">
        <f>électricité!F20*0.086</f>
        <v>0.270408103515625</v>
      </c>
      <c r="L16" s="652"/>
      <c r="N16" s="651"/>
      <c r="O16" s="46"/>
      <c r="P16" s="46"/>
      <c r="Q16" s="46"/>
      <c r="R16" s="45"/>
      <c r="S16" s="588"/>
      <c r="T16" s="666"/>
      <c r="U16" s="1"/>
      <c r="V16" s="656"/>
      <c r="W16" s="504"/>
      <c r="X16" s="507"/>
      <c r="Y16" s="504"/>
      <c r="Z16" s="507"/>
      <c r="AA16" s="504"/>
      <c r="AB16" s="36"/>
      <c r="AC16" s="38"/>
      <c r="AD16" s="646"/>
      <c r="AE16" s="646"/>
      <c r="AF16" s="646"/>
      <c r="AG16" s="646"/>
      <c r="AH16" s="656"/>
      <c r="AJ16" s="591"/>
      <c r="AK16" s="556"/>
      <c r="AL16" s="507"/>
      <c r="AM16" s="504"/>
      <c r="AN16" s="507"/>
      <c r="AO16" s="504"/>
    </row>
    <row r="17" spans="1:41" x14ac:dyDescent="0.2">
      <c r="C17" s="27"/>
      <c r="E17" s="650"/>
      <c r="F17" s="1" t="s">
        <v>473</v>
      </c>
      <c r="G17" s="2">
        <f>électricité!F6</f>
        <v>0.10049864959716796</v>
      </c>
      <c r="H17" s="651"/>
      <c r="I17" s="3">
        <f>G17-K17</f>
        <v>6.053394464111328E-2</v>
      </c>
      <c r="J17" s="652"/>
      <c r="K17" s="5">
        <f>électricité!F17*0.086</f>
        <v>3.9964704956054684E-2</v>
      </c>
      <c r="L17" s="652"/>
      <c r="N17" s="651"/>
      <c r="O17" s="46"/>
      <c r="P17" s="46"/>
      <c r="Q17" s="46"/>
      <c r="R17" s="45"/>
      <c r="S17" s="588"/>
      <c r="T17" s="666"/>
      <c r="U17" s="1"/>
      <c r="V17" s="656"/>
      <c r="W17" s="504"/>
      <c r="X17" s="507"/>
      <c r="Y17" s="504"/>
      <c r="Z17" s="507"/>
      <c r="AA17" s="504"/>
      <c r="AB17" s="36"/>
      <c r="AC17" s="38"/>
      <c r="AD17" s="646"/>
      <c r="AE17" s="646"/>
      <c r="AF17" s="646"/>
      <c r="AG17" s="646"/>
      <c r="AH17" s="656"/>
      <c r="AJ17" s="591"/>
      <c r="AK17" s="556"/>
      <c r="AL17" s="507"/>
      <c r="AM17" s="504"/>
      <c r="AN17" s="507"/>
      <c r="AO17" s="504"/>
    </row>
    <row r="18" spans="1:41" x14ac:dyDescent="0.2">
      <c r="C18" s="27"/>
      <c r="E18" s="650"/>
      <c r="F18" s="1" t="s">
        <v>182</v>
      </c>
      <c r="G18" s="2">
        <f>'bilan complet'!B161</f>
        <v>4.7779369805368832</v>
      </c>
      <c r="H18" s="651"/>
      <c r="I18" s="3">
        <f>G18-K18</f>
        <v>3.2940785352243833</v>
      </c>
      <c r="J18" s="652"/>
      <c r="K18" s="2">
        <f>électricité!F10*0.086</f>
        <v>1.4838584453124999</v>
      </c>
      <c r="L18" s="652"/>
      <c r="N18" s="651"/>
      <c r="O18" s="46"/>
      <c r="P18" s="46"/>
      <c r="Q18" s="46"/>
      <c r="R18" s="45"/>
      <c r="S18" s="588"/>
      <c r="T18" s="666"/>
      <c r="U18" s="1"/>
      <c r="V18" s="656"/>
      <c r="W18" s="504"/>
      <c r="X18" s="507"/>
      <c r="Y18" s="504"/>
      <c r="Z18" s="507"/>
      <c r="AA18" s="504"/>
      <c r="AB18" s="36"/>
      <c r="AC18" s="38"/>
      <c r="AD18" s="646"/>
      <c r="AE18" s="646"/>
      <c r="AF18" s="646"/>
      <c r="AG18" s="646"/>
      <c r="AH18" s="656"/>
      <c r="AJ18" s="591"/>
      <c r="AK18" s="556"/>
      <c r="AL18" s="507"/>
      <c r="AM18" s="504"/>
      <c r="AN18" s="507"/>
      <c r="AO18" s="504"/>
    </row>
    <row r="19" spans="1:41" x14ac:dyDescent="0.2">
      <c r="B19" s="24" t="s">
        <v>49</v>
      </c>
      <c r="C19" s="27">
        <f>G15</f>
        <v>7.5335997971706095E-8</v>
      </c>
      <c r="D19" s="27"/>
      <c r="E19" s="650"/>
      <c r="F19" s="1" t="s">
        <v>31</v>
      </c>
      <c r="G19" s="2">
        <f>'bilan complet'!F161-I32-I29</f>
        <v>12.566931322423537</v>
      </c>
      <c r="H19" s="651"/>
      <c r="I19" s="3">
        <f>G19-K19</f>
        <v>7.2881455021110373</v>
      </c>
      <c r="J19" s="652"/>
      <c r="K19" s="2">
        <f>électricité!F12*0.086</f>
        <v>5.2787858203124998</v>
      </c>
      <c r="L19" s="652"/>
      <c r="N19" s="651"/>
      <c r="O19" s="46"/>
      <c r="P19" s="46"/>
      <c r="Q19" s="46"/>
      <c r="R19" s="45"/>
      <c r="S19" s="588"/>
      <c r="T19" s="666"/>
      <c r="U19" s="1"/>
      <c r="V19" s="657"/>
      <c r="W19" s="505"/>
      <c r="X19" s="508"/>
      <c r="Y19" s="505"/>
      <c r="Z19" s="508"/>
      <c r="AA19" s="505"/>
      <c r="AB19" s="36"/>
      <c r="AC19" s="516"/>
      <c r="AD19" s="647"/>
      <c r="AE19" s="647"/>
      <c r="AF19" s="647"/>
      <c r="AG19" s="647"/>
      <c r="AH19" s="657"/>
      <c r="AJ19" s="592"/>
      <c r="AK19" s="558"/>
      <c r="AL19" s="508"/>
      <c r="AM19" s="505"/>
      <c r="AN19" s="508"/>
      <c r="AO19" s="505"/>
    </row>
    <row r="20" spans="1:41" x14ac:dyDescent="0.2">
      <c r="E20" s="1"/>
      <c r="F20" s="1"/>
      <c r="G20" s="1"/>
      <c r="H20" s="1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610">
        <f>T7-électricité!F38*0.086</f>
        <v>0</v>
      </c>
      <c r="U20" s="512"/>
      <c r="V20" s="2"/>
      <c r="W20" s="1"/>
      <c r="X20" s="2"/>
      <c r="Y20" s="1"/>
      <c r="Z20" s="2"/>
      <c r="AA20" s="1"/>
      <c r="AJ20" s="2"/>
      <c r="AK20" s="1"/>
      <c r="AL20" s="2"/>
      <c r="AM20" s="1"/>
      <c r="AN20" s="2"/>
      <c r="AO20" s="1"/>
    </row>
    <row r="21" spans="1:41" x14ac:dyDescent="0.2">
      <c r="A21" s="24" t="s">
        <v>50</v>
      </c>
      <c r="B21" s="24" t="s">
        <v>24</v>
      </c>
      <c r="C21" s="27">
        <f>G10</f>
        <v>93.540114746093749</v>
      </c>
      <c r="E21" s="658" t="s">
        <v>12</v>
      </c>
      <c r="F21" s="1" t="s">
        <v>25</v>
      </c>
      <c r="G21" s="2"/>
      <c r="H21" s="659">
        <f>SUM(G21:G24)</f>
        <v>42.212911615074304</v>
      </c>
      <c r="J21" s="659"/>
      <c r="K21" s="2">
        <f t="shared" si="2"/>
        <v>0</v>
      </c>
      <c r="L21" s="660">
        <f>SUM(K21:K24)</f>
        <v>42.212911615074304</v>
      </c>
      <c r="M21" s="2"/>
      <c r="N21" s="660">
        <f>L21</f>
        <v>42.212911615074304</v>
      </c>
      <c r="O21" s="662"/>
      <c r="P21" s="662"/>
      <c r="Q21" s="662"/>
      <c r="R21" s="569"/>
      <c r="S21" s="569"/>
      <c r="T21" s="569"/>
      <c r="U21" s="1"/>
      <c r="V21" s="663">
        <f>SUM(W23:AA23)</f>
        <v>27.882457969165003</v>
      </c>
      <c r="W21" s="477"/>
      <c r="X21" s="477"/>
      <c r="Y21" s="477"/>
      <c r="Z21" s="477"/>
      <c r="AA21" s="478"/>
      <c r="AC21" s="514"/>
      <c r="AD21" s="524"/>
      <c r="AE21" s="524"/>
      <c r="AF21" s="524"/>
      <c r="AG21" s="524"/>
      <c r="AH21" s="517"/>
      <c r="AJ21" s="551"/>
      <c r="AK21" s="478"/>
      <c r="AL21" s="477"/>
      <c r="AM21" s="477"/>
      <c r="AN21" s="477"/>
      <c r="AO21" s="478"/>
    </row>
    <row r="22" spans="1:41" x14ac:dyDescent="0.2">
      <c r="B22" s="24" t="s">
        <v>34</v>
      </c>
      <c r="C22" s="27">
        <f>G24+G32</f>
        <v>44.736581844578396</v>
      </c>
      <c r="E22" s="658"/>
      <c r="F22" s="1" t="s">
        <v>32</v>
      </c>
      <c r="G22" s="2"/>
      <c r="H22" s="641"/>
      <c r="J22" s="641"/>
      <c r="K22" s="2">
        <f t="shared" si="2"/>
        <v>0</v>
      </c>
      <c r="L22" s="661"/>
      <c r="M22" s="2"/>
      <c r="N22" s="660"/>
      <c r="O22" s="662"/>
      <c r="P22" s="662"/>
      <c r="Q22" s="662"/>
      <c r="R22" s="581"/>
      <c r="S22" s="587"/>
      <c r="T22" s="587"/>
      <c r="U22" s="1"/>
      <c r="V22" s="664"/>
      <c r="W22" s="581"/>
      <c r="X22" s="581"/>
      <c r="Y22" s="581"/>
      <c r="Z22" s="581"/>
      <c r="AA22" s="587"/>
      <c r="AC22" s="515"/>
      <c r="AD22" s="525"/>
      <c r="AE22" s="525"/>
      <c r="AF22" s="525"/>
      <c r="AG22" s="525"/>
      <c r="AH22" s="518"/>
      <c r="AJ22" s="552"/>
      <c r="AK22" s="587"/>
      <c r="AL22" s="581"/>
      <c r="AM22" s="581"/>
      <c r="AN22" s="581"/>
      <c r="AO22" s="587"/>
    </row>
    <row r="23" spans="1:41" x14ac:dyDescent="0.2">
      <c r="B23" s="24" t="s">
        <v>51</v>
      </c>
      <c r="C23" s="27">
        <f>G40+G41</f>
        <v>72.037071105887733</v>
      </c>
      <c r="E23" s="658"/>
      <c r="F23" s="1" t="s">
        <v>33</v>
      </c>
      <c r="G23" s="2"/>
      <c r="H23" s="641"/>
      <c r="I23" s="27"/>
      <c r="J23" s="641"/>
      <c r="K23" s="2">
        <f t="shared" si="2"/>
        <v>0</v>
      </c>
      <c r="L23" s="661"/>
      <c r="M23" s="2"/>
      <c r="N23" s="660"/>
      <c r="O23" s="662"/>
      <c r="P23" s="662"/>
      <c r="Q23" s="662"/>
      <c r="R23" s="581">
        <f>G32</f>
        <v>2.5236702295040878</v>
      </c>
      <c r="S23" s="587">
        <f>G19</f>
        <v>12.566931322423537</v>
      </c>
      <c r="T23" s="587">
        <f>N21-R23-S23</f>
        <v>27.122310063146678</v>
      </c>
      <c r="U23" s="1"/>
      <c r="V23" s="664"/>
      <c r="W23" s="482">
        <f>'scenario demande'!F337</f>
        <v>0.50837279581054051</v>
      </c>
      <c r="X23" s="491">
        <f>'scenario demande'!F10</f>
        <v>10.737366493055923</v>
      </c>
      <c r="Y23" s="491">
        <f>'scenario demande'!F110</f>
        <v>10.949470406782083</v>
      </c>
      <c r="Z23" s="491">
        <f>'scenario demande'!F186</f>
        <v>5.5570414733330313</v>
      </c>
      <c r="AA23" s="479">
        <f>'scenario demande'!F277+'scenario demande'!F279</f>
        <v>0.13020680018342354</v>
      </c>
      <c r="AC23" s="38"/>
      <c r="AD23" s="525"/>
      <c r="AE23" s="525"/>
      <c r="AF23" s="525"/>
      <c r="AG23" s="525"/>
      <c r="AH23" s="518"/>
      <c r="AJ23" s="552">
        <f>SUM(AK23:AO23)</f>
        <v>27.122310063146678</v>
      </c>
      <c r="AK23" s="559">
        <f>$T$23*W23/$V$21</f>
        <v>0.49451323878585413</v>
      </c>
      <c r="AL23" s="559">
        <f t="shared" ref="AL23:AO23" si="3">$T$23*X23/$V$21</f>
        <v>10.444638116494787</v>
      </c>
      <c r="AM23" s="559">
        <f t="shared" si="3"/>
        <v>10.650959529049222</v>
      </c>
      <c r="AN23" s="559">
        <f t="shared" si="3"/>
        <v>5.4055421527106322</v>
      </c>
      <c r="AO23" s="559">
        <f t="shared" si="3"/>
        <v>0.12665702610617996</v>
      </c>
    </row>
    <row r="24" spans="1:41" x14ac:dyDescent="0.2">
      <c r="B24" s="24" t="s">
        <v>40</v>
      </c>
      <c r="C24" s="27">
        <f>G44+G18</f>
        <v>10.295207101544634</v>
      </c>
      <c r="E24" s="658"/>
      <c r="F24" s="1" t="s">
        <v>34</v>
      </c>
      <c r="G24" s="2">
        <f>'bilan complet'!F175-'bilan complet'!F172</f>
        <v>42.212911615074304</v>
      </c>
      <c r="H24" s="641"/>
      <c r="J24" s="641"/>
      <c r="K24" s="2">
        <f t="shared" si="2"/>
        <v>42.212911615074304</v>
      </c>
      <c r="L24" s="661"/>
      <c r="M24" s="6"/>
      <c r="N24" s="660"/>
      <c r="O24" s="662"/>
      <c r="P24" s="662"/>
      <c r="Q24" s="662"/>
      <c r="R24" s="581"/>
      <c r="S24" s="587"/>
      <c r="T24" s="587"/>
      <c r="U24" s="1"/>
      <c r="V24" s="665"/>
      <c r="W24" s="480"/>
      <c r="X24" s="480"/>
      <c r="Y24" s="480"/>
      <c r="Z24" s="480"/>
      <c r="AA24" s="481"/>
      <c r="AC24" s="38"/>
      <c r="AD24" s="525"/>
      <c r="AE24" s="525"/>
      <c r="AF24" s="525"/>
      <c r="AG24" s="525"/>
      <c r="AH24" s="518"/>
      <c r="AJ24" s="553"/>
      <c r="AK24" s="481"/>
      <c r="AL24" s="480"/>
      <c r="AM24" s="480"/>
      <c r="AN24" s="480"/>
      <c r="AO24" s="481"/>
    </row>
    <row r="25" spans="1:41" x14ac:dyDescent="0.2">
      <c r="B25" s="24" t="s">
        <v>39</v>
      </c>
      <c r="C25" s="27">
        <f>G42</f>
        <v>0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W25" s="464"/>
      <c r="X25" s="495"/>
      <c r="Y25" s="495"/>
      <c r="Z25" s="495"/>
      <c r="AA25" s="464"/>
      <c r="AC25" s="520" t="s">
        <v>472</v>
      </c>
      <c r="AD25" s="526">
        <f>'bilan complet'!$F$167+'bilan complet'!$J$167</f>
        <v>0.36735832247818434</v>
      </c>
      <c r="AE25" s="526">
        <f>'bilan complet'!$F$164+'bilan complet'!$J$164</f>
        <v>15.069991678586739</v>
      </c>
      <c r="AF25" s="526">
        <f>'bilan complet'!$F$165+'bilan complet'!$J$165</f>
        <v>23.35390139099281</v>
      </c>
      <c r="AG25" s="526">
        <f>'bilan complet'!$F$166+'bilan complet'!$J$166</f>
        <v>6.0085277073701011</v>
      </c>
      <c r="AH25" s="521">
        <f>'bilan complet'!$F$168+'bilan complet'!$J$168</f>
        <v>3.0935495338451666</v>
      </c>
      <c r="AI25" s="27">
        <f>SUM(AD25:AH25)</f>
        <v>47.893328633273001</v>
      </c>
      <c r="AK25" s="464"/>
      <c r="AL25" s="495"/>
      <c r="AM25" s="495"/>
      <c r="AN25" s="495"/>
      <c r="AO25" s="464"/>
    </row>
    <row r="26" spans="1:41" x14ac:dyDescent="0.2">
      <c r="E26" s="671" t="s">
        <v>13</v>
      </c>
      <c r="F26" s="1" t="s">
        <v>25</v>
      </c>
      <c r="G26" s="377">
        <v>0</v>
      </c>
      <c r="H26" s="653">
        <f>SUM(G26:G32)</f>
        <v>4.7247787306216757</v>
      </c>
      <c r="I26" s="377">
        <f>G26-K26</f>
        <v>0</v>
      </c>
      <c r="J26" s="672"/>
      <c r="K26" s="27">
        <f>$L$26*J49</f>
        <v>0</v>
      </c>
      <c r="L26" s="672">
        <f>V29</f>
        <v>4.1215441710118155</v>
      </c>
      <c r="M26" s="1"/>
      <c r="N26" s="653">
        <f>L26</f>
        <v>4.1215441710118155</v>
      </c>
      <c r="O26" s="654"/>
      <c r="P26" s="654"/>
      <c r="Q26" s="654"/>
      <c r="R26" s="673"/>
      <c r="S26" s="674"/>
      <c r="T26" s="674">
        <f>N26-O26-Q26</f>
        <v>4.1215441710118155</v>
      </c>
      <c r="U26" s="1"/>
      <c r="V26" s="483"/>
      <c r="W26" s="483"/>
      <c r="X26" s="483"/>
      <c r="Y26" s="483"/>
      <c r="Z26" s="496"/>
      <c r="AA26" s="483"/>
      <c r="AC26" s="522" t="s">
        <v>498</v>
      </c>
      <c r="AD26" s="527"/>
      <c r="AE26" s="527"/>
      <c r="AF26" s="527"/>
      <c r="AG26" s="527"/>
      <c r="AH26" s="523"/>
      <c r="AI26" s="27"/>
      <c r="AJ26" s="483"/>
      <c r="AK26" s="483"/>
      <c r="AL26" s="483"/>
      <c r="AM26" s="483"/>
      <c r="AN26" s="496"/>
      <c r="AO26" s="483"/>
    </row>
    <row r="27" spans="1:41" x14ac:dyDescent="0.2">
      <c r="E27" s="671"/>
      <c r="F27" s="1" t="s">
        <v>26</v>
      </c>
      <c r="G27" s="377">
        <f>$K$27/'Réseaux de chaleur'!$F$63</f>
        <v>0.87877543368411182</v>
      </c>
      <c r="H27" s="653"/>
      <c r="I27" s="377">
        <f t="shared" ref="I27:I31" si="4">G27-K27</f>
        <v>0</v>
      </c>
      <c r="J27" s="672"/>
      <c r="K27" s="27">
        <f t="shared" ref="K27:K31" si="5">$L$26*J50</f>
        <v>0.87877543368411182</v>
      </c>
      <c r="L27" s="672"/>
      <c r="M27" s="1"/>
      <c r="N27" s="653"/>
      <c r="O27" s="654"/>
      <c r="P27" s="654"/>
      <c r="Q27" s="654"/>
      <c r="R27" s="673"/>
      <c r="S27" s="674"/>
      <c r="T27" s="674"/>
      <c r="U27" s="1"/>
      <c r="V27" s="485"/>
      <c r="W27" s="585"/>
      <c r="X27" s="585"/>
      <c r="Y27" s="585"/>
      <c r="Z27" s="586"/>
      <c r="AA27" s="585"/>
      <c r="AC27" s="38"/>
      <c r="AD27" s="525"/>
      <c r="AE27" s="525"/>
      <c r="AF27" s="525"/>
      <c r="AG27" s="525"/>
      <c r="AH27" s="518"/>
      <c r="AJ27" s="485"/>
      <c r="AK27" s="585"/>
      <c r="AL27" s="585"/>
      <c r="AM27" s="585"/>
      <c r="AN27" s="586"/>
      <c r="AO27" s="585"/>
    </row>
    <row r="28" spans="1:41" x14ac:dyDescent="0.2">
      <c r="E28" s="671"/>
      <c r="F28" s="1" t="s">
        <v>30</v>
      </c>
      <c r="G28" s="377">
        <v>0</v>
      </c>
      <c r="H28" s="653"/>
      <c r="I28" s="377">
        <f t="shared" si="4"/>
        <v>0</v>
      </c>
      <c r="J28" s="672"/>
      <c r="K28" s="27">
        <f>$L$26*J51</f>
        <v>0</v>
      </c>
      <c r="L28" s="672"/>
      <c r="M28" s="1"/>
      <c r="N28" s="653"/>
      <c r="O28" s="654"/>
      <c r="P28" s="654" t="e">
        <v>#REF!</v>
      </c>
      <c r="Q28" s="654"/>
      <c r="R28" s="673" t="e">
        <v>#REF!</v>
      </c>
      <c r="S28" s="674" t="e">
        <v>#REF!</v>
      </c>
      <c r="T28" s="674"/>
      <c r="U28" s="1"/>
      <c r="V28" s="485"/>
      <c r="W28" s="585"/>
      <c r="X28" s="585"/>
      <c r="Y28" s="585"/>
      <c r="Z28" s="586"/>
      <c r="AA28" s="585"/>
      <c r="AC28" s="38"/>
      <c r="AD28" s="525"/>
      <c r="AE28" s="525"/>
      <c r="AF28" s="525"/>
      <c r="AG28" s="525"/>
      <c r="AH28" s="518"/>
      <c r="AJ28" s="485"/>
      <c r="AK28" s="585"/>
      <c r="AL28" s="585"/>
      <c r="AM28" s="585"/>
      <c r="AN28" s="586"/>
      <c r="AO28" s="585"/>
    </row>
    <row r="29" spans="1:41" x14ac:dyDescent="0.2">
      <c r="E29" s="671"/>
      <c r="F29" s="1" t="s">
        <v>27</v>
      </c>
      <c r="G29" s="377">
        <f>$K$29/'Réseaux de chaleur'!$F$62</f>
        <v>0.8013050159192413</v>
      </c>
      <c r="H29" s="653"/>
      <c r="I29" s="377">
        <f>G29-K29</f>
        <v>0.14717847231169734</v>
      </c>
      <c r="J29" s="672"/>
      <c r="K29" s="27">
        <f t="shared" si="5"/>
        <v>0.65412654360754396</v>
      </c>
      <c r="L29" s="672"/>
      <c r="M29" s="1"/>
      <c r="N29" s="653"/>
      <c r="O29" s="654"/>
      <c r="P29" s="654" t="e">
        <v>#REF!</v>
      </c>
      <c r="Q29" s="654"/>
      <c r="R29" s="673" t="e">
        <v>#REF!</v>
      </c>
      <c r="S29" s="674" t="e">
        <v>#REF!</v>
      </c>
      <c r="T29" s="674"/>
      <c r="U29" s="1"/>
      <c r="V29" s="489">
        <f>SUM(W29:AA29)</f>
        <v>4.1215441710118155</v>
      </c>
      <c r="W29" s="490">
        <f>'scenario demande'!F340</f>
        <v>0</v>
      </c>
      <c r="X29" s="490">
        <f>'scenario demande'!F13</f>
        <v>1.7949981639739583</v>
      </c>
      <c r="Y29" s="490">
        <f>'scenario demande'!F114</f>
        <v>1.5513286247993086</v>
      </c>
      <c r="Z29" s="488">
        <f>'scenario demande'!F189</f>
        <v>0.77521738223854864</v>
      </c>
      <c r="AA29" s="585"/>
      <c r="AC29" s="38"/>
      <c r="AD29" s="525"/>
      <c r="AE29" s="525"/>
      <c r="AF29" s="525"/>
      <c r="AG29" s="525"/>
      <c r="AH29" s="518"/>
      <c r="AJ29" s="489">
        <f>SUM(AK29:AO29)</f>
        <v>4.1215441710118155</v>
      </c>
      <c r="AK29" s="490">
        <f>W29</f>
        <v>0</v>
      </c>
      <c r="AL29" s="490">
        <f>X29</f>
        <v>1.7949981639739583</v>
      </c>
      <c r="AM29" s="490">
        <f>Y29</f>
        <v>1.5513286247993086</v>
      </c>
      <c r="AN29" s="490">
        <f>Z29</f>
        <v>0.77521738223854864</v>
      </c>
      <c r="AO29" s="490">
        <f>AA29</f>
        <v>0</v>
      </c>
    </row>
    <row r="30" spans="1:41" x14ac:dyDescent="0.2">
      <c r="E30" s="671"/>
      <c r="F30" s="1" t="s">
        <v>28</v>
      </c>
      <c r="G30" s="377">
        <f>$K$30/'Réseaux de chaleur'!$F$64</f>
        <v>0.15445019242835842</v>
      </c>
      <c r="H30" s="653"/>
      <c r="I30" s="377">
        <f t="shared" si="4"/>
        <v>0</v>
      </c>
      <c r="J30" s="672"/>
      <c r="K30" s="27">
        <f t="shared" si="5"/>
        <v>0.15445019242835842</v>
      </c>
      <c r="L30" s="672"/>
      <c r="M30" s="1"/>
      <c r="N30" s="653"/>
      <c r="O30" s="654"/>
      <c r="P30" s="654"/>
      <c r="Q30" s="654"/>
      <c r="R30" s="673"/>
      <c r="S30" s="674"/>
      <c r="T30" s="674"/>
      <c r="U30" s="1"/>
      <c r="V30" s="485"/>
      <c r="W30" s="585"/>
      <c r="X30" s="585"/>
      <c r="Y30" s="585"/>
      <c r="Z30" s="586"/>
      <c r="AA30" s="585"/>
      <c r="AC30" s="38"/>
      <c r="AD30" s="525"/>
      <c r="AE30" s="525"/>
      <c r="AF30" s="525"/>
      <c r="AG30" s="525"/>
      <c r="AH30" s="518"/>
      <c r="AJ30" s="485"/>
      <c r="AK30" s="585"/>
      <c r="AL30" s="585"/>
      <c r="AM30" s="585"/>
      <c r="AN30" s="586"/>
      <c r="AO30" s="585"/>
    </row>
    <row r="31" spans="1:41" x14ac:dyDescent="0.2">
      <c r="E31" s="671"/>
      <c r="F31" s="1" t="s">
        <v>35</v>
      </c>
      <c r="G31" s="377">
        <f>$K$31/'Réseaux de chaleur'!$F$65</f>
        <v>0.36657785908587631</v>
      </c>
      <c r="H31" s="653"/>
      <c r="I31" s="377">
        <f t="shared" si="4"/>
        <v>0</v>
      </c>
      <c r="J31" s="672"/>
      <c r="K31" s="27">
        <f t="shared" si="5"/>
        <v>0.36657785908587631</v>
      </c>
      <c r="L31" s="672"/>
      <c r="M31" s="1"/>
      <c r="N31" s="653"/>
      <c r="O31" s="654"/>
      <c r="P31" s="654"/>
      <c r="Q31" s="654"/>
      <c r="R31" s="673"/>
      <c r="S31" s="674"/>
      <c r="T31" s="674"/>
      <c r="U31" s="1"/>
      <c r="V31" s="485"/>
      <c r="W31" s="585"/>
      <c r="X31" s="585"/>
      <c r="Y31" s="585"/>
      <c r="Z31" s="586"/>
      <c r="AA31" s="585"/>
      <c r="AC31" s="38"/>
      <c r="AD31" s="525"/>
      <c r="AE31" s="525"/>
      <c r="AF31" s="525"/>
      <c r="AG31" s="525"/>
      <c r="AH31" s="518"/>
      <c r="AJ31" s="485"/>
      <c r="AK31" s="585"/>
      <c r="AL31" s="585"/>
      <c r="AM31" s="585"/>
      <c r="AN31" s="586"/>
      <c r="AO31" s="585"/>
    </row>
    <row r="32" spans="1:41" x14ac:dyDescent="0.2">
      <c r="E32" s="671"/>
      <c r="F32" s="1" t="s">
        <v>31</v>
      </c>
      <c r="G32" s="377">
        <f>$K$32/'Réseaux de chaleur'!$F$61</f>
        <v>2.5236702295040878</v>
      </c>
      <c r="H32" s="653"/>
      <c r="I32" s="377">
        <f>G32-K32</f>
        <v>0.45605608729816227</v>
      </c>
      <c r="J32" s="672"/>
      <c r="K32" s="27">
        <f>$L$26*J55</f>
        <v>2.0676141422059255</v>
      </c>
      <c r="L32" s="672"/>
      <c r="M32" s="1"/>
      <c r="N32" s="653"/>
      <c r="O32" s="654"/>
      <c r="P32" s="654"/>
      <c r="Q32" s="654"/>
      <c r="R32" s="673"/>
      <c r="S32" s="674"/>
      <c r="T32" s="674"/>
      <c r="U32" s="1"/>
      <c r="V32" s="486"/>
      <c r="W32" s="484"/>
      <c r="X32" s="484"/>
      <c r="Y32" s="484"/>
      <c r="Z32" s="487"/>
      <c r="AA32" s="484"/>
      <c r="AC32" s="38"/>
      <c r="AD32" s="525"/>
      <c r="AE32" s="525"/>
      <c r="AF32" s="525"/>
      <c r="AG32" s="525"/>
      <c r="AH32" s="518"/>
      <c r="AJ32" s="486"/>
      <c r="AK32" s="484"/>
      <c r="AL32" s="484"/>
      <c r="AM32" s="484"/>
      <c r="AN32" s="487"/>
      <c r="AO32" s="484"/>
    </row>
    <row r="33" spans="5:41" x14ac:dyDescent="0.2">
      <c r="E33" s="4"/>
      <c r="F33" s="1"/>
      <c r="H33" s="610">
        <f>SUM(G49:G55)-'Réseaux de chaleur'!F78</f>
        <v>0</v>
      </c>
      <c r="I33" s="1"/>
      <c r="J33" s="1"/>
      <c r="K33" s="2"/>
      <c r="L33" s="611">
        <f>SUM(H49:H55)-'Réseaux de chaleur'!F54</f>
        <v>0</v>
      </c>
      <c r="M33" s="1"/>
      <c r="N33" s="1"/>
      <c r="O33" s="1"/>
      <c r="P33" s="1"/>
      <c r="Q33" s="1"/>
      <c r="R33" s="1"/>
      <c r="S33" s="1"/>
      <c r="T33" s="608">
        <f>T23+T26+G35+G36+G38-('bilan complet'!F169+'bilan complet'!G169+'bilan complet'!J169)</f>
        <v>0</v>
      </c>
      <c r="U33" s="1"/>
      <c r="X33" s="27"/>
      <c r="Y33" s="27"/>
      <c r="Z33" s="27"/>
      <c r="AC33" s="38"/>
      <c r="AD33" s="525"/>
      <c r="AE33" s="525"/>
      <c r="AF33" s="525"/>
      <c r="AG33" s="525"/>
      <c r="AH33" s="518"/>
      <c r="AL33" s="27"/>
      <c r="AM33" s="27"/>
      <c r="AN33" s="27"/>
    </row>
    <row r="34" spans="5:41" x14ac:dyDescent="0.2">
      <c r="E34" s="667" t="s">
        <v>36</v>
      </c>
      <c r="F34" s="1" t="s">
        <v>25</v>
      </c>
      <c r="H34" s="667">
        <f>SUM(G34:G44)</f>
        <v>100.45723615870907</v>
      </c>
      <c r="I34" s="590"/>
      <c r="J34" s="669"/>
      <c r="K34" s="2">
        <f t="shared" si="2"/>
        <v>0</v>
      </c>
      <c r="L34" s="667">
        <f>SUM(K34:K44)</f>
        <v>95.121156817532182</v>
      </c>
      <c r="M34" s="584"/>
      <c r="N34" s="584"/>
      <c r="O34" s="584"/>
      <c r="P34" s="584"/>
      <c r="Q34" s="584"/>
      <c r="R34" s="584"/>
      <c r="S34" s="584"/>
      <c r="T34" s="499"/>
      <c r="V34" s="667">
        <f>SUM(W34:AA44)</f>
        <v>70.738186456435074</v>
      </c>
      <c r="W34" s="367"/>
      <c r="X34" s="366"/>
      <c r="Y34" s="367"/>
      <c r="Z34" s="368"/>
      <c r="AA34" s="365"/>
      <c r="AC34" s="38"/>
      <c r="AD34" s="525"/>
      <c r="AE34" s="525"/>
      <c r="AF34" s="525"/>
      <c r="AG34" s="525"/>
      <c r="AH34" s="518"/>
      <c r="AJ34" s="365"/>
      <c r="AK34" s="367"/>
      <c r="AL34" s="366"/>
      <c r="AM34" s="367"/>
      <c r="AN34" s="368"/>
      <c r="AO34" s="365"/>
    </row>
    <row r="35" spans="5:41" x14ac:dyDescent="0.2">
      <c r="E35" s="667"/>
      <c r="F35" s="1" t="s">
        <v>27</v>
      </c>
      <c r="G35" s="27">
        <f>'bilan complet'!J175-G12-G27-G29-G30-G31-G36-G38</f>
        <v>14.492431449463897</v>
      </c>
      <c r="H35" s="667"/>
      <c r="I35" s="590">
        <v>0</v>
      </c>
      <c r="J35" s="669"/>
      <c r="K35" s="2">
        <f>G35-I35</f>
        <v>14.492431449463897</v>
      </c>
      <c r="L35" s="667"/>
      <c r="M35" s="584"/>
      <c r="N35" s="584"/>
      <c r="O35" s="584"/>
      <c r="P35" s="584"/>
      <c r="Q35" s="584"/>
      <c r="R35" s="584"/>
      <c r="S35" s="584"/>
      <c r="T35" s="500"/>
      <c r="V35" s="667"/>
      <c r="W35" s="598">
        <f>'scenario demande'!F341</f>
        <v>9.8624322387244862E-2</v>
      </c>
      <c r="X35" s="599">
        <f>'scenario demande'!F14</f>
        <v>3.1979393143343273</v>
      </c>
      <c r="Y35" s="598">
        <f>'scenario demande'!F115-'scenario demande'!F166</f>
        <v>7.6367310827056043</v>
      </c>
      <c r="Z35" s="600">
        <f>'scenario demande'!F190-'scenario demande'!F236</f>
        <v>0.75044304085268732</v>
      </c>
      <c r="AA35" s="386"/>
      <c r="AB35" s="24">
        <f>SUM(W35:AA35)</f>
        <v>11.683737760279865</v>
      </c>
      <c r="AC35" s="38"/>
      <c r="AD35" s="525"/>
      <c r="AE35" s="525"/>
      <c r="AF35" s="525"/>
      <c r="AG35" s="525"/>
      <c r="AH35" s="518"/>
      <c r="AJ35" s="582"/>
      <c r="AK35" s="369">
        <f>W35</f>
        <v>9.8624322387244862E-2</v>
      </c>
      <c r="AL35" s="369">
        <f t="shared" ref="AL35:AO35" si="6">X35</f>
        <v>3.1979393143343273</v>
      </c>
      <c r="AM35" s="388">
        <f>Y35+K35-SUM(W35:AA35)</f>
        <v>10.445424771889638</v>
      </c>
      <c r="AN35" s="369">
        <f t="shared" si="6"/>
        <v>0.75044304085268732</v>
      </c>
      <c r="AO35" s="369">
        <f t="shared" si="6"/>
        <v>0</v>
      </c>
    </row>
    <row r="36" spans="5:41" x14ac:dyDescent="0.2">
      <c r="E36" s="667"/>
      <c r="F36" s="1" t="s">
        <v>35</v>
      </c>
      <c r="G36" s="27">
        <f>'scenario demande'!F166</f>
        <v>0.11704294965060615</v>
      </c>
      <c r="H36" s="667"/>
      <c r="I36" s="590"/>
      <c r="J36" s="669"/>
      <c r="K36" s="2">
        <f t="shared" si="2"/>
        <v>0.11704294965060615</v>
      </c>
      <c r="L36" s="667"/>
      <c r="M36" s="584"/>
      <c r="N36" s="584"/>
      <c r="O36" s="584"/>
      <c r="P36" s="584"/>
      <c r="Q36" s="584"/>
      <c r="R36" s="584"/>
      <c r="S36" s="584"/>
      <c r="T36" s="500"/>
      <c r="V36" s="667"/>
      <c r="W36" s="601"/>
      <c r="X36" s="599"/>
      <c r="Y36" s="598">
        <f>'scenario demande'!F166</f>
        <v>0.11704294965060615</v>
      </c>
      <c r="Z36" s="600">
        <f>'scenario demande'!F236</f>
        <v>7.6670496967440587E-3</v>
      </c>
      <c r="AA36" s="593"/>
      <c r="AB36" s="24">
        <f>SUM(W36:AA36)</f>
        <v>0.12470999934735021</v>
      </c>
      <c r="AC36" s="516"/>
      <c r="AD36" s="528"/>
      <c r="AE36" s="528"/>
      <c r="AF36" s="528"/>
      <c r="AG36" s="528"/>
      <c r="AH36" s="519"/>
      <c r="AJ36" s="582"/>
      <c r="AK36" s="367"/>
      <c r="AL36" s="366"/>
      <c r="AM36" s="388">
        <f>K36</f>
        <v>0.11704294965060615</v>
      </c>
      <c r="AN36" s="370">
        <f>'scenario demande'!V237</f>
        <v>0</v>
      </c>
      <c r="AO36" s="365"/>
    </row>
    <row r="37" spans="5:41" x14ac:dyDescent="0.2">
      <c r="E37" s="667"/>
      <c r="F37" s="1" t="s">
        <v>41</v>
      </c>
      <c r="G37" s="27"/>
      <c r="H37" s="667"/>
      <c r="I37" s="590"/>
      <c r="J37" s="669"/>
      <c r="K37" s="2">
        <f t="shared" si="2"/>
        <v>0</v>
      </c>
      <c r="L37" s="667"/>
      <c r="M37" s="584"/>
      <c r="N37" s="584"/>
      <c r="O37" s="584"/>
      <c r="P37" s="584"/>
      <c r="Q37" s="584"/>
      <c r="R37" s="584"/>
      <c r="S37" s="584"/>
      <c r="T37" s="500"/>
      <c r="V37" s="667"/>
      <c r="W37" s="367"/>
      <c r="X37" s="366"/>
      <c r="Y37" s="369"/>
      <c r="Z37" s="370"/>
      <c r="AA37" s="365"/>
      <c r="AJ37" s="582"/>
      <c r="AK37" s="602"/>
      <c r="AL37" s="366"/>
      <c r="AM37" s="387">
        <f>K38</f>
        <v>1.64</v>
      </c>
      <c r="AN37" s="369"/>
      <c r="AO37" s="365"/>
    </row>
    <row r="38" spans="5:41" x14ac:dyDescent="0.2">
      <c r="E38" s="667"/>
      <c r="F38" s="1" t="s">
        <v>42</v>
      </c>
      <c r="G38" s="27">
        <f>indicateurs!F14</f>
        <v>1.64</v>
      </c>
      <c r="H38" s="667"/>
      <c r="I38" s="590"/>
      <c r="J38" s="669"/>
      <c r="K38" s="2">
        <f t="shared" si="2"/>
        <v>1.64</v>
      </c>
      <c r="L38" s="667"/>
      <c r="M38" s="584"/>
      <c r="N38" s="584"/>
      <c r="O38" s="584"/>
      <c r="P38" s="584"/>
      <c r="Q38" s="584"/>
      <c r="R38" s="584"/>
      <c r="S38" s="584"/>
      <c r="T38" s="500"/>
      <c r="V38" s="667"/>
      <c r="W38" s="367"/>
      <c r="X38" s="366"/>
      <c r="Y38" s="369"/>
      <c r="Z38" s="370"/>
      <c r="AA38" s="365"/>
      <c r="AJ38" s="582"/>
      <c r="AK38" s="602"/>
      <c r="AL38" s="366"/>
      <c r="AM38" s="602"/>
      <c r="AN38" s="366"/>
      <c r="AO38" s="602"/>
    </row>
    <row r="39" spans="5:41" x14ac:dyDescent="0.2">
      <c r="E39" s="667"/>
      <c r="F39" s="1" t="s">
        <v>63</v>
      </c>
      <c r="G39" s="27">
        <f>K39</f>
        <v>5.0501375771517285</v>
      </c>
      <c r="H39" s="667"/>
      <c r="I39" s="40"/>
      <c r="J39" s="669"/>
      <c r="K39" s="2">
        <f>'bilan complet'!E169*0.085</f>
        <v>5.0501375771517285</v>
      </c>
      <c r="L39" s="667"/>
      <c r="M39" s="584"/>
      <c r="N39" s="584"/>
      <c r="O39" s="584"/>
      <c r="P39" s="584"/>
      <c r="Q39" s="584"/>
      <c r="R39" s="584"/>
      <c r="S39" s="584"/>
      <c r="T39" s="502">
        <f>L34-K41-K43</f>
        <v>81.180127780730828</v>
      </c>
      <c r="V39" s="667"/>
      <c r="W39" s="369"/>
      <c r="X39" s="366"/>
      <c r="Y39" s="369"/>
      <c r="Z39" s="370"/>
      <c r="AA39" s="371"/>
      <c r="AC39" s="529" t="s">
        <v>518</v>
      </c>
      <c r="AD39" s="533">
        <f>'bilan complet'!$E$167</f>
        <v>3.4292019720055769</v>
      </c>
      <c r="AE39" s="533">
        <f>'bilan complet'!E164</f>
        <v>3.2119695889966571</v>
      </c>
      <c r="AF39" s="533">
        <f>'bilan complet'!$E$165</f>
        <v>3.3771193605256831</v>
      </c>
      <c r="AG39" s="533">
        <f>'bilan complet'!$E$166</f>
        <v>3.0338295643000608</v>
      </c>
      <c r="AH39" s="530">
        <f>'bilan complet'!$E$168</f>
        <v>46.361262774780592</v>
      </c>
      <c r="AJ39" s="365"/>
      <c r="AK39" s="366">
        <f>AD39</f>
        <v>3.4292019720055769</v>
      </c>
      <c r="AL39" s="366">
        <f>AE39</f>
        <v>3.2119695889966571</v>
      </c>
      <c r="AM39" s="366">
        <f>AF39</f>
        <v>3.3771193605256831</v>
      </c>
      <c r="AN39" s="366">
        <f>AG39</f>
        <v>3.0338295643000608</v>
      </c>
      <c r="AO39" s="369">
        <f>AH39</f>
        <v>46.361262774780592</v>
      </c>
    </row>
    <row r="40" spans="5:41" x14ac:dyDescent="0.2">
      <c r="E40" s="667"/>
      <c r="F40" s="1" t="s">
        <v>37</v>
      </c>
      <c r="G40" s="27">
        <f>K40+I40</f>
        <v>58.712305338133383</v>
      </c>
      <c r="H40" s="667"/>
      <c r="I40" s="40">
        <f>0.08*K40</f>
        <v>4.3490596546765472</v>
      </c>
      <c r="J40" s="669"/>
      <c r="K40" s="2">
        <f>'bilan complet'!E169-K39</f>
        <v>54.363245683456839</v>
      </c>
      <c r="L40" s="667"/>
      <c r="M40" s="584"/>
      <c r="N40" s="584"/>
      <c r="O40" s="584"/>
      <c r="P40" s="584"/>
      <c r="Q40" s="584"/>
      <c r="R40" s="584"/>
      <c r="S40" s="584"/>
      <c r="T40" s="500"/>
      <c r="V40" s="667"/>
      <c r="W40" s="595">
        <f>'scenario demande'!F336</f>
        <v>3.4512904478720943</v>
      </c>
      <c r="X40" s="366">
        <f>'scenario demande'!F9</f>
        <v>3.1790440741924453</v>
      </c>
      <c r="Y40" s="369">
        <f>'scenario demande'!F109+'scenario demande'!F112</f>
        <v>3.5306657579037517</v>
      </c>
      <c r="Z40" s="370">
        <f>'scenario demande'!F185</f>
        <v>2.2320945167530333</v>
      </c>
      <c r="AA40" s="371">
        <f>'scenario demande'!F273+'scenario demande'!F274+'scenario demande'!F275+'scenario demande'!F276</f>
        <v>41.225784775148796</v>
      </c>
      <c r="AB40" s="27">
        <f>SUM(W40:AA40)</f>
        <v>53.618879571870124</v>
      </c>
      <c r="AC40" s="531" t="s">
        <v>182</v>
      </c>
      <c r="AD40" s="609">
        <f>'bilan complet'!$B$167</f>
        <v>0</v>
      </c>
      <c r="AE40" s="535">
        <f>'bilan complet'!$B$164</f>
        <v>5.4973674706750524</v>
      </c>
      <c r="AF40" s="609">
        <f>'bilan complet'!$B$165</f>
        <v>0</v>
      </c>
      <c r="AG40" s="609">
        <f>'bilan complet'!$B$166</f>
        <v>1.9902650332696836E-2</v>
      </c>
      <c r="AH40" s="609">
        <f>'bilan complet'!$B$168</f>
        <v>0</v>
      </c>
      <c r="AI40" s="27">
        <f>SUM(AD39:AH40)</f>
        <v>64.930653381616324</v>
      </c>
      <c r="AJ40" s="582">
        <f>SUM(AK34:AO44)</f>
        <v>81.160225130398132</v>
      </c>
      <c r="AK40" s="602"/>
      <c r="AL40" s="602"/>
      <c r="AM40" s="602"/>
      <c r="AN40" s="602"/>
      <c r="AO40" s="602"/>
    </row>
    <row r="41" spans="5:41" x14ac:dyDescent="0.2">
      <c r="E41" s="667"/>
      <c r="F41" s="1" t="s">
        <v>38</v>
      </c>
      <c r="G41" s="27">
        <f>K41+I41</f>
        <v>13.324765767754354</v>
      </c>
      <c r="H41" s="667"/>
      <c r="I41" s="40">
        <f>0.08*K41</f>
        <v>0.98701968650032246</v>
      </c>
      <c r="J41" s="669"/>
      <c r="K41" s="2">
        <f>'bilan complet'!E172</f>
        <v>12.33774608125403</v>
      </c>
      <c r="L41" s="667"/>
      <c r="M41" s="584"/>
      <c r="N41" s="584"/>
      <c r="O41" s="584"/>
      <c r="P41" s="584"/>
      <c r="Q41" s="584"/>
      <c r="R41" s="584"/>
      <c r="S41" s="584"/>
      <c r="T41" s="500"/>
      <c r="V41" s="667"/>
      <c r="W41" s="369"/>
      <c r="X41" s="366"/>
      <c r="Y41" s="369"/>
      <c r="Z41" s="370"/>
      <c r="AA41" s="371"/>
      <c r="AJ41" s="582"/>
      <c r="AK41" s="366"/>
      <c r="AL41" s="366"/>
      <c r="AM41" s="366"/>
      <c r="AN41" s="366"/>
      <c r="AO41" s="366"/>
    </row>
    <row r="42" spans="5:41" x14ac:dyDescent="0.2">
      <c r="E42" s="667"/>
      <c r="F42" s="1" t="s">
        <v>39</v>
      </c>
      <c r="G42" s="27"/>
      <c r="H42" s="667"/>
      <c r="I42" s="40"/>
      <c r="J42" s="669"/>
      <c r="K42" s="2">
        <f t="shared" si="2"/>
        <v>0</v>
      </c>
      <c r="L42" s="667"/>
      <c r="M42" s="584"/>
      <c r="N42" s="584"/>
      <c r="O42" s="584"/>
      <c r="P42" s="584"/>
      <c r="Q42" s="584"/>
      <c r="R42" s="584"/>
      <c r="S42" s="584"/>
      <c r="T42" s="500"/>
      <c r="V42" s="667"/>
      <c r="W42" s="369"/>
      <c r="X42" s="366"/>
      <c r="Y42" s="369"/>
      <c r="Z42" s="370"/>
      <c r="AA42" s="371"/>
      <c r="AJ42" s="582"/>
      <c r="AK42" s="366"/>
      <c r="AL42" s="366"/>
      <c r="AM42" s="366"/>
      <c r="AN42" s="366"/>
      <c r="AO42" s="366"/>
    </row>
    <row r="43" spans="5:41" x14ac:dyDescent="0.2">
      <c r="E43" s="667"/>
      <c r="F43" s="1" t="s">
        <v>472</v>
      </c>
      <c r="G43" s="27">
        <f>'bilan complet'!F172</f>
        <v>1.6032829555473309</v>
      </c>
      <c r="H43" s="667"/>
      <c r="I43" s="40"/>
      <c r="J43" s="669"/>
      <c r="K43" s="2">
        <f t="shared" si="2"/>
        <v>1.6032829555473309</v>
      </c>
      <c r="L43" s="667"/>
      <c r="M43" s="584"/>
      <c r="N43" s="584"/>
      <c r="O43" s="584"/>
      <c r="P43" s="584"/>
      <c r="Q43" s="584"/>
      <c r="R43" s="584"/>
      <c r="S43" s="584"/>
      <c r="T43" s="500"/>
      <c r="V43" s="667"/>
      <c r="W43" s="369"/>
      <c r="X43" s="366"/>
      <c r="Y43" s="369"/>
      <c r="Z43" s="370"/>
      <c r="AA43" s="371"/>
      <c r="AJ43" s="582"/>
      <c r="AK43" s="369"/>
      <c r="AL43" s="366"/>
      <c r="AM43" s="369"/>
      <c r="AN43" s="371"/>
      <c r="AO43" s="366"/>
    </row>
    <row r="44" spans="5:41" x14ac:dyDescent="0.2">
      <c r="E44" s="668"/>
      <c r="F44" s="1" t="s">
        <v>40</v>
      </c>
      <c r="G44" s="27">
        <f>'bilan complet'!B169</f>
        <v>5.5172701210077495</v>
      </c>
      <c r="H44" s="668"/>
      <c r="I44" s="590"/>
      <c r="J44" s="670"/>
      <c r="K44" s="2">
        <f t="shared" si="2"/>
        <v>5.5172701210077495</v>
      </c>
      <c r="L44" s="668"/>
      <c r="M44" s="584"/>
      <c r="N44" s="584"/>
      <c r="O44" s="584"/>
      <c r="P44" s="584"/>
      <c r="Q44" s="584"/>
      <c r="R44" s="584"/>
      <c r="S44" s="584"/>
      <c r="T44" s="501"/>
      <c r="V44" s="668"/>
      <c r="W44" s="497">
        <f>'scenario demande'!F338</f>
        <v>0</v>
      </c>
      <c r="X44" s="596">
        <f>'scenario demande'!F11</f>
        <v>5.2145384501209158</v>
      </c>
      <c r="Y44" s="374">
        <f>'scenario demande'!F111</f>
        <v>8.0134230494401087E-3</v>
      </c>
      <c r="Z44" s="597">
        <f>'scenario demande'!F187</f>
        <v>8.8307251767389822E-2</v>
      </c>
      <c r="AA44" s="372"/>
      <c r="AB44" s="24">
        <f>SUM(W44:AA44)</f>
        <v>5.3108591249377453</v>
      </c>
      <c r="AI44" s="612">
        <f>AI13+AI25+AI40-'bilan complet'!K169</f>
        <v>0.40000000000000568</v>
      </c>
      <c r="AJ44" s="583"/>
      <c r="AK44" s="497"/>
      <c r="AL44" s="373">
        <f>AE40</f>
        <v>5.4973674706750524</v>
      </c>
      <c r="AM44" s="374"/>
      <c r="AN44" s="604"/>
      <c r="AO44" s="605"/>
    </row>
    <row r="45" spans="5:41" x14ac:dyDescent="0.2">
      <c r="E45" s="1"/>
      <c r="F45" s="1"/>
      <c r="G45" s="389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536">
        <f>T39-K35-K36-K38-SUM(AD39:AH40)</f>
        <v>0</v>
      </c>
      <c r="U45" s="1"/>
      <c r="W45" s="27"/>
      <c r="X45" s="27"/>
      <c r="Y45" s="27"/>
      <c r="Z45" s="27"/>
      <c r="AA45" s="27"/>
    </row>
    <row r="46" spans="5:41" x14ac:dyDescent="0.2">
      <c r="F46" s="1"/>
      <c r="G46" s="466"/>
      <c r="H46" s="462"/>
      <c r="I46" s="462"/>
      <c r="J46" s="462"/>
      <c r="K46" s="462"/>
      <c r="L46" s="462"/>
      <c r="M46" s="463"/>
      <c r="N46" s="463"/>
      <c r="O46" s="463"/>
      <c r="P46" s="464"/>
      <c r="Q46" s="462"/>
      <c r="R46" s="462"/>
      <c r="S46" s="462"/>
      <c r="T46" s="1"/>
      <c r="U46" s="1"/>
      <c r="V46" s="6"/>
      <c r="W46" s="2"/>
      <c r="X46" s="2"/>
      <c r="Y46" s="2"/>
      <c r="Z46" s="2"/>
      <c r="AA46" s="2"/>
    </row>
    <row r="47" spans="5:41" x14ac:dyDescent="0.2">
      <c r="G47" s="465"/>
      <c r="H47" s="462"/>
      <c r="I47" s="462"/>
      <c r="J47" s="462"/>
      <c r="K47" s="462"/>
      <c r="L47" s="462"/>
      <c r="M47" s="466"/>
      <c r="N47" s="466"/>
      <c r="O47" s="466"/>
      <c r="P47" s="465"/>
      <c r="Q47" s="462"/>
      <c r="R47" s="466"/>
      <c r="S47" s="466"/>
      <c r="T47" s="1"/>
      <c r="U47" s="1"/>
    </row>
    <row r="48" spans="5:41" x14ac:dyDescent="0.2">
      <c r="F48" s="470" t="s">
        <v>495</v>
      </c>
      <c r="G48" s="471" t="s">
        <v>174</v>
      </c>
      <c r="H48" s="472" t="s">
        <v>494</v>
      </c>
      <c r="I48" s="471" t="s">
        <v>174</v>
      </c>
      <c r="J48" s="472" t="s">
        <v>494</v>
      </c>
      <c r="K48" s="462"/>
      <c r="L48" s="462"/>
      <c r="M48" s="377"/>
      <c r="N48" s="467"/>
      <c r="O48" s="467"/>
      <c r="P48" s="464"/>
      <c r="Q48" s="462"/>
      <c r="R48" s="467"/>
      <c r="S48" s="467"/>
      <c r="T48" s="1"/>
      <c r="U48" s="1"/>
      <c r="V48" s="2"/>
      <c r="W48" s="2"/>
      <c r="X48" s="2"/>
      <c r="Y48" s="2"/>
      <c r="Z48" s="2"/>
      <c r="AA48" s="2"/>
    </row>
    <row r="49" spans="6:27" x14ac:dyDescent="0.2">
      <c r="F49" s="470" t="s">
        <v>25</v>
      </c>
      <c r="G49" s="473">
        <v>0</v>
      </c>
      <c r="H49" s="474">
        <v>0</v>
      </c>
      <c r="I49" s="476">
        <f>G49/$G$56</f>
        <v>0</v>
      </c>
      <c r="J49" s="476">
        <f>H49/$H$56</f>
        <v>0</v>
      </c>
      <c r="K49" s="462"/>
      <c r="L49" s="462"/>
      <c r="M49" s="377"/>
      <c r="N49" s="467"/>
      <c r="O49" s="467"/>
      <c r="P49" s="464"/>
      <c r="Q49" s="462"/>
      <c r="R49" s="467"/>
      <c r="S49" s="467"/>
      <c r="T49" s="1"/>
      <c r="U49" s="1"/>
      <c r="V49" s="498"/>
      <c r="W49" s="1"/>
      <c r="X49" s="1"/>
      <c r="Y49" s="1"/>
      <c r="Z49" s="1"/>
      <c r="AA49" s="1"/>
    </row>
    <row r="50" spans="6:27" x14ac:dyDescent="0.2">
      <c r="F50" s="470" t="s">
        <v>26</v>
      </c>
      <c r="G50" s="473">
        <f>'Réseaux de chaleur'!$F$75</f>
        <v>0.49605472888061164</v>
      </c>
      <c r="H50" s="474">
        <f>'Réseaux de chaleur'!$F$51</f>
        <v>0.49605472888061164</v>
      </c>
      <c r="I50" s="476">
        <f t="shared" ref="I50:I55" si="7">G50/$G$56</f>
        <v>0.18646452300054212</v>
      </c>
      <c r="J50" s="476">
        <f t="shared" ref="J50:J55" si="8">H50/$H$56</f>
        <v>0.21321509541613803</v>
      </c>
      <c r="K50" s="462"/>
      <c r="L50" s="462"/>
      <c r="M50" s="377"/>
      <c r="N50" s="467"/>
      <c r="O50" s="467"/>
      <c r="P50" s="464"/>
      <c r="Q50" s="462"/>
      <c r="R50" s="467"/>
      <c r="S50" s="467"/>
      <c r="T50" s="1"/>
      <c r="U50" s="1"/>
      <c r="V50" s="2"/>
      <c r="W50" s="1"/>
      <c r="X50" s="1"/>
      <c r="Y50" s="1"/>
      <c r="Z50" s="1"/>
      <c r="AA50" s="1"/>
    </row>
    <row r="51" spans="6:27" x14ac:dyDescent="0.2">
      <c r="F51" s="470" t="s">
        <v>30</v>
      </c>
      <c r="G51" s="473">
        <v>0</v>
      </c>
      <c r="H51" s="474"/>
      <c r="I51" s="476">
        <f t="shared" si="7"/>
        <v>0</v>
      </c>
      <c r="J51" s="476">
        <f t="shared" si="8"/>
        <v>0</v>
      </c>
      <c r="K51" s="462"/>
      <c r="L51" s="462"/>
      <c r="M51" s="377"/>
      <c r="N51" s="467"/>
      <c r="O51" s="467"/>
      <c r="P51" s="464"/>
      <c r="Q51" s="464"/>
      <c r="R51" s="467"/>
      <c r="S51" s="467"/>
      <c r="T51" s="1"/>
      <c r="U51" s="1"/>
      <c r="V51" s="1"/>
      <c r="W51" s="1"/>
      <c r="X51" s="1"/>
      <c r="Y51" s="1"/>
      <c r="Z51" s="1"/>
      <c r="AA51" s="1"/>
    </row>
    <row r="52" spans="6:27" x14ac:dyDescent="0.2">
      <c r="F52" s="470" t="s">
        <v>27</v>
      </c>
      <c r="G52" s="473">
        <f>'Réseaux de chaleur'!$F$74</f>
        <v>0.45232391255645549</v>
      </c>
      <c r="H52" s="474">
        <f>'Réseaux de chaleur'!$F$50</f>
        <v>0.36924401025016773</v>
      </c>
      <c r="I52" s="476">
        <f t="shared" si="7"/>
        <v>0.17002632509300716</v>
      </c>
      <c r="J52" s="476">
        <f t="shared" si="8"/>
        <v>0.15870909456902887</v>
      </c>
      <c r="K52" s="462"/>
      <c r="L52" s="462"/>
      <c r="M52" s="377"/>
      <c r="N52" s="467"/>
      <c r="O52" s="467"/>
      <c r="P52" s="464"/>
      <c r="Q52" s="462"/>
      <c r="R52" s="467"/>
      <c r="S52" s="467"/>
      <c r="T52" s="1"/>
      <c r="U52" s="1"/>
      <c r="V52" s="1"/>
      <c r="W52" s="1"/>
      <c r="X52" s="1"/>
      <c r="Y52" s="1"/>
      <c r="Z52" s="1"/>
      <c r="AA52" s="1"/>
    </row>
    <row r="53" spans="6:27" x14ac:dyDescent="0.2">
      <c r="F53" s="470" t="s">
        <v>28</v>
      </c>
      <c r="G53" s="473">
        <f>'Réseaux de chaleur'!$F$76</f>
        <v>8.7184672436062025E-2</v>
      </c>
      <c r="H53" s="474">
        <f>'Réseaux de chaleur'!$F$52</f>
        <v>8.7184672436062025E-2</v>
      </c>
      <c r="I53" s="476">
        <f t="shared" si="7"/>
        <v>3.2772287838952238E-2</v>
      </c>
      <c r="J53" s="476">
        <f t="shared" si="8"/>
        <v>3.7473865624116746E-2</v>
      </c>
      <c r="K53" s="462"/>
      <c r="L53" s="462"/>
      <c r="M53" s="377"/>
      <c r="N53" s="467"/>
      <c r="O53" s="467"/>
      <c r="P53" s="465"/>
      <c r="Q53" s="462"/>
      <c r="R53" s="466"/>
      <c r="S53" s="466"/>
      <c r="T53" s="1"/>
      <c r="U53" s="1"/>
      <c r="V53" s="1"/>
      <c r="W53" s="1"/>
      <c r="X53" s="1"/>
      <c r="Y53" s="1"/>
      <c r="Z53" s="1"/>
      <c r="AA53" s="1"/>
    </row>
    <row r="54" spans="6:27" x14ac:dyDescent="0.2">
      <c r="F54" s="470" t="s">
        <v>35</v>
      </c>
      <c r="G54" s="473">
        <f>'Réseaux de chaleur'!$F$77</f>
        <v>0.20692735997424952</v>
      </c>
      <c r="H54" s="474">
        <f>'Réseaux de chaleur'!$F$53</f>
        <v>0.20692735997424952</v>
      </c>
      <c r="I54" s="476">
        <f t="shared" si="7"/>
        <v>7.7782972778889264E-2</v>
      </c>
      <c r="J54" s="476">
        <f t="shared" si="8"/>
        <v>8.8941873209594541E-2</v>
      </c>
      <c r="K54" s="462"/>
      <c r="L54" s="462"/>
      <c r="M54" s="377"/>
      <c r="N54" s="467"/>
      <c r="O54" s="467"/>
      <c r="P54" s="464"/>
      <c r="Q54" s="462"/>
      <c r="R54" s="467"/>
      <c r="S54" s="467"/>
      <c r="T54" s="1"/>
      <c r="U54" s="1"/>
      <c r="V54" s="1"/>
      <c r="W54" s="1"/>
      <c r="X54" s="1"/>
      <c r="Y54" s="1"/>
      <c r="Z54" s="1"/>
      <c r="AA54" s="1"/>
    </row>
    <row r="55" spans="6:27" x14ac:dyDescent="0.2">
      <c r="F55" s="470" t="s">
        <v>31</v>
      </c>
      <c r="G55" s="473">
        <f>'Réseaux de chaleur'!$F$73+'Réseaux de chaleur'!$F$72+'Réseaux de chaleur'!$F$71</f>
        <v>1.417826264185758</v>
      </c>
      <c r="H55" s="474">
        <f>'Réseaux de chaleur'!$F$49+'Réseaux de chaleur'!$F$48+'Réseaux de chaleur'!$F$47</f>
        <v>1.1671352354967661</v>
      </c>
      <c r="I55" s="476">
        <f t="shared" si="7"/>
        <v>0.53295389128860915</v>
      </c>
      <c r="J55" s="476">
        <f t="shared" si="8"/>
        <v>0.50166007118112188</v>
      </c>
      <c r="K55" s="462"/>
      <c r="L55" s="462"/>
      <c r="M55" s="467"/>
      <c r="N55" s="467"/>
      <c r="O55" s="467"/>
      <c r="P55" s="464"/>
      <c r="Q55" s="462"/>
      <c r="R55" s="467"/>
      <c r="S55" s="467"/>
      <c r="T55" s="1"/>
      <c r="U55" s="1"/>
      <c r="V55" s="1"/>
      <c r="W55" s="1"/>
      <c r="X55" s="1"/>
      <c r="Y55" s="1"/>
      <c r="Z55" s="1"/>
      <c r="AA55" s="1"/>
    </row>
    <row r="56" spans="6:27" x14ac:dyDescent="0.2">
      <c r="F56" s="470" t="s">
        <v>496</v>
      </c>
      <c r="G56" s="475">
        <f>SUM(G49:G55)</f>
        <v>2.6603169380331368</v>
      </c>
      <c r="H56" s="475">
        <f>SUM(H49:H55)</f>
        <v>2.326546007037857</v>
      </c>
      <c r="I56" s="475">
        <f>SUM(I49:I55)</f>
        <v>0.99999999999999989</v>
      </c>
      <c r="J56" s="475">
        <f>SUM(J49:J55)</f>
        <v>1</v>
      </c>
      <c r="K56" s="462"/>
      <c r="L56" s="462"/>
      <c r="M56" s="467"/>
      <c r="N56" s="467"/>
      <c r="O56" s="467"/>
      <c r="P56" s="464"/>
      <c r="Q56" s="464"/>
      <c r="R56" s="464"/>
      <c r="S56" s="464"/>
      <c r="T56" s="1"/>
      <c r="U56" s="1"/>
      <c r="V56" s="1"/>
      <c r="W56" s="1"/>
      <c r="X56" s="1"/>
      <c r="Y56" s="1"/>
      <c r="Z56" s="1"/>
      <c r="AA56" s="1"/>
    </row>
    <row r="57" spans="6:27" x14ac:dyDescent="0.2">
      <c r="F57" s="1"/>
      <c r="G57" s="462"/>
      <c r="H57" s="462"/>
      <c r="I57" s="462"/>
      <c r="J57" s="462"/>
      <c r="K57" s="462"/>
      <c r="L57" s="462"/>
      <c r="M57" s="467"/>
      <c r="N57" s="467"/>
      <c r="O57" s="467"/>
      <c r="P57" s="464"/>
      <c r="Q57" s="468"/>
      <c r="R57" s="469"/>
      <c r="S57" s="469"/>
      <c r="T57" s="1"/>
      <c r="U57" s="1"/>
      <c r="V57" s="1"/>
      <c r="W57" s="1"/>
      <c r="X57" s="1"/>
      <c r="Y57" s="1"/>
      <c r="Z57" s="1"/>
      <c r="AA57" s="1"/>
    </row>
    <row r="58" spans="6:27" x14ac:dyDescent="0.2">
      <c r="F58" s="1"/>
      <c r="G58" s="462"/>
      <c r="H58" s="462"/>
      <c r="I58" s="462"/>
      <c r="J58" s="462"/>
      <c r="K58" s="462"/>
      <c r="L58" s="462"/>
      <c r="M58" s="467"/>
      <c r="N58" s="467"/>
      <c r="O58" s="467"/>
      <c r="P58" s="464"/>
      <c r="Q58" s="468"/>
      <c r="R58" s="469"/>
      <c r="S58" s="469"/>
      <c r="T58" s="1"/>
      <c r="U58" s="1"/>
      <c r="V58" s="1"/>
      <c r="W58" s="1"/>
      <c r="X58" s="1"/>
      <c r="Y58" s="1"/>
      <c r="Z58" s="1"/>
      <c r="AA58" s="1"/>
    </row>
    <row r="62" spans="6:27" x14ac:dyDescent="0.2">
      <c r="G62" s="492"/>
    </row>
    <row r="63" spans="6:27" x14ac:dyDescent="0.2">
      <c r="G63" s="493"/>
    </row>
    <row r="64" spans="6:27" x14ac:dyDescent="0.2">
      <c r="G64" s="492"/>
    </row>
    <row r="65" spans="7:7" x14ac:dyDescent="0.2">
      <c r="G65" s="492"/>
    </row>
    <row r="66" spans="7:7" x14ac:dyDescent="0.2">
      <c r="G66" s="494"/>
    </row>
  </sheetData>
  <mergeCells count="48">
    <mergeCell ref="V34:V44"/>
    <mergeCell ref="P26:P32"/>
    <mergeCell ref="Q26:Q32"/>
    <mergeCell ref="R26:R32"/>
    <mergeCell ref="S26:S32"/>
    <mergeCell ref="T26:T32"/>
    <mergeCell ref="E34:E44"/>
    <mergeCell ref="H34:H44"/>
    <mergeCell ref="J34:J44"/>
    <mergeCell ref="L34:L44"/>
    <mergeCell ref="E26:E32"/>
    <mergeCell ref="H26:H32"/>
    <mergeCell ref="J26:J32"/>
    <mergeCell ref="L26:L32"/>
    <mergeCell ref="N26:N32"/>
    <mergeCell ref="O26:O32"/>
    <mergeCell ref="AH7:AH19"/>
    <mergeCell ref="E21:E24"/>
    <mergeCell ref="H21:H24"/>
    <mergeCell ref="J21:J24"/>
    <mergeCell ref="L21:L24"/>
    <mergeCell ref="N21:N24"/>
    <mergeCell ref="O21:O24"/>
    <mergeCell ref="P21:P24"/>
    <mergeCell ref="Q21:Q24"/>
    <mergeCell ref="V21:V24"/>
    <mergeCell ref="T7:T19"/>
    <mergeCell ref="V7:V19"/>
    <mergeCell ref="AD7:AD19"/>
    <mergeCell ref="AE7:AE19"/>
    <mergeCell ref="AF7:AF19"/>
    <mergeCell ref="AG7:AG19"/>
    <mergeCell ref="A4:C4"/>
    <mergeCell ref="E7:E19"/>
    <mergeCell ref="H7:H19"/>
    <mergeCell ref="J7:J19"/>
    <mergeCell ref="L7:L19"/>
    <mergeCell ref="N7:N19"/>
    <mergeCell ref="G1:L1"/>
    <mergeCell ref="N1:T1"/>
    <mergeCell ref="V1:AA1"/>
    <mergeCell ref="G2:H2"/>
    <mergeCell ref="I2:L2"/>
    <mergeCell ref="N2:N4"/>
    <mergeCell ref="O2:T3"/>
    <mergeCell ref="V2:AA3"/>
    <mergeCell ref="I3:J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6"/>
  <sheetViews>
    <sheetView zoomScaleNormal="100" workbookViewId="0">
      <pane xSplit="6" ySplit="4" topLeftCell="AH23" activePane="bottomRight" state="frozen"/>
      <selection pane="topRight" activeCell="G1" sqref="G1"/>
      <selection pane="bottomLeft" activeCell="A5" sqref="A5"/>
      <selection pane="bottomRight" activeCell="AI44" sqref="AI44"/>
    </sheetView>
  </sheetViews>
  <sheetFormatPr baseColWidth="10" defaultRowHeight="12.75" x14ac:dyDescent="0.2"/>
  <cols>
    <col min="1" max="1" width="14.85546875" style="24" bestFit="1" customWidth="1"/>
    <col min="2" max="2" width="28" style="24" bestFit="1" customWidth="1"/>
    <col min="3" max="3" width="4.42578125" style="24" bestFit="1" customWidth="1"/>
    <col min="4" max="4" width="8" style="24" bestFit="1" customWidth="1"/>
    <col min="5" max="5" width="11.42578125" style="24"/>
    <col min="6" max="6" width="22.85546875" style="24" bestFit="1" customWidth="1"/>
    <col min="7" max="7" width="7" style="24" customWidth="1"/>
    <col min="8" max="8" width="6.28515625" style="24" customWidth="1"/>
    <col min="9" max="9" width="5.7109375" style="24" customWidth="1"/>
    <col min="10" max="10" width="5.7109375" style="24" bestFit="1" customWidth="1"/>
    <col min="11" max="11" width="5.85546875" style="24" bestFit="1" customWidth="1"/>
    <col min="12" max="12" width="9.42578125" style="24" customWidth="1"/>
    <col min="13" max="13" width="9.28515625" style="24" customWidth="1"/>
    <col min="14" max="14" width="9.7109375" style="24" customWidth="1"/>
    <col min="15" max="15" width="6.7109375" style="24" bestFit="1" customWidth="1"/>
    <col min="16" max="16" width="4.85546875" style="24" customWidth="1"/>
    <col min="17" max="17" width="5.28515625" style="24" customWidth="1"/>
    <col min="18" max="19" width="4.42578125" style="24" bestFit="1" customWidth="1"/>
    <col min="20" max="20" width="19.28515625" style="24" customWidth="1"/>
    <col min="21" max="21" width="6" style="24" customWidth="1"/>
    <col min="22" max="22" width="5.85546875" style="24" bestFit="1" customWidth="1"/>
    <col min="23" max="23" width="4.42578125" style="24" bestFit="1" customWidth="1"/>
    <col min="24" max="24" width="6.42578125" style="24" customWidth="1"/>
    <col min="25" max="26" width="5.42578125" style="24" bestFit="1" customWidth="1"/>
    <col min="27" max="27" width="4.42578125" style="24" bestFit="1" customWidth="1"/>
    <col min="28" max="28" width="7.28515625" style="24" customWidth="1"/>
    <col min="29" max="29" width="12.7109375" style="24" customWidth="1"/>
    <col min="30" max="256" width="11.42578125" style="24"/>
    <col min="257" max="257" width="14.85546875" style="24" bestFit="1" customWidth="1"/>
    <col min="258" max="258" width="28" style="24" bestFit="1" customWidth="1"/>
    <col min="259" max="259" width="4.42578125" style="24" bestFit="1" customWidth="1"/>
    <col min="260" max="260" width="8" style="24" bestFit="1" customWidth="1"/>
    <col min="261" max="261" width="11.42578125" style="24"/>
    <col min="262" max="262" width="22.85546875" style="24" bestFit="1" customWidth="1"/>
    <col min="263" max="263" width="7" style="24" customWidth="1"/>
    <col min="264" max="264" width="6.28515625" style="24" customWidth="1"/>
    <col min="265" max="265" width="5.7109375" style="24" customWidth="1"/>
    <col min="266" max="266" width="5.7109375" style="24" bestFit="1" customWidth="1"/>
    <col min="267" max="267" width="5.85546875" style="24" bestFit="1" customWidth="1"/>
    <col min="268" max="268" width="9.42578125" style="24" customWidth="1"/>
    <col min="269" max="269" width="5.140625" style="24" customWidth="1"/>
    <col min="270" max="270" width="9.7109375" style="24" customWidth="1"/>
    <col min="271" max="271" width="6.7109375" style="24" bestFit="1" customWidth="1"/>
    <col min="272" max="272" width="4.85546875" style="24" customWidth="1"/>
    <col min="273" max="273" width="5.28515625" style="24" customWidth="1"/>
    <col min="274" max="275" width="4.42578125" style="24" bestFit="1" customWidth="1"/>
    <col min="276" max="276" width="13.28515625" style="24" bestFit="1" customWidth="1"/>
    <col min="277" max="277" width="3.140625" style="24" customWidth="1"/>
    <col min="278" max="278" width="5.42578125" style="24" bestFit="1" customWidth="1"/>
    <col min="279" max="279" width="4.42578125" style="24" bestFit="1" customWidth="1"/>
    <col min="280" max="280" width="6.42578125" style="24" customWidth="1"/>
    <col min="281" max="281" width="5" style="24" bestFit="1" customWidth="1"/>
    <col min="282" max="282" width="4.5703125" style="24" bestFit="1" customWidth="1"/>
    <col min="283" max="283" width="4.42578125" style="24" bestFit="1" customWidth="1"/>
    <col min="284" max="284" width="4" style="24" customWidth="1"/>
    <col min="285" max="512" width="11.42578125" style="24"/>
    <col min="513" max="513" width="14.85546875" style="24" bestFit="1" customWidth="1"/>
    <col min="514" max="514" width="28" style="24" bestFit="1" customWidth="1"/>
    <col min="515" max="515" width="4.42578125" style="24" bestFit="1" customWidth="1"/>
    <col min="516" max="516" width="8" style="24" bestFit="1" customWidth="1"/>
    <col min="517" max="517" width="11.42578125" style="24"/>
    <col min="518" max="518" width="22.85546875" style="24" bestFit="1" customWidth="1"/>
    <col min="519" max="519" width="7" style="24" customWidth="1"/>
    <col min="520" max="520" width="6.28515625" style="24" customWidth="1"/>
    <col min="521" max="521" width="5.7109375" style="24" customWidth="1"/>
    <col min="522" max="522" width="5.7109375" style="24" bestFit="1" customWidth="1"/>
    <col min="523" max="523" width="5.85546875" style="24" bestFit="1" customWidth="1"/>
    <col min="524" max="524" width="9.42578125" style="24" customWidth="1"/>
    <col min="525" max="525" width="5.140625" style="24" customWidth="1"/>
    <col min="526" max="526" width="9.7109375" style="24" customWidth="1"/>
    <col min="527" max="527" width="6.7109375" style="24" bestFit="1" customWidth="1"/>
    <col min="528" max="528" width="4.85546875" style="24" customWidth="1"/>
    <col min="529" max="529" width="5.28515625" style="24" customWidth="1"/>
    <col min="530" max="531" width="4.42578125" style="24" bestFit="1" customWidth="1"/>
    <col min="532" max="532" width="13.28515625" style="24" bestFit="1" customWidth="1"/>
    <col min="533" max="533" width="3.140625" style="24" customWidth="1"/>
    <col min="534" max="534" width="5.42578125" style="24" bestFit="1" customWidth="1"/>
    <col min="535" max="535" width="4.42578125" style="24" bestFit="1" customWidth="1"/>
    <col min="536" max="536" width="6.42578125" style="24" customWidth="1"/>
    <col min="537" max="537" width="5" style="24" bestFit="1" customWidth="1"/>
    <col min="538" max="538" width="4.5703125" style="24" bestFit="1" customWidth="1"/>
    <col min="539" max="539" width="4.42578125" style="24" bestFit="1" customWidth="1"/>
    <col min="540" max="540" width="4" style="24" customWidth="1"/>
    <col min="541" max="768" width="11.42578125" style="24"/>
    <col min="769" max="769" width="14.85546875" style="24" bestFit="1" customWidth="1"/>
    <col min="770" max="770" width="28" style="24" bestFit="1" customWidth="1"/>
    <col min="771" max="771" width="4.42578125" style="24" bestFit="1" customWidth="1"/>
    <col min="772" max="772" width="8" style="24" bestFit="1" customWidth="1"/>
    <col min="773" max="773" width="11.42578125" style="24"/>
    <col min="774" max="774" width="22.85546875" style="24" bestFit="1" customWidth="1"/>
    <col min="775" max="775" width="7" style="24" customWidth="1"/>
    <col min="776" max="776" width="6.28515625" style="24" customWidth="1"/>
    <col min="777" max="777" width="5.7109375" style="24" customWidth="1"/>
    <col min="778" max="778" width="5.7109375" style="24" bestFit="1" customWidth="1"/>
    <col min="779" max="779" width="5.85546875" style="24" bestFit="1" customWidth="1"/>
    <col min="780" max="780" width="9.42578125" style="24" customWidth="1"/>
    <col min="781" max="781" width="5.140625" style="24" customWidth="1"/>
    <col min="782" max="782" width="9.7109375" style="24" customWidth="1"/>
    <col min="783" max="783" width="6.7109375" style="24" bestFit="1" customWidth="1"/>
    <col min="784" max="784" width="4.85546875" style="24" customWidth="1"/>
    <col min="785" max="785" width="5.28515625" style="24" customWidth="1"/>
    <col min="786" max="787" width="4.42578125" style="24" bestFit="1" customWidth="1"/>
    <col min="788" max="788" width="13.28515625" style="24" bestFit="1" customWidth="1"/>
    <col min="789" max="789" width="3.140625" style="24" customWidth="1"/>
    <col min="790" max="790" width="5.42578125" style="24" bestFit="1" customWidth="1"/>
    <col min="791" max="791" width="4.42578125" style="24" bestFit="1" customWidth="1"/>
    <col min="792" max="792" width="6.42578125" style="24" customWidth="1"/>
    <col min="793" max="793" width="5" style="24" bestFit="1" customWidth="1"/>
    <col min="794" max="794" width="4.5703125" style="24" bestFit="1" customWidth="1"/>
    <col min="795" max="795" width="4.42578125" style="24" bestFit="1" customWidth="1"/>
    <col min="796" max="796" width="4" style="24" customWidth="1"/>
    <col min="797" max="1024" width="11.42578125" style="24"/>
    <col min="1025" max="1025" width="14.85546875" style="24" bestFit="1" customWidth="1"/>
    <col min="1026" max="1026" width="28" style="24" bestFit="1" customWidth="1"/>
    <col min="1027" max="1027" width="4.42578125" style="24" bestFit="1" customWidth="1"/>
    <col min="1028" max="1028" width="8" style="24" bestFit="1" customWidth="1"/>
    <col min="1029" max="1029" width="11.42578125" style="24"/>
    <col min="1030" max="1030" width="22.85546875" style="24" bestFit="1" customWidth="1"/>
    <col min="1031" max="1031" width="7" style="24" customWidth="1"/>
    <col min="1032" max="1032" width="6.28515625" style="24" customWidth="1"/>
    <col min="1033" max="1033" width="5.7109375" style="24" customWidth="1"/>
    <col min="1034" max="1034" width="5.7109375" style="24" bestFit="1" customWidth="1"/>
    <col min="1035" max="1035" width="5.85546875" style="24" bestFit="1" customWidth="1"/>
    <col min="1036" max="1036" width="9.42578125" style="24" customWidth="1"/>
    <col min="1037" max="1037" width="5.140625" style="24" customWidth="1"/>
    <col min="1038" max="1038" width="9.7109375" style="24" customWidth="1"/>
    <col min="1039" max="1039" width="6.7109375" style="24" bestFit="1" customWidth="1"/>
    <col min="1040" max="1040" width="4.85546875" style="24" customWidth="1"/>
    <col min="1041" max="1041" width="5.28515625" style="24" customWidth="1"/>
    <col min="1042" max="1043" width="4.42578125" style="24" bestFit="1" customWidth="1"/>
    <col min="1044" max="1044" width="13.28515625" style="24" bestFit="1" customWidth="1"/>
    <col min="1045" max="1045" width="3.140625" style="24" customWidth="1"/>
    <col min="1046" max="1046" width="5.42578125" style="24" bestFit="1" customWidth="1"/>
    <col min="1047" max="1047" width="4.42578125" style="24" bestFit="1" customWidth="1"/>
    <col min="1048" max="1048" width="6.42578125" style="24" customWidth="1"/>
    <col min="1049" max="1049" width="5" style="24" bestFit="1" customWidth="1"/>
    <col min="1050" max="1050" width="4.5703125" style="24" bestFit="1" customWidth="1"/>
    <col min="1051" max="1051" width="4.42578125" style="24" bestFit="1" customWidth="1"/>
    <col min="1052" max="1052" width="4" style="24" customWidth="1"/>
    <col min="1053" max="1280" width="11.42578125" style="24"/>
    <col min="1281" max="1281" width="14.85546875" style="24" bestFit="1" customWidth="1"/>
    <col min="1282" max="1282" width="28" style="24" bestFit="1" customWidth="1"/>
    <col min="1283" max="1283" width="4.42578125" style="24" bestFit="1" customWidth="1"/>
    <col min="1284" max="1284" width="8" style="24" bestFit="1" customWidth="1"/>
    <col min="1285" max="1285" width="11.42578125" style="24"/>
    <col min="1286" max="1286" width="22.85546875" style="24" bestFit="1" customWidth="1"/>
    <col min="1287" max="1287" width="7" style="24" customWidth="1"/>
    <col min="1288" max="1288" width="6.28515625" style="24" customWidth="1"/>
    <col min="1289" max="1289" width="5.7109375" style="24" customWidth="1"/>
    <col min="1290" max="1290" width="5.7109375" style="24" bestFit="1" customWidth="1"/>
    <col min="1291" max="1291" width="5.85546875" style="24" bestFit="1" customWidth="1"/>
    <col min="1292" max="1292" width="9.42578125" style="24" customWidth="1"/>
    <col min="1293" max="1293" width="5.140625" style="24" customWidth="1"/>
    <col min="1294" max="1294" width="9.7109375" style="24" customWidth="1"/>
    <col min="1295" max="1295" width="6.7109375" style="24" bestFit="1" customWidth="1"/>
    <col min="1296" max="1296" width="4.85546875" style="24" customWidth="1"/>
    <col min="1297" max="1297" width="5.28515625" style="24" customWidth="1"/>
    <col min="1298" max="1299" width="4.42578125" style="24" bestFit="1" customWidth="1"/>
    <col min="1300" max="1300" width="13.28515625" style="24" bestFit="1" customWidth="1"/>
    <col min="1301" max="1301" width="3.140625" style="24" customWidth="1"/>
    <col min="1302" max="1302" width="5.42578125" style="24" bestFit="1" customWidth="1"/>
    <col min="1303" max="1303" width="4.42578125" style="24" bestFit="1" customWidth="1"/>
    <col min="1304" max="1304" width="6.42578125" style="24" customWidth="1"/>
    <col min="1305" max="1305" width="5" style="24" bestFit="1" customWidth="1"/>
    <col min="1306" max="1306" width="4.5703125" style="24" bestFit="1" customWidth="1"/>
    <col min="1307" max="1307" width="4.42578125" style="24" bestFit="1" customWidth="1"/>
    <col min="1308" max="1308" width="4" style="24" customWidth="1"/>
    <col min="1309" max="1536" width="11.42578125" style="24"/>
    <col min="1537" max="1537" width="14.85546875" style="24" bestFit="1" customWidth="1"/>
    <col min="1538" max="1538" width="28" style="24" bestFit="1" customWidth="1"/>
    <col min="1539" max="1539" width="4.42578125" style="24" bestFit="1" customWidth="1"/>
    <col min="1540" max="1540" width="8" style="24" bestFit="1" customWidth="1"/>
    <col min="1541" max="1541" width="11.42578125" style="24"/>
    <col min="1542" max="1542" width="22.85546875" style="24" bestFit="1" customWidth="1"/>
    <col min="1543" max="1543" width="7" style="24" customWidth="1"/>
    <col min="1544" max="1544" width="6.28515625" style="24" customWidth="1"/>
    <col min="1545" max="1545" width="5.7109375" style="24" customWidth="1"/>
    <col min="1546" max="1546" width="5.7109375" style="24" bestFit="1" customWidth="1"/>
    <col min="1547" max="1547" width="5.85546875" style="24" bestFit="1" customWidth="1"/>
    <col min="1548" max="1548" width="9.42578125" style="24" customWidth="1"/>
    <col min="1549" max="1549" width="5.140625" style="24" customWidth="1"/>
    <col min="1550" max="1550" width="9.7109375" style="24" customWidth="1"/>
    <col min="1551" max="1551" width="6.7109375" style="24" bestFit="1" customWidth="1"/>
    <col min="1552" max="1552" width="4.85546875" style="24" customWidth="1"/>
    <col min="1553" max="1553" width="5.28515625" style="24" customWidth="1"/>
    <col min="1554" max="1555" width="4.42578125" style="24" bestFit="1" customWidth="1"/>
    <col min="1556" max="1556" width="13.28515625" style="24" bestFit="1" customWidth="1"/>
    <col min="1557" max="1557" width="3.140625" style="24" customWidth="1"/>
    <col min="1558" max="1558" width="5.42578125" style="24" bestFit="1" customWidth="1"/>
    <col min="1559" max="1559" width="4.42578125" style="24" bestFit="1" customWidth="1"/>
    <col min="1560" max="1560" width="6.42578125" style="24" customWidth="1"/>
    <col min="1561" max="1561" width="5" style="24" bestFit="1" customWidth="1"/>
    <col min="1562" max="1562" width="4.5703125" style="24" bestFit="1" customWidth="1"/>
    <col min="1563" max="1563" width="4.42578125" style="24" bestFit="1" customWidth="1"/>
    <col min="1564" max="1564" width="4" style="24" customWidth="1"/>
    <col min="1565" max="1792" width="11.42578125" style="24"/>
    <col min="1793" max="1793" width="14.85546875" style="24" bestFit="1" customWidth="1"/>
    <col min="1794" max="1794" width="28" style="24" bestFit="1" customWidth="1"/>
    <col min="1795" max="1795" width="4.42578125" style="24" bestFit="1" customWidth="1"/>
    <col min="1796" max="1796" width="8" style="24" bestFit="1" customWidth="1"/>
    <col min="1797" max="1797" width="11.42578125" style="24"/>
    <col min="1798" max="1798" width="22.85546875" style="24" bestFit="1" customWidth="1"/>
    <col min="1799" max="1799" width="7" style="24" customWidth="1"/>
    <col min="1800" max="1800" width="6.28515625" style="24" customWidth="1"/>
    <col min="1801" max="1801" width="5.7109375" style="24" customWidth="1"/>
    <col min="1802" max="1802" width="5.7109375" style="24" bestFit="1" customWidth="1"/>
    <col min="1803" max="1803" width="5.85546875" style="24" bestFit="1" customWidth="1"/>
    <col min="1804" max="1804" width="9.42578125" style="24" customWidth="1"/>
    <col min="1805" max="1805" width="5.140625" style="24" customWidth="1"/>
    <col min="1806" max="1806" width="9.7109375" style="24" customWidth="1"/>
    <col min="1807" max="1807" width="6.7109375" style="24" bestFit="1" customWidth="1"/>
    <col min="1808" max="1808" width="4.85546875" style="24" customWidth="1"/>
    <col min="1809" max="1809" width="5.28515625" style="24" customWidth="1"/>
    <col min="1810" max="1811" width="4.42578125" style="24" bestFit="1" customWidth="1"/>
    <col min="1812" max="1812" width="13.28515625" style="24" bestFit="1" customWidth="1"/>
    <col min="1813" max="1813" width="3.140625" style="24" customWidth="1"/>
    <col min="1814" max="1814" width="5.42578125" style="24" bestFit="1" customWidth="1"/>
    <col min="1815" max="1815" width="4.42578125" style="24" bestFit="1" customWidth="1"/>
    <col min="1816" max="1816" width="6.42578125" style="24" customWidth="1"/>
    <col min="1817" max="1817" width="5" style="24" bestFit="1" customWidth="1"/>
    <col min="1818" max="1818" width="4.5703125" style="24" bestFit="1" customWidth="1"/>
    <col min="1819" max="1819" width="4.42578125" style="24" bestFit="1" customWidth="1"/>
    <col min="1820" max="1820" width="4" style="24" customWidth="1"/>
    <col min="1821" max="2048" width="11.42578125" style="24"/>
    <col min="2049" max="2049" width="14.85546875" style="24" bestFit="1" customWidth="1"/>
    <col min="2050" max="2050" width="28" style="24" bestFit="1" customWidth="1"/>
    <col min="2051" max="2051" width="4.42578125" style="24" bestFit="1" customWidth="1"/>
    <col min="2052" max="2052" width="8" style="24" bestFit="1" customWidth="1"/>
    <col min="2053" max="2053" width="11.42578125" style="24"/>
    <col min="2054" max="2054" width="22.85546875" style="24" bestFit="1" customWidth="1"/>
    <col min="2055" max="2055" width="7" style="24" customWidth="1"/>
    <col min="2056" max="2056" width="6.28515625" style="24" customWidth="1"/>
    <col min="2057" max="2057" width="5.7109375" style="24" customWidth="1"/>
    <col min="2058" max="2058" width="5.7109375" style="24" bestFit="1" customWidth="1"/>
    <col min="2059" max="2059" width="5.85546875" style="24" bestFit="1" customWidth="1"/>
    <col min="2060" max="2060" width="9.42578125" style="24" customWidth="1"/>
    <col min="2061" max="2061" width="5.140625" style="24" customWidth="1"/>
    <col min="2062" max="2062" width="9.7109375" style="24" customWidth="1"/>
    <col min="2063" max="2063" width="6.7109375" style="24" bestFit="1" customWidth="1"/>
    <col min="2064" max="2064" width="4.85546875" style="24" customWidth="1"/>
    <col min="2065" max="2065" width="5.28515625" style="24" customWidth="1"/>
    <col min="2066" max="2067" width="4.42578125" style="24" bestFit="1" customWidth="1"/>
    <col min="2068" max="2068" width="13.28515625" style="24" bestFit="1" customWidth="1"/>
    <col min="2069" max="2069" width="3.140625" style="24" customWidth="1"/>
    <col min="2070" max="2070" width="5.42578125" style="24" bestFit="1" customWidth="1"/>
    <col min="2071" max="2071" width="4.42578125" style="24" bestFit="1" customWidth="1"/>
    <col min="2072" max="2072" width="6.42578125" style="24" customWidth="1"/>
    <col min="2073" max="2073" width="5" style="24" bestFit="1" customWidth="1"/>
    <col min="2074" max="2074" width="4.5703125" style="24" bestFit="1" customWidth="1"/>
    <col min="2075" max="2075" width="4.42578125" style="24" bestFit="1" customWidth="1"/>
    <col min="2076" max="2076" width="4" style="24" customWidth="1"/>
    <col min="2077" max="2304" width="11.42578125" style="24"/>
    <col min="2305" max="2305" width="14.85546875" style="24" bestFit="1" customWidth="1"/>
    <col min="2306" max="2306" width="28" style="24" bestFit="1" customWidth="1"/>
    <col min="2307" max="2307" width="4.42578125" style="24" bestFit="1" customWidth="1"/>
    <col min="2308" max="2308" width="8" style="24" bestFit="1" customWidth="1"/>
    <col min="2309" max="2309" width="11.42578125" style="24"/>
    <col min="2310" max="2310" width="22.85546875" style="24" bestFit="1" customWidth="1"/>
    <col min="2311" max="2311" width="7" style="24" customWidth="1"/>
    <col min="2312" max="2312" width="6.28515625" style="24" customWidth="1"/>
    <col min="2313" max="2313" width="5.7109375" style="24" customWidth="1"/>
    <col min="2314" max="2314" width="5.7109375" style="24" bestFit="1" customWidth="1"/>
    <col min="2315" max="2315" width="5.85546875" style="24" bestFit="1" customWidth="1"/>
    <col min="2316" max="2316" width="9.42578125" style="24" customWidth="1"/>
    <col min="2317" max="2317" width="5.140625" style="24" customWidth="1"/>
    <col min="2318" max="2318" width="9.7109375" style="24" customWidth="1"/>
    <col min="2319" max="2319" width="6.7109375" style="24" bestFit="1" customWidth="1"/>
    <col min="2320" max="2320" width="4.85546875" style="24" customWidth="1"/>
    <col min="2321" max="2321" width="5.28515625" style="24" customWidth="1"/>
    <col min="2322" max="2323" width="4.42578125" style="24" bestFit="1" customWidth="1"/>
    <col min="2324" max="2324" width="13.28515625" style="24" bestFit="1" customWidth="1"/>
    <col min="2325" max="2325" width="3.140625" style="24" customWidth="1"/>
    <col min="2326" max="2326" width="5.42578125" style="24" bestFit="1" customWidth="1"/>
    <col min="2327" max="2327" width="4.42578125" style="24" bestFit="1" customWidth="1"/>
    <col min="2328" max="2328" width="6.42578125" style="24" customWidth="1"/>
    <col min="2329" max="2329" width="5" style="24" bestFit="1" customWidth="1"/>
    <col min="2330" max="2330" width="4.5703125" style="24" bestFit="1" customWidth="1"/>
    <col min="2331" max="2331" width="4.42578125" style="24" bestFit="1" customWidth="1"/>
    <col min="2332" max="2332" width="4" style="24" customWidth="1"/>
    <col min="2333" max="2560" width="11.42578125" style="24"/>
    <col min="2561" max="2561" width="14.85546875" style="24" bestFit="1" customWidth="1"/>
    <col min="2562" max="2562" width="28" style="24" bestFit="1" customWidth="1"/>
    <col min="2563" max="2563" width="4.42578125" style="24" bestFit="1" customWidth="1"/>
    <col min="2564" max="2564" width="8" style="24" bestFit="1" customWidth="1"/>
    <col min="2565" max="2565" width="11.42578125" style="24"/>
    <col min="2566" max="2566" width="22.85546875" style="24" bestFit="1" customWidth="1"/>
    <col min="2567" max="2567" width="7" style="24" customWidth="1"/>
    <col min="2568" max="2568" width="6.28515625" style="24" customWidth="1"/>
    <col min="2569" max="2569" width="5.7109375" style="24" customWidth="1"/>
    <col min="2570" max="2570" width="5.7109375" style="24" bestFit="1" customWidth="1"/>
    <col min="2571" max="2571" width="5.85546875" style="24" bestFit="1" customWidth="1"/>
    <col min="2572" max="2572" width="9.42578125" style="24" customWidth="1"/>
    <col min="2573" max="2573" width="5.140625" style="24" customWidth="1"/>
    <col min="2574" max="2574" width="9.7109375" style="24" customWidth="1"/>
    <col min="2575" max="2575" width="6.7109375" style="24" bestFit="1" customWidth="1"/>
    <col min="2576" max="2576" width="4.85546875" style="24" customWidth="1"/>
    <col min="2577" max="2577" width="5.28515625" style="24" customWidth="1"/>
    <col min="2578" max="2579" width="4.42578125" style="24" bestFit="1" customWidth="1"/>
    <col min="2580" max="2580" width="13.28515625" style="24" bestFit="1" customWidth="1"/>
    <col min="2581" max="2581" width="3.140625" style="24" customWidth="1"/>
    <col min="2582" max="2582" width="5.42578125" style="24" bestFit="1" customWidth="1"/>
    <col min="2583" max="2583" width="4.42578125" style="24" bestFit="1" customWidth="1"/>
    <col min="2584" max="2584" width="6.42578125" style="24" customWidth="1"/>
    <col min="2585" max="2585" width="5" style="24" bestFit="1" customWidth="1"/>
    <col min="2586" max="2586" width="4.5703125" style="24" bestFit="1" customWidth="1"/>
    <col min="2587" max="2587" width="4.42578125" style="24" bestFit="1" customWidth="1"/>
    <col min="2588" max="2588" width="4" style="24" customWidth="1"/>
    <col min="2589" max="2816" width="11.42578125" style="24"/>
    <col min="2817" max="2817" width="14.85546875" style="24" bestFit="1" customWidth="1"/>
    <col min="2818" max="2818" width="28" style="24" bestFit="1" customWidth="1"/>
    <col min="2819" max="2819" width="4.42578125" style="24" bestFit="1" customWidth="1"/>
    <col min="2820" max="2820" width="8" style="24" bestFit="1" customWidth="1"/>
    <col min="2821" max="2821" width="11.42578125" style="24"/>
    <col min="2822" max="2822" width="22.85546875" style="24" bestFit="1" customWidth="1"/>
    <col min="2823" max="2823" width="7" style="24" customWidth="1"/>
    <col min="2824" max="2824" width="6.28515625" style="24" customWidth="1"/>
    <col min="2825" max="2825" width="5.7109375" style="24" customWidth="1"/>
    <col min="2826" max="2826" width="5.7109375" style="24" bestFit="1" customWidth="1"/>
    <col min="2827" max="2827" width="5.85546875" style="24" bestFit="1" customWidth="1"/>
    <col min="2828" max="2828" width="9.42578125" style="24" customWidth="1"/>
    <col min="2829" max="2829" width="5.140625" style="24" customWidth="1"/>
    <col min="2830" max="2830" width="9.7109375" style="24" customWidth="1"/>
    <col min="2831" max="2831" width="6.7109375" style="24" bestFit="1" customWidth="1"/>
    <col min="2832" max="2832" width="4.85546875" style="24" customWidth="1"/>
    <col min="2833" max="2833" width="5.28515625" style="24" customWidth="1"/>
    <col min="2834" max="2835" width="4.42578125" style="24" bestFit="1" customWidth="1"/>
    <col min="2836" max="2836" width="13.28515625" style="24" bestFit="1" customWidth="1"/>
    <col min="2837" max="2837" width="3.140625" style="24" customWidth="1"/>
    <col min="2838" max="2838" width="5.42578125" style="24" bestFit="1" customWidth="1"/>
    <col min="2839" max="2839" width="4.42578125" style="24" bestFit="1" customWidth="1"/>
    <col min="2840" max="2840" width="6.42578125" style="24" customWidth="1"/>
    <col min="2841" max="2841" width="5" style="24" bestFit="1" customWidth="1"/>
    <col min="2842" max="2842" width="4.5703125" style="24" bestFit="1" customWidth="1"/>
    <col min="2843" max="2843" width="4.42578125" style="24" bestFit="1" customWidth="1"/>
    <col min="2844" max="2844" width="4" style="24" customWidth="1"/>
    <col min="2845" max="3072" width="11.42578125" style="24"/>
    <col min="3073" max="3073" width="14.85546875" style="24" bestFit="1" customWidth="1"/>
    <col min="3074" max="3074" width="28" style="24" bestFit="1" customWidth="1"/>
    <col min="3075" max="3075" width="4.42578125" style="24" bestFit="1" customWidth="1"/>
    <col min="3076" max="3076" width="8" style="24" bestFit="1" customWidth="1"/>
    <col min="3077" max="3077" width="11.42578125" style="24"/>
    <col min="3078" max="3078" width="22.85546875" style="24" bestFit="1" customWidth="1"/>
    <col min="3079" max="3079" width="7" style="24" customWidth="1"/>
    <col min="3080" max="3080" width="6.28515625" style="24" customWidth="1"/>
    <col min="3081" max="3081" width="5.7109375" style="24" customWidth="1"/>
    <col min="3082" max="3082" width="5.7109375" style="24" bestFit="1" customWidth="1"/>
    <col min="3083" max="3083" width="5.85546875" style="24" bestFit="1" customWidth="1"/>
    <col min="3084" max="3084" width="9.42578125" style="24" customWidth="1"/>
    <col min="3085" max="3085" width="5.140625" style="24" customWidth="1"/>
    <col min="3086" max="3086" width="9.7109375" style="24" customWidth="1"/>
    <col min="3087" max="3087" width="6.7109375" style="24" bestFit="1" customWidth="1"/>
    <col min="3088" max="3088" width="4.85546875" style="24" customWidth="1"/>
    <col min="3089" max="3089" width="5.28515625" style="24" customWidth="1"/>
    <col min="3090" max="3091" width="4.42578125" style="24" bestFit="1" customWidth="1"/>
    <col min="3092" max="3092" width="13.28515625" style="24" bestFit="1" customWidth="1"/>
    <col min="3093" max="3093" width="3.140625" style="24" customWidth="1"/>
    <col min="3094" max="3094" width="5.42578125" style="24" bestFit="1" customWidth="1"/>
    <col min="3095" max="3095" width="4.42578125" style="24" bestFit="1" customWidth="1"/>
    <col min="3096" max="3096" width="6.42578125" style="24" customWidth="1"/>
    <col min="3097" max="3097" width="5" style="24" bestFit="1" customWidth="1"/>
    <col min="3098" max="3098" width="4.5703125" style="24" bestFit="1" customWidth="1"/>
    <col min="3099" max="3099" width="4.42578125" style="24" bestFit="1" customWidth="1"/>
    <col min="3100" max="3100" width="4" style="24" customWidth="1"/>
    <col min="3101" max="3328" width="11.42578125" style="24"/>
    <col min="3329" max="3329" width="14.85546875" style="24" bestFit="1" customWidth="1"/>
    <col min="3330" max="3330" width="28" style="24" bestFit="1" customWidth="1"/>
    <col min="3331" max="3331" width="4.42578125" style="24" bestFit="1" customWidth="1"/>
    <col min="3332" max="3332" width="8" style="24" bestFit="1" customWidth="1"/>
    <col min="3333" max="3333" width="11.42578125" style="24"/>
    <col min="3334" max="3334" width="22.85546875" style="24" bestFit="1" customWidth="1"/>
    <col min="3335" max="3335" width="7" style="24" customWidth="1"/>
    <col min="3336" max="3336" width="6.28515625" style="24" customWidth="1"/>
    <col min="3337" max="3337" width="5.7109375" style="24" customWidth="1"/>
    <col min="3338" max="3338" width="5.7109375" style="24" bestFit="1" customWidth="1"/>
    <col min="3339" max="3339" width="5.85546875" style="24" bestFit="1" customWidth="1"/>
    <col min="3340" max="3340" width="9.42578125" style="24" customWidth="1"/>
    <col min="3341" max="3341" width="5.140625" style="24" customWidth="1"/>
    <col min="3342" max="3342" width="9.7109375" style="24" customWidth="1"/>
    <col min="3343" max="3343" width="6.7109375" style="24" bestFit="1" customWidth="1"/>
    <col min="3344" max="3344" width="4.85546875" style="24" customWidth="1"/>
    <col min="3345" max="3345" width="5.28515625" style="24" customWidth="1"/>
    <col min="3346" max="3347" width="4.42578125" style="24" bestFit="1" customWidth="1"/>
    <col min="3348" max="3348" width="13.28515625" style="24" bestFit="1" customWidth="1"/>
    <col min="3349" max="3349" width="3.140625" style="24" customWidth="1"/>
    <col min="3350" max="3350" width="5.42578125" style="24" bestFit="1" customWidth="1"/>
    <col min="3351" max="3351" width="4.42578125" style="24" bestFit="1" customWidth="1"/>
    <col min="3352" max="3352" width="6.42578125" style="24" customWidth="1"/>
    <col min="3353" max="3353" width="5" style="24" bestFit="1" customWidth="1"/>
    <col min="3354" max="3354" width="4.5703125" style="24" bestFit="1" customWidth="1"/>
    <col min="3355" max="3355" width="4.42578125" style="24" bestFit="1" customWidth="1"/>
    <col min="3356" max="3356" width="4" style="24" customWidth="1"/>
    <col min="3357" max="3584" width="11.42578125" style="24"/>
    <col min="3585" max="3585" width="14.85546875" style="24" bestFit="1" customWidth="1"/>
    <col min="3586" max="3586" width="28" style="24" bestFit="1" customWidth="1"/>
    <col min="3587" max="3587" width="4.42578125" style="24" bestFit="1" customWidth="1"/>
    <col min="3588" max="3588" width="8" style="24" bestFit="1" customWidth="1"/>
    <col min="3589" max="3589" width="11.42578125" style="24"/>
    <col min="3590" max="3590" width="22.85546875" style="24" bestFit="1" customWidth="1"/>
    <col min="3591" max="3591" width="7" style="24" customWidth="1"/>
    <col min="3592" max="3592" width="6.28515625" style="24" customWidth="1"/>
    <col min="3593" max="3593" width="5.7109375" style="24" customWidth="1"/>
    <col min="3594" max="3594" width="5.7109375" style="24" bestFit="1" customWidth="1"/>
    <col min="3595" max="3595" width="5.85546875" style="24" bestFit="1" customWidth="1"/>
    <col min="3596" max="3596" width="9.42578125" style="24" customWidth="1"/>
    <col min="3597" max="3597" width="5.140625" style="24" customWidth="1"/>
    <col min="3598" max="3598" width="9.7109375" style="24" customWidth="1"/>
    <col min="3599" max="3599" width="6.7109375" style="24" bestFit="1" customWidth="1"/>
    <col min="3600" max="3600" width="4.85546875" style="24" customWidth="1"/>
    <col min="3601" max="3601" width="5.28515625" style="24" customWidth="1"/>
    <col min="3602" max="3603" width="4.42578125" style="24" bestFit="1" customWidth="1"/>
    <col min="3604" max="3604" width="13.28515625" style="24" bestFit="1" customWidth="1"/>
    <col min="3605" max="3605" width="3.140625" style="24" customWidth="1"/>
    <col min="3606" max="3606" width="5.42578125" style="24" bestFit="1" customWidth="1"/>
    <col min="3607" max="3607" width="4.42578125" style="24" bestFit="1" customWidth="1"/>
    <col min="3608" max="3608" width="6.42578125" style="24" customWidth="1"/>
    <col min="3609" max="3609" width="5" style="24" bestFit="1" customWidth="1"/>
    <col min="3610" max="3610" width="4.5703125" style="24" bestFit="1" customWidth="1"/>
    <col min="3611" max="3611" width="4.42578125" style="24" bestFit="1" customWidth="1"/>
    <col min="3612" max="3612" width="4" style="24" customWidth="1"/>
    <col min="3613" max="3840" width="11.42578125" style="24"/>
    <col min="3841" max="3841" width="14.85546875" style="24" bestFit="1" customWidth="1"/>
    <col min="3842" max="3842" width="28" style="24" bestFit="1" customWidth="1"/>
    <col min="3843" max="3843" width="4.42578125" style="24" bestFit="1" customWidth="1"/>
    <col min="3844" max="3844" width="8" style="24" bestFit="1" customWidth="1"/>
    <col min="3845" max="3845" width="11.42578125" style="24"/>
    <col min="3846" max="3846" width="22.85546875" style="24" bestFit="1" customWidth="1"/>
    <col min="3847" max="3847" width="7" style="24" customWidth="1"/>
    <col min="3848" max="3848" width="6.28515625" style="24" customWidth="1"/>
    <col min="3849" max="3849" width="5.7109375" style="24" customWidth="1"/>
    <col min="3850" max="3850" width="5.7109375" style="24" bestFit="1" customWidth="1"/>
    <col min="3851" max="3851" width="5.85546875" style="24" bestFit="1" customWidth="1"/>
    <col min="3852" max="3852" width="9.42578125" style="24" customWidth="1"/>
    <col min="3853" max="3853" width="5.140625" style="24" customWidth="1"/>
    <col min="3854" max="3854" width="9.7109375" style="24" customWidth="1"/>
    <col min="3855" max="3855" width="6.7109375" style="24" bestFit="1" customWidth="1"/>
    <col min="3856" max="3856" width="4.85546875" style="24" customWidth="1"/>
    <col min="3857" max="3857" width="5.28515625" style="24" customWidth="1"/>
    <col min="3858" max="3859" width="4.42578125" style="24" bestFit="1" customWidth="1"/>
    <col min="3860" max="3860" width="13.28515625" style="24" bestFit="1" customWidth="1"/>
    <col min="3861" max="3861" width="3.140625" style="24" customWidth="1"/>
    <col min="3862" max="3862" width="5.42578125" style="24" bestFit="1" customWidth="1"/>
    <col min="3863" max="3863" width="4.42578125" style="24" bestFit="1" customWidth="1"/>
    <col min="3864" max="3864" width="6.42578125" style="24" customWidth="1"/>
    <col min="3865" max="3865" width="5" style="24" bestFit="1" customWidth="1"/>
    <col min="3866" max="3866" width="4.5703125" style="24" bestFit="1" customWidth="1"/>
    <col min="3867" max="3867" width="4.42578125" style="24" bestFit="1" customWidth="1"/>
    <col min="3868" max="3868" width="4" style="24" customWidth="1"/>
    <col min="3869" max="4096" width="11.42578125" style="24"/>
    <col min="4097" max="4097" width="14.85546875" style="24" bestFit="1" customWidth="1"/>
    <col min="4098" max="4098" width="28" style="24" bestFit="1" customWidth="1"/>
    <col min="4099" max="4099" width="4.42578125" style="24" bestFit="1" customWidth="1"/>
    <col min="4100" max="4100" width="8" style="24" bestFit="1" customWidth="1"/>
    <col min="4101" max="4101" width="11.42578125" style="24"/>
    <col min="4102" max="4102" width="22.85546875" style="24" bestFit="1" customWidth="1"/>
    <col min="4103" max="4103" width="7" style="24" customWidth="1"/>
    <col min="4104" max="4104" width="6.28515625" style="24" customWidth="1"/>
    <col min="4105" max="4105" width="5.7109375" style="24" customWidth="1"/>
    <col min="4106" max="4106" width="5.7109375" style="24" bestFit="1" customWidth="1"/>
    <col min="4107" max="4107" width="5.85546875" style="24" bestFit="1" customWidth="1"/>
    <col min="4108" max="4108" width="9.42578125" style="24" customWidth="1"/>
    <col min="4109" max="4109" width="5.140625" style="24" customWidth="1"/>
    <col min="4110" max="4110" width="9.7109375" style="24" customWidth="1"/>
    <col min="4111" max="4111" width="6.7109375" style="24" bestFit="1" customWidth="1"/>
    <col min="4112" max="4112" width="4.85546875" style="24" customWidth="1"/>
    <col min="4113" max="4113" width="5.28515625" style="24" customWidth="1"/>
    <col min="4114" max="4115" width="4.42578125" style="24" bestFit="1" customWidth="1"/>
    <col min="4116" max="4116" width="13.28515625" style="24" bestFit="1" customWidth="1"/>
    <col min="4117" max="4117" width="3.140625" style="24" customWidth="1"/>
    <col min="4118" max="4118" width="5.42578125" style="24" bestFit="1" customWidth="1"/>
    <col min="4119" max="4119" width="4.42578125" style="24" bestFit="1" customWidth="1"/>
    <col min="4120" max="4120" width="6.42578125" style="24" customWidth="1"/>
    <col min="4121" max="4121" width="5" style="24" bestFit="1" customWidth="1"/>
    <col min="4122" max="4122" width="4.5703125" style="24" bestFit="1" customWidth="1"/>
    <col min="4123" max="4123" width="4.42578125" style="24" bestFit="1" customWidth="1"/>
    <col min="4124" max="4124" width="4" style="24" customWidth="1"/>
    <col min="4125" max="4352" width="11.42578125" style="24"/>
    <col min="4353" max="4353" width="14.85546875" style="24" bestFit="1" customWidth="1"/>
    <col min="4354" max="4354" width="28" style="24" bestFit="1" customWidth="1"/>
    <col min="4355" max="4355" width="4.42578125" style="24" bestFit="1" customWidth="1"/>
    <col min="4356" max="4356" width="8" style="24" bestFit="1" customWidth="1"/>
    <col min="4357" max="4357" width="11.42578125" style="24"/>
    <col min="4358" max="4358" width="22.85546875" style="24" bestFit="1" customWidth="1"/>
    <col min="4359" max="4359" width="7" style="24" customWidth="1"/>
    <col min="4360" max="4360" width="6.28515625" style="24" customWidth="1"/>
    <col min="4361" max="4361" width="5.7109375" style="24" customWidth="1"/>
    <col min="4362" max="4362" width="5.7109375" style="24" bestFit="1" customWidth="1"/>
    <col min="4363" max="4363" width="5.85546875" style="24" bestFit="1" customWidth="1"/>
    <col min="4364" max="4364" width="9.42578125" style="24" customWidth="1"/>
    <col min="4365" max="4365" width="5.140625" style="24" customWidth="1"/>
    <col min="4366" max="4366" width="9.7109375" style="24" customWidth="1"/>
    <col min="4367" max="4367" width="6.7109375" style="24" bestFit="1" customWidth="1"/>
    <col min="4368" max="4368" width="4.85546875" style="24" customWidth="1"/>
    <col min="4369" max="4369" width="5.28515625" style="24" customWidth="1"/>
    <col min="4370" max="4371" width="4.42578125" style="24" bestFit="1" customWidth="1"/>
    <col min="4372" max="4372" width="13.28515625" style="24" bestFit="1" customWidth="1"/>
    <col min="4373" max="4373" width="3.140625" style="24" customWidth="1"/>
    <col min="4374" max="4374" width="5.42578125" style="24" bestFit="1" customWidth="1"/>
    <col min="4375" max="4375" width="4.42578125" style="24" bestFit="1" customWidth="1"/>
    <col min="4376" max="4376" width="6.42578125" style="24" customWidth="1"/>
    <col min="4377" max="4377" width="5" style="24" bestFit="1" customWidth="1"/>
    <col min="4378" max="4378" width="4.5703125" style="24" bestFit="1" customWidth="1"/>
    <col min="4379" max="4379" width="4.42578125" style="24" bestFit="1" customWidth="1"/>
    <col min="4380" max="4380" width="4" style="24" customWidth="1"/>
    <col min="4381" max="4608" width="11.42578125" style="24"/>
    <col min="4609" max="4609" width="14.85546875" style="24" bestFit="1" customWidth="1"/>
    <col min="4610" max="4610" width="28" style="24" bestFit="1" customWidth="1"/>
    <col min="4611" max="4611" width="4.42578125" style="24" bestFit="1" customWidth="1"/>
    <col min="4612" max="4612" width="8" style="24" bestFit="1" customWidth="1"/>
    <col min="4613" max="4613" width="11.42578125" style="24"/>
    <col min="4614" max="4614" width="22.85546875" style="24" bestFit="1" customWidth="1"/>
    <col min="4615" max="4615" width="7" style="24" customWidth="1"/>
    <col min="4616" max="4616" width="6.28515625" style="24" customWidth="1"/>
    <col min="4617" max="4617" width="5.7109375" style="24" customWidth="1"/>
    <col min="4618" max="4618" width="5.7109375" style="24" bestFit="1" customWidth="1"/>
    <col min="4619" max="4619" width="5.85546875" style="24" bestFit="1" customWidth="1"/>
    <col min="4620" max="4620" width="9.42578125" style="24" customWidth="1"/>
    <col min="4621" max="4621" width="5.140625" style="24" customWidth="1"/>
    <col min="4622" max="4622" width="9.7109375" style="24" customWidth="1"/>
    <col min="4623" max="4623" width="6.7109375" style="24" bestFit="1" customWidth="1"/>
    <col min="4624" max="4624" width="4.85546875" style="24" customWidth="1"/>
    <col min="4625" max="4625" width="5.28515625" style="24" customWidth="1"/>
    <col min="4626" max="4627" width="4.42578125" style="24" bestFit="1" customWidth="1"/>
    <col min="4628" max="4628" width="13.28515625" style="24" bestFit="1" customWidth="1"/>
    <col min="4629" max="4629" width="3.140625" style="24" customWidth="1"/>
    <col min="4630" max="4630" width="5.42578125" style="24" bestFit="1" customWidth="1"/>
    <col min="4631" max="4631" width="4.42578125" style="24" bestFit="1" customWidth="1"/>
    <col min="4632" max="4632" width="6.42578125" style="24" customWidth="1"/>
    <col min="4633" max="4633" width="5" style="24" bestFit="1" customWidth="1"/>
    <col min="4634" max="4634" width="4.5703125" style="24" bestFit="1" customWidth="1"/>
    <col min="4635" max="4635" width="4.42578125" style="24" bestFit="1" customWidth="1"/>
    <col min="4636" max="4636" width="4" style="24" customWidth="1"/>
    <col min="4637" max="4864" width="11.42578125" style="24"/>
    <col min="4865" max="4865" width="14.85546875" style="24" bestFit="1" customWidth="1"/>
    <col min="4866" max="4866" width="28" style="24" bestFit="1" customWidth="1"/>
    <col min="4867" max="4867" width="4.42578125" style="24" bestFit="1" customWidth="1"/>
    <col min="4868" max="4868" width="8" style="24" bestFit="1" customWidth="1"/>
    <col min="4869" max="4869" width="11.42578125" style="24"/>
    <col min="4870" max="4870" width="22.85546875" style="24" bestFit="1" customWidth="1"/>
    <col min="4871" max="4871" width="7" style="24" customWidth="1"/>
    <col min="4872" max="4872" width="6.28515625" style="24" customWidth="1"/>
    <col min="4873" max="4873" width="5.7109375" style="24" customWidth="1"/>
    <col min="4874" max="4874" width="5.7109375" style="24" bestFit="1" customWidth="1"/>
    <col min="4875" max="4875" width="5.85546875" style="24" bestFit="1" customWidth="1"/>
    <col min="4876" max="4876" width="9.42578125" style="24" customWidth="1"/>
    <col min="4877" max="4877" width="5.140625" style="24" customWidth="1"/>
    <col min="4878" max="4878" width="9.7109375" style="24" customWidth="1"/>
    <col min="4879" max="4879" width="6.7109375" style="24" bestFit="1" customWidth="1"/>
    <col min="4880" max="4880" width="4.85546875" style="24" customWidth="1"/>
    <col min="4881" max="4881" width="5.28515625" style="24" customWidth="1"/>
    <col min="4882" max="4883" width="4.42578125" style="24" bestFit="1" customWidth="1"/>
    <col min="4884" max="4884" width="13.28515625" style="24" bestFit="1" customWidth="1"/>
    <col min="4885" max="4885" width="3.140625" style="24" customWidth="1"/>
    <col min="4886" max="4886" width="5.42578125" style="24" bestFit="1" customWidth="1"/>
    <col min="4887" max="4887" width="4.42578125" style="24" bestFit="1" customWidth="1"/>
    <col min="4888" max="4888" width="6.42578125" style="24" customWidth="1"/>
    <col min="4889" max="4889" width="5" style="24" bestFit="1" customWidth="1"/>
    <col min="4890" max="4890" width="4.5703125" style="24" bestFit="1" customWidth="1"/>
    <col min="4891" max="4891" width="4.42578125" style="24" bestFit="1" customWidth="1"/>
    <col min="4892" max="4892" width="4" style="24" customWidth="1"/>
    <col min="4893" max="5120" width="11.42578125" style="24"/>
    <col min="5121" max="5121" width="14.85546875" style="24" bestFit="1" customWidth="1"/>
    <col min="5122" max="5122" width="28" style="24" bestFit="1" customWidth="1"/>
    <col min="5123" max="5123" width="4.42578125" style="24" bestFit="1" customWidth="1"/>
    <col min="5124" max="5124" width="8" style="24" bestFit="1" customWidth="1"/>
    <col min="5125" max="5125" width="11.42578125" style="24"/>
    <col min="5126" max="5126" width="22.85546875" style="24" bestFit="1" customWidth="1"/>
    <col min="5127" max="5127" width="7" style="24" customWidth="1"/>
    <col min="5128" max="5128" width="6.28515625" style="24" customWidth="1"/>
    <col min="5129" max="5129" width="5.7109375" style="24" customWidth="1"/>
    <col min="5130" max="5130" width="5.7109375" style="24" bestFit="1" customWidth="1"/>
    <col min="5131" max="5131" width="5.85546875" style="24" bestFit="1" customWidth="1"/>
    <col min="5132" max="5132" width="9.42578125" style="24" customWidth="1"/>
    <col min="5133" max="5133" width="5.140625" style="24" customWidth="1"/>
    <col min="5134" max="5134" width="9.7109375" style="24" customWidth="1"/>
    <col min="5135" max="5135" width="6.7109375" style="24" bestFit="1" customWidth="1"/>
    <col min="5136" max="5136" width="4.85546875" style="24" customWidth="1"/>
    <col min="5137" max="5137" width="5.28515625" style="24" customWidth="1"/>
    <col min="5138" max="5139" width="4.42578125" style="24" bestFit="1" customWidth="1"/>
    <col min="5140" max="5140" width="13.28515625" style="24" bestFit="1" customWidth="1"/>
    <col min="5141" max="5141" width="3.140625" style="24" customWidth="1"/>
    <col min="5142" max="5142" width="5.42578125" style="24" bestFit="1" customWidth="1"/>
    <col min="5143" max="5143" width="4.42578125" style="24" bestFit="1" customWidth="1"/>
    <col min="5144" max="5144" width="6.42578125" style="24" customWidth="1"/>
    <col min="5145" max="5145" width="5" style="24" bestFit="1" customWidth="1"/>
    <col min="5146" max="5146" width="4.5703125" style="24" bestFit="1" customWidth="1"/>
    <col min="5147" max="5147" width="4.42578125" style="24" bestFit="1" customWidth="1"/>
    <col min="5148" max="5148" width="4" style="24" customWidth="1"/>
    <col min="5149" max="5376" width="11.42578125" style="24"/>
    <col min="5377" max="5377" width="14.85546875" style="24" bestFit="1" customWidth="1"/>
    <col min="5378" max="5378" width="28" style="24" bestFit="1" customWidth="1"/>
    <col min="5379" max="5379" width="4.42578125" style="24" bestFit="1" customWidth="1"/>
    <col min="5380" max="5380" width="8" style="24" bestFit="1" customWidth="1"/>
    <col min="5381" max="5381" width="11.42578125" style="24"/>
    <col min="5382" max="5382" width="22.85546875" style="24" bestFit="1" customWidth="1"/>
    <col min="5383" max="5383" width="7" style="24" customWidth="1"/>
    <col min="5384" max="5384" width="6.28515625" style="24" customWidth="1"/>
    <col min="5385" max="5385" width="5.7109375" style="24" customWidth="1"/>
    <col min="5386" max="5386" width="5.7109375" style="24" bestFit="1" customWidth="1"/>
    <col min="5387" max="5387" width="5.85546875" style="24" bestFit="1" customWidth="1"/>
    <col min="5388" max="5388" width="9.42578125" style="24" customWidth="1"/>
    <col min="5389" max="5389" width="5.140625" style="24" customWidth="1"/>
    <col min="5390" max="5390" width="9.7109375" style="24" customWidth="1"/>
    <col min="5391" max="5391" width="6.7109375" style="24" bestFit="1" customWidth="1"/>
    <col min="5392" max="5392" width="4.85546875" style="24" customWidth="1"/>
    <col min="5393" max="5393" width="5.28515625" style="24" customWidth="1"/>
    <col min="5394" max="5395" width="4.42578125" style="24" bestFit="1" customWidth="1"/>
    <col min="5396" max="5396" width="13.28515625" style="24" bestFit="1" customWidth="1"/>
    <col min="5397" max="5397" width="3.140625" style="24" customWidth="1"/>
    <col min="5398" max="5398" width="5.42578125" style="24" bestFit="1" customWidth="1"/>
    <col min="5399" max="5399" width="4.42578125" style="24" bestFit="1" customWidth="1"/>
    <col min="5400" max="5400" width="6.42578125" style="24" customWidth="1"/>
    <col min="5401" max="5401" width="5" style="24" bestFit="1" customWidth="1"/>
    <col min="5402" max="5402" width="4.5703125" style="24" bestFit="1" customWidth="1"/>
    <col min="5403" max="5403" width="4.42578125" style="24" bestFit="1" customWidth="1"/>
    <col min="5404" max="5404" width="4" style="24" customWidth="1"/>
    <col min="5405" max="5632" width="11.42578125" style="24"/>
    <col min="5633" max="5633" width="14.85546875" style="24" bestFit="1" customWidth="1"/>
    <col min="5634" max="5634" width="28" style="24" bestFit="1" customWidth="1"/>
    <col min="5635" max="5635" width="4.42578125" style="24" bestFit="1" customWidth="1"/>
    <col min="5636" max="5636" width="8" style="24" bestFit="1" customWidth="1"/>
    <col min="5637" max="5637" width="11.42578125" style="24"/>
    <col min="5638" max="5638" width="22.85546875" style="24" bestFit="1" customWidth="1"/>
    <col min="5639" max="5639" width="7" style="24" customWidth="1"/>
    <col min="5640" max="5640" width="6.28515625" style="24" customWidth="1"/>
    <col min="5641" max="5641" width="5.7109375" style="24" customWidth="1"/>
    <col min="5642" max="5642" width="5.7109375" style="24" bestFit="1" customWidth="1"/>
    <col min="5643" max="5643" width="5.85546875" style="24" bestFit="1" customWidth="1"/>
    <col min="5644" max="5644" width="9.42578125" style="24" customWidth="1"/>
    <col min="5645" max="5645" width="5.140625" style="24" customWidth="1"/>
    <col min="5646" max="5646" width="9.7109375" style="24" customWidth="1"/>
    <col min="5647" max="5647" width="6.7109375" style="24" bestFit="1" customWidth="1"/>
    <col min="5648" max="5648" width="4.85546875" style="24" customWidth="1"/>
    <col min="5649" max="5649" width="5.28515625" style="24" customWidth="1"/>
    <col min="5650" max="5651" width="4.42578125" style="24" bestFit="1" customWidth="1"/>
    <col min="5652" max="5652" width="13.28515625" style="24" bestFit="1" customWidth="1"/>
    <col min="5653" max="5653" width="3.140625" style="24" customWidth="1"/>
    <col min="5654" max="5654" width="5.42578125" style="24" bestFit="1" customWidth="1"/>
    <col min="5655" max="5655" width="4.42578125" style="24" bestFit="1" customWidth="1"/>
    <col min="5656" max="5656" width="6.42578125" style="24" customWidth="1"/>
    <col min="5657" max="5657" width="5" style="24" bestFit="1" customWidth="1"/>
    <col min="5658" max="5658" width="4.5703125" style="24" bestFit="1" customWidth="1"/>
    <col min="5659" max="5659" width="4.42578125" style="24" bestFit="1" customWidth="1"/>
    <col min="5660" max="5660" width="4" style="24" customWidth="1"/>
    <col min="5661" max="5888" width="11.42578125" style="24"/>
    <col min="5889" max="5889" width="14.85546875" style="24" bestFit="1" customWidth="1"/>
    <col min="5890" max="5890" width="28" style="24" bestFit="1" customWidth="1"/>
    <col min="5891" max="5891" width="4.42578125" style="24" bestFit="1" customWidth="1"/>
    <col min="5892" max="5892" width="8" style="24" bestFit="1" customWidth="1"/>
    <col min="5893" max="5893" width="11.42578125" style="24"/>
    <col min="5894" max="5894" width="22.85546875" style="24" bestFit="1" customWidth="1"/>
    <col min="5895" max="5895" width="7" style="24" customWidth="1"/>
    <col min="5896" max="5896" width="6.28515625" style="24" customWidth="1"/>
    <col min="5897" max="5897" width="5.7109375" style="24" customWidth="1"/>
    <col min="5898" max="5898" width="5.7109375" style="24" bestFit="1" customWidth="1"/>
    <col min="5899" max="5899" width="5.85546875" style="24" bestFit="1" customWidth="1"/>
    <col min="5900" max="5900" width="9.42578125" style="24" customWidth="1"/>
    <col min="5901" max="5901" width="5.140625" style="24" customWidth="1"/>
    <col min="5902" max="5902" width="9.7109375" style="24" customWidth="1"/>
    <col min="5903" max="5903" width="6.7109375" style="24" bestFit="1" customWidth="1"/>
    <col min="5904" max="5904" width="4.85546875" style="24" customWidth="1"/>
    <col min="5905" max="5905" width="5.28515625" style="24" customWidth="1"/>
    <col min="5906" max="5907" width="4.42578125" style="24" bestFit="1" customWidth="1"/>
    <col min="5908" max="5908" width="13.28515625" style="24" bestFit="1" customWidth="1"/>
    <col min="5909" max="5909" width="3.140625" style="24" customWidth="1"/>
    <col min="5910" max="5910" width="5.42578125" style="24" bestFit="1" customWidth="1"/>
    <col min="5911" max="5911" width="4.42578125" style="24" bestFit="1" customWidth="1"/>
    <col min="5912" max="5912" width="6.42578125" style="24" customWidth="1"/>
    <col min="5913" max="5913" width="5" style="24" bestFit="1" customWidth="1"/>
    <col min="5914" max="5914" width="4.5703125" style="24" bestFit="1" customWidth="1"/>
    <col min="5915" max="5915" width="4.42578125" style="24" bestFit="1" customWidth="1"/>
    <col min="5916" max="5916" width="4" style="24" customWidth="1"/>
    <col min="5917" max="6144" width="11.42578125" style="24"/>
    <col min="6145" max="6145" width="14.85546875" style="24" bestFit="1" customWidth="1"/>
    <col min="6146" max="6146" width="28" style="24" bestFit="1" customWidth="1"/>
    <col min="6147" max="6147" width="4.42578125" style="24" bestFit="1" customWidth="1"/>
    <col min="6148" max="6148" width="8" style="24" bestFit="1" customWidth="1"/>
    <col min="6149" max="6149" width="11.42578125" style="24"/>
    <col min="6150" max="6150" width="22.85546875" style="24" bestFit="1" customWidth="1"/>
    <col min="6151" max="6151" width="7" style="24" customWidth="1"/>
    <col min="6152" max="6152" width="6.28515625" style="24" customWidth="1"/>
    <col min="6153" max="6153" width="5.7109375" style="24" customWidth="1"/>
    <col min="6154" max="6154" width="5.7109375" style="24" bestFit="1" customWidth="1"/>
    <col min="6155" max="6155" width="5.85546875" style="24" bestFit="1" customWidth="1"/>
    <col min="6156" max="6156" width="9.42578125" style="24" customWidth="1"/>
    <col min="6157" max="6157" width="5.140625" style="24" customWidth="1"/>
    <col min="6158" max="6158" width="9.7109375" style="24" customWidth="1"/>
    <col min="6159" max="6159" width="6.7109375" style="24" bestFit="1" customWidth="1"/>
    <col min="6160" max="6160" width="4.85546875" style="24" customWidth="1"/>
    <col min="6161" max="6161" width="5.28515625" style="24" customWidth="1"/>
    <col min="6162" max="6163" width="4.42578125" style="24" bestFit="1" customWidth="1"/>
    <col min="6164" max="6164" width="13.28515625" style="24" bestFit="1" customWidth="1"/>
    <col min="6165" max="6165" width="3.140625" style="24" customWidth="1"/>
    <col min="6166" max="6166" width="5.42578125" style="24" bestFit="1" customWidth="1"/>
    <col min="6167" max="6167" width="4.42578125" style="24" bestFit="1" customWidth="1"/>
    <col min="6168" max="6168" width="6.42578125" style="24" customWidth="1"/>
    <col min="6169" max="6169" width="5" style="24" bestFit="1" customWidth="1"/>
    <col min="6170" max="6170" width="4.5703125" style="24" bestFit="1" customWidth="1"/>
    <col min="6171" max="6171" width="4.42578125" style="24" bestFit="1" customWidth="1"/>
    <col min="6172" max="6172" width="4" style="24" customWidth="1"/>
    <col min="6173" max="6400" width="11.42578125" style="24"/>
    <col min="6401" max="6401" width="14.85546875" style="24" bestFit="1" customWidth="1"/>
    <col min="6402" max="6402" width="28" style="24" bestFit="1" customWidth="1"/>
    <col min="6403" max="6403" width="4.42578125" style="24" bestFit="1" customWidth="1"/>
    <col min="6404" max="6404" width="8" style="24" bestFit="1" customWidth="1"/>
    <col min="6405" max="6405" width="11.42578125" style="24"/>
    <col min="6406" max="6406" width="22.85546875" style="24" bestFit="1" customWidth="1"/>
    <col min="6407" max="6407" width="7" style="24" customWidth="1"/>
    <col min="6408" max="6408" width="6.28515625" style="24" customWidth="1"/>
    <col min="6409" max="6409" width="5.7109375" style="24" customWidth="1"/>
    <col min="6410" max="6410" width="5.7109375" style="24" bestFit="1" customWidth="1"/>
    <col min="6411" max="6411" width="5.85546875" style="24" bestFit="1" customWidth="1"/>
    <col min="6412" max="6412" width="9.42578125" style="24" customWidth="1"/>
    <col min="6413" max="6413" width="5.140625" style="24" customWidth="1"/>
    <col min="6414" max="6414" width="9.7109375" style="24" customWidth="1"/>
    <col min="6415" max="6415" width="6.7109375" style="24" bestFit="1" customWidth="1"/>
    <col min="6416" max="6416" width="4.85546875" style="24" customWidth="1"/>
    <col min="6417" max="6417" width="5.28515625" style="24" customWidth="1"/>
    <col min="6418" max="6419" width="4.42578125" style="24" bestFit="1" customWidth="1"/>
    <col min="6420" max="6420" width="13.28515625" style="24" bestFit="1" customWidth="1"/>
    <col min="6421" max="6421" width="3.140625" style="24" customWidth="1"/>
    <col min="6422" max="6422" width="5.42578125" style="24" bestFit="1" customWidth="1"/>
    <col min="6423" max="6423" width="4.42578125" style="24" bestFit="1" customWidth="1"/>
    <col min="6424" max="6424" width="6.42578125" style="24" customWidth="1"/>
    <col min="6425" max="6425" width="5" style="24" bestFit="1" customWidth="1"/>
    <col min="6426" max="6426" width="4.5703125" style="24" bestFit="1" customWidth="1"/>
    <col min="6427" max="6427" width="4.42578125" style="24" bestFit="1" customWidth="1"/>
    <col min="6428" max="6428" width="4" style="24" customWidth="1"/>
    <col min="6429" max="6656" width="11.42578125" style="24"/>
    <col min="6657" max="6657" width="14.85546875" style="24" bestFit="1" customWidth="1"/>
    <col min="6658" max="6658" width="28" style="24" bestFit="1" customWidth="1"/>
    <col min="6659" max="6659" width="4.42578125" style="24" bestFit="1" customWidth="1"/>
    <col min="6660" max="6660" width="8" style="24" bestFit="1" customWidth="1"/>
    <col min="6661" max="6661" width="11.42578125" style="24"/>
    <col min="6662" max="6662" width="22.85546875" style="24" bestFit="1" customWidth="1"/>
    <col min="6663" max="6663" width="7" style="24" customWidth="1"/>
    <col min="6664" max="6664" width="6.28515625" style="24" customWidth="1"/>
    <col min="6665" max="6665" width="5.7109375" style="24" customWidth="1"/>
    <col min="6666" max="6666" width="5.7109375" style="24" bestFit="1" customWidth="1"/>
    <col min="6667" max="6667" width="5.85546875" style="24" bestFit="1" customWidth="1"/>
    <col min="6668" max="6668" width="9.42578125" style="24" customWidth="1"/>
    <col min="6669" max="6669" width="5.140625" style="24" customWidth="1"/>
    <col min="6670" max="6670" width="9.7109375" style="24" customWidth="1"/>
    <col min="6671" max="6671" width="6.7109375" style="24" bestFit="1" customWidth="1"/>
    <col min="6672" max="6672" width="4.85546875" style="24" customWidth="1"/>
    <col min="6673" max="6673" width="5.28515625" style="24" customWidth="1"/>
    <col min="6674" max="6675" width="4.42578125" style="24" bestFit="1" customWidth="1"/>
    <col min="6676" max="6676" width="13.28515625" style="24" bestFit="1" customWidth="1"/>
    <col min="6677" max="6677" width="3.140625" style="24" customWidth="1"/>
    <col min="6678" max="6678" width="5.42578125" style="24" bestFit="1" customWidth="1"/>
    <col min="6679" max="6679" width="4.42578125" style="24" bestFit="1" customWidth="1"/>
    <col min="6680" max="6680" width="6.42578125" style="24" customWidth="1"/>
    <col min="6681" max="6681" width="5" style="24" bestFit="1" customWidth="1"/>
    <col min="6682" max="6682" width="4.5703125" style="24" bestFit="1" customWidth="1"/>
    <col min="6683" max="6683" width="4.42578125" style="24" bestFit="1" customWidth="1"/>
    <col min="6684" max="6684" width="4" style="24" customWidth="1"/>
    <col min="6685" max="6912" width="11.42578125" style="24"/>
    <col min="6913" max="6913" width="14.85546875" style="24" bestFit="1" customWidth="1"/>
    <col min="6914" max="6914" width="28" style="24" bestFit="1" customWidth="1"/>
    <col min="6915" max="6915" width="4.42578125" style="24" bestFit="1" customWidth="1"/>
    <col min="6916" max="6916" width="8" style="24" bestFit="1" customWidth="1"/>
    <col min="6917" max="6917" width="11.42578125" style="24"/>
    <col min="6918" max="6918" width="22.85546875" style="24" bestFit="1" customWidth="1"/>
    <col min="6919" max="6919" width="7" style="24" customWidth="1"/>
    <col min="6920" max="6920" width="6.28515625" style="24" customWidth="1"/>
    <col min="6921" max="6921" width="5.7109375" style="24" customWidth="1"/>
    <col min="6922" max="6922" width="5.7109375" style="24" bestFit="1" customWidth="1"/>
    <col min="6923" max="6923" width="5.85546875" style="24" bestFit="1" customWidth="1"/>
    <col min="6924" max="6924" width="9.42578125" style="24" customWidth="1"/>
    <col min="6925" max="6925" width="5.140625" style="24" customWidth="1"/>
    <col min="6926" max="6926" width="9.7109375" style="24" customWidth="1"/>
    <col min="6927" max="6927" width="6.7109375" style="24" bestFit="1" customWidth="1"/>
    <col min="6928" max="6928" width="4.85546875" style="24" customWidth="1"/>
    <col min="6929" max="6929" width="5.28515625" style="24" customWidth="1"/>
    <col min="6930" max="6931" width="4.42578125" style="24" bestFit="1" customWidth="1"/>
    <col min="6932" max="6932" width="13.28515625" style="24" bestFit="1" customWidth="1"/>
    <col min="6933" max="6933" width="3.140625" style="24" customWidth="1"/>
    <col min="6934" max="6934" width="5.42578125" style="24" bestFit="1" customWidth="1"/>
    <col min="6935" max="6935" width="4.42578125" style="24" bestFit="1" customWidth="1"/>
    <col min="6936" max="6936" width="6.42578125" style="24" customWidth="1"/>
    <col min="6937" max="6937" width="5" style="24" bestFit="1" customWidth="1"/>
    <col min="6938" max="6938" width="4.5703125" style="24" bestFit="1" customWidth="1"/>
    <col min="6939" max="6939" width="4.42578125" style="24" bestFit="1" customWidth="1"/>
    <col min="6940" max="6940" width="4" style="24" customWidth="1"/>
    <col min="6941" max="7168" width="11.42578125" style="24"/>
    <col min="7169" max="7169" width="14.85546875" style="24" bestFit="1" customWidth="1"/>
    <col min="7170" max="7170" width="28" style="24" bestFit="1" customWidth="1"/>
    <col min="7171" max="7171" width="4.42578125" style="24" bestFit="1" customWidth="1"/>
    <col min="7172" max="7172" width="8" style="24" bestFit="1" customWidth="1"/>
    <col min="7173" max="7173" width="11.42578125" style="24"/>
    <col min="7174" max="7174" width="22.85546875" style="24" bestFit="1" customWidth="1"/>
    <col min="7175" max="7175" width="7" style="24" customWidth="1"/>
    <col min="7176" max="7176" width="6.28515625" style="24" customWidth="1"/>
    <col min="7177" max="7177" width="5.7109375" style="24" customWidth="1"/>
    <col min="7178" max="7178" width="5.7109375" style="24" bestFit="1" customWidth="1"/>
    <col min="7179" max="7179" width="5.85546875" style="24" bestFit="1" customWidth="1"/>
    <col min="7180" max="7180" width="9.42578125" style="24" customWidth="1"/>
    <col min="7181" max="7181" width="5.140625" style="24" customWidth="1"/>
    <col min="7182" max="7182" width="9.7109375" style="24" customWidth="1"/>
    <col min="7183" max="7183" width="6.7109375" style="24" bestFit="1" customWidth="1"/>
    <col min="7184" max="7184" width="4.85546875" style="24" customWidth="1"/>
    <col min="7185" max="7185" width="5.28515625" style="24" customWidth="1"/>
    <col min="7186" max="7187" width="4.42578125" style="24" bestFit="1" customWidth="1"/>
    <col min="7188" max="7188" width="13.28515625" style="24" bestFit="1" customWidth="1"/>
    <col min="7189" max="7189" width="3.140625" style="24" customWidth="1"/>
    <col min="7190" max="7190" width="5.42578125" style="24" bestFit="1" customWidth="1"/>
    <col min="7191" max="7191" width="4.42578125" style="24" bestFit="1" customWidth="1"/>
    <col min="7192" max="7192" width="6.42578125" style="24" customWidth="1"/>
    <col min="7193" max="7193" width="5" style="24" bestFit="1" customWidth="1"/>
    <col min="7194" max="7194" width="4.5703125" style="24" bestFit="1" customWidth="1"/>
    <col min="7195" max="7195" width="4.42578125" style="24" bestFit="1" customWidth="1"/>
    <col min="7196" max="7196" width="4" style="24" customWidth="1"/>
    <col min="7197" max="7424" width="11.42578125" style="24"/>
    <col min="7425" max="7425" width="14.85546875" style="24" bestFit="1" customWidth="1"/>
    <col min="7426" max="7426" width="28" style="24" bestFit="1" customWidth="1"/>
    <col min="7427" max="7427" width="4.42578125" style="24" bestFit="1" customWidth="1"/>
    <col min="7428" max="7428" width="8" style="24" bestFit="1" customWidth="1"/>
    <col min="7429" max="7429" width="11.42578125" style="24"/>
    <col min="7430" max="7430" width="22.85546875" style="24" bestFit="1" customWidth="1"/>
    <col min="7431" max="7431" width="7" style="24" customWidth="1"/>
    <col min="7432" max="7432" width="6.28515625" style="24" customWidth="1"/>
    <col min="7433" max="7433" width="5.7109375" style="24" customWidth="1"/>
    <col min="7434" max="7434" width="5.7109375" style="24" bestFit="1" customWidth="1"/>
    <col min="7435" max="7435" width="5.85546875" style="24" bestFit="1" customWidth="1"/>
    <col min="7436" max="7436" width="9.42578125" style="24" customWidth="1"/>
    <col min="7437" max="7437" width="5.140625" style="24" customWidth="1"/>
    <col min="7438" max="7438" width="9.7109375" style="24" customWidth="1"/>
    <col min="7439" max="7439" width="6.7109375" style="24" bestFit="1" customWidth="1"/>
    <col min="7440" max="7440" width="4.85546875" style="24" customWidth="1"/>
    <col min="7441" max="7441" width="5.28515625" style="24" customWidth="1"/>
    <col min="7442" max="7443" width="4.42578125" style="24" bestFit="1" customWidth="1"/>
    <col min="7444" max="7444" width="13.28515625" style="24" bestFit="1" customWidth="1"/>
    <col min="7445" max="7445" width="3.140625" style="24" customWidth="1"/>
    <col min="7446" max="7446" width="5.42578125" style="24" bestFit="1" customWidth="1"/>
    <col min="7447" max="7447" width="4.42578125" style="24" bestFit="1" customWidth="1"/>
    <col min="7448" max="7448" width="6.42578125" style="24" customWidth="1"/>
    <col min="7449" max="7449" width="5" style="24" bestFit="1" customWidth="1"/>
    <col min="7450" max="7450" width="4.5703125" style="24" bestFit="1" customWidth="1"/>
    <col min="7451" max="7451" width="4.42578125" style="24" bestFit="1" customWidth="1"/>
    <col min="7452" max="7452" width="4" style="24" customWidth="1"/>
    <col min="7453" max="7680" width="11.42578125" style="24"/>
    <col min="7681" max="7681" width="14.85546875" style="24" bestFit="1" customWidth="1"/>
    <col min="7682" max="7682" width="28" style="24" bestFit="1" customWidth="1"/>
    <col min="7683" max="7683" width="4.42578125" style="24" bestFit="1" customWidth="1"/>
    <col min="7684" max="7684" width="8" style="24" bestFit="1" customWidth="1"/>
    <col min="7685" max="7685" width="11.42578125" style="24"/>
    <col min="7686" max="7686" width="22.85546875" style="24" bestFit="1" customWidth="1"/>
    <col min="7687" max="7687" width="7" style="24" customWidth="1"/>
    <col min="7688" max="7688" width="6.28515625" style="24" customWidth="1"/>
    <col min="7689" max="7689" width="5.7109375" style="24" customWidth="1"/>
    <col min="7690" max="7690" width="5.7109375" style="24" bestFit="1" customWidth="1"/>
    <col min="7691" max="7691" width="5.85546875" style="24" bestFit="1" customWidth="1"/>
    <col min="7692" max="7692" width="9.42578125" style="24" customWidth="1"/>
    <col min="7693" max="7693" width="5.140625" style="24" customWidth="1"/>
    <col min="7694" max="7694" width="9.7109375" style="24" customWidth="1"/>
    <col min="7695" max="7695" width="6.7109375" style="24" bestFit="1" customWidth="1"/>
    <col min="7696" max="7696" width="4.85546875" style="24" customWidth="1"/>
    <col min="7697" max="7697" width="5.28515625" style="24" customWidth="1"/>
    <col min="7698" max="7699" width="4.42578125" style="24" bestFit="1" customWidth="1"/>
    <col min="7700" max="7700" width="13.28515625" style="24" bestFit="1" customWidth="1"/>
    <col min="7701" max="7701" width="3.140625" style="24" customWidth="1"/>
    <col min="7702" max="7702" width="5.42578125" style="24" bestFit="1" customWidth="1"/>
    <col min="7703" max="7703" width="4.42578125" style="24" bestFit="1" customWidth="1"/>
    <col min="7704" max="7704" width="6.42578125" style="24" customWidth="1"/>
    <col min="7705" max="7705" width="5" style="24" bestFit="1" customWidth="1"/>
    <col min="7706" max="7706" width="4.5703125" style="24" bestFit="1" customWidth="1"/>
    <col min="7707" max="7707" width="4.42578125" style="24" bestFit="1" customWidth="1"/>
    <col min="7708" max="7708" width="4" style="24" customWidth="1"/>
    <col min="7709" max="7936" width="11.42578125" style="24"/>
    <col min="7937" max="7937" width="14.85546875" style="24" bestFit="1" customWidth="1"/>
    <col min="7938" max="7938" width="28" style="24" bestFit="1" customWidth="1"/>
    <col min="7939" max="7939" width="4.42578125" style="24" bestFit="1" customWidth="1"/>
    <col min="7940" max="7940" width="8" style="24" bestFit="1" customWidth="1"/>
    <col min="7941" max="7941" width="11.42578125" style="24"/>
    <col min="7942" max="7942" width="22.85546875" style="24" bestFit="1" customWidth="1"/>
    <col min="7943" max="7943" width="7" style="24" customWidth="1"/>
    <col min="7944" max="7944" width="6.28515625" style="24" customWidth="1"/>
    <col min="7945" max="7945" width="5.7109375" style="24" customWidth="1"/>
    <col min="7946" max="7946" width="5.7109375" style="24" bestFit="1" customWidth="1"/>
    <col min="7947" max="7947" width="5.85546875" style="24" bestFit="1" customWidth="1"/>
    <col min="7948" max="7948" width="9.42578125" style="24" customWidth="1"/>
    <col min="7949" max="7949" width="5.140625" style="24" customWidth="1"/>
    <col min="7950" max="7950" width="9.7109375" style="24" customWidth="1"/>
    <col min="7951" max="7951" width="6.7109375" style="24" bestFit="1" customWidth="1"/>
    <col min="7952" max="7952" width="4.85546875" style="24" customWidth="1"/>
    <col min="7953" max="7953" width="5.28515625" style="24" customWidth="1"/>
    <col min="7954" max="7955" width="4.42578125" style="24" bestFit="1" customWidth="1"/>
    <col min="7956" max="7956" width="13.28515625" style="24" bestFit="1" customWidth="1"/>
    <col min="7957" max="7957" width="3.140625" style="24" customWidth="1"/>
    <col min="7958" max="7958" width="5.42578125" style="24" bestFit="1" customWidth="1"/>
    <col min="7959" max="7959" width="4.42578125" style="24" bestFit="1" customWidth="1"/>
    <col min="7960" max="7960" width="6.42578125" style="24" customWidth="1"/>
    <col min="7961" max="7961" width="5" style="24" bestFit="1" customWidth="1"/>
    <col min="7962" max="7962" width="4.5703125" style="24" bestFit="1" customWidth="1"/>
    <col min="7963" max="7963" width="4.42578125" style="24" bestFit="1" customWidth="1"/>
    <col min="7964" max="7964" width="4" style="24" customWidth="1"/>
    <col min="7965" max="8192" width="11.42578125" style="24"/>
    <col min="8193" max="8193" width="14.85546875" style="24" bestFit="1" customWidth="1"/>
    <col min="8194" max="8194" width="28" style="24" bestFit="1" customWidth="1"/>
    <col min="8195" max="8195" width="4.42578125" style="24" bestFit="1" customWidth="1"/>
    <col min="8196" max="8196" width="8" style="24" bestFit="1" customWidth="1"/>
    <col min="8197" max="8197" width="11.42578125" style="24"/>
    <col min="8198" max="8198" width="22.85546875" style="24" bestFit="1" customWidth="1"/>
    <col min="8199" max="8199" width="7" style="24" customWidth="1"/>
    <col min="8200" max="8200" width="6.28515625" style="24" customWidth="1"/>
    <col min="8201" max="8201" width="5.7109375" style="24" customWidth="1"/>
    <col min="8202" max="8202" width="5.7109375" style="24" bestFit="1" customWidth="1"/>
    <col min="8203" max="8203" width="5.85546875" style="24" bestFit="1" customWidth="1"/>
    <col min="8204" max="8204" width="9.42578125" style="24" customWidth="1"/>
    <col min="8205" max="8205" width="5.140625" style="24" customWidth="1"/>
    <col min="8206" max="8206" width="9.7109375" style="24" customWidth="1"/>
    <col min="8207" max="8207" width="6.7109375" style="24" bestFit="1" customWidth="1"/>
    <col min="8208" max="8208" width="4.85546875" style="24" customWidth="1"/>
    <col min="8209" max="8209" width="5.28515625" style="24" customWidth="1"/>
    <col min="8210" max="8211" width="4.42578125" style="24" bestFit="1" customWidth="1"/>
    <col min="8212" max="8212" width="13.28515625" style="24" bestFit="1" customWidth="1"/>
    <col min="8213" max="8213" width="3.140625" style="24" customWidth="1"/>
    <col min="8214" max="8214" width="5.42578125" style="24" bestFit="1" customWidth="1"/>
    <col min="8215" max="8215" width="4.42578125" style="24" bestFit="1" customWidth="1"/>
    <col min="8216" max="8216" width="6.42578125" style="24" customWidth="1"/>
    <col min="8217" max="8217" width="5" style="24" bestFit="1" customWidth="1"/>
    <col min="8218" max="8218" width="4.5703125" style="24" bestFit="1" customWidth="1"/>
    <col min="8219" max="8219" width="4.42578125" style="24" bestFit="1" customWidth="1"/>
    <col min="8220" max="8220" width="4" style="24" customWidth="1"/>
    <col min="8221" max="8448" width="11.42578125" style="24"/>
    <col min="8449" max="8449" width="14.85546875" style="24" bestFit="1" customWidth="1"/>
    <col min="8450" max="8450" width="28" style="24" bestFit="1" customWidth="1"/>
    <col min="8451" max="8451" width="4.42578125" style="24" bestFit="1" customWidth="1"/>
    <col min="8452" max="8452" width="8" style="24" bestFit="1" customWidth="1"/>
    <col min="8453" max="8453" width="11.42578125" style="24"/>
    <col min="8454" max="8454" width="22.85546875" style="24" bestFit="1" customWidth="1"/>
    <col min="8455" max="8455" width="7" style="24" customWidth="1"/>
    <col min="8456" max="8456" width="6.28515625" style="24" customWidth="1"/>
    <col min="8457" max="8457" width="5.7109375" style="24" customWidth="1"/>
    <col min="8458" max="8458" width="5.7109375" style="24" bestFit="1" customWidth="1"/>
    <col min="8459" max="8459" width="5.85546875" style="24" bestFit="1" customWidth="1"/>
    <col min="8460" max="8460" width="9.42578125" style="24" customWidth="1"/>
    <col min="8461" max="8461" width="5.140625" style="24" customWidth="1"/>
    <col min="8462" max="8462" width="9.7109375" style="24" customWidth="1"/>
    <col min="8463" max="8463" width="6.7109375" style="24" bestFit="1" customWidth="1"/>
    <col min="8464" max="8464" width="4.85546875" style="24" customWidth="1"/>
    <col min="8465" max="8465" width="5.28515625" style="24" customWidth="1"/>
    <col min="8466" max="8467" width="4.42578125" style="24" bestFit="1" customWidth="1"/>
    <col min="8468" max="8468" width="13.28515625" style="24" bestFit="1" customWidth="1"/>
    <col min="8469" max="8469" width="3.140625" style="24" customWidth="1"/>
    <col min="8470" max="8470" width="5.42578125" style="24" bestFit="1" customWidth="1"/>
    <col min="8471" max="8471" width="4.42578125" style="24" bestFit="1" customWidth="1"/>
    <col min="8472" max="8472" width="6.42578125" style="24" customWidth="1"/>
    <col min="8473" max="8473" width="5" style="24" bestFit="1" customWidth="1"/>
    <col min="8474" max="8474" width="4.5703125" style="24" bestFit="1" customWidth="1"/>
    <col min="8475" max="8475" width="4.42578125" style="24" bestFit="1" customWidth="1"/>
    <col min="8476" max="8476" width="4" style="24" customWidth="1"/>
    <col min="8477" max="8704" width="11.42578125" style="24"/>
    <col min="8705" max="8705" width="14.85546875" style="24" bestFit="1" customWidth="1"/>
    <col min="8706" max="8706" width="28" style="24" bestFit="1" customWidth="1"/>
    <col min="8707" max="8707" width="4.42578125" style="24" bestFit="1" customWidth="1"/>
    <col min="8708" max="8708" width="8" style="24" bestFit="1" customWidth="1"/>
    <col min="8709" max="8709" width="11.42578125" style="24"/>
    <col min="8710" max="8710" width="22.85546875" style="24" bestFit="1" customWidth="1"/>
    <col min="8711" max="8711" width="7" style="24" customWidth="1"/>
    <col min="8712" max="8712" width="6.28515625" style="24" customWidth="1"/>
    <col min="8713" max="8713" width="5.7109375" style="24" customWidth="1"/>
    <col min="8714" max="8714" width="5.7109375" style="24" bestFit="1" customWidth="1"/>
    <col min="8715" max="8715" width="5.85546875" style="24" bestFit="1" customWidth="1"/>
    <col min="8716" max="8716" width="9.42578125" style="24" customWidth="1"/>
    <col min="8717" max="8717" width="5.140625" style="24" customWidth="1"/>
    <col min="8718" max="8718" width="9.7109375" style="24" customWidth="1"/>
    <col min="8719" max="8719" width="6.7109375" style="24" bestFit="1" customWidth="1"/>
    <col min="8720" max="8720" width="4.85546875" style="24" customWidth="1"/>
    <col min="8721" max="8721" width="5.28515625" style="24" customWidth="1"/>
    <col min="8722" max="8723" width="4.42578125" style="24" bestFit="1" customWidth="1"/>
    <col min="8724" max="8724" width="13.28515625" style="24" bestFit="1" customWidth="1"/>
    <col min="8725" max="8725" width="3.140625" style="24" customWidth="1"/>
    <col min="8726" max="8726" width="5.42578125" style="24" bestFit="1" customWidth="1"/>
    <col min="8727" max="8727" width="4.42578125" style="24" bestFit="1" customWidth="1"/>
    <col min="8728" max="8728" width="6.42578125" style="24" customWidth="1"/>
    <col min="8729" max="8729" width="5" style="24" bestFit="1" customWidth="1"/>
    <col min="8730" max="8730" width="4.5703125" style="24" bestFit="1" customWidth="1"/>
    <col min="8731" max="8731" width="4.42578125" style="24" bestFit="1" customWidth="1"/>
    <col min="8732" max="8732" width="4" style="24" customWidth="1"/>
    <col min="8733" max="8960" width="11.42578125" style="24"/>
    <col min="8961" max="8961" width="14.85546875" style="24" bestFit="1" customWidth="1"/>
    <col min="8962" max="8962" width="28" style="24" bestFit="1" customWidth="1"/>
    <col min="8963" max="8963" width="4.42578125" style="24" bestFit="1" customWidth="1"/>
    <col min="8964" max="8964" width="8" style="24" bestFit="1" customWidth="1"/>
    <col min="8965" max="8965" width="11.42578125" style="24"/>
    <col min="8966" max="8966" width="22.85546875" style="24" bestFit="1" customWidth="1"/>
    <col min="8967" max="8967" width="7" style="24" customWidth="1"/>
    <col min="8968" max="8968" width="6.28515625" style="24" customWidth="1"/>
    <col min="8969" max="8969" width="5.7109375" style="24" customWidth="1"/>
    <col min="8970" max="8970" width="5.7109375" style="24" bestFit="1" customWidth="1"/>
    <col min="8971" max="8971" width="5.85546875" style="24" bestFit="1" customWidth="1"/>
    <col min="8972" max="8972" width="9.42578125" style="24" customWidth="1"/>
    <col min="8973" max="8973" width="5.140625" style="24" customWidth="1"/>
    <col min="8974" max="8974" width="9.7109375" style="24" customWidth="1"/>
    <col min="8975" max="8975" width="6.7109375" style="24" bestFit="1" customWidth="1"/>
    <col min="8976" max="8976" width="4.85546875" style="24" customWidth="1"/>
    <col min="8977" max="8977" width="5.28515625" style="24" customWidth="1"/>
    <col min="8978" max="8979" width="4.42578125" style="24" bestFit="1" customWidth="1"/>
    <col min="8980" max="8980" width="13.28515625" style="24" bestFit="1" customWidth="1"/>
    <col min="8981" max="8981" width="3.140625" style="24" customWidth="1"/>
    <col min="8982" max="8982" width="5.42578125" style="24" bestFit="1" customWidth="1"/>
    <col min="8983" max="8983" width="4.42578125" style="24" bestFit="1" customWidth="1"/>
    <col min="8984" max="8984" width="6.42578125" style="24" customWidth="1"/>
    <col min="8985" max="8985" width="5" style="24" bestFit="1" customWidth="1"/>
    <col min="8986" max="8986" width="4.5703125" style="24" bestFit="1" customWidth="1"/>
    <col min="8987" max="8987" width="4.42578125" style="24" bestFit="1" customWidth="1"/>
    <col min="8988" max="8988" width="4" style="24" customWidth="1"/>
    <col min="8989" max="9216" width="11.42578125" style="24"/>
    <col min="9217" max="9217" width="14.85546875" style="24" bestFit="1" customWidth="1"/>
    <col min="9218" max="9218" width="28" style="24" bestFit="1" customWidth="1"/>
    <col min="9219" max="9219" width="4.42578125" style="24" bestFit="1" customWidth="1"/>
    <col min="9220" max="9220" width="8" style="24" bestFit="1" customWidth="1"/>
    <col min="9221" max="9221" width="11.42578125" style="24"/>
    <col min="9222" max="9222" width="22.85546875" style="24" bestFit="1" customWidth="1"/>
    <col min="9223" max="9223" width="7" style="24" customWidth="1"/>
    <col min="9224" max="9224" width="6.28515625" style="24" customWidth="1"/>
    <col min="9225" max="9225" width="5.7109375" style="24" customWidth="1"/>
    <col min="9226" max="9226" width="5.7109375" style="24" bestFit="1" customWidth="1"/>
    <col min="9227" max="9227" width="5.85546875" style="24" bestFit="1" customWidth="1"/>
    <col min="9228" max="9228" width="9.42578125" style="24" customWidth="1"/>
    <col min="9229" max="9229" width="5.140625" style="24" customWidth="1"/>
    <col min="9230" max="9230" width="9.7109375" style="24" customWidth="1"/>
    <col min="9231" max="9231" width="6.7109375" style="24" bestFit="1" customWidth="1"/>
    <col min="9232" max="9232" width="4.85546875" style="24" customWidth="1"/>
    <col min="9233" max="9233" width="5.28515625" style="24" customWidth="1"/>
    <col min="9234" max="9235" width="4.42578125" style="24" bestFit="1" customWidth="1"/>
    <col min="9236" max="9236" width="13.28515625" style="24" bestFit="1" customWidth="1"/>
    <col min="9237" max="9237" width="3.140625" style="24" customWidth="1"/>
    <col min="9238" max="9238" width="5.42578125" style="24" bestFit="1" customWidth="1"/>
    <col min="9239" max="9239" width="4.42578125" style="24" bestFit="1" customWidth="1"/>
    <col min="9240" max="9240" width="6.42578125" style="24" customWidth="1"/>
    <col min="9241" max="9241" width="5" style="24" bestFit="1" customWidth="1"/>
    <col min="9242" max="9242" width="4.5703125" style="24" bestFit="1" customWidth="1"/>
    <col min="9243" max="9243" width="4.42578125" style="24" bestFit="1" customWidth="1"/>
    <col min="9244" max="9244" width="4" style="24" customWidth="1"/>
    <col min="9245" max="9472" width="11.42578125" style="24"/>
    <col min="9473" max="9473" width="14.85546875" style="24" bestFit="1" customWidth="1"/>
    <col min="9474" max="9474" width="28" style="24" bestFit="1" customWidth="1"/>
    <col min="9475" max="9475" width="4.42578125" style="24" bestFit="1" customWidth="1"/>
    <col min="9476" max="9476" width="8" style="24" bestFit="1" customWidth="1"/>
    <col min="9477" max="9477" width="11.42578125" style="24"/>
    <col min="9478" max="9478" width="22.85546875" style="24" bestFit="1" customWidth="1"/>
    <col min="9479" max="9479" width="7" style="24" customWidth="1"/>
    <col min="9480" max="9480" width="6.28515625" style="24" customWidth="1"/>
    <col min="9481" max="9481" width="5.7109375" style="24" customWidth="1"/>
    <col min="9482" max="9482" width="5.7109375" style="24" bestFit="1" customWidth="1"/>
    <col min="9483" max="9483" width="5.85546875" style="24" bestFit="1" customWidth="1"/>
    <col min="9484" max="9484" width="9.42578125" style="24" customWidth="1"/>
    <col min="9485" max="9485" width="5.140625" style="24" customWidth="1"/>
    <col min="9486" max="9486" width="9.7109375" style="24" customWidth="1"/>
    <col min="9487" max="9487" width="6.7109375" style="24" bestFit="1" customWidth="1"/>
    <col min="9488" max="9488" width="4.85546875" style="24" customWidth="1"/>
    <col min="9489" max="9489" width="5.28515625" style="24" customWidth="1"/>
    <col min="9490" max="9491" width="4.42578125" style="24" bestFit="1" customWidth="1"/>
    <col min="9492" max="9492" width="13.28515625" style="24" bestFit="1" customWidth="1"/>
    <col min="9493" max="9493" width="3.140625" style="24" customWidth="1"/>
    <col min="9494" max="9494" width="5.42578125" style="24" bestFit="1" customWidth="1"/>
    <col min="9495" max="9495" width="4.42578125" style="24" bestFit="1" customWidth="1"/>
    <col min="9496" max="9496" width="6.42578125" style="24" customWidth="1"/>
    <col min="9497" max="9497" width="5" style="24" bestFit="1" customWidth="1"/>
    <col min="9498" max="9498" width="4.5703125" style="24" bestFit="1" customWidth="1"/>
    <col min="9499" max="9499" width="4.42578125" style="24" bestFit="1" customWidth="1"/>
    <col min="9500" max="9500" width="4" style="24" customWidth="1"/>
    <col min="9501" max="9728" width="11.42578125" style="24"/>
    <col min="9729" max="9729" width="14.85546875" style="24" bestFit="1" customWidth="1"/>
    <col min="9730" max="9730" width="28" style="24" bestFit="1" customWidth="1"/>
    <col min="9731" max="9731" width="4.42578125" style="24" bestFit="1" customWidth="1"/>
    <col min="9732" max="9732" width="8" style="24" bestFit="1" customWidth="1"/>
    <col min="9733" max="9733" width="11.42578125" style="24"/>
    <col min="9734" max="9734" width="22.85546875" style="24" bestFit="1" customWidth="1"/>
    <col min="9735" max="9735" width="7" style="24" customWidth="1"/>
    <col min="9736" max="9736" width="6.28515625" style="24" customWidth="1"/>
    <col min="9737" max="9737" width="5.7109375" style="24" customWidth="1"/>
    <col min="9738" max="9738" width="5.7109375" style="24" bestFit="1" customWidth="1"/>
    <col min="9739" max="9739" width="5.85546875" style="24" bestFit="1" customWidth="1"/>
    <col min="9740" max="9740" width="9.42578125" style="24" customWidth="1"/>
    <col min="9741" max="9741" width="5.140625" style="24" customWidth="1"/>
    <col min="9742" max="9742" width="9.7109375" style="24" customWidth="1"/>
    <col min="9743" max="9743" width="6.7109375" style="24" bestFit="1" customWidth="1"/>
    <col min="9744" max="9744" width="4.85546875" style="24" customWidth="1"/>
    <col min="9745" max="9745" width="5.28515625" style="24" customWidth="1"/>
    <col min="9746" max="9747" width="4.42578125" style="24" bestFit="1" customWidth="1"/>
    <col min="9748" max="9748" width="13.28515625" style="24" bestFit="1" customWidth="1"/>
    <col min="9749" max="9749" width="3.140625" style="24" customWidth="1"/>
    <col min="9750" max="9750" width="5.42578125" style="24" bestFit="1" customWidth="1"/>
    <col min="9751" max="9751" width="4.42578125" style="24" bestFit="1" customWidth="1"/>
    <col min="9752" max="9752" width="6.42578125" style="24" customWidth="1"/>
    <col min="9753" max="9753" width="5" style="24" bestFit="1" customWidth="1"/>
    <col min="9754" max="9754" width="4.5703125" style="24" bestFit="1" customWidth="1"/>
    <col min="9755" max="9755" width="4.42578125" style="24" bestFit="1" customWidth="1"/>
    <col min="9756" max="9756" width="4" style="24" customWidth="1"/>
    <col min="9757" max="9984" width="11.42578125" style="24"/>
    <col min="9985" max="9985" width="14.85546875" style="24" bestFit="1" customWidth="1"/>
    <col min="9986" max="9986" width="28" style="24" bestFit="1" customWidth="1"/>
    <col min="9987" max="9987" width="4.42578125" style="24" bestFit="1" customWidth="1"/>
    <col min="9988" max="9988" width="8" style="24" bestFit="1" customWidth="1"/>
    <col min="9989" max="9989" width="11.42578125" style="24"/>
    <col min="9990" max="9990" width="22.85546875" style="24" bestFit="1" customWidth="1"/>
    <col min="9991" max="9991" width="7" style="24" customWidth="1"/>
    <col min="9992" max="9992" width="6.28515625" style="24" customWidth="1"/>
    <col min="9993" max="9993" width="5.7109375" style="24" customWidth="1"/>
    <col min="9994" max="9994" width="5.7109375" style="24" bestFit="1" customWidth="1"/>
    <col min="9995" max="9995" width="5.85546875" style="24" bestFit="1" customWidth="1"/>
    <col min="9996" max="9996" width="9.42578125" style="24" customWidth="1"/>
    <col min="9997" max="9997" width="5.140625" style="24" customWidth="1"/>
    <col min="9998" max="9998" width="9.7109375" style="24" customWidth="1"/>
    <col min="9999" max="9999" width="6.7109375" style="24" bestFit="1" customWidth="1"/>
    <col min="10000" max="10000" width="4.85546875" style="24" customWidth="1"/>
    <col min="10001" max="10001" width="5.28515625" style="24" customWidth="1"/>
    <col min="10002" max="10003" width="4.42578125" style="24" bestFit="1" customWidth="1"/>
    <col min="10004" max="10004" width="13.28515625" style="24" bestFit="1" customWidth="1"/>
    <col min="10005" max="10005" width="3.140625" style="24" customWidth="1"/>
    <col min="10006" max="10006" width="5.42578125" style="24" bestFit="1" customWidth="1"/>
    <col min="10007" max="10007" width="4.42578125" style="24" bestFit="1" customWidth="1"/>
    <col min="10008" max="10008" width="6.42578125" style="24" customWidth="1"/>
    <col min="10009" max="10009" width="5" style="24" bestFit="1" customWidth="1"/>
    <col min="10010" max="10010" width="4.5703125" style="24" bestFit="1" customWidth="1"/>
    <col min="10011" max="10011" width="4.42578125" style="24" bestFit="1" customWidth="1"/>
    <col min="10012" max="10012" width="4" style="24" customWidth="1"/>
    <col min="10013" max="10240" width="11.42578125" style="24"/>
    <col min="10241" max="10241" width="14.85546875" style="24" bestFit="1" customWidth="1"/>
    <col min="10242" max="10242" width="28" style="24" bestFit="1" customWidth="1"/>
    <col min="10243" max="10243" width="4.42578125" style="24" bestFit="1" customWidth="1"/>
    <col min="10244" max="10244" width="8" style="24" bestFit="1" customWidth="1"/>
    <col min="10245" max="10245" width="11.42578125" style="24"/>
    <col min="10246" max="10246" width="22.85546875" style="24" bestFit="1" customWidth="1"/>
    <col min="10247" max="10247" width="7" style="24" customWidth="1"/>
    <col min="10248" max="10248" width="6.28515625" style="24" customWidth="1"/>
    <col min="10249" max="10249" width="5.7109375" style="24" customWidth="1"/>
    <col min="10250" max="10250" width="5.7109375" style="24" bestFit="1" customWidth="1"/>
    <col min="10251" max="10251" width="5.85546875" style="24" bestFit="1" customWidth="1"/>
    <col min="10252" max="10252" width="9.42578125" style="24" customWidth="1"/>
    <col min="10253" max="10253" width="5.140625" style="24" customWidth="1"/>
    <col min="10254" max="10254" width="9.7109375" style="24" customWidth="1"/>
    <col min="10255" max="10255" width="6.7109375" style="24" bestFit="1" customWidth="1"/>
    <col min="10256" max="10256" width="4.85546875" style="24" customWidth="1"/>
    <col min="10257" max="10257" width="5.28515625" style="24" customWidth="1"/>
    <col min="10258" max="10259" width="4.42578125" style="24" bestFit="1" customWidth="1"/>
    <col min="10260" max="10260" width="13.28515625" style="24" bestFit="1" customWidth="1"/>
    <col min="10261" max="10261" width="3.140625" style="24" customWidth="1"/>
    <col min="10262" max="10262" width="5.42578125" style="24" bestFit="1" customWidth="1"/>
    <col min="10263" max="10263" width="4.42578125" style="24" bestFit="1" customWidth="1"/>
    <col min="10264" max="10264" width="6.42578125" style="24" customWidth="1"/>
    <col min="10265" max="10265" width="5" style="24" bestFit="1" customWidth="1"/>
    <col min="10266" max="10266" width="4.5703125" style="24" bestFit="1" customWidth="1"/>
    <col min="10267" max="10267" width="4.42578125" style="24" bestFit="1" customWidth="1"/>
    <col min="10268" max="10268" width="4" style="24" customWidth="1"/>
    <col min="10269" max="10496" width="11.42578125" style="24"/>
    <col min="10497" max="10497" width="14.85546875" style="24" bestFit="1" customWidth="1"/>
    <col min="10498" max="10498" width="28" style="24" bestFit="1" customWidth="1"/>
    <col min="10499" max="10499" width="4.42578125" style="24" bestFit="1" customWidth="1"/>
    <col min="10500" max="10500" width="8" style="24" bestFit="1" customWidth="1"/>
    <col min="10501" max="10501" width="11.42578125" style="24"/>
    <col min="10502" max="10502" width="22.85546875" style="24" bestFit="1" customWidth="1"/>
    <col min="10503" max="10503" width="7" style="24" customWidth="1"/>
    <col min="10504" max="10504" width="6.28515625" style="24" customWidth="1"/>
    <col min="10505" max="10505" width="5.7109375" style="24" customWidth="1"/>
    <col min="10506" max="10506" width="5.7109375" style="24" bestFit="1" customWidth="1"/>
    <col min="10507" max="10507" width="5.85546875" style="24" bestFit="1" customWidth="1"/>
    <col min="10508" max="10508" width="9.42578125" style="24" customWidth="1"/>
    <col min="10509" max="10509" width="5.140625" style="24" customWidth="1"/>
    <col min="10510" max="10510" width="9.7109375" style="24" customWidth="1"/>
    <col min="10511" max="10511" width="6.7109375" style="24" bestFit="1" customWidth="1"/>
    <col min="10512" max="10512" width="4.85546875" style="24" customWidth="1"/>
    <col min="10513" max="10513" width="5.28515625" style="24" customWidth="1"/>
    <col min="10514" max="10515" width="4.42578125" style="24" bestFit="1" customWidth="1"/>
    <col min="10516" max="10516" width="13.28515625" style="24" bestFit="1" customWidth="1"/>
    <col min="10517" max="10517" width="3.140625" style="24" customWidth="1"/>
    <col min="10518" max="10518" width="5.42578125" style="24" bestFit="1" customWidth="1"/>
    <col min="10519" max="10519" width="4.42578125" style="24" bestFit="1" customWidth="1"/>
    <col min="10520" max="10520" width="6.42578125" style="24" customWidth="1"/>
    <col min="10521" max="10521" width="5" style="24" bestFit="1" customWidth="1"/>
    <col min="10522" max="10522" width="4.5703125" style="24" bestFit="1" customWidth="1"/>
    <col min="10523" max="10523" width="4.42578125" style="24" bestFit="1" customWidth="1"/>
    <col min="10524" max="10524" width="4" style="24" customWidth="1"/>
    <col min="10525" max="10752" width="11.42578125" style="24"/>
    <col min="10753" max="10753" width="14.85546875" style="24" bestFit="1" customWidth="1"/>
    <col min="10754" max="10754" width="28" style="24" bestFit="1" customWidth="1"/>
    <col min="10755" max="10755" width="4.42578125" style="24" bestFit="1" customWidth="1"/>
    <col min="10756" max="10756" width="8" style="24" bestFit="1" customWidth="1"/>
    <col min="10757" max="10757" width="11.42578125" style="24"/>
    <col min="10758" max="10758" width="22.85546875" style="24" bestFit="1" customWidth="1"/>
    <col min="10759" max="10759" width="7" style="24" customWidth="1"/>
    <col min="10760" max="10760" width="6.28515625" style="24" customWidth="1"/>
    <col min="10761" max="10761" width="5.7109375" style="24" customWidth="1"/>
    <col min="10762" max="10762" width="5.7109375" style="24" bestFit="1" customWidth="1"/>
    <col min="10763" max="10763" width="5.85546875" style="24" bestFit="1" customWidth="1"/>
    <col min="10764" max="10764" width="9.42578125" style="24" customWidth="1"/>
    <col min="10765" max="10765" width="5.140625" style="24" customWidth="1"/>
    <col min="10766" max="10766" width="9.7109375" style="24" customWidth="1"/>
    <col min="10767" max="10767" width="6.7109375" style="24" bestFit="1" customWidth="1"/>
    <col min="10768" max="10768" width="4.85546875" style="24" customWidth="1"/>
    <col min="10769" max="10769" width="5.28515625" style="24" customWidth="1"/>
    <col min="10770" max="10771" width="4.42578125" style="24" bestFit="1" customWidth="1"/>
    <col min="10772" max="10772" width="13.28515625" style="24" bestFit="1" customWidth="1"/>
    <col min="10773" max="10773" width="3.140625" style="24" customWidth="1"/>
    <col min="10774" max="10774" width="5.42578125" style="24" bestFit="1" customWidth="1"/>
    <col min="10775" max="10775" width="4.42578125" style="24" bestFit="1" customWidth="1"/>
    <col min="10776" max="10776" width="6.42578125" style="24" customWidth="1"/>
    <col min="10777" max="10777" width="5" style="24" bestFit="1" customWidth="1"/>
    <col min="10778" max="10778" width="4.5703125" style="24" bestFit="1" customWidth="1"/>
    <col min="10779" max="10779" width="4.42578125" style="24" bestFit="1" customWidth="1"/>
    <col min="10780" max="10780" width="4" style="24" customWidth="1"/>
    <col min="10781" max="11008" width="11.42578125" style="24"/>
    <col min="11009" max="11009" width="14.85546875" style="24" bestFit="1" customWidth="1"/>
    <col min="11010" max="11010" width="28" style="24" bestFit="1" customWidth="1"/>
    <col min="11011" max="11011" width="4.42578125" style="24" bestFit="1" customWidth="1"/>
    <col min="11012" max="11012" width="8" style="24" bestFit="1" customWidth="1"/>
    <col min="11013" max="11013" width="11.42578125" style="24"/>
    <col min="11014" max="11014" width="22.85546875" style="24" bestFit="1" customWidth="1"/>
    <col min="11015" max="11015" width="7" style="24" customWidth="1"/>
    <col min="11016" max="11016" width="6.28515625" style="24" customWidth="1"/>
    <col min="11017" max="11017" width="5.7109375" style="24" customWidth="1"/>
    <col min="11018" max="11018" width="5.7109375" style="24" bestFit="1" customWidth="1"/>
    <col min="11019" max="11019" width="5.85546875" style="24" bestFit="1" customWidth="1"/>
    <col min="11020" max="11020" width="9.42578125" style="24" customWidth="1"/>
    <col min="11021" max="11021" width="5.140625" style="24" customWidth="1"/>
    <col min="11022" max="11022" width="9.7109375" style="24" customWidth="1"/>
    <col min="11023" max="11023" width="6.7109375" style="24" bestFit="1" customWidth="1"/>
    <col min="11024" max="11024" width="4.85546875" style="24" customWidth="1"/>
    <col min="11025" max="11025" width="5.28515625" style="24" customWidth="1"/>
    <col min="11026" max="11027" width="4.42578125" style="24" bestFit="1" customWidth="1"/>
    <col min="11028" max="11028" width="13.28515625" style="24" bestFit="1" customWidth="1"/>
    <col min="11029" max="11029" width="3.140625" style="24" customWidth="1"/>
    <col min="11030" max="11030" width="5.42578125" style="24" bestFit="1" customWidth="1"/>
    <col min="11031" max="11031" width="4.42578125" style="24" bestFit="1" customWidth="1"/>
    <col min="11032" max="11032" width="6.42578125" style="24" customWidth="1"/>
    <col min="11033" max="11033" width="5" style="24" bestFit="1" customWidth="1"/>
    <col min="11034" max="11034" width="4.5703125" style="24" bestFit="1" customWidth="1"/>
    <col min="11035" max="11035" width="4.42578125" style="24" bestFit="1" customWidth="1"/>
    <col min="11036" max="11036" width="4" style="24" customWidth="1"/>
    <col min="11037" max="11264" width="11.42578125" style="24"/>
    <col min="11265" max="11265" width="14.85546875" style="24" bestFit="1" customWidth="1"/>
    <col min="11266" max="11266" width="28" style="24" bestFit="1" customWidth="1"/>
    <col min="11267" max="11267" width="4.42578125" style="24" bestFit="1" customWidth="1"/>
    <col min="11268" max="11268" width="8" style="24" bestFit="1" customWidth="1"/>
    <col min="11269" max="11269" width="11.42578125" style="24"/>
    <col min="11270" max="11270" width="22.85546875" style="24" bestFit="1" customWidth="1"/>
    <col min="11271" max="11271" width="7" style="24" customWidth="1"/>
    <col min="11272" max="11272" width="6.28515625" style="24" customWidth="1"/>
    <col min="11273" max="11273" width="5.7109375" style="24" customWidth="1"/>
    <col min="11274" max="11274" width="5.7109375" style="24" bestFit="1" customWidth="1"/>
    <col min="11275" max="11275" width="5.85546875" style="24" bestFit="1" customWidth="1"/>
    <col min="11276" max="11276" width="9.42578125" style="24" customWidth="1"/>
    <col min="11277" max="11277" width="5.140625" style="24" customWidth="1"/>
    <col min="11278" max="11278" width="9.7109375" style="24" customWidth="1"/>
    <col min="11279" max="11279" width="6.7109375" style="24" bestFit="1" customWidth="1"/>
    <col min="11280" max="11280" width="4.85546875" style="24" customWidth="1"/>
    <col min="11281" max="11281" width="5.28515625" style="24" customWidth="1"/>
    <col min="11282" max="11283" width="4.42578125" style="24" bestFit="1" customWidth="1"/>
    <col min="11284" max="11284" width="13.28515625" style="24" bestFit="1" customWidth="1"/>
    <col min="11285" max="11285" width="3.140625" style="24" customWidth="1"/>
    <col min="11286" max="11286" width="5.42578125" style="24" bestFit="1" customWidth="1"/>
    <col min="11287" max="11287" width="4.42578125" style="24" bestFit="1" customWidth="1"/>
    <col min="11288" max="11288" width="6.42578125" style="24" customWidth="1"/>
    <col min="11289" max="11289" width="5" style="24" bestFit="1" customWidth="1"/>
    <col min="11290" max="11290" width="4.5703125" style="24" bestFit="1" customWidth="1"/>
    <col min="11291" max="11291" width="4.42578125" style="24" bestFit="1" customWidth="1"/>
    <col min="11292" max="11292" width="4" style="24" customWidth="1"/>
    <col min="11293" max="11520" width="11.42578125" style="24"/>
    <col min="11521" max="11521" width="14.85546875" style="24" bestFit="1" customWidth="1"/>
    <col min="11522" max="11522" width="28" style="24" bestFit="1" customWidth="1"/>
    <col min="11523" max="11523" width="4.42578125" style="24" bestFit="1" customWidth="1"/>
    <col min="11524" max="11524" width="8" style="24" bestFit="1" customWidth="1"/>
    <col min="11525" max="11525" width="11.42578125" style="24"/>
    <col min="11526" max="11526" width="22.85546875" style="24" bestFit="1" customWidth="1"/>
    <col min="11527" max="11527" width="7" style="24" customWidth="1"/>
    <col min="11528" max="11528" width="6.28515625" style="24" customWidth="1"/>
    <col min="11529" max="11529" width="5.7109375" style="24" customWidth="1"/>
    <col min="11530" max="11530" width="5.7109375" style="24" bestFit="1" customWidth="1"/>
    <col min="11531" max="11531" width="5.85546875" style="24" bestFit="1" customWidth="1"/>
    <col min="11532" max="11532" width="9.42578125" style="24" customWidth="1"/>
    <col min="11533" max="11533" width="5.140625" style="24" customWidth="1"/>
    <col min="11534" max="11534" width="9.7109375" style="24" customWidth="1"/>
    <col min="11535" max="11535" width="6.7109375" style="24" bestFit="1" customWidth="1"/>
    <col min="11536" max="11536" width="4.85546875" style="24" customWidth="1"/>
    <col min="11537" max="11537" width="5.28515625" style="24" customWidth="1"/>
    <col min="11538" max="11539" width="4.42578125" style="24" bestFit="1" customWidth="1"/>
    <col min="11540" max="11540" width="13.28515625" style="24" bestFit="1" customWidth="1"/>
    <col min="11541" max="11541" width="3.140625" style="24" customWidth="1"/>
    <col min="11542" max="11542" width="5.42578125" style="24" bestFit="1" customWidth="1"/>
    <col min="11543" max="11543" width="4.42578125" style="24" bestFit="1" customWidth="1"/>
    <col min="11544" max="11544" width="6.42578125" style="24" customWidth="1"/>
    <col min="11545" max="11545" width="5" style="24" bestFit="1" customWidth="1"/>
    <col min="11546" max="11546" width="4.5703125" style="24" bestFit="1" customWidth="1"/>
    <col min="11547" max="11547" width="4.42578125" style="24" bestFit="1" customWidth="1"/>
    <col min="11548" max="11548" width="4" style="24" customWidth="1"/>
    <col min="11549" max="11776" width="11.42578125" style="24"/>
    <col min="11777" max="11777" width="14.85546875" style="24" bestFit="1" customWidth="1"/>
    <col min="11778" max="11778" width="28" style="24" bestFit="1" customWidth="1"/>
    <col min="11779" max="11779" width="4.42578125" style="24" bestFit="1" customWidth="1"/>
    <col min="11780" max="11780" width="8" style="24" bestFit="1" customWidth="1"/>
    <col min="11781" max="11781" width="11.42578125" style="24"/>
    <col min="11782" max="11782" width="22.85546875" style="24" bestFit="1" customWidth="1"/>
    <col min="11783" max="11783" width="7" style="24" customWidth="1"/>
    <col min="11784" max="11784" width="6.28515625" style="24" customWidth="1"/>
    <col min="11785" max="11785" width="5.7109375" style="24" customWidth="1"/>
    <col min="11786" max="11786" width="5.7109375" style="24" bestFit="1" customWidth="1"/>
    <col min="11787" max="11787" width="5.85546875" style="24" bestFit="1" customWidth="1"/>
    <col min="11788" max="11788" width="9.42578125" style="24" customWidth="1"/>
    <col min="11789" max="11789" width="5.140625" style="24" customWidth="1"/>
    <col min="11790" max="11790" width="9.7109375" style="24" customWidth="1"/>
    <col min="11791" max="11791" width="6.7109375" style="24" bestFit="1" customWidth="1"/>
    <col min="11792" max="11792" width="4.85546875" style="24" customWidth="1"/>
    <col min="11793" max="11793" width="5.28515625" style="24" customWidth="1"/>
    <col min="11794" max="11795" width="4.42578125" style="24" bestFit="1" customWidth="1"/>
    <col min="11796" max="11796" width="13.28515625" style="24" bestFit="1" customWidth="1"/>
    <col min="11797" max="11797" width="3.140625" style="24" customWidth="1"/>
    <col min="11798" max="11798" width="5.42578125" style="24" bestFit="1" customWidth="1"/>
    <col min="11799" max="11799" width="4.42578125" style="24" bestFit="1" customWidth="1"/>
    <col min="11800" max="11800" width="6.42578125" style="24" customWidth="1"/>
    <col min="11801" max="11801" width="5" style="24" bestFit="1" customWidth="1"/>
    <col min="11802" max="11802" width="4.5703125" style="24" bestFit="1" customWidth="1"/>
    <col min="11803" max="11803" width="4.42578125" style="24" bestFit="1" customWidth="1"/>
    <col min="11804" max="11804" width="4" style="24" customWidth="1"/>
    <col min="11805" max="12032" width="11.42578125" style="24"/>
    <col min="12033" max="12033" width="14.85546875" style="24" bestFit="1" customWidth="1"/>
    <col min="12034" max="12034" width="28" style="24" bestFit="1" customWidth="1"/>
    <col min="12035" max="12035" width="4.42578125" style="24" bestFit="1" customWidth="1"/>
    <col min="12036" max="12036" width="8" style="24" bestFit="1" customWidth="1"/>
    <col min="12037" max="12037" width="11.42578125" style="24"/>
    <col min="12038" max="12038" width="22.85546875" style="24" bestFit="1" customWidth="1"/>
    <col min="12039" max="12039" width="7" style="24" customWidth="1"/>
    <col min="12040" max="12040" width="6.28515625" style="24" customWidth="1"/>
    <col min="12041" max="12041" width="5.7109375" style="24" customWidth="1"/>
    <col min="12042" max="12042" width="5.7109375" style="24" bestFit="1" customWidth="1"/>
    <col min="12043" max="12043" width="5.85546875" style="24" bestFit="1" customWidth="1"/>
    <col min="12044" max="12044" width="9.42578125" style="24" customWidth="1"/>
    <col min="12045" max="12045" width="5.140625" style="24" customWidth="1"/>
    <col min="12046" max="12046" width="9.7109375" style="24" customWidth="1"/>
    <col min="12047" max="12047" width="6.7109375" style="24" bestFit="1" customWidth="1"/>
    <col min="12048" max="12048" width="4.85546875" style="24" customWidth="1"/>
    <col min="12049" max="12049" width="5.28515625" style="24" customWidth="1"/>
    <col min="12050" max="12051" width="4.42578125" style="24" bestFit="1" customWidth="1"/>
    <col min="12052" max="12052" width="13.28515625" style="24" bestFit="1" customWidth="1"/>
    <col min="12053" max="12053" width="3.140625" style="24" customWidth="1"/>
    <col min="12054" max="12054" width="5.42578125" style="24" bestFit="1" customWidth="1"/>
    <col min="12055" max="12055" width="4.42578125" style="24" bestFit="1" customWidth="1"/>
    <col min="12056" max="12056" width="6.42578125" style="24" customWidth="1"/>
    <col min="12057" max="12057" width="5" style="24" bestFit="1" customWidth="1"/>
    <col min="12058" max="12058" width="4.5703125" style="24" bestFit="1" customWidth="1"/>
    <col min="12059" max="12059" width="4.42578125" style="24" bestFit="1" customWidth="1"/>
    <col min="12060" max="12060" width="4" style="24" customWidth="1"/>
    <col min="12061" max="12288" width="11.42578125" style="24"/>
    <col min="12289" max="12289" width="14.85546875" style="24" bestFit="1" customWidth="1"/>
    <col min="12290" max="12290" width="28" style="24" bestFit="1" customWidth="1"/>
    <col min="12291" max="12291" width="4.42578125" style="24" bestFit="1" customWidth="1"/>
    <col min="12292" max="12292" width="8" style="24" bestFit="1" customWidth="1"/>
    <col min="12293" max="12293" width="11.42578125" style="24"/>
    <col min="12294" max="12294" width="22.85546875" style="24" bestFit="1" customWidth="1"/>
    <col min="12295" max="12295" width="7" style="24" customWidth="1"/>
    <col min="12296" max="12296" width="6.28515625" style="24" customWidth="1"/>
    <col min="12297" max="12297" width="5.7109375" style="24" customWidth="1"/>
    <col min="12298" max="12298" width="5.7109375" style="24" bestFit="1" customWidth="1"/>
    <col min="12299" max="12299" width="5.85546875" style="24" bestFit="1" customWidth="1"/>
    <col min="12300" max="12300" width="9.42578125" style="24" customWidth="1"/>
    <col min="12301" max="12301" width="5.140625" style="24" customWidth="1"/>
    <col min="12302" max="12302" width="9.7109375" style="24" customWidth="1"/>
    <col min="12303" max="12303" width="6.7109375" style="24" bestFit="1" customWidth="1"/>
    <col min="12304" max="12304" width="4.85546875" style="24" customWidth="1"/>
    <col min="12305" max="12305" width="5.28515625" style="24" customWidth="1"/>
    <col min="12306" max="12307" width="4.42578125" style="24" bestFit="1" customWidth="1"/>
    <col min="12308" max="12308" width="13.28515625" style="24" bestFit="1" customWidth="1"/>
    <col min="12309" max="12309" width="3.140625" style="24" customWidth="1"/>
    <col min="12310" max="12310" width="5.42578125" style="24" bestFit="1" customWidth="1"/>
    <col min="12311" max="12311" width="4.42578125" style="24" bestFit="1" customWidth="1"/>
    <col min="12312" max="12312" width="6.42578125" style="24" customWidth="1"/>
    <col min="12313" max="12313" width="5" style="24" bestFit="1" customWidth="1"/>
    <col min="12314" max="12314" width="4.5703125" style="24" bestFit="1" customWidth="1"/>
    <col min="12315" max="12315" width="4.42578125" style="24" bestFit="1" customWidth="1"/>
    <col min="12316" max="12316" width="4" style="24" customWidth="1"/>
    <col min="12317" max="12544" width="11.42578125" style="24"/>
    <col min="12545" max="12545" width="14.85546875" style="24" bestFit="1" customWidth="1"/>
    <col min="12546" max="12546" width="28" style="24" bestFit="1" customWidth="1"/>
    <col min="12547" max="12547" width="4.42578125" style="24" bestFit="1" customWidth="1"/>
    <col min="12548" max="12548" width="8" style="24" bestFit="1" customWidth="1"/>
    <col min="12549" max="12549" width="11.42578125" style="24"/>
    <col min="12550" max="12550" width="22.85546875" style="24" bestFit="1" customWidth="1"/>
    <col min="12551" max="12551" width="7" style="24" customWidth="1"/>
    <col min="12552" max="12552" width="6.28515625" style="24" customWidth="1"/>
    <col min="12553" max="12553" width="5.7109375" style="24" customWidth="1"/>
    <col min="12554" max="12554" width="5.7109375" style="24" bestFit="1" customWidth="1"/>
    <col min="12555" max="12555" width="5.85546875" style="24" bestFit="1" customWidth="1"/>
    <col min="12556" max="12556" width="9.42578125" style="24" customWidth="1"/>
    <col min="12557" max="12557" width="5.140625" style="24" customWidth="1"/>
    <col min="12558" max="12558" width="9.7109375" style="24" customWidth="1"/>
    <col min="12559" max="12559" width="6.7109375" style="24" bestFit="1" customWidth="1"/>
    <col min="12560" max="12560" width="4.85546875" style="24" customWidth="1"/>
    <col min="12561" max="12561" width="5.28515625" style="24" customWidth="1"/>
    <col min="12562" max="12563" width="4.42578125" style="24" bestFit="1" customWidth="1"/>
    <col min="12564" max="12564" width="13.28515625" style="24" bestFit="1" customWidth="1"/>
    <col min="12565" max="12565" width="3.140625" style="24" customWidth="1"/>
    <col min="12566" max="12566" width="5.42578125" style="24" bestFit="1" customWidth="1"/>
    <col min="12567" max="12567" width="4.42578125" style="24" bestFit="1" customWidth="1"/>
    <col min="12568" max="12568" width="6.42578125" style="24" customWidth="1"/>
    <col min="12569" max="12569" width="5" style="24" bestFit="1" customWidth="1"/>
    <col min="12570" max="12570" width="4.5703125" style="24" bestFit="1" customWidth="1"/>
    <col min="12571" max="12571" width="4.42578125" style="24" bestFit="1" customWidth="1"/>
    <col min="12572" max="12572" width="4" style="24" customWidth="1"/>
    <col min="12573" max="12800" width="11.42578125" style="24"/>
    <col min="12801" max="12801" width="14.85546875" style="24" bestFit="1" customWidth="1"/>
    <col min="12802" max="12802" width="28" style="24" bestFit="1" customWidth="1"/>
    <col min="12803" max="12803" width="4.42578125" style="24" bestFit="1" customWidth="1"/>
    <col min="12804" max="12804" width="8" style="24" bestFit="1" customWidth="1"/>
    <col min="12805" max="12805" width="11.42578125" style="24"/>
    <col min="12806" max="12806" width="22.85546875" style="24" bestFit="1" customWidth="1"/>
    <col min="12807" max="12807" width="7" style="24" customWidth="1"/>
    <col min="12808" max="12808" width="6.28515625" style="24" customWidth="1"/>
    <col min="12809" max="12809" width="5.7109375" style="24" customWidth="1"/>
    <col min="12810" max="12810" width="5.7109375" style="24" bestFit="1" customWidth="1"/>
    <col min="12811" max="12811" width="5.85546875" style="24" bestFit="1" customWidth="1"/>
    <col min="12812" max="12812" width="9.42578125" style="24" customWidth="1"/>
    <col min="12813" max="12813" width="5.140625" style="24" customWidth="1"/>
    <col min="12814" max="12814" width="9.7109375" style="24" customWidth="1"/>
    <col min="12815" max="12815" width="6.7109375" style="24" bestFit="1" customWidth="1"/>
    <col min="12816" max="12816" width="4.85546875" style="24" customWidth="1"/>
    <col min="12817" max="12817" width="5.28515625" style="24" customWidth="1"/>
    <col min="12818" max="12819" width="4.42578125" style="24" bestFit="1" customWidth="1"/>
    <col min="12820" max="12820" width="13.28515625" style="24" bestFit="1" customWidth="1"/>
    <col min="12821" max="12821" width="3.140625" style="24" customWidth="1"/>
    <col min="12822" max="12822" width="5.42578125" style="24" bestFit="1" customWidth="1"/>
    <col min="12823" max="12823" width="4.42578125" style="24" bestFit="1" customWidth="1"/>
    <col min="12824" max="12824" width="6.42578125" style="24" customWidth="1"/>
    <col min="12825" max="12825" width="5" style="24" bestFit="1" customWidth="1"/>
    <col min="12826" max="12826" width="4.5703125" style="24" bestFit="1" customWidth="1"/>
    <col min="12827" max="12827" width="4.42578125" style="24" bestFit="1" customWidth="1"/>
    <col min="12828" max="12828" width="4" style="24" customWidth="1"/>
    <col min="12829" max="13056" width="11.42578125" style="24"/>
    <col min="13057" max="13057" width="14.85546875" style="24" bestFit="1" customWidth="1"/>
    <col min="13058" max="13058" width="28" style="24" bestFit="1" customWidth="1"/>
    <col min="13059" max="13059" width="4.42578125" style="24" bestFit="1" customWidth="1"/>
    <col min="13060" max="13060" width="8" style="24" bestFit="1" customWidth="1"/>
    <col min="13061" max="13061" width="11.42578125" style="24"/>
    <col min="13062" max="13062" width="22.85546875" style="24" bestFit="1" customWidth="1"/>
    <col min="13063" max="13063" width="7" style="24" customWidth="1"/>
    <col min="13064" max="13064" width="6.28515625" style="24" customWidth="1"/>
    <col min="13065" max="13065" width="5.7109375" style="24" customWidth="1"/>
    <col min="13066" max="13066" width="5.7109375" style="24" bestFit="1" customWidth="1"/>
    <col min="13067" max="13067" width="5.85546875" style="24" bestFit="1" customWidth="1"/>
    <col min="13068" max="13068" width="9.42578125" style="24" customWidth="1"/>
    <col min="13069" max="13069" width="5.140625" style="24" customWidth="1"/>
    <col min="13070" max="13070" width="9.7109375" style="24" customWidth="1"/>
    <col min="13071" max="13071" width="6.7109375" style="24" bestFit="1" customWidth="1"/>
    <col min="13072" max="13072" width="4.85546875" style="24" customWidth="1"/>
    <col min="13073" max="13073" width="5.28515625" style="24" customWidth="1"/>
    <col min="13074" max="13075" width="4.42578125" style="24" bestFit="1" customWidth="1"/>
    <col min="13076" max="13076" width="13.28515625" style="24" bestFit="1" customWidth="1"/>
    <col min="13077" max="13077" width="3.140625" style="24" customWidth="1"/>
    <col min="13078" max="13078" width="5.42578125" style="24" bestFit="1" customWidth="1"/>
    <col min="13079" max="13079" width="4.42578125" style="24" bestFit="1" customWidth="1"/>
    <col min="13080" max="13080" width="6.42578125" style="24" customWidth="1"/>
    <col min="13081" max="13081" width="5" style="24" bestFit="1" customWidth="1"/>
    <col min="13082" max="13082" width="4.5703125" style="24" bestFit="1" customWidth="1"/>
    <col min="13083" max="13083" width="4.42578125" style="24" bestFit="1" customWidth="1"/>
    <col min="13084" max="13084" width="4" style="24" customWidth="1"/>
    <col min="13085" max="13312" width="11.42578125" style="24"/>
    <col min="13313" max="13313" width="14.85546875" style="24" bestFit="1" customWidth="1"/>
    <col min="13314" max="13314" width="28" style="24" bestFit="1" customWidth="1"/>
    <col min="13315" max="13315" width="4.42578125" style="24" bestFit="1" customWidth="1"/>
    <col min="13316" max="13316" width="8" style="24" bestFit="1" customWidth="1"/>
    <col min="13317" max="13317" width="11.42578125" style="24"/>
    <col min="13318" max="13318" width="22.85546875" style="24" bestFit="1" customWidth="1"/>
    <col min="13319" max="13319" width="7" style="24" customWidth="1"/>
    <col min="13320" max="13320" width="6.28515625" style="24" customWidth="1"/>
    <col min="13321" max="13321" width="5.7109375" style="24" customWidth="1"/>
    <col min="13322" max="13322" width="5.7109375" style="24" bestFit="1" customWidth="1"/>
    <col min="13323" max="13323" width="5.85546875" style="24" bestFit="1" customWidth="1"/>
    <col min="13324" max="13324" width="9.42578125" style="24" customWidth="1"/>
    <col min="13325" max="13325" width="5.140625" style="24" customWidth="1"/>
    <col min="13326" max="13326" width="9.7109375" style="24" customWidth="1"/>
    <col min="13327" max="13327" width="6.7109375" style="24" bestFit="1" customWidth="1"/>
    <col min="13328" max="13328" width="4.85546875" style="24" customWidth="1"/>
    <col min="13329" max="13329" width="5.28515625" style="24" customWidth="1"/>
    <col min="13330" max="13331" width="4.42578125" style="24" bestFit="1" customWidth="1"/>
    <col min="13332" max="13332" width="13.28515625" style="24" bestFit="1" customWidth="1"/>
    <col min="13333" max="13333" width="3.140625" style="24" customWidth="1"/>
    <col min="13334" max="13334" width="5.42578125" style="24" bestFit="1" customWidth="1"/>
    <col min="13335" max="13335" width="4.42578125" style="24" bestFit="1" customWidth="1"/>
    <col min="13336" max="13336" width="6.42578125" style="24" customWidth="1"/>
    <col min="13337" max="13337" width="5" style="24" bestFit="1" customWidth="1"/>
    <col min="13338" max="13338" width="4.5703125" style="24" bestFit="1" customWidth="1"/>
    <col min="13339" max="13339" width="4.42578125" style="24" bestFit="1" customWidth="1"/>
    <col min="13340" max="13340" width="4" style="24" customWidth="1"/>
    <col min="13341" max="13568" width="11.42578125" style="24"/>
    <col min="13569" max="13569" width="14.85546875" style="24" bestFit="1" customWidth="1"/>
    <col min="13570" max="13570" width="28" style="24" bestFit="1" customWidth="1"/>
    <col min="13571" max="13571" width="4.42578125" style="24" bestFit="1" customWidth="1"/>
    <col min="13572" max="13572" width="8" style="24" bestFit="1" customWidth="1"/>
    <col min="13573" max="13573" width="11.42578125" style="24"/>
    <col min="13574" max="13574" width="22.85546875" style="24" bestFit="1" customWidth="1"/>
    <col min="13575" max="13575" width="7" style="24" customWidth="1"/>
    <col min="13576" max="13576" width="6.28515625" style="24" customWidth="1"/>
    <col min="13577" max="13577" width="5.7109375" style="24" customWidth="1"/>
    <col min="13578" max="13578" width="5.7109375" style="24" bestFit="1" customWidth="1"/>
    <col min="13579" max="13579" width="5.85546875" style="24" bestFit="1" customWidth="1"/>
    <col min="13580" max="13580" width="9.42578125" style="24" customWidth="1"/>
    <col min="13581" max="13581" width="5.140625" style="24" customWidth="1"/>
    <col min="13582" max="13582" width="9.7109375" style="24" customWidth="1"/>
    <col min="13583" max="13583" width="6.7109375" style="24" bestFit="1" customWidth="1"/>
    <col min="13584" max="13584" width="4.85546875" style="24" customWidth="1"/>
    <col min="13585" max="13585" width="5.28515625" style="24" customWidth="1"/>
    <col min="13586" max="13587" width="4.42578125" style="24" bestFit="1" customWidth="1"/>
    <col min="13588" max="13588" width="13.28515625" style="24" bestFit="1" customWidth="1"/>
    <col min="13589" max="13589" width="3.140625" style="24" customWidth="1"/>
    <col min="13590" max="13590" width="5.42578125" style="24" bestFit="1" customWidth="1"/>
    <col min="13591" max="13591" width="4.42578125" style="24" bestFit="1" customWidth="1"/>
    <col min="13592" max="13592" width="6.42578125" style="24" customWidth="1"/>
    <col min="13593" max="13593" width="5" style="24" bestFit="1" customWidth="1"/>
    <col min="13594" max="13594" width="4.5703125" style="24" bestFit="1" customWidth="1"/>
    <col min="13595" max="13595" width="4.42578125" style="24" bestFit="1" customWidth="1"/>
    <col min="13596" max="13596" width="4" style="24" customWidth="1"/>
    <col min="13597" max="13824" width="11.42578125" style="24"/>
    <col min="13825" max="13825" width="14.85546875" style="24" bestFit="1" customWidth="1"/>
    <col min="13826" max="13826" width="28" style="24" bestFit="1" customWidth="1"/>
    <col min="13827" max="13827" width="4.42578125" style="24" bestFit="1" customWidth="1"/>
    <col min="13828" max="13828" width="8" style="24" bestFit="1" customWidth="1"/>
    <col min="13829" max="13829" width="11.42578125" style="24"/>
    <col min="13830" max="13830" width="22.85546875" style="24" bestFit="1" customWidth="1"/>
    <col min="13831" max="13831" width="7" style="24" customWidth="1"/>
    <col min="13832" max="13832" width="6.28515625" style="24" customWidth="1"/>
    <col min="13833" max="13833" width="5.7109375" style="24" customWidth="1"/>
    <col min="13834" max="13834" width="5.7109375" style="24" bestFit="1" customWidth="1"/>
    <col min="13835" max="13835" width="5.85546875" style="24" bestFit="1" customWidth="1"/>
    <col min="13836" max="13836" width="9.42578125" style="24" customWidth="1"/>
    <col min="13837" max="13837" width="5.140625" style="24" customWidth="1"/>
    <col min="13838" max="13838" width="9.7109375" style="24" customWidth="1"/>
    <col min="13839" max="13839" width="6.7109375" style="24" bestFit="1" customWidth="1"/>
    <col min="13840" max="13840" width="4.85546875" style="24" customWidth="1"/>
    <col min="13841" max="13841" width="5.28515625" style="24" customWidth="1"/>
    <col min="13842" max="13843" width="4.42578125" style="24" bestFit="1" customWidth="1"/>
    <col min="13844" max="13844" width="13.28515625" style="24" bestFit="1" customWidth="1"/>
    <col min="13845" max="13845" width="3.140625" style="24" customWidth="1"/>
    <col min="13846" max="13846" width="5.42578125" style="24" bestFit="1" customWidth="1"/>
    <col min="13847" max="13847" width="4.42578125" style="24" bestFit="1" customWidth="1"/>
    <col min="13848" max="13848" width="6.42578125" style="24" customWidth="1"/>
    <col min="13849" max="13849" width="5" style="24" bestFit="1" customWidth="1"/>
    <col min="13850" max="13850" width="4.5703125" style="24" bestFit="1" customWidth="1"/>
    <col min="13851" max="13851" width="4.42578125" style="24" bestFit="1" customWidth="1"/>
    <col min="13852" max="13852" width="4" style="24" customWidth="1"/>
    <col min="13853" max="14080" width="11.42578125" style="24"/>
    <col min="14081" max="14081" width="14.85546875" style="24" bestFit="1" customWidth="1"/>
    <col min="14082" max="14082" width="28" style="24" bestFit="1" customWidth="1"/>
    <col min="14083" max="14083" width="4.42578125" style="24" bestFit="1" customWidth="1"/>
    <col min="14084" max="14084" width="8" style="24" bestFit="1" customWidth="1"/>
    <col min="14085" max="14085" width="11.42578125" style="24"/>
    <col min="14086" max="14086" width="22.85546875" style="24" bestFit="1" customWidth="1"/>
    <col min="14087" max="14087" width="7" style="24" customWidth="1"/>
    <col min="14088" max="14088" width="6.28515625" style="24" customWidth="1"/>
    <col min="14089" max="14089" width="5.7109375" style="24" customWidth="1"/>
    <col min="14090" max="14090" width="5.7109375" style="24" bestFit="1" customWidth="1"/>
    <col min="14091" max="14091" width="5.85546875" style="24" bestFit="1" customWidth="1"/>
    <col min="14092" max="14092" width="9.42578125" style="24" customWidth="1"/>
    <col min="14093" max="14093" width="5.140625" style="24" customWidth="1"/>
    <col min="14094" max="14094" width="9.7109375" style="24" customWidth="1"/>
    <col min="14095" max="14095" width="6.7109375" style="24" bestFit="1" customWidth="1"/>
    <col min="14096" max="14096" width="4.85546875" style="24" customWidth="1"/>
    <col min="14097" max="14097" width="5.28515625" style="24" customWidth="1"/>
    <col min="14098" max="14099" width="4.42578125" style="24" bestFit="1" customWidth="1"/>
    <col min="14100" max="14100" width="13.28515625" style="24" bestFit="1" customWidth="1"/>
    <col min="14101" max="14101" width="3.140625" style="24" customWidth="1"/>
    <col min="14102" max="14102" width="5.42578125" style="24" bestFit="1" customWidth="1"/>
    <col min="14103" max="14103" width="4.42578125" style="24" bestFit="1" customWidth="1"/>
    <col min="14104" max="14104" width="6.42578125" style="24" customWidth="1"/>
    <col min="14105" max="14105" width="5" style="24" bestFit="1" customWidth="1"/>
    <col min="14106" max="14106" width="4.5703125" style="24" bestFit="1" customWidth="1"/>
    <col min="14107" max="14107" width="4.42578125" style="24" bestFit="1" customWidth="1"/>
    <col min="14108" max="14108" width="4" style="24" customWidth="1"/>
    <col min="14109" max="14336" width="11.42578125" style="24"/>
    <col min="14337" max="14337" width="14.85546875" style="24" bestFit="1" customWidth="1"/>
    <col min="14338" max="14338" width="28" style="24" bestFit="1" customWidth="1"/>
    <col min="14339" max="14339" width="4.42578125" style="24" bestFit="1" customWidth="1"/>
    <col min="14340" max="14340" width="8" style="24" bestFit="1" customWidth="1"/>
    <col min="14341" max="14341" width="11.42578125" style="24"/>
    <col min="14342" max="14342" width="22.85546875" style="24" bestFit="1" customWidth="1"/>
    <col min="14343" max="14343" width="7" style="24" customWidth="1"/>
    <col min="14344" max="14344" width="6.28515625" style="24" customWidth="1"/>
    <col min="14345" max="14345" width="5.7109375" style="24" customWidth="1"/>
    <col min="14346" max="14346" width="5.7109375" style="24" bestFit="1" customWidth="1"/>
    <col min="14347" max="14347" width="5.85546875" style="24" bestFit="1" customWidth="1"/>
    <col min="14348" max="14348" width="9.42578125" style="24" customWidth="1"/>
    <col min="14349" max="14349" width="5.140625" style="24" customWidth="1"/>
    <col min="14350" max="14350" width="9.7109375" style="24" customWidth="1"/>
    <col min="14351" max="14351" width="6.7109375" style="24" bestFit="1" customWidth="1"/>
    <col min="14352" max="14352" width="4.85546875" style="24" customWidth="1"/>
    <col min="14353" max="14353" width="5.28515625" style="24" customWidth="1"/>
    <col min="14354" max="14355" width="4.42578125" style="24" bestFit="1" customWidth="1"/>
    <col min="14356" max="14356" width="13.28515625" style="24" bestFit="1" customWidth="1"/>
    <col min="14357" max="14357" width="3.140625" style="24" customWidth="1"/>
    <col min="14358" max="14358" width="5.42578125" style="24" bestFit="1" customWidth="1"/>
    <col min="14359" max="14359" width="4.42578125" style="24" bestFit="1" customWidth="1"/>
    <col min="14360" max="14360" width="6.42578125" style="24" customWidth="1"/>
    <col min="14361" max="14361" width="5" style="24" bestFit="1" customWidth="1"/>
    <col min="14362" max="14362" width="4.5703125" style="24" bestFit="1" customWidth="1"/>
    <col min="14363" max="14363" width="4.42578125" style="24" bestFit="1" customWidth="1"/>
    <col min="14364" max="14364" width="4" style="24" customWidth="1"/>
    <col min="14365" max="14592" width="11.42578125" style="24"/>
    <col min="14593" max="14593" width="14.85546875" style="24" bestFit="1" customWidth="1"/>
    <col min="14594" max="14594" width="28" style="24" bestFit="1" customWidth="1"/>
    <col min="14595" max="14595" width="4.42578125" style="24" bestFit="1" customWidth="1"/>
    <col min="14596" max="14596" width="8" style="24" bestFit="1" customWidth="1"/>
    <col min="14597" max="14597" width="11.42578125" style="24"/>
    <col min="14598" max="14598" width="22.85546875" style="24" bestFit="1" customWidth="1"/>
    <col min="14599" max="14599" width="7" style="24" customWidth="1"/>
    <col min="14600" max="14600" width="6.28515625" style="24" customWidth="1"/>
    <col min="14601" max="14601" width="5.7109375" style="24" customWidth="1"/>
    <col min="14602" max="14602" width="5.7109375" style="24" bestFit="1" customWidth="1"/>
    <col min="14603" max="14603" width="5.85546875" style="24" bestFit="1" customWidth="1"/>
    <col min="14604" max="14604" width="9.42578125" style="24" customWidth="1"/>
    <col min="14605" max="14605" width="5.140625" style="24" customWidth="1"/>
    <col min="14606" max="14606" width="9.7109375" style="24" customWidth="1"/>
    <col min="14607" max="14607" width="6.7109375" style="24" bestFit="1" customWidth="1"/>
    <col min="14608" max="14608" width="4.85546875" style="24" customWidth="1"/>
    <col min="14609" max="14609" width="5.28515625" style="24" customWidth="1"/>
    <col min="14610" max="14611" width="4.42578125" style="24" bestFit="1" customWidth="1"/>
    <col min="14612" max="14612" width="13.28515625" style="24" bestFit="1" customWidth="1"/>
    <col min="14613" max="14613" width="3.140625" style="24" customWidth="1"/>
    <col min="14614" max="14614" width="5.42578125" style="24" bestFit="1" customWidth="1"/>
    <col min="14615" max="14615" width="4.42578125" style="24" bestFit="1" customWidth="1"/>
    <col min="14616" max="14616" width="6.42578125" style="24" customWidth="1"/>
    <col min="14617" max="14617" width="5" style="24" bestFit="1" customWidth="1"/>
    <col min="14618" max="14618" width="4.5703125" style="24" bestFit="1" customWidth="1"/>
    <col min="14619" max="14619" width="4.42578125" style="24" bestFit="1" customWidth="1"/>
    <col min="14620" max="14620" width="4" style="24" customWidth="1"/>
    <col min="14621" max="14848" width="11.42578125" style="24"/>
    <col min="14849" max="14849" width="14.85546875" style="24" bestFit="1" customWidth="1"/>
    <col min="14850" max="14850" width="28" style="24" bestFit="1" customWidth="1"/>
    <col min="14851" max="14851" width="4.42578125" style="24" bestFit="1" customWidth="1"/>
    <col min="14852" max="14852" width="8" style="24" bestFit="1" customWidth="1"/>
    <col min="14853" max="14853" width="11.42578125" style="24"/>
    <col min="14854" max="14854" width="22.85546875" style="24" bestFit="1" customWidth="1"/>
    <col min="14855" max="14855" width="7" style="24" customWidth="1"/>
    <col min="14856" max="14856" width="6.28515625" style="24" customWidth="1"/>
    <col min="14857" max="14857" width="5.7109375" style="24" customWidth="1"/>
    <col min="14858" max="14858" width="5.7109375" style="24" bestFit="1" customWidth="1"/>
    <col min="14859" max="14859" width="5.85546875" style="24" bestFit="1" customWidth="1"/>
    <col min="14860" max="14860" width="9.42578125" style="24" customWidth="1"/>
    <col min="14861" max="14861" width="5.140625" style="24" customWidth="1"/>
    <col min="14862" max="14862" width="9.7109375" style="24" customWidth="1"/>
    <col min="14863" max="14863" width="6.7109375" style="24" bestFit="1" customWidth="1"/>
    <col min="14864" max="14864" width="4.85546875" style="24" customWidth="1"/>
    <col min="14865" max="14865" width="5.28515625" style="24" customWidth="1"/>
    <col min="14866" max="14867" width="4.42578125" style="24" bestFit="1" customWidth="1"/>
    <col min="14868" max="14868" width="13.28515625" style="24" bestFit="1" customWidth="1"/>
    <col min="14869" max="14869" width="3.140625" style="24" customWidth="1"/>
    <col min="14870" max="14870" width="5.42578125" style="24" bestFit="1" customWidth="1"/>
    <col min="14871" max="14871" width="4.42578125" style="24" bestFit="1" customWidth="1"/>
    <col min="14872" max="14872" width="6.42578125" style="24" customWidth="1"/>
    <col min="14873" max="14873" width="5" style="24" bestFit="1" customWidth="1"/>
    <col min="14874" max="14874" width="4.5703125" style="24" bestFit="1" customWidth="1"/>
    <col min="14875" max="14875" width="4.42578125" style="24" bestFit="1" customWidth="1"/>
    <col min="14876" max="14876" width="4" style="24" customWidth="1"/>
    <col min="14877" max="15104" width="11.42578125" style="24"/>
    <col min="15105" max="15105" width="14.85546875" style="24" bestFit="1" customWidth="1"/>
    <col min="15106" max="15106" width="28" style="24" bestFit="1" customWidth="1"/>
    <col min="15107" max="15107" width="4.42578125" style="24" bestFit="1" customWidth="1"/>
    <col min="15108" max="15108" width="8" style="24" bestFit="1" customWidth="1"/>
    <col min="15109" max="15109" width="11.42578125" style="24"/>
    <col min="15110" max="15110" width="22.85546875" style="24" bestFit="1" customWidth="1"/>
    <col min="15111" max="15111" width="7" style="24" customWidth="1"/>
    <col min="15112" max="15112" width="6.28515625" style="24" customWidth="1"/>
    <col min="15113" max="15113" width="5.7109375" style="24" customWidth="1"/>
    <col min="15114" max="15114" width="5.7109375" style="24" bestFit="1" customWidth="1"/>
    <col min="15115" max="15115" width="5.85546875" style="24" bestFit="1" customWidth="1"/>
    <col min="15116" max="15116" width="9.42578125" style="24" customWidth="1"/>
    <col min="15117" max="15117" width="5.140625" style="24" customWidth="1"/>
    <col min="15118" max="15118" width="9.7109375" style="24" customWidth="1"/>
    <col min="15119" max="15119" width="6.7109375" style="24" bestFit="1" customWidth="1"/>
    <col min="15120" max="15120" width="4.85546875" style="24" customWidth="1"/>
    <col min="15121" max="15121" width="5.28515625" style="24" customWidth="1"/>
    <col min="15122" max="15123" width="4.42578125" style="24" bestFit="1" customWidth="1"/>
    <col min="15124" max="15124" width="13.28515625" style="24" bestFit="1" customWidth="1"/>
    <col min="15125" max="15125" width="3.140625" style="24" customWidth="1"/>
    <col min="15126" max="15126" width="5.42578125" style="24" bestFit="1" customWidth="1"/>
    <col min="15127" max="15127" width="4.42578125" style="24" bestFit="1" customWidth="1"/>
    <col min="15128" max="15128" width="6.42578125" style="24" customWidth="1"/>
    <col min="15129" max="15129" width="5" style="24" bestFit="1" customWidth="1"/>
    <col min="15130" max="15130" width="4.5703125" style="24" bestFit="1" customWidth="1"/>
    <col min="15131" max="15131" width="4.42578125" style="24" bestFit="1" customWidth="1"/>
    <col min="15132" max="15132" width="4" style="24" customWidth="1"/>
    <col min="15133" max="15360" width="11.42578125" style="24"/>
    <col min="15361" max="15361" width="14.85546875" style="24" bestFit="1" customWidth="1"/>
    <col min="15362" max="15362" width="28" style="24" bestFit="1" customWidth="1"/>
    <col min="15363" max="15363" width="4.42578125" style="24" bestFit="1" customWidth="1"/>
    <col min="15364" max="15364" width="8" style="24" bestFit="1" customWidth="1"/>
    <col min="15365" max="15365" width="11.42578125" style="24"/>
    <col min="15366" max="15366" width="22.85546875" style="24" bestFit="1" customWidth="1"/>
    <col min="15367" max="15367" width="7" style="24" customWidth="1"/>
    <col min="15368" max="15368" width="6.28515625" style="24" customWidth="1"/>
    <col min="15369" max="15369" width="5.7109375" style="24" customWidth="1"/>
    <col min="15370" max="15370" width="5.7109375" style="24" bestFit="1" customWidth="1"/>
    <col min="15371" max="15371" width="5.85546875" style="24" bestFit="1" customWidth="1"/>
    <col min="15372" max="15372" width="9.42578125" style="24" customWidth="1"/>
    <col min="15373" max="15373" width="5.140625" style="24" customWidth="1"/>
    <col min="15374" max="15374" width="9.7109375" style="24" customWidth="1"/>
    <col min="15375" max="15375" width="6.7109375" style="24" bestFit="1" customWidth="1"/>
    <col min="15376" max="15376" width="4.85546875" style="24" customWidth="1"/>
    <col min="15377" max="15377" width="5.28515625" style="24" customWidth="1"/>
    <col min="15378" max="15379" width="4.42578125" style="24" bestFit="1" customWidth="1"/>
    <col min="15380" max="15380" width="13.28515625" style="24" bestFit="1" customWidth="1"/>
    <col min="15381" max="15381" width="3.140625" style="24" customWidth="1"/>
    <col min="15382" max="15382" width="5.42578125" style="24" bestFit="1" customWidth="1"/>
    <col min="15383" max="15383" width="4.42578125" style="24" bestFit="1" customWidth="1"/>
    <col min="15384" max="15384" width="6.42578125" style="24" customWidth="1"/>
    <col min="15385" max="15385" width="5" style="24" bestFit="1" customWidth="1"/>
    <col min="15386" max="15386" width="4.5703125" style="24" bestFit="1" customWidth="1"/>
    <col min="15387" max="15387" width="4.42578125" style="24" bestFit="1" customWidth="1"/>
    <col min="15388" max="15388" width="4" style="24" customWidth="1"/>
    <col min="15389" max="15616" width="11.42578125" style="24"/>
    <col min="15617" max="15617" width="14.85546875" style="24" bestFit="1" customWidth="1"/>
    <col min="15618" max="15618" width="28" style="24" bestFit="1" customWidth="1"/>
    <col min="15619" max="15619" width="4.42578125" style="24" bestFit="1" customWidth="1"/>
    <col min="15620" max="15620" width="8" style="24" bestFit="1" customWidth="1"/>
    <col min="15621" max="15621" width="11.42578125" style="24"/>
    <col min="15622" max="15622" width="22.85546875" style="24" bestFit="1" customWidth="1"/>
    <col min="15623" max="15623" width="7" style="24" customWidth="1"/>
    <col min="15624" max="15624" width="6.28515625" style="24" customWidth="1"/>
    <col min="15625" max="15625" width="5.7109375" style="24" customWidth="1"/>
    <col min="15626" max="15626" width="5.7109375" style="24" bestFit="1" customWidth="1"/>
    <col min="15627" max="15627" width="5.85546875" style="24" bestFit="1" customWidth="1"/>
    <col min="15628" max="15628" width="9.42578125" style="24" customWidth="1"/>
    <col min="15629" max="15629" width="5.140625" style="24" customWidth="1"/>
    <col min="15630" max="15630" width="9.7109375" style="24" customWidth="1"/>
    <col min="15631" max="15631" width="6.7109375" style="24" bestFit="1" customWidth="1"/>
    <col min="15632" max="15632" width="4.85546875" style="24" customWidth="1"/>
    <col min="15633" max="15633" width="5.28515625" style="24" customWidth="1"/>
    <col min="15634" max="15635" width="4.42578125" style="24" bestFit="1" customWidth="1"/>
    <col min="15636" max="15636" width="13.28515625" style="24" bestFit="1" customWidth="1"/>
    <col min="15637" max="15637" width="3.140625" style="24" customWidth="1"/>
    <col min="15638" max="15638" width="5.42578125" style="24" bestFit="1" customWidth="1"/>
    <col min="15639" max="15639" width="4.42578125" style="24" bestFit="1" customWidth="1"/>
    <col min="15640" max="15640" width="6.42578125" style="24" customWidth="1"/>
    <col min="15641" max="15641" width="5" style="24" bestFit="1" customWidth="1"/>
    <col min="15642" max="15642" width="4.5703125" style="24" bestFit="1" customWidth="1"/>
    <col min="15643" max="15643" width="4.42578125" style="24" bestFit="1" customWidth="1"/>
    <col min="15644" max="15644" width="4" style="24" customWidth="1"/>
    <col min="15645" max="15872" width="11.42578125" style="24"/>
    <col min="15873" max="15873" width="14.85546875" style="24" bestFit="1" customWidth="1"/>
    <col min="15874" max="15874" width="28" style="24" bestFit="1" customWidth="1"/>
    <col min="15875" max="15875" width="4.42578125" style="24" bestFit="1" customWidth="1"/>
    <col min="15876" max="15876" width="8" style="24" bestFit="1" customWidth="1"/>
    <col min="15877" max="15877" width="11.42578125" style="24"/>
    <col min="15878" max="15878" width="22.85546875" style="24" bestFit="1" customWidth="1"/>
    <col min="15879" max="15879" width="7" style="24" customWidth="1"/>
    <col min="15880" max="15880" width="6.28515625" style="24" customWidth="1"/>
    <col min="15881" max="15881" width="5.7109375" style="24" customWidth="1"/>
    <col min="15882" max="15882" width="5.7109375" style="24" bestFit="1" customWidth="1"/>
    <col min="15883" max="15883" width="5.85546875" style="24" bestFit="1" customWidth="1"/>
    <col min="15884" max="15884" width="9.42578125" style="24" customWidth="1"/>
    <col min="15885" max="15885" width="5.140625" style="24" customWidth="1"/>
    <col min="15886" max="15886" width="9.7109375" style="24" customWidth="1"/>
    <col min="15887" max="15887" width="6.7109375" style="24" bestFit="1" customWidth="1"/>
    <col min="15888" max="15888" width="4.85546875" style="24" customWidth="1"/>
    <col min="15889" max="15889" width="5.28515625" style="24" customWidth="1"/>
    <col min="15890" max="15891" width="4.42578125" style="24" bestFit="1" customWidth="1"/>
    <col min="15892" max="15892" width="13.28515625" style="24" bestFit="1" customWidth="1"/>
    <col min="15893" max="15893" width="3.140625" style="24" customWidth="1"/>
    <col min="15894" max="15894" width="5.42578125" style="24" bestFit="1" customWidth="1"/>
    <col min="15895" max="15895" width="4.42578125" style="24" bestFit="1" customWidth="1"/>
    <col min="15896" max="15896" width="6.42578125" style="24" customWidth="1"/>
    <col min="15897" max="15897" width="5" style="24" bestFit="1" customWidth="1"/>
    <col min="15898" max="15898" width="4.5703125" style="24" bestFit="1" customWidth="1"/>
    <col min="15899" max="15899" width="4.42578125" style="24" bestFit="1" customWidth="1"/>
    <col min="15900" max="15900" width="4" style="24" customWidth="1"/>
    <col min="15901" max="16128" width="11.42578125" style="24"/>
    <col min="16129" max="16129" width="14.85546875" style="24" bestFit="1" customWidth="1"/>
    <col min="16130" max="16130" width="28" style="24" bestFit="1" customWidth="1"/>
    <col min="16131" max="16131" width="4.42578125" style="24" bestFit="1" customWidth="1"/>
    <col min="16132" max="16132" width="8" style="24" bestFit="1" customWidth="1"/>
    <col min="16133" max="16133" width="11.42578125" style="24"/>
    <col min="16134" max="16134" width="22.85546875" style="24" bestFit="1" customWidth="1"/>
    <col min="16135" max="16135" width="7" style="24" customWidth="1"/>
    <col min="16136" max="16136" width="6.28515625" style="24" customWidth="1"/>
    <col min="16137" max="16137" width="5.7109375" style="24" customWidth="1"/>
    <col min="16138" max="16138" width="5.7109375" style="24" bestFit="1" customWidth="1"/>
    <col min="16139" max="16139" width="5.85546875" style="24" bestFit="1" customWidth="1"/>
    <col min="16140" max="16140" width="9.42578125" style="24" customWidth="1"/>
    <col min="16141" max="16141" width="5.140625" style="24" customWidth="1"/>
    <col min="16142" max="16142" width="9.7109375" style="24" customWidth="1"/>
    <col min="16143" max="16143" width="6.7109375" style="24" bestFit="1" customWidth="1"/>
    <col min="16144" max="16144" width="4.85546875" style="24" customWidth="1"/>
    <col min="16145" max="16145" width="5.28515625" style="24" customWidth="1"/>
    <col min="16146" max="16147" width="4.42578125" style="24" bestFit="1" customWidth="1"/>
    <col min="16148" max="16148" width="13.28515625" style="24" bestFit="1" customWidth="1"/>
    <col min="16149" max="16149" width="3.140625" style="24" customWidth="1"/>
    <col min="16150" max="16150" width="5.42578125" style="24" bestFit="1" customWidth="1"/>
    <col min="16151" max="16151" width="4.42578125" style="24" bestFit="1" customWidth="1"/>
    <col min="16152" max="16152" width="6.42578125" style="24" customWidth="1"/>
    <col min="16153" max="16153" width="5" style="24" bestFit="1" customWidth="1"/>
    <col min="16154" max="16154" width="4.5703125" style="24" bestFit="1" customWidth="1"/>
    <col min="16155" max="16155" width="4.42578125" style="24" bestFit="1" customWidth="1"/>
    <col min="16156" max="16156" width="4" style="24" customWidth="1"/>
    <col min="16157" max="16384" width="11.42578125" style="24"/>
  </cols>
  <sheetData>
    <row r="1" spans="1:42" x14ac:dyDescent="0.2">
      <c r="E1" s="1"/>
      <c r="F1" s="1"/>
      <c r="G1" s="631" t="s">
        <v>0</v>
      </c>
      <c r="H1" s="632"/>
      <c r="I1" s="632"/>
      <c r="J1" s="632"/>
      <c r="K1" s="632"/>
      <c r="L1" s="633"/>
      <c r="M1" s="589"/>
      <c r="N1" s="632" t="s">
        <v>1</v>
      </c>
      <c r="O1" s="632"/>
      <c r="P1" s="632"/>
      <c r="Q1" s="632"/>
      <c r="R1" s="632"/>
      <c r="S1" s="632"/>
      <c r="T1" s="632"/>
      <c r="U1" s="1"/>
      <c r="V1" s="632" t="s">
        <v>2</v>
      </c>
      <c r="W1" s="632"/>
      <c r="X1" s="632"/>
      <c r="Y1" s="632"/>
      <c r="Z1" s="632"/>
      <c r="AA1" s="632"/>
      <c r="AB1" s="28"/>
    </row>
    <row r="2" spans="1:42" ht="15" customHeight="1" x14ac:dyDescent="0.25">
      <c r="E2" s="1"/>
      <c r="F2" s="1"/>
      <c r="G2" s="634" t="s">
        <v>43</v>
      </c>
      <c r="H2" s="635"/>
      <c r="I2" s="636" t="s">
        <v>3</v>
      </c>
      <c r="J2" s="635"/>
      <c r="K2" s="635"/>
      <c r="L2" s="635"/>
      <c r="M2" s="378"/>
      <c r="N2" s="637" t="s">
        <v>4</v>
      </c>
      <c r="O2" s="639" t="s">
        <v>5</v>
      </c>
      <c r="P2" s="640"/>
      <c r="Q2" s="640"/>
      <c r="R2" s="640"/>
      <c r="S2" s="640"/>
      <c r="T2" s="641"/>
      <c r="U2" s="1"/>
      <c r="V2" s="643" t="s">
        <v>515</v>
      </c>
      <c r="W2" s="640"/>
      <c r="X2" s="640"/>
      <c r="Y2" s="640"/>
      <c r="Z2" s="640"/>
      <c r="AA2" s="641"/>
      <c r="AB2" s="29"/>
      <c r="AJ2" s="578"/>
      <c r="AK2" s="571"/>
      <c r="AL2" s="578"/>
      <c r="AM2" s="570" t="s">
        <v>514</v>
      </c>
      <c r="AN2" s="571"/>
      <c r="AO2" s="572"/>
    </row>
    <row r="3" spans="1:42" s="25" customFormat="1" ht="38.25" x14ac:dyDescent="0.2">
      <c r="E3" s="4"/>
      <c r="F3" s="4"/>
      <c r="G3" s="30"/>
      <c r="H3" s="30"/>
      <c r="I3" s="644" t="s">
        <v>6</v>
      </c>
      <c r="J3" s="635"/>
      <c r="K3" s="644" t="s">
        <v>52</v>
      </c>
      <c r="L3" s="635"/>
      <c r="M3" s="379" t="s">
        <v>474</v>
      </c>
      <c r="N3" s="638"/>
      <c r="O3" s="642"/>
      <c r="P3" s="640"/>
      <c r="Q3" s="640"/>
      <c r="R3" s="640"/>
      <c r="S3" s="640"/>
      <c r="T3" s="641"/>
      <c r="U3" s="4"/>
      <c r="V3" s="642"/>
      <c r="W3" s="633"/>
      <c r="X3" s="633"/>
      <c r="Y3" s="633"/>
      <c r="Z3" s="633"/>
      <c r="AA3" s="641"/>
      <c r="AB3" s="31"/>
      <c r="AD3" s="579"/>
      <c r="AE3" s="579" t="s">
        <v>499</v>
      </c>
      <c r="AF3" s="579"/>
      <c r="AG3" s="579" t="s">
        <v>516</v>
      </c>
      <c r="AH3" s="579"/>
      <c r="AI3" s="579" t="s">
        <v>459</v>
      </c>
      <c r="AJ3" s="573"/>
      <c r="AK3" s="574"/>
      <c r="AL3" s="574"/>
      <c r="AM3" s="574"/>
      <c r="AN3" s="574"/>
      <c r="AO3" s="572"/>
    </row>
    <row r="4" spans="1:42" ht="15" x14ac:dyDescent="0.25">
      <c r="A4" s="648" t="s">
        <v>44</v>
      </c>
      <c r="B4" s="649"/>
      <c r="C4" s="649"/>
      <c r="E4" s="22" t="s">
        <v>7</v>
      </c>
      <c r="F4" s="22" t="s">
        <v>8</v>
      </c>
      <c r="G4" s="32"/>
      <c r="H4" s="33" t="s">
        <v>9</v>
      </c>
      <c r="I4" s="21"/>
      <c r="J4" s="51" t="s">
        <v>9</v>
      </c>
      <c r="K4" s="21"/>
      <c r="L4" s="51" t="s">
        <v>9</v>
      </c>
      <c r="M4" s="33"/>
      <c r="N4" s="638"/>
      <c r="O4" s="14" t="s">
        <v>10</v>
      </c>
      <c r="P4" s="14" t="s">
        <v>11</v>
      </c>
      <c r="Q4" s="14" t="s">
        <v>12</v>
      </c>
      <c r="R4" s="13" t="s">
        <v>13</v>
      </c>
      <c r="S4" s="12" t="s">
        <v>14</v>
      </c>
      <c r="T4" s="12" t="s">
        <v>15</v>
      </c>
      <c r="U4" s="10"/>
      <c r="V4" s="20" t="s">
        <v>9</v>
      </c>
      <c r="W4" s="14" t="s">
        <v>16</v>
      </c>
      <c r="X4" s="14" t="s">
        <v>17</v>
      </c>
      <c r="Y4" s="13" t="s">
        <v>18</v>
      </c>
      <c r="Z4" s="12" t="s">
        <v>19</v>
      </c>
      <c r="AA4" s="12" t="s">
        <v>20</v>
      </c>
      <c r="AB4" s="24" t="s">
        <v>517</v>
      </c>
      <c r="AD4" s="14" t="s">
        <v>16</v>
      </c>
      <c r="AE4" s="14" t="s">
        <v>17</v>
      </c>
      <c r="AF4" s="13" t="s">
        <v>18</v>
      </c>
      <c r="AG4" s="12" t="s">
        <v>19</v>
      </c>
      <c r="AH4" s="12" t="s">
        <v>20</v>
      </c>
      <c r="AI4" s="594" t="s">
        <v>459</v>
      </c>
      <c r="AJ4" s="575" t="s">
        <v>9</v>
      </c>
      <c r="AK4" s="575" t="s">
        <v>16</v>
      </c>
      <c r="AL4" s="575" t="s">
        <v>17</v>
      </c>
      <c r="AM4" s="576" t="s">
        <v>18</v>
      </c>
      <c r="AN4" s="577" t="s">
        <v>19</v>
      </c>
      <c r="AO4" s="577" t="s">
        <v>20</v>
      </c>
    </row>
    <row r="5" spans="1:42" ht="15" x14ac:dyDescent="0.25">
      <c r="A5" s="24" t="s">
        <v>9</v>
      </c>
      <c r="C5" s="26">
        <f>SUM(C7:C25)</f>
        <v>256.36966737526257</v>
      </c>
      <c r="E5" s="2"/>
      <c r="F5" s="19"/>
      <c r="G5" s="34">
        <f>SUM(G7:G44)-R23-S23</f>
        <v>255.6642752093868</v>
      </c>
      <c r="H5" s="19"/>
      <c r="I5" s="18"/>
      <c r="J5" s="17"/>
      <c r="L5" s="8"/>
      <c r="N5" s="16"/>
      <c r="O5" s="15"/>
      <c r="P5" s="14"/>
      <c r="Q5" s="14"/>
      <c r="R5" s="13"/>
      <c r="S5" s="12"/>
      <c r="T5" s="11">
        <f>T7+T23+T26+T39</f>
        <v>152.96655140064661</v>
      </c>
      <c r="U5" s="10"/>
      <c r="V5" s="9">
        <f>SUM(V7,V21,V26:V32,V34)</f>
        <v>141.879135809069</v>
      </c>
      <c r="W5" s="9">
        <f>SUM(W7:W44)</f>
        <v>4.8457996125340639</v>
      </c>
      <c r="X5" s="9">
        <f t="shared" ref="X5:Z5" si="0">SUM(X7:X44)</f>
        <v>35.462513651585496</v>
      </c>
      <c r="Y5" s="9">
        <f t="shared" si="0"/>
        <v>35.297147181826581</v>
      </c>
      <c r="Z5" s="9">
        <f t="shared" si="0"/>
        <v>22.673756165114582</v>
      </c>
      <c r="AA5" s="9">
        <f>SUM(AA7:AA44)</f>
        <v>43.599919198008273</v>
      </c>
      <c r="AB5" s="27"/>
      <c r="AJ5" s="9">
        <f>SUM(AJ13,AJ23,AJ26:AJ32,AJ40)</f>
        <v>153.70363007126173</v>
      </c>
      <c r="AK5" s="9">
        <f>SUM(AK7:AK44)</f>
        <v>4.855358168080155</v>
      </c>
      <c r="AL5" s="9">
        <f t="shared" ref="AL5:AO5" si="1">SUM(AL7:AL44)</f>
        <v>35.396031132660035</v>
      </c>
      <c r="AM5" s="9">
        <f t="shared" si="1"/>
        <v>40.651246916610901</v>
      </c>
      <c r="AN5" s="9">
        <f t="shared" si="1"/>
        <v>23.340344898113031</v>
      </c>
      <c r="AO5" s="9">
        <f t="shared" si="1"/>
        <v>49.460648955797602</v>
      </c>
      <c r="AP5" s="27"/>
    </row>
    <row r="6" spans="1:42" x14ac:dyDescent="0.2">
      <c r="E6" s="1"/>
      <c r="F6" s="1"/>
      <c r="G6" s="509">
        <f>G5-'bilan complet'!K218-I40-I41</f>
        <v>5.7469405462377221E-2</v>
      </c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09">
        <f>T5-'bilan complet'!K212+(SUM(AD7:AH19)-T7)</f>
        <v>7.1054273576010019E-15</v>
      </c>
      <c r="U6" s="510"/>
      <c r="V6" s="511">
        <f>V5-'scenario demande'!G368</f>
        <v>0</v>
      </c>
      <c r="W6" s="1"/>
      <c r="X6" s="1"/>
      <c r="Y6" s="1"/>
      <c r="Z6" s="1"/>
      <c r="AA6" s="1"/>
      <c r="AB6" s="35"/>
      <c r="AJ6" s="580">
        <f>AJ5-'bilan complet'!K212</f>
        <v>0</v>
      </c>
      <c r="AK6" s="1"/>
      <c r="AL6" s="1"/>
      <c r="AM6" s="1"/>
      <c r="AN6" s="1"/>
      <c r="AO6" s="1"/>
    </row>
    <row r="7" spans="1:42" x14ac:dyDescent="0.2">
      <c r="A7" s="24" t="s">
        <v>45</v>
      </c>
      <c r="B7" s="24" t="s">
        <v>46</v>
      </c>
      <c r="C7" s="27">
        <f>G29+G35+G13</f>
        <v>15.457518957188363</v>
      </c>
      <c r="E7" s="650" t="s">
        <v>14</v>
      </c>
      <c r="F7" s="1" t="s">
        <v>21</v>
      </c>
      <c r="G7" s="2">
        <f>électricité!G27*0.086</f>
        <v>5.4706162109374992</v>
      </c>
      <c r="H7" s="651">
        <f>SUM(G7:G20)</f>
        <v>123.69761888631132</v>
      </c>
      <c r="I7" s="3"/>
      <c r="J7" s="652">
        <f>SUM(I7:I19)</f>
        <v>74.032862279547743</v>
      </c>
      <c r="K7" s="2">
        <f>G7-I7</f>
        <v>5.4706162109374992</v>
      </c>
      <c r="L7" s="652">
        <f>SUM(K6:K19)</f>
        <v>51.947940076312562</v>
      </c>
      <c r="N7" s="651">
        <f>L7-M13</f>
        <v>46.644690637980645</v>
      </c>
      <c r="O7" s="46"/>
      <c r="P7" s="46"/>
      <c r="Q7" s="46"/>
      <c r="R7" s="45"/>
      <c r="S7" s="588"/>
      <c r="T7" s="666">
        <f>N7-O12-P12-Q12</f>
        <v>41.543401762980643</v>
      </c>
      <c r="U7" s="23"/>
      <c r="V7" s="655">
        <f>SUM(W7:AA19)</f>
        <v>41.107629530920363</v>
      </c>
      <c r="W7" s="503"/>
      <c r="X7" s="506"/>
      <c r="Y7" s="503"/>
      <c r="Z7" s="506"/>
      <c r="AA7" s="503"/>
      <c r="AB7" s="36"/>
      <c r="AC7" s="514"/>
      <c r="AD7" s="645">
        <f>'bilan complet'!$I$210</f>
        <v>0.80514298147465024</v>
      </c>
      <c r="AE7" s="645">
        <f>'bilan complet'!$I$207</f>
        <v>11.578988468657714</v>
      </c>
      <c r="AF7" s="645">
        <f>'bilan complet'!$I$208</f>
        <v>13.987537063809366</v>
      </c>
      <c r="AG7" s="645">
        <f>'bilan complet'!$I$209</f>
        <v>13.754877685563542</v>
      </c>
      <c r="AH7" s="655">
        <f>'bilan complet'!$I$211</f>
        <v>2.1539342340904701</v>
      </c>
      <c r="AJ7" s="554"/>
      <c r="AK7" s="555"/>
      <c r="AL7" s="506"/>
      <c r="AM7" s="503"/>
      <c r="AN7" s="506"/>
      <c r="AO7" s="503"/>
    </row>
    <row r="8" spans="1:42" x14ac:dyDescent="0.2">
      <c r="B8" s="24" t="s">
        <v>21</v>
      </c>
      <c r="C8" s="27">
        <f>G7</f>
        <v>5.4706162109374992</v>
      </c>
      <c r="D8" s="27"/>
      <c r="E8" s="650"/>
      <c r="F8" s="1" t="s">
        <v>22</v>
      </c>
      <c r="G8" s="2">
        <f>électricité!G25*0.086</f>
        <v>5.6274274687499997</v>
      </c>
      <c r="H8" s="651"/>
      <c r="I8" s="3"/>
      <c r="J8" s="652"/>
      <c r="K8" s="2">
        <f t="shared" ref="K8:K44" si="2">G8-I8</f>
        <v>5.6274274687499997</v>
      </c>
      <c r="L8" s="652"/>
      <c r="N8" s="651"/>
      <c r="O8" s="46"/>
      <c r="P8" s="46"/>
      <c r="Q8" s="46"/>
      <c r="R8" s="45"/>
      <c r="S8" s="588"/>
      <c r="T8" s="666"/>
      <c r="U8" s="23"/>
      <c r="V8" s="656"/>
      <c r="W8" s="504"/>
      <c r="X8" s="507"/>
      <c r="Y8" s="504"/>
      <c r="Z8" s="507"/>
      <c r="AA8" s="504"/>
      <c r="AB8" s="36"/>
      <c r="AC8" s="38"/>
      <c r="AD8" s="646"/>
      <c r="AE8" s="646"/>
      <c r="AF8" s="646"/>
      <c r="AG8" s="646"/>
      <c r="AH8" s="656"/>
      <c r="AJ8" s="591"/>
      <c r="AK8" s="556"/>
      <c r="AL8" s="507"/>
      <c r="AM8" s="504"/>
      <c r="AN8" s="507"/>
      <c r="AO8" s="504"/>
    </row>
    <row r="9" spans="1:42" x14ac:dyDescent="0.2">
      <c r="B9" s="24" t="s">
        <v>47</v>
      </c>
      <c r="C9" s="27">
        <f>G11+G21+G22+G26+G34</f>
        <v>0</v>
      </c>
      <c r="E9" s="650"/>
      <c r="F9" s="1" t="s">
        <v>23</v>
      </c>
      <c r="G9" s="2">
        <f>électricité!G26*0.086</f>
        <v>2.0068573671874996</v>
      </c>
      <c r="H9" s="651"/>
      <c r="I9" s="3"/>
      <c r="J9" s="652"/>
      <c r="K9" s="2">
        <f t="shared" si="2"/>
        <v>2.0068573671874996</v>
      </c>
      <c r="L9" s="652"/>
      <c r="N9" s="651"/>
      <c r="O9" s="46"/>
      <c r="P9" s="46"/>
      <c r="Q9" s="46"/>
      <c r="R9" s="45"/>
      <c r="S9" s="588"/>
      <c r="T9" s="666"/>
      <c r="U9" s="23"/>
      <c r="V9" s="656"/>
      <c r="W9" s="504"/>
      <c r="X9" s="507"/>
      <c r="Y9" s="504"/>
      <c r="Z9" s="507"/>
      <c r="AA9" s="504"/>
      <c r="AB9" s="36"/>
      <c r="AC9" s="38"/>
      <c r="AD9" s="646"/>
      <c r="AE9" s="646"/>
      <c r="AF9" s="646"/>
      <c r="AG9" s="646"/>
      <c r="AH9" s="656"/>
      <c r="AJ9" s="591"/>
      <c r="AK9" s="556"/>
      <c r="AL9" s="507"/>
      <c r="AM9" s="504"/>
      <c r="AN9" s="507"/>
      <c r="AO9" s="504"/>
    </row>
    <row r="10" spans="1:42" x14ac:dyDescent="0.2">
      <c r="B10" s="24" t="s">
        <v>28</v>
      </c>
      <c r="C10" s="27">
        <f>G14+G30+G37</f>
        <v>0.15605672341012594</v>
      </c>
      <c r="E10" s="650"/>
      <c r="F10" s="1" t="s">
        <v>24</v>
      </c>
      <c r="G10" s="2">
        <f>86.64+'bilan complet'!H190</f>
        <v>84.92</v>
      </c>
      <c r="H10" s="651"/>
      <c r="I10" s="3">
        <f>K10/0.33-K10</f>
        <v>58.051480904119302</v>
      </c>
      <c r="J10" s="652"/>
      <c r="K10" s="3">
        <f>électricité!G22*0.086</f>
        <v>28.592520445312498</v>
      </c>
      <c r="L10" s="652"/>
      <c r="N10" s="651"/>
      <c r="O10" s="46"/>
      <c r="P10" s="46"/>
      <c r="Q10" s="46"/>
      <c r="R10" s="45"/>
      <c r="S10" s="588"/>
      <c r="T10" s="666"/>
      <c r="U10" s="23"/>
      <c r="V10" s="656"/>
      <c r="W10" s="504"/>
      <c r="X10" s="507"/>
      <c r="Y10" s="504"/>
      <c r="Z10" s="507"/>
      <c r="AA10" s="504"/>
      <c r="AB10" s="36"/>
      <c r="AC10" s="38"/>
      <c r="AD10" s="646"/>
      <c r="AE10" s="646"/>
      <c r="AF10" s="646"/>
      <c r="AG10" s="646"/>
      <c r="AH10" s="656"/>
      <c r="AJ10" s="591"/>
      <c r="AK10" s="556"/>
      <c r="AL10" s="507"/>
      <c r="AM10" s="504"/>
      <c r="AN10" s="507"/>
      <c r="AO10" s="504"/>
    </row>
    <row r="11" spans="1:42" x14ac:dyDescent="0.2">
      <c r="B11" s="24" t="s">
        <v>22</v>
      </c>
      <c r="C11" s="27">
        <f>G8</f>
        <v>5.6274274687499997</v>
      </c>
      <c r="E11" s="650"/>
      <c r="F11" s="1" t="s">
        <v>25</v>
      </c>
      <c r="G11" s="2"/>
      <c r="H11" s="651"/>
      <c r="I11" s="3"/>
      <c r="J11" s="652"/>
      <c r="K11" s="2">
        <f t="shared" si="2"/>
        <v>0</v>
      </c>
      <c r="L11" s="652"/>
      <c r="N11" s="651"/>
      <c r="O11" s="46"/>
      <c r="P11" s="46"/>
      <c r="Q11" s="46"/>
      <c r="R11" s="45"/>
      <c r="S11" s="588"/>
      <c r="T11" s="666"/>
      <c r="U11" s="23"/>
      <c r="V11" s="656"/>
      <c r="W11" s="504"/>
      <c r="X11" s="507"/>
      <c r="Y11" s="504"/>
      <c r="Z11" s="507"/>
      <c r="AA11" s="504"/>
      <c r="AB11" s="36"/>
      <c r="AC11" s="38"/>
      <c r="AD11" s="646"/>
      <c r="AE11" s="646"/>
      <c r="AF11" s="646"/>
      <c r="AG11" s="646"/>
      <c r="AH11" s="656"/>
      <c r="AJ11" s="591"/>
      <c r="AK11" s="556"/>
      <c r="AL11" s="507"/>
      <c r="AM11" s="504"/>
      <c r="AN11" s="507"/>
      <c r="AO11" s="504"/>
    </row>
    <row r="12" spans="1:42" x14ac:dyDescent="0.2">
      <c r="B12" s="24" t="s">
        <v>23</v>
      </c>
      <c r="C12" s="27">
        <f>G9</f>
        <v>2.0068573671874996</v>
      </c>
      <c r="D12" s="27"/>
      <c r="E12" s="650"/>
      <c r="F12" s="1" t="s">
        <v>26</v>
      </c>
      <c r="G12" s="2">
        <f>'bilan complet'!J204</f>
        <v>3.8377761327247923</v>
      </c>
      <c r="H12" s="651"/>
      <c r="I12" s="3">
        <f>G12-K12</f>
        <v>2.7669378944435428</v>
      </c>
      <c r="J12" s="652"/>
      <c r="K12" s="2">
        <f>électricité!G21*0.086</f>
        <v>1.0708382382812498</v>
      </c>
      <c r="L12" s="652"/>
      <c r="N12" s="651"/>
      <c r="O12" s="46">
        <f>(électricité!G32)*0.086</f>
        <v>3.3812888749999996</v>
      </c>
      <c r="P12" s="46">
        <f>électricité!G36*0.086</f>
        <v>1.7199999999999998</v>
      </c>
      <c r="Q12" s="46"/>
      <c r="R12" s="45"/>
      <c r="S12" s="588"/>
      <c r="T12" s="666"/>
      <c r="U12" s="7"/>
      <c r="V12" s="656"/>
      <c r="W12" s="504"/>
      <c r="X12" s="507"/>
      <c r="Y12" s="504"/>
      <c r="Z12" s="507"/>
      <c r="AA12" s="504"/>
      <c r="AB12" s="36"/>
      <c r="AC12" s="38" t="s">
        <v>497</v>
      </c>
      <c r="AD12" s="646"/>
      <c r="AE12" s="646"/>
      <c r="AF12" s="646"/>
      <c r="AG12" s="646"/>
      <c r="AH12" s="656"/>
      <c r="AJ12" s="591"/>
      <c r="AK12" s="556"/>
      <c r="AL12" s="507"/>
      <c r="AM12" s="504"/>
      <c r="AN12" s="507"/>
      <c r="AO12" s="504"/>
    </row>
    <row r="13" spans="1:42" x14ac:dyDescent="0.2">
      <c r="B13" s="24" t="s">
        <v>62</v>
      </c>
      <c r="C13" s="27">
        <f>G39</f>
        <v>5.3286902890840064</v>
      </c>
      <c r="E13" s="650"/>
      <c r="F13" s="1" t="s">
        <v>27</v>
      </c>
      <c r="G13" s="2"/>
      <c r="H13" s="651"/>
      <c r="I13" s="3"/>
      <c r="J13" s="652"/>
      <c r="K13" s="2">
        <f t="shared" si="2"/>
        <v>0</v>
      </c>
      <c r="L13" s="652"/>
      <c r="M13" s="37">
        <f>électricité!G34*0.086</f>
        <v>5.303249438331914</v>
      </c>
      <c r="N13" s="651"/>
      <c r="O13" s="46"/>
      <c r="P13" s="46"/>
      <c r="Q13" s="46"/>
      <c r="R13" s="45"/>
      <c r="S13" s="588"/>
      <c r="T13" s="666"/>
      <c r="U13" s="1"/>
      <c r="V13" s="656"/>
      <c r="W13" s="504">
        <f>'scenario demande'!$G$339</f>
        <v>0.75373217437746565</v>
      </c>
      <c r="X13" s="507">
        <f>'scenario demande'!$G$12</f>
        <v>11.557834744148</v>
      </c>
      <c r="Y13" s="504">
        <f>'scenario demande'!$G$113</f>
        <v>13.043515462383773</v>
      </c>
      <c r="Z13" s="507">
        <f>'scenario demande'!$G$188</f>
        <v>13.596696986861787</v>
      </c>
      <c r="AA13" s="504">
        <f>'scenario demande'!$G$278</f>
        <v>2.1558501631493412</v>
      </c>
      <c r="AB13" s="36"/>
      <c r="AC13" s="38"/>
      <c r="AD13" s="646"/>
      <c r="AE13" s="646"/>
      <c r="AF13" s="646"/>
      <c r="AG13" s="646"/>
      <c r="AH13" s="656"/>
      <c r="AI13" s="27">
        <f>SUM(AD7:AH19)</f>
        <v>42.280480433595741</v>
      </c>
      <c r="AJ13" s="591">
        <f>SUM(AK7:AO19)</f>
        <v>42.280480433595741</v>
      </c>
      <c r="AK13" s="557">
        <f>AD7</f>
        <v>0.80514298147465024</v>
      </c>
      <c r="AL13" s="507">
        <f>AE7</f>
        <v>11.578988468657714</v>
      </c>
      <c r="AM13" s="507">
        <f>AF7</f>
        <v>13.987537063809366</v>
      </c>
      <c r="AN13" s="507">
        <f>AG7</f>
        <v>13.754877685563542</v>
      </c>
      <c r="AO13" s="507">
        <f>AH7</f>
        <v>2.1539342340904701</v>
      </c>
    </row>
    <row r="14" spans="1:42" x14ac:dyDescent="0.2">
      <c r="B14" s="24" t="s">
        <v>48</v>
      </c>
      <c r="C14" s="27">
        <f>G38</f>
        <v>1.76</v>
      </c>
      <c r="E14" s="650"/>
      <c r="F14" s="1" t="s">
        <v>28</v>
      </c>
      <c r="G14" s="2"/>
      <c r="H14" s="651"/>
      <c r="I14" s="3"/>
      <c r="J14" s="652"/>
      <c r="K14" s="2">
        <f t="shared" si="2"/>
        <v>0</v>
      </c>
      <c r="L14" s="652"/>
      <c r="N14" s="651"/>
      <c r="O14" s="46"/>
      <c r="P14" s="46"/>
      <c r="Q14" s="46"/>
      <c r="R14" s="45"/>
      <c r="S14" s="588"/>
      <c r="T14" s="666"/>
      <c r="U14" s="1"/>
      <c r="V14" s="656"/>
      <c r="W14" s="504"/>
      <c r="X14" s="507"/>
      <c r="Y14" s="504"/>
      <c r="Z14" s="507"/>
      <c r="AA14" s="504"/>
      <c r="AB14" s="36"/>
      <c r="AC14" s="38"/>
      <c r="AD14" s="646"/>
      <c r="AE14" s="646"/>
      <c r="AF14" s="646"/>
      <c r="AG14" s="646"/>
      <c r="AH14" s="656"/>
      <c r="AJ14" s="591"/>
      <c r="AK14" s="556"/>
      <c r="AL14" s="507"/>
      <c r="AM14" s="504"/>
      <c r="AN14" s="507"/>
      <c r="AO14" s="504"/>
    </row>
    <row r="15" spans="1:42" x14ac:dyDescent="0.2">
      <c r="B15" s="24" t="s">
        <v>35</v>
      </c>
      <c r="C15" s="27">
        <f>G36+G31</f>
        <v>0.51105943694176348</v>
      </c>
      <c r="E15" s="650"/>
      <c r="F15" s="1" t="s">
        <v>29</v>
      </c>
      <c r="G15" s="2">
        <f>électricité!G30*0.086</f>
        <v>7.5335997971706095E-8</v>
      </c>
      <c r="H15" s="651"/>
      <c r="I15" s="3"/>
      <c r="J15" s="652"/>
      <c r="K15" s="2">
        <f t="shared" si="2"/>
        <v>7.5335997971706095E-8</v>
      </c>
      <c r="L15" s="652"/>
      <c r="N15" s="651"/>
      <c r="O15" s="46"/>
      <c r="P15" s="46"/>
      <c r="Q15" s="46"/>
      <c r="R15" s="45"/>
      <c r="S15" s="588"/>
      <c r="T15" s="666"/>
      <c r="U15" s="1"/>
      <c r="V15" s="656"/>
      <c r="W15" s="504"/>
      <c r="X15" s="507"/>
      <c r="Y15" s="504"/>
      <c r="Z15" s="507"/>
      <c r="AA15" s="504"/>
      <c r="AB15" s="36"/>
      <c r="AC15" s="38"/>
      <c r="AD15" s="646"/>
      <c r="AE15" s="646"/>
      <c r="AF15" s="646"/>
      <c r="AG15" s="646"/>
      <c r="AH15" s="656"/>
      <c r="AJ15" s="591"/>
      <c r="AK15" s="556"/>
      <c r="AL15" s="507"/>
      <c r="AM15" s="504"/>
      <c r="AN15" s="507"/>
      <c r="AO15" s="504"/>
    </row>
    <row r="16" spans="1:42" x14ac:dyDescent="0.2">
      <c r="B16" s="24" t="s">
        <v>39</v>
      </c>
      <c r="C16" s="27">
        <f>G12+G16+G27+G28</f>
        <v>4.7256922475439218</v>
      </c>
      <c r="E16" s="650"/>
      <c r="F16" s="1" t="s">
        <v>30</v>
      </c>
      <c r="G16" s="2">
        <v>0</v>
      </c>
      <c r="H16" s="651"/>
      <c r="I16" s="3"/>
      <c r="J16" s="652"/>
      <c r="K16" s="2">
        <f>électricité!G20*0.086</f>
        <v>0.55918212011718749</v>
      </c>
      <c r="L16" s="652"/>
      <c r="N16" s="651"/>
      <c r="O16" s="46"/>
      <c r="P16" s="46"/>
      <c r="Q16" s="46"/>
      <c r="R16" s="45"/>
      <c r="S16" s="588"/>
      <c r="T16" s="666"/>
      <c r="U16" s="1"/>
      <c r="V16" s="656"/>
      <c r="W16" s="504"/>
      <c r="X16" s="507"/>
      <c r="Y16" s="504"/>
      <c r="Z16" s="507"/>
      <c r="AA16" s="504"/>
      <c r="AB16" s="36"/>
      <c r="AC16" s="38"/>
      <c r="AD16" s="646"/>
      <c r="AE16" s="646"/>
      <c r="AF16" s="646"/>
      <c r="AG16" s="646"/>
      <c r="AH16" s="656"/>
      <c r="AJ16" s="591"/>
      <c r="AK16" s="556"/>
      <c r="AL16" s="507"/>
      <c r="AM16" s="504"/>
      <c r="AN16" s="507"/>
      <c r="AO16" s="504"/>
    </row>
    <row r="17" spans="1:41" x14ac:dyDescent="0.2">
      <c r="C17" s="27"/>
      <c r="E17" s="650"/>
      <c r="F17" s="1" t="s">
        <v>473</v>
      </c>
      <c r="G17" s="2">
        <f>électricité!G6</f>
        <v>4.3051635742187497E-2</v>
      </c>
      <c r="H17" s="651"/>
      <c r="I17" s="3">
        <f>G17-K17</f>
        <v>2.5851635742187497E-2</v>
      </c>
      <c r="J17" s="652"/>
      <c r="K17" s="5">
        <f>électricité!G17*0.086</f>
        <v>1.72E-2</v>
      </c>
      <c r="L17" s="652"/>
      <c r="N17" s="651"/>
      <c r="O17" s="46"/>
      <c r="P17" s="46"/>
      <c r="Q17" s="46"/>
      <c r="R17" s="45"/>
      <c r="S17" s="588"/>
      <c r="T17" s="666"/>
      <c r="U17" s="1"/>
      <c r="V17" s="656"/>
      <c r="W17" s="504"/>
      <c r="X17" s="507"/>
      <c r="Y17" s="504"/>
      <c r="Z17" s="507"/>
      <c r="AA17" s="504"/>
      <c r="AB17" s="36"/>
      <c r="AC17" s="38"/>
      <c r="AD17" s="646"/>
      <c r="AE17" s="646"/>
      <c r="AF17" s="646"/>
      <c r="AG17" s="646"/>
      <c r="AH17" s="656"/>
      <c r="AJ17" s="591"/>
      <c r="AK17" s="556"/>
      <c r="AL17" s="507"/>
      <c r="AM17" s="504"/>
      <c r="AN17" s="507"/>
      <c r="AO17" s="504"/>
    </row>
    <row r="18" spans="1:41" x14ac:dyDescent="0.2">
      <c r="C18" s="27"/>
      <c r="E18" s="650"/>
      <c r="F18" s="1" t="s">
        <v>182</v>
      </c>
      <c r="G18" s="2">
        <f>'bilan complet'!B204</f>
        <v>4.3125494653441105</v>
      </c>
      <c r="H18" s="651"/>
      <c r="I18" s="3">
        <f>G18-K18</f>
        <v>2.9866317837034857</v>
      </c>
      <c r="J18" s="652"/>
      <c r="K18" s="2">
        <f>électricité!G10*0.086</f>
        <v>1.3259176816406248</v>
      </c>
      <c r="L18" s="652"/>
      <c r="N18" s="651"/>
      <c r="O18" s="46"/>
      <c r="P18" s="46"/>
      <c r="Q18" s="46"/>
      <c r="R18" s="45"/>
      <c r="S18" s="588"/>
      <c r="T18" s="666"/>
      <c r="U18" s="1"/>
      <c r="V18" s="656"/>
      <c r="W18" s="504"/>
      <c r="X18" s="507"/>
      <c r="Y18" s="504"/>
      <c r="Z18" s="507"/>
      <c r="AA18" s="504"/>
      <c r="AB18" s="36"/>
      <c r="AC18" s="38"/>
      <c r="AD18" s="646"/>
      <c r="AE18" s="646"/>
      <c r="AF18" s="646"/>
      <c r="AG18" s="646"/>
      <c r="AH18" s="656"/>
      <c r="AJ18" s="591"/>
      <c r="AK18" s="556"/>
      <c r="AL18" s="507"/>
      <c r="AM18" s="504"/>
      <c r="AN18" s="507"/>
      <c r="AO18" s="504"/>
    </row>
    <row r="19" spans="1:41" x14ac:dyDescent="0.2">
      <c r="B19" s="24" t="s">
        <v>49</v>
      </c>
      <c r="C19" s="27">
        <f>G15</f>
        <v>7.5335997971706095E-8</v>
      </c>
      <c r="D19" s="27"/>
      <c r="E19" s="650"/>
      <c r="F19" s="1" t="s">
        <v>31</v>
      </c>
      <c r="G19" s="2">
        <f>'bilan complet'!F204-I32-I29</f>
        <v>17.479340530289221</v>
      </c>
      <c r="H19" s="651"/>
      <c r="I19" s="3">
        <f>G19-K19</f>
        <v>10.201960061539221</v>
      </c>
      <c r="J19" s="652"/>
      <c r="K19" s="2">
        <f>électricité!G12*0.086</f>
        <v>7.2773804687499997</v>
      </c>
      <c r="L19" s="652"/>
      <c r="N19" s="651"/>
      <c r="O19" s="46"/>
      <c r="P19" s="46"/>
      <c r="Q19" s="46"/>
      <c r="R19" s="45"/>
      <c r="S19" s="588"/>
      <c r="T19" s="666"/>
      <c r="U19" s="1"/>
      <c r="V19" s="657"/>
      <c r="W19" s="505"/>
      <c r="X19" s="508"/>
      <c r="Y19" s="505"/>
      <c r="Z19" s="508"/>
      <c r="AA19" s="505"/>
      <c r="AB19" s="36"/>
      <c r="AC19" s="516"/>
      <c r="AD19" s="647"/>
      <c r="AE19" s="647"/>
      <c r="AF19" s="647"/>
      <c r="AG19" s="647"/>
      <c r="AH19" s="657"/>
      <c r="AJ19" s="592"/>
      <c r="AK19" s="558"/>
      <c r="AL19" s="508"/>
      <c r="AM19" s="505"/>
      <c r="AN19" s="508"/>
      <c r="AO19" s="505"/>
    </row>
    <row r="20" spans="1:41" x14ac:dyDescent="0.2">
      <c r="E20" s="1"/>
      <c r="F20" s="1"/>
      <c r="G20" s="1"/>
      <c r="H20" s="1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610">
        <f>T7-électricité!G38*0.086</f>
        <v>0</v>
      </c>
      <c r="U20" s="512">
        <f>T7-électricité!G38*0.086</f>
        <v>0</v>
      </c>
      <c r="V20" s="2"/>
      <c r="W20" s="1"/>
      <c r="X20" s="2"/>
      <c r="Y20" s="1"/>
      <c r="Z20" s="2"/>
      <c r="AA20" s="1"/>
      <c r="AJ20" s="2"/>
      <c r="AK20" s="1"/>
      <c r="AL20" s="2"/>
      <c r="AM20" s="1"/>
      <c r="AN20" s="2"/>
      <c r="AO20" s="1"/>
    </row>
    <row r="21" spans="1:41" x14ac:dyDescent="0.2">
      <c r="A21" s="24" t="s">
        <v>50</v>
      </c>
      <c r="B21" s="24" t="s">
        <v>24</v>
      </c>
      <c r="C21" s="27">
        <f>G10</f>
        <v>84.92</v>
      </c>
      <c r="E21" s="658" t="s">
        <v>12</v>
      </c>
      <c r="F21" s="1" t="s">
        <v>25</v>
      </c>
      <c r="G21" s="2"/>
      <c r="H21" s="659">
        <f>SUM(G21:G24)</f>
        <v>46.195978441637642</v>
      </c>
      <c r="J21" s="659"/>
      <c r="K21" s="2">
        <f t="shared" si="2"/>
        <v>0</v>
      </c>
      <c r="L21" s="660">
        <f>SUM(K21:K24)</f>
        <v>46.195978441637642</v>
      </c>
      <c r="M21" s="2"/>
      <c r="N21" s="660">
        <f>L21</f>
        <v>46.195978441637642</v>
      </c>
      <c r="O21" s="662"/>
      <c r="P21" s="662"/>
      <c r="Q21" s="662"/>
      <c r="R21" s="569"/>
      <c r="S21" s="569"/>
      <c r="T21" s="569"/>
      <c r="U21" s="1"/>
      <c r="V21" s="663">
        <f>SUM(W23:AA23)</f>
        <v>27.317297081644632</v>
      </c>
      <c r="W21" s="477"/>
      <c r="X21" s="477"/>
      <c r="Y21" s="477"/>
      <c r="Z21" s="477"/>
      <c r="AA21" s="478"/>
      <c r="AC21" s="514"/>
      <c r="AD21" s="524"/>
      <c r="AE21" s="524"/>
      <c r="AF21" s="524"/>
      <c r="AG21" s="524"/>
      <c r="AH21" s="517"/>
      <c r="AJ21" s="551"/>
      <c r="AK21" s="478"/>
      <c r="AL21" s="477"/>
      <c r="AM21" s="477"/>
      <c r="AN21" s="477"/>
      <c r="AO21" s="478"/>
    </row>
    <row r="22" spans="1:41" x14ac:dyDescent="0.2">
      <c r="B22" s="24" t="s">
        <v>34</v>
      </c>
      <c r="C22" s="27">
        <f>G24+G32</f>
        <v>48.596972932505579</v>
      </c>
      <c r="E22" s="658"/>
      <c r="F22" s="1" t="s">
        <v>32</v>
      </c>
      <c r="G22" s="2"/>
      <c r="H22" s="641"/>
      <c r="J22" s="641"/>
      <c r="K22" s="2">
        <f t="shared" si="2"/>
        <v>0</v>
      </c>
      <c r="L22" s="661"/>
      <c r="M22" s="2"/>
      <c r="N22" s="660"/>
      <c r="O22" s="662"/>
      <c r="P22" s="662"/>
      <c r="Q22" s="662"/>
      <c r="R22" s="581"/>
      <c r="S22" s="587"/>
      <c r="T22" s="587"/>
      <c r="U22" s="1"/>
      <c r="V22" s="664"/>
      <c r="W22" s="581"/>
      <c r="X22" s="581"/>
      <c r="Y22" s="581"/>
      <c r="Z22" s="581"/>
      <c r="AA22" s="587"/>
      <c r="AC22" s="515"/>
      <c r="AD22" s="525"/>
      <c r="AE22" s="525"/>
      <c r="AF22" s="525"/>
      <c r="AG22" s="525"/>
      <c r="AH22" s="518"/>
      <c r="AJ22" s="552"/>
      <c r="AK22" s="587"/>
      <c r="AL22" s="581"/>
      <c r="AM22" s="581"/>
      <c r="AN22" s="581"/>
      <c r="AO22" s="587"/>
    </row>
    <row r="23" spans="1:41" x14ac:dyDescent="0.2">
      <c r="B23" s="24" t="s">
        <v>51</v>
      </c>
      <c r="C23" s="27">
        <f>G40+G41</f>
        <v>72.187339042482208</v>
      </c>
      <c r="E23" s="658"/>
      <c r="F23" s="1" t="s">
        <v>33</v>
      </c>
      <c r="G23" s="2"/>
      <c r="H23" s="641"/>
      <c r="I23" s="27"/>
      <c r="J23" s="641"/>
      <c r="K23" s="2">
        <f t="shared" si="2"/>
        <v>0</v>
      </c>
      <c r="L23" s="661"/>
      <c r="M23" s="2"/>
      <c r="N23" s="660"/>
      <c r="O23" s="662"/>
      <c r="P23" s="662"/>
      <c r="Q23" s="662"/>
      <c r="R23" s="581">
        <f>G32</f>
        <v>2.4009944908679368</v>
      </c>
      <c r="S23" s="587">
        <f>G19</f>
        <v>17.479340530289221</v>
      </c>
      <c r="T23" s="587">
        <f>N21-R23-S23</f>
        <v>26.315643420480484</v>
      </c>
      <c r="U23" s="1"/>
      <c r="V23" s="664"/>
      <c r="W23" s="482">
        <f>'scenario demande'!G337</f>
        <v>0.5390016058076148</v>
      </c>
      <c r="X23" s="491">
        <f>'scenario demande'!G10</f>
        <v>10.948428758830149</v>
      </c>
      <c r="Y23" s="491">
        <f>'scenario demande'!G110</f>
        <v>10.288642378099114</v>
      </c>
      <c r="Z23" s="491">
        <f>'scenario demande'!G186</f>
        <v>5.3984454885403785</v>
      </c>
      <c r="AA23" s="479">
        <f>'scenario demande'!G277+'scenario demande'!G279</f>
        <v>0.14277885036737581</v>
      </c>
      <c r="AC23" s="38"/>
      <c r="AD23" s="525"/>
      <c r="AE23" s="525"/>
      <c r="AF23" s="525"/>
      <c r="AG23" s="525"/>
      <c r="AH23" s="518"/>
      <c r="AJ23" s="552">
        <f>SUM(AK23:AO23)</f>
        <v>26.315643420480487</v>
      </c>
      <c r="AK23" s="559">
        <f>$T$23*W23/$V$21</f>
        <v>0.51923783012303859</v>
      </c>
      <c r="AL23" s="559">
        <f t="shared" ref="AL23:AO23" si="3">$T$23*X23/$V$21</f>
        <v>10.546978581768311</v>
      </c>
      <c r="AM23" s="559">
        <f t="shared" si="3"/>
        <v>9.9113848377344684</v>
      </c>
      <c r="AN23" s="559">
        <f t="shared" si="3"/>
        <v>5.2004986465804937</v>
      </c>
      <c r="AO23" s="559">
        <f t="shared" si="3"/>
        <v>0.13754352427417363</v>
      </c>
    </row>
    <row r="24" spans="1:41" x14ac:dyDescent="0.2">
      <c r="B24" s="24" t="s">
        <v>40</v>
      </c>
      <c r="C24" s="27">
        <f>G44+G18</f>
        <v>9.6214366238955975</v>
      </c>
      <c r="E24" s="658"/>
      <c r="F24" s="1" t="s">
        <v>34</v>
      </c>
      <c r="G24" s="2">
        <f>'bilan complet'!F218-'bilan complet'!F215</f>
        <v>46.195978441637642</v>
      </c>
      <c r="H24" s="641"/>
      <c r="J24" s="641"/>
      <c r="K24" s="2">
        <f t="shared" si="2"/>
        <v>46.195978441637642</v>
      </c>
      <c r="L24" s="661"/>
      <c r="M24" s="6"/>
      <c r="N24" s="660"/>
      <c r="O24" s="662"/>
      <c r="P24" s="662"/>
      <c r="Q24" s="662"/>
      <c r="R24" s="581"/>
      <c r="S24" s="587"/>
      <c r="T24" s="587"/>
      <c r="U24" s="1"/>
      <c r="V24" s="665"/>
      <c r="W24" s="480"/>
      <c r="X24" s="480"/>
      <c r="Y24" s="480"/>
      <c r="Z24" s="480"/>
      <c r="AA24" s="481"/>
      <c r="AC24" s="38"/>
      <c r="AD24" s="525"/>
      <c r="AE24" s="525"/>
      <c r="AF24" s="525"/>
      <c r="AG24" s="525"/>
      <c r="AH24" s="518"/>
      <c r="AJ24" s="553"/>
      <c r="AK24" s="481"/>
      <c r="AL24" s="480"/>
      <c r="AM24" s="480"/>
      <c r="AN24" s="480"/>
      <c r="AO24" s="481"/>
    </row>
    <row r="25" spans="1:41" x14ac:dyDescent="0.2">
      <c r="B25" s="24" t="s">
        <v>39</v>
      </c>
      <c r="C25" s="27">
        <f>G42</f>
        <v>0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W25" s="464"/>
      <c r="X25" s="495"/>
      <c r="Y25" s="495"/>
      <c r="Z25" s="495"/>
      <c r="AA25" s="464"/>
      <c r="AC25" s="520" t="s">
        <v>472</v>
      </c>
      <c r="AD25" s="526">
        <f>'bilan complet'!$F$210+'bilan complet'!$J$210</f>
        <v>0.40392912161469108</v>
      </c>
      <c r="AE25" s="526">
        <f>'bilan complet'!$F$207+'bilan complet'!$J$207</f>
        <v>15.407360727982422</v>
      </c>
      <c r="AF25" s="526">
        <f>'bilan complet'!$F$208+'bilan complet'!$J$208</f>
        <v>22.352885331999587</v>
      </c>
      <c r="AG25" s="526">
        <f>'bilan complet'!$F$209+'bilan complet'!$J$209</f>
        <v>5.8276988480870759</v>
      </c>
      <c r="AH25" s="521">
        <f>'bilan complet'!$F$211+'bilan complet'!$J$211</f>
        <v>3.3147185707195099</v>
      </c>
      <c r="AI25" s="27">
        <f>SUM(AD25:AH25)</f>
        <v>47.306592600403292</v>
      </c>
      <c r="AK25" s="464"/>
      <c r="AL25" s="495"/>
      <c r="AM25" s="495"/>
      <c r="AN25" s="495"/>
      <c r="AO25" s="464"/>
    </row>
    <row r="26" spans="1:41" x14ac:dyDescent="0.2">
      <c r="E26" s="671" t="s">
        <v>13</v>
      </c>
      <c r="F26" s="1" t="s">
        <v>25</v>
      </c>
      <c r="G26" s="377">
        <v>0</v>
      </c>
      <c r="H26" s="653">
        <f>SUM(G26:G32)</f>
        <v>4.6249980686809939</v>
      </c>
      <c r="I26" s="377">
        <f>G26-K26</f>
        <v>0</v>
      </c>
      <c r="J26" s="672"/>
      <c r="K26" s="27">
        <f>$L$26*J49</f>
        <v>0</v>
      </c>
      <c r="L26" s="672">
        <f>V29</f>
        <v>4.042401525376488</v>
      </c>
      <c r="M26" s="1"/>
      <c r="N26" s="653">
        <f>L26</f>
        <v>4.042401525376488</v>
      </c>
      <c r="O26" s="654"/>
      <c r="P26" s="654"/>
      <c r="Q26" s="654"/>
      <c r="R26" s="673"/>
      <c r="S26" s="674"/>
      <c r="T26" s="674">
        <f>N26-O26-Q26</f>
        <v>4.042401525376488</v>
      </c>
      <c r="U26" s="1"/>
      <c r="V26" s="483"/>
      <c r="W26" s="483"/>
      <c r="X26" s="483"/>
      <c r="Y26" s="483"/>
      <c r="Z26" s="496"/>
      <c r="AA26" s="483"/>
      <c r="AC26" s="522" t="s">
        <v>498</v>
      </c>
      <c r="AD26" s="527"/>
      <c r="AE26" s="527"/>
      <c r="AF26" s="527"/>
      <c r="AG26" s="527"/>
      <c r="AH26" s="523"/>
      <c r="AI26" s="27"/>
      <c r="AJ26" s="483"/>
      <c r="AK26" s="483"/>
      <c r="AL26" s="483"/>
      <c r="AM26" s="483"/>
      <c r="AN26" s="496"/>
      <c r="AO26" s="483"/>
    </row>
    <row r="27" spans="1:41" x14ac:dyDescent="0.2">
      <c r="E27" s="671"/>
      <c r="F27" s="1" t="s">
        <v>26</v>
      </c>
      <c r="G27" s="377">
        <f>$K$27/'Réseaux de chaleur'!$G$63</f>
        <v>0.88791611481912924</v>
      </c>
      <c r="H27" s="653"/>
      <c r="I27" s="377">
        <f t="shared" ref="I27:I31" si="4">G27-K27</f>
        <v>0</v>
      </c>
      <c r="J27" s="672"/>
      <c r="K27" s="27">
        <f t="shared" ref="K27:K31" si="5">$L$26*J50</f>
        <v>0.88791611481912924</v>
      </c>
      <c r="L27" s="672"/>
      <c r="M27" s="1"/>
      <c r="N27" s="653"/>
      <c r="O27" s="654"/>
      <c r="P27" s="654"/>
      <c r="Q27" s="654"/>
      <c r="R27" s="673"/>
      <c r="S27" s="674"/>
      <c r="T27" s="674"/>
      <c r="U27" s="1"/>
      <c r="V27" s="485"/>
      <c r="W27" s="585"/>
      <c r="X27" s="585"/>
      <c r="Y27" s="585"/>
      <c r="Z27" s="586"/>
      <c r="AA27" s="585"/>
      <c r="AC27" s="38"/>
      <c r="AD27" s="525"/>
      <c r="AE27" s="525"/>
      <c r="AF27" s="525"/>
      <c r="AG27" s="525"/>
      <c r="AH27" s="518"/>
      <c r="AJ27" s="485"/>
      <c r="AK27" s="585"/>
      <c r="AL27" s="585"/>
      <c r="AM27" s="585"/>
      <c r="AN27" s="586"/>
      <c r="AO27" s="585"/>
    </row>
    <row r="28" spans="1:41" x14ac:dyDescent="0.2">
      <c r="E28" s="671"/>
      <c r="F28" s="1" t="s">
        <v>30</v>
      </c>
      <c r="G28" s="377">
        <v>0</v>
      </c>
      <c r="H28" s="653"/>
      <c r="I28" s="377">
        <f t="shared" si="4"/>
        <v>0</v>
      </c>
      <c r="J28" s="672"/>
      <c r="K28" s="27">
        <f>$L$26*J51</f>
        <v>0</v>
      </c>
      <c r="L28" s="672"/>
      <c r="M28" s="1"/>
      <c r="N28" s="653"/>
      <c r="O28" s="654"/>
      <c r="P28" s="654" t="e">
        <v>#REF!</v>
      </c>
      <c r="Q28" s="654"/>
      <c r="R28" s="673" t="e">
        <v>#REF!</v>
      </c>
      <c r="S28" s="674" t="e">
        <v>#REF!</v>
      </c>
      <c r="T28" s="674"/>
      <c r="U28" s="1"/>
      <c r="V28" s="485"/>
      <c r="W28" s="585"/>
      <c r="X28" s="585"/>
      <c r="Y28" s="585"/>
      <c r="Z28" s="586"/>
      <c r="AA28" s="585"/>
      <c r="AC28" s="38"/>
      <c r="AD28" s="525"/>
      <c r="AE28" s="525"/>
      <c r="AF28" s="525"/>
      <c r="AG28" s="525"/>
      <c r="AH28" s="518"/>
      <c r="AJ28" s="485"/>
      <c r="AK28" s="585"/>
      <c r="AL28" s="585"/>
      <c r="AM28" s="585"/>
      <c r="AN28" s="586"/>
      <c r="AO28" s="585"/>
    </row>
    <row r="29" spans="1:41" x14ac:dyDescent="0.2">
      <c r="E29" s="671"/>
      <c r="F29" s="1" t="s">
        <v>27</v>
      </c>
      <c r="G29" s="377">
        <f>$K$29/'Réseaux de chaleur'!$G$62</f>
        <v>0.80963987982377861</v>
      </c>
      <c r="H29" s="653"/>
      <c r="I29" s="377">
        <f>G29-K29</f>
        <v>0.1487093656819185</v>
      </c>
      <c r="J29" s="672"/>
      <c r="K29" s="27">
        <f t="shared" si="5"/>
        <v>0.6609305141418601</v>
      </c>
      <c r="L29" s="672"/>
      <c r="M29" s="1"/>
      <c r="N29" s="653"/>
      <c r="O29" s="654"/>
      <c r="P29" s="654" t="e">
        <v>#REF!</v>
      </c>
      <c r="Q29" s="654"/>
      <c r="R29" s="673" t="e">
        <v>#REF!</v>
      </c>
      <c r="S29" s="674" t="e">
        <v>#REF!</v>
      </c>
      <c r="T29" s="674"/>
      <c r="U29" s="1"/>
      <c r="V29" s="489">
        <f>SUM(W29:AA29)</f>
        <v>4.042401525376488</v>
      </c>
      <c r="W29" s="490">
        <f>'scenario demande'!G340</f>
        <v>0</v>
      </c>
      <c r="X29" s="490">
        <f>'scenario demande'!G13</f>
        <v>1.7840210779108174</v>
      </c>
      <c r="Y29" s="490">
        <f>'scenario demande'!G114</f>
        <v>1.5076087619183054</v>
      </c>
      <c r="Z29" s="488">
        <f>'scenario demande'!G189</f>
        <v>0.75077168554736518</v>
      </c>
      <c r="AA29" s="585"/>
      <c r="AC29" s="38"/>
      <c r="AD29" s="525"/>
      <c r="AE29" s="525"/>
      <c r="AF29" s="525"/>
      <c r="AG29" s="525"/>
      <c r="AH29" s="518"/>
      <c r="AJ29" s="489">
        <f>SUM(AK29:AO29)</f>
        <v>4.042401525376488</v>
      </c>
      <c r="AK29" s="490">
        <f>W29</f>
        <v>0</v>
      </c>
      <c r="AL29" s="490">
        <f>X29</f>
        <v>1.7840210779108174</v>
      </c>
      <c r="AM29" s="490">
        <f>Y29</f>
        <v>1.5076087619183054</v>
      </c>
      <c r="AN29" s="490">
        <f>Z29</f>
        <v>0.75077168554736518</v>
      </c>
      <c r="AO29" s="490">
        <f>AA29</f>
        <v>0</v>
      </c>
    </row>
    <row r="30" spans="1:41" x14ac:dyDescent="0.2">
      <c r="E30" s="671"/>
      <c r="F30" s="1" t="s">
        <v>28</v>
      </c>
      <c r="G30" s="377">
        <f>$K$30/'Réseaux de chaleur'!$G$64</f>
        <v>0.15605672341012594</v>
      </c>
      <c r="H30" s="653"/>
      <c r="I30" s="377">
        <f t="shared" si="4"/>
        <v>0</v>
      </c>
      <c r="J30" s="672"/>
      <c r="K30" s="27">
        <f t="shared" si="5"/>
        <v>0.15605672341012594</v>
      </c>
      <c r="L30" s="672"/>
      <c r="M30" s="1"/>
      <c r="N30" s="653"/>
      <c r="O30" s="654"/>
      <c r="P30" s="654"/>
      <c r="Q30" s="654"/>
      <c r="R30" s="673"/>
      <c r="S30" s="674"/>
      <c r="T30" s="674"/>
      <c r="U30" s="1"/>
      <c r="V30" s="485"/>
      <c r="W30" s="585"/>
      <c r="X30" s="585"/>
      <c r="Y30" s="585"/>
      <c r="Z30" s="586"/>
      <c r="AA30" s="585"/>
      <c r="AC30" s="38"/>
      <c r="AD30" s="525"/>
      <c r="AE30" s="525"/>
      <c r="AF30" s="525"/>
      <c r="AG30" s="525"/>
      <c r="AH30" s="518"/>
      <c r="AJ30" s="485"/>
      <c r="AK30" s="585"/>
      <c r="AL30" s="585"/>
      <c r="AM30" s="585"/>
      <c r="AN30" s="586"/>
      <c r="AO30" s="585"/>
    </row>
    <row r="31" spans="1:41" x14ac:dyDescent="0.2">
      <c r="E31" s="671"/>
      <c r="F31" s="1" t="s">
        <v>35</v>
      </c>
      <c r="G31" s="377">
        <f>$K$31/'Réseaux de chaleur'!$G$65</f>
        <v>0.37039085976002334</v>
      </c>
      <c r="H31" s="653"/>
      <c r="I31" s="377">
        <f t="shared" si="4"/>
        <v>0</v>
      </c>
      <c r="J31" s="672"/>
      <c r="K31" s="27">
        <f t="shared" si="5"/>
        <v>0.37039085976002334</v>
      </c>
      <c r="L31" s="672"/>
      <c r="M31" s="1"/>
      <c r="N31" s="653"/>
      <c r="O31" s="654"/>
      <c r="P31" s="654"/>
      <c r="Q31" s="654"/>
      <c r="R31" s="673"/>
      <c r="S31" s="674"/>
      <c r="T31" s="674"/>
      <c r="U31" s="1"/>
      <c r="V31" s="485"/>
      <c r="W31" s="585"/>
      <c r="X31" s="585"/>
      <c r="Y31" s="585"/>
      <c r="Z31" s="586"/>
      <c r="AA31" s="585"/>
      <c r="AC31" s="38"/>
      <c r="AD31" s="525"/>
      <c r="AE31" s="525"/>
      <c r="AF31" s="525"/>
      <c r="AG31" s="525"/>
      <c r="AH31" s="518"/>
      <c r="AJ31" s="485"/>
      <c r="AK31" s="585"/>
      <c r="AL31" s="585"/>
      <c r="AM31" s="585"/>
      <c r="AN31" s="586"/>
      <c r="AO31" s="585"/>
    </row>
    <row r="32" spans="1:41" x14ac:dyDescent="0.2">
      <c r="E32" s="671"/>
      <c r="F32" s="1" t="s">
        <v>31</v>
      </c>
      <c r="G32" s="377">
        <f>$K$32/'Réseaux de chaleur'!$G$61</f>
        <v>2.4009944908679368</v>
      </c>
      <c r="H32" s="653"/>
      <c r="I32" s="377">
        <f>G32-K32</f>
        <v>0.43388717762258699</v>
      </c>
      <c r="J32" s="672"/>
      <c r="K32" s="27">
        <f>$L$26*J55</f>
        <v>1.9671073132453498</v>
      </c>
      <c r="L32" s="672"/>
      <c r="M32" s="1"/>
      <c r="N32" s="653"/>
      <c r="O32" s="654"/>
      <c r="P32" s="654"/>
      <c r="Q32" s="654"/>
      <c r="R32" s="673"/>
      <c r="S32" s="674"/>
      <c r="T32" s="674"/>
      <c r="U32" s="1"/>
      <c r="V32" s="486"/>
      <c r="W32" s="484"/>
      <c r="X32" s="484"/>
      <c r="Y32" s="484"/>
      <c r="Z32" s="487"/>
      <c r="AA32" s="484"/>
      <c r="AC32" s="38"/>
      <c r="AD32" s="525"/>
      <c r="AE32" s="525"/>
      <c r="AF32" s="525"/>
      <c r="AG32" s="525"/>
      <c r="AH32" s="518"/>
      <c r="AJ32" s="486"/>
      <c r="AK32" s="484"/>
      <c r="AL32" s="484"/>
      <c r="AM32" s="484"/>
      <c r="AN32" s="487"/>
      <c r="AO32" s="484"/>
    </row>
    <row r="33" spans="5:41" x14ac:dyDescent="0.2">
      <c r="E33" s="4"/>
      <c r="F33" s="1"/>
      <c r="H33" s="380">
        <f>SUM(G49:G55)-'Réseaux de chaleur'!H78</f>
        <v>6.098385953788954E-2</v>
      </c>
      <c r="I33" s="1"/>
      <c r="J33" s="1"/>
      <c r="K33" s="2"/>
      <c r="L33" s="461">
        <f>SUM(H49:H55)-'Réseaux de chaleur'!H54</f>
        <v>5.0033927237440601E-2</v>
      </c>
      <c r="M33" s="1"/>
      <c r="N33" s="1"/>
      <c r="O33" s="1"/>
      <c r="P33" s="1"/>
      <c r="Q33" s="1"/>
      <c r="R33" s="1"/>
      <c r="S33" s="1"/>
      <c r="T33" s="608">
        <f>T23+T26+G35+G36+G38-('bilan complet'!F212+'bilan complet'!G212+'bilan complet'!J212)</f>
        <v>0</v>
      </c>
      <c r="U33" s="1"/>
      <c r="X33" s="27"/>
      <c r="Y33" s="27"/>
      <c r="Z33" s="27"/>
      <c r="AC33" s="38"/>
      <c r="AD33" s="525"/>
      <c r="AE33" s="525"/>
      <c r="AF33" s="525"/>
      <c r="AG33" s="525"/>
      <c r="AH33" s="518"/>
      <c r="AL33" s="27"/>
      <c r="AM33" s="27"/>
      <c r="AN33" s="27"/>
    </row>
    <row r="34" spans="5:41" x14ac:dyDescent="0.2">
      <c r="E34" s="667" t="s">
        <v>36</v>
      </c>
      <c r="F34" s="1" t="s">
        <v>25</v>
      </c>
      <c r="H34" s="667">
        <f>SUM(G34:G44)</f>
        <v>101.02601483391402</v>
      </c>
      <c r="I34" s="590"/>
      <c r="J34" s="669"/>
      <c r="K34" s="2">
        <f t="shared" si="2"/>
        <v>0</v>
      </c>
      <c r="L34" s="667">
        <f>SUM(K34:K44)</f>
        <v>95.678804534470899</v>
      </c>
      <c r="M34" s="584"/>
      <c r="N34" s="584"/>
      <c r="O34" s="584"/>
      <c r="P34" s="584"/>
      <c r="Q34" s="584"/>
      <c r="R34" s="584"/>
      <c r="S34" s="584"/>
      <c r="T34" s="499"/>
      <c r="V34" s="667">
        <f>SUM(W34:AA44)</f>
        <v>69.411807671127519</v>
      </c>
      <c r="W34" s="367"/>
      <c r="X34" s="366"/>
      <c r="Y34" s="367"/>
      <c r="Z34" s="368"/>
      <c r="AA34" s="365"/>
      <c r="AC34" s="38"/>
      <c r="AD34" s="525"/>
      <c r="AE34" s="525"/>
      <c r="AF34" s="525"/>
      <c r="AG34" s="525"/>
      <c r="AH34" s="518"/>
      <c r="AJ34" s="365"/>
      <c r="AK34" s="367"/>
      <c r="AL34" s="366"/>
      <c r="AM34" s="367"/>
      <c r="AN34" s="368"/>
      <c r="AO34" s="365"/>
    </row>
    <row r="35" spans="5:41" x14ac:dyDescent="0.2">
      <c r="E35" s="667"/>
      <c r="F35" s="1" t="s">
        <v>27</v>
      </c>
      <c r="G35" s="27">
        <f>'bilan complet'!J218-G12-G27-G29-G30-G31-G36-G38</f>
        <v>14.647879077364584</v>
      </c>
      <c r="H35" s="667"/>
      <c r="I35" s="590">
        <v>0</v>
      </c>
      <c r="J35" s="669"/>
      <c r="K35" s="2">
        <f>G35-I35</f>
        <v>14.647879077364584</v>
      </c>
      <c r="L35" s="667"/>
      <c r="M35" s="584"/>
      <c r="N35" s="584"/>
      <c r="O35" s="584"/>
      <c r="P35" s="584"/>
      <c r="Q35" s="584"/>
      <c r="R35" s="584"/>
      <c r="S35" s="584"/>
      <c r="T35" s="500"/>
      <c r="V35" s="667"/>
      <c r="W35" s="598">
        <f>'scenario demande'!G341</f>
        <v>0.10456631152667728</v>
      </c>
      <c r="X35" s="599">
        <f>'scenario demande'!G14</f>
        <v>3.3355698018208133</v>
      </c>
      <c r="Y35" s="598">
        <f>'scenario demande'!G115-'scenario demande'!G166</f>
        <v>7.2778292639116859</v>
      </c>
      <c r="Z35" s="600">
        <f>'scenario demande'!G190-'scenario demande'!G236</f>
        <v>0.73372256227853305</v>
      </c>
      <c r="AA35" s="386"/>
      <c r="AB35" s="24">
        <f>SUM(W35:AA35)</f>
        <v>11.45168793953771</v>
      </c>
      <c r="AC35" s="38"/>
      <c r="AD35" s="525"/>
      <c r="AE35" s="525"/>
      <c r="AF35" s="525"/>
      <c r="AG35" s="525"/>
      <c r="AH35" s="518"/>
      <c r="AJ35" s="582"/>
      <c r="AK35" s="369">
        <f>W35</f>
        <v>0.10456631152667728</v>
      </c>
      <c r="AL35" s="369">
        <f t="shared" ref="AL35:AO35" si="6">X35</f>
        <v>3.3355698018208133</v>
      </c>
      <c r="AM35" s="388">
        <f>Y35+K35-SUM(W35:AA35)</f>
        <v>10.47402040173856</v>
      </c>
      <c r="AN35" s="369">
        <f t="shared" si="6"/>
        <v>0.73372256227853305</v>
      </c>
      <c r="AO35" s="369">
        <f t="shared" si="6"/>
        <v>0</v>
      </c>
    </row>
    <row r="36" spans="5:41" x14ac:dyDescent="0.2">
      <c r="E36" s="667"/>
      <c r="F36" s="1" t="s">
        <v>35</v>
      </c>
      <c r="G36" s="27">
        <f>'scenario demande'!G166</f>
        <v>0.14066857718174011</v>
      </c>
      <c r="H36" s="667"/>
      <c r="I36" s="590"/>
      <c r="J36" s="669"/>
      <c r="K36" s="2">
        <f t="shared" si="2"/>
        <v>0.14066857718174011</v>
      </c>
      <c r="L36" s="667"/>
      <c r="M36" s="584"/>
      <c r="N36" s="584"/>
      <c r="O36" s="584"/>
      <c r="P36" s="584"/>
      <c r="Q36" s="584"/>
      <c r="R36" s="584"/>
      <c r="S36" s="584"/>
      <c r="T36" s="500"/>
      <c r="V36" s="667"/>
      <c r="W36" s="601"/>
      <c r="X36" s="599"/>
      <c r="Y36" s="598">
        <f>'scenario demande'!G166</f>
        <v>0.14066857718174011</v>
      </c>
      <c r="Z36" s="600">
        <f>'scenario demande'!G236</f>
        <v>7.5511322696414154E-3</v>
      </c>
      <c r="AA36" s="593"/>
      <c r="AB36" s="24">
        <f>SUM(W36:AA36)</f>
        <v>0.14821970945138152</v>
      </c>
      <c r="AC36" s="516"/>
      <c r="AD36" s="528"/>
      <c r="AE36" s="528"/>
      <c r="AF36" s="528"/>
      <c r="AG36" s="528"/>
      <c r="AH36" s="519"/>
      <c r="AJ36" s="582"/>
      <c r="AK36" s="367"/>
      <c r="AL36" s="366"/>
      <c r="AM36" s="388">
        <f>K36</f>
        <v>0.14066857718174011</v>
      </c>
      <c r="AN36" s="370">
        <f>'scenario demande'!V237</f>
        <v>0</v>
      </c>
      <c r="AO36" s="365"/>
    </row>
    <row r="37" spans="5:41" x14ac:dyDescent="0.2">
      <c r="E37" s="667"/>
      <c r="F37" s="1" t="s">
        <v>41</v>
      </c>
      <c r="G37" s="27"/>
      <c r="H37" s="667"/>
      <c r="I37" s="590"/>
      <c r="J37" s="669"/>
      <c r="K37" s="2">
        <f t="shared" si="2"/>
        <v>0</v>
      </c>
      <c r="L37" s="667"/>
      <c r="M37" s="584"/>
      <c r="N37" s="584"/>
      <c r="O37" s="584"/>
      <c r="P37" s="584"/>
      <c r="Q37" s="584"/>
      <c r="R37" s="584"/>
      <c r="S37" s="584"/>
      <c r="T37" s="500"/>
      <c r="V37" s="667"/>
      <c r="W37" s="367"/>
      <c r="X37" s="366"/>
      <c r="Y37" s="369"/>
      <c r="Z37" s="370"/>
      <c r="AA37" s="365"/>
      <c r="AJ37" s="582"/>
      <c r="AK37" s="602"/>
      <c r="AL37" s="366"/>
      <c r="AM37" s="387">
        <f>K38</f>
        <v>1.76</v>
      </c>
      <c r="AN37" s="369"/>
      <c r="AO37" s="365"/>
    </row>
    <row r="38" spans="5:41" x14ac:dyDescent="0.2">
      <c r="E38" s="667"/>
      <c r="F38" s="1" t="s">
        <v>42</v>
      </c>
      <c r="G38" s="27">
        <f>indicateurs!G14</f>
        <v>1.76</v>
      </c>
      <c r="H38" s="667"/>
      <c r="I38" s="590"/>
      <c r="J38" s="669"/>
      <c r="K38" s="2">
        <f t="shared" si="2"/>
        <v>1.76</v>
      </c>
      <c r="L38" s="667"/>
      <c r="M38" s="584"/>
      <c r="N38" s="584"/>
      <c r="O38" s="584"/>
      <c r="P38" s="584"/>
      <c r="Q38" s="584"/>
      <c r="R38" s="584"/>
      <c r="S38" s="584"/>
      <c r="T38" s="500"/>
      <c r="V38" s="667"/>
      <c r="W38" s="367"/>
      <c r="X38" s="366"/>
      <c r="Y38" s="369"/>
      <c r="Z38" s="370"/>
      <c r="AA38" s="365"/>
      <c r="AJ38" s="582"/>
      <c r="AK38" s="602"/>
      <c r="AL38" s="366"/>
      <c r="AM38" s="602"/>
      <c r="AN38" s="366"/>
      <c r="AO38" s="602"/>
    </row>
    <row r="39" spans="5:41" x14ac:dyDescent="0.2">
      <c r="E39" s="667"/>
      <c r="F39" s="1" t="s">
        <v>63</v>
      </c>
      <c r="G39" s="27">
        <f>K39</f>
        <v>5.3286902890840064</v>
      </c>
      <c r="H39" s="667"/>
      <c r="I39" s="40"/>
      <c r="J39" s="669"/>
      <c r="K39" s="2">
        <f>0.09*'bilan complet'!E212</f>
        <v>5.3286902890840064</v>
      </c>
      <c r="L39" s="667"/>
      <c r="M39" s="584"/>
      <c r="N39" s="584"/>
      <c r="O39" s="584"/>
      <c r="P39" s="584"/>
      <c r="Q39" s="584"/>
      <c r="R39" s="584"/>
      <c r="S39" s="584"/>
      <c r="T39" s="502">
        <f>L34-K41-K43</f>
        <v>81.065104691808997</v>
      </c>
      <c r="V39" s="667"/>
      <c r="W39" s="369"/>
      <c r="X39" s="366"/>
      <c r="Y39" s="369"/>
      <c r="Z39" s="370"/>
      <c r="AA39" s="371"/>
      <c r="AC39" s="529" t="s">
        <v>518</v>
      </c>
      <c r="AD39" s="533">
        <f>'bilan complet'!$E$210</f>
        <v>3.4264110449557887</v>
      </c>
      <c r="AE39" s="533">
        <f>'bilan complet'!E207</f>
        <v>2.8415860439508878</v>
      </c>
      <c r="AF39" s="533">
        <f>'bilan complet'!$E$208</f>
        <v>2.8700272742284536</v>
      </c>
      <c r="AG39" s="533">
        <f>'bilan complet'!$E$209</f>
        <v>2.9004743181430972</v>
      </c>
      <c r="AH39" s="530">
        <f>'bilan complet'!$E$211</f>
        <v>47.169171197432959</v>
      </c>
      <c r="AJ39" s="365"/>
      <c r="AK39" s="366">
        <f>AD39</f>
        <v>3.4264110449557887</v>
      </c>
      <c r="AL39" s="366">
        <f>AE39</f>
        <v>2.8415860439508878</v>
      </c>
      <c r="AM39" s="366">
        <f>AF39</f>
        <v>2.8700272742284536</v>
      </c>
      <c r="AN39" s="366">
        <f>AG39</f>
        <v>2.9004743181430972</v>
      </c>
      <c r="AO39" s="369">
        <f>AH39</f>
        <v>47.169171197432959</v>
      </c>
    </row>
    <row r="40" spans="5:41" x14ac:dyDescent="0.2">
      <c r="E40" s="667"/>
      <c r="F40" s="1" t="s">
        <v>37</v>
      </c>
      <c r="G40" s="27">
        <f>K40+I40</f>
        <v>58.189297956797354</v>
      </c>
      <c r="H40" s="667"/>
      <c r="I40" s="40">
        <f>0.08*K40</f>
        <v>4.3103183671701748</v>
      </c>
      <c r="J40" s="669"/>
      <c r="K40" s="2">
        <f>'bilan complet'!E212-K39</f>
        <v>53.878979589627178</v>
      </c>
      <c r="L40" s="667"/>
      <c r="M40" s="584"/>
      <c r="N40" s="584"/>
      <c r="O40" s="584"/>
      <c r="P40" s="584"/>
      <c r="Q40" s="584"/>
      <c r="R40" s="584"/>
      <c r="S40" s="584"/>
      <c r="T40" s="500"/>
      <c r="V40" s="667"/>
      <c r="W40" s="595">
        <f>'scenario demande'!G336</f>
        <v>3.4484995208223062</v>
      </c>
      <c r="X40" s="366">
        <f>'scenario demande'!G9</f>
        <v>2.8089078165289432</v>
      </c>
      <c r="Y40" s="369">
        <f>'scenario demande'!G109+'scenario demande'!G112</f>
        <v>3.0328420769336826</v>
      </c>
      <c r="Z40" s="370">
        <f>'scenario demande'!G185</f>
        <v>2.1033850451418026</v>
      </c>
      <c r="AA40" s="371">
        <f>'scenario demande'!G273+'scenario demande'!G274+'scenario demande'!G275+'scenario demande'!G276</f>
        <v>41.301290184491556</v>
      </c>
      <c r="AB40" s="27">
        <f>SUM(W40:AA40)</f>
        <v>52.694924643918291</v>
      </c>
      <c r="AC40" s="531" t="s">
        <v>182</v>
      </c>
      <c r="AD40" s="609">
        <f>'bilan complet'!$B$210</f>
        <v>0</v>
      </c>
      <c r="AE40" s="535">
        <f>'bilan complet'!$B$207</f>
        <v>5.3088871585514861</v>
      </c>
      <c r="AF40" s="609">
        <f>'bilan complet'!$B$208</f>
        <v>0</v>
      </c>
      <c r="AG40" s="609">
        <f>'bilan complet'!$B$209</f>
        <v>0</v>
      </c>
      <c r="AH40" s="609">
        <f>'bilan complet'!$B$211</f>
        <v>0</v>
      </c>
      <c r="AI40" s="27">
        <f>SUM(AD39:AH40)</f>
        <v>64.516557037262672</v>
      </c>
      <c r="AJ40" s="582">
        <f>SUM(AK34:AO44)</f>
        <v>81.065104691808997</v>
      </c>
      <c r="AK40" s="602"/>
      <c r="AL40" s="602"/>
      <c r="AM40" s="602"/>
      <c r="AN40" s="602"/>
      <c r="AO40" s="602"/>
    </row>
    <row r="41" spans="5:41" x14ac:dyDescent="0.2">
      <c r="E41" s="667"/>
      <c r="F41" s="1" t="s">
        <v>38</v>
      </c>
      <c r="G41" s="27">
        <f>K41+I41</f>
        <v>13.998041085684859</v>
      </c>
      <c r="H41" s="667"/>
      <c r="I41" s="40">
        <f>0.08*K41</f>
        <v>1.0368919322729524</v>
      </c>
      <c r="J41" s="669"/>
      <c r="K41" s="2">
        <f>'bilan complet'!E215</f>
        <v>12.961149153411906</v>
      </c>
      <c r="L41" s="667"/>
      <c r="M41" s="584"/>
      <c r="N41" s="584"/>
      <c r="O41" s="584"/>
      <c r="P41" s="584"/>
      <c r="Q41" s="584"/>
      <c r="R41" s="584"/>
      <c r="S41" s="584"/>
      <c r="T41" s="500"/>
      <c r="V41" s="667"/>
      <c r="W41" s="369"/>
      <c r="X41" s="366"/>
      <c r="Y41" s="369"/>
      <c r="Z41" s="370"/>
      <c r="AA41" s="371"/>
      <c r="AJ41" s="582"/>
      <c r="AK41" s="366"/>
      <c r="AL41" s="366"/>
      <c r="AM41" s="366"/>
      <c r="AN41" s="366"/>
      <c r="AO41" s="366"/>
    </row>
    <row r="42" spans="5:41" x14ac:dyDescent="0.2">
      <c r="E42" s="667"/>
      <c r="F42" s="1" t="s">
        <v>39</v>
      </c>
      <c r="G42" s="27"/>
      <c r="H42" s="667"/>
      <c r="I42" s="40"/>
      <c r="J42" s="669"/>
      <c r="K42" s="2">
        <f t="shared" si="2"/>
        <v>0</v>
      </c>
      <c r="L42" s="667"/>
      <c r="M42" s="584"/>
      <c r="N42" s="584"/>
      <c r="O42" s="584"/>
      <c r="P42" s="584"/>
      <c r="Q42" s="584"/>
      <c r="R42" s="584"/>
      <c r="S42" s="584"/>
      <c r="T42" s="500"/>
      <c r="V42" s="667"/>
      <c r="W42" s="369"/>
      <c r="X42" s="366"/>
      <c r="Y42" s="369"/>
      <c r="Z42" s="370"/>
      <c r="AA42" s="371"/>
      <c r="AJ42" s="582"/>
      <c r="AK42" s="366"/>
      <c r="AL42" s="366"/>
      <c r="AM42" s="366"/>
      <c r="AN42" s="366"/>
      <c r="AO42" s="366"/>
    </row>
    <row r="43" spans="5:41" x14ac:dyDescent="0.2">
      <c r="E43" s="667"/>
      <c r="F43" s="1" t="s">
        <v>472</v>
      </c>
      <c r="G43" s="27">
        <f>'bilan complet'!F215</f>
        <v>1.6525506892499897</v>
      </c>
      <c r="H43" s="667"/>
      <c r="I43" s="40"/>
      <c r="J43" s="669"/>
      <c r="K43" s="2">
        <f t="shared" si="2"/>
        <v>1.6525506892499897</v>
      </c>
      <c r="L43" s="667"/>
      <c r="M43" s="584"/>
      <c r="N43" s="584"/>
      <c r="O43" s="584"/>
      <c r="P43" s="584"/>
      <c r="Q43" s="584"/>
      <c r="R43" s="584"/>
      <c r="S43" s="584"/>
      <c r="T43" s="500"/>
      <c r="V43" s="667"/>
      <c r="W43" s="369"/>
      <c r="X43" s="366"/>
      <c r="Y43" s="369"/>
      <c r="Z43" s="370"/>
      <c r="AA43" s="371"/>
      <c r="AJ43" s="582"/>
      <c r="AK43" s="369"/>
      <c r="AL43" s="366"/>
      <c r="AM43" s="369"/>
      <c r="AN43" s="371"/>
      <c r="AO43" s="366"/>
    </row>
    <row r="44" spans="5:41" x14ac:dyDescent="0.2">
      <c r="E44" s="668"/>
      <c r="F44" s="1" t="s">
        <v>40</v>
      </c>
      <c r="G44" s="27">
        <f>'bilan complet'!B212</f>
        <v>5.3088871585514861</v>
      </c>
      <c r="H44" s="668"/>
      <c r="I44" s="590"/>
      <c r="J44" s="670"/>
      <c r="K44" s="2">
        <f t="shared" si="2"/>
        <v>5.3088871585514861</v>
      </c>
      <c r="L44" s="668"/>
      <c r="M44" s="584"/>
      <c r="N44" s="584"/>
      <c r="O44" s="584"/>
      <c r="P44" s="584"/>
      <c r="Q44" s="584"/>
      <c r="R44" s="584"/>
      <c r="S44" s="584"/>
      <c r="T44" s="501"/>
      <c r="V44" s="668"/>
      <c r="W44" s="497">
        <f>'scenario demande'!G338</f>
        <v>0</v>
      </c>
      <c r="X44" s="596">
        <f>'scenario demande'!G11</f>
        <v>5.027751452346771</v>
      </c>
      <c r="Y44" s="374">
        <f>'scenario demande'!G111</f>
        <v>6.0406613982791554E-3</v>
      </c>
      <c r="Z44" s="597">
        <f>'scenario demande'!G187</f>
        <v>8.3183264475076235E-2</v>
      </c>
      <c r="AA44" s="372"/>
      <c r="AB44" s="24">
        <f>SUM(W44:AA44)</f>
        <v>5.1169753782201264</v>
      </c>
      <c r="AI44" s="612">
        <f>AI13+AI25+AI40-'bilan complet'!K212</f>
        <v>0.40000000000000568</v>
      </c>
      <c r="AJ44" s="583"/>
      <c r="AK44" s="497"/>
      <c r="AL44" s="373">
        <f>AE40</f>
        <v>5.3088871585514861</v>
      </c>
      <c r="AM44" s="374"/>
      <c r="AN44" s="604"/>
      <c r="AO44" s="605"/>
    </row>
    <row r="45" spans="5:41" x14ac:dyDescent="0.2">
      <c r="E45" s="1"/>
      <c r="F45" s="1"/>
      <c r="G45" s="389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536">
        <f>T39-K35-K36-K38-SUM(AD39:AH40)</f>
        <v>0</v>
      </c>
      <c r="U45" s="1"/>
      <c r="W45" s="27"/>
      <c r="X45" s="27"/>
      <c r="Y45" s="27"/>
      <c r="Z45" s="27"/>
      <c r="AA45" s="27"/>
    </row>
    <row r="46" spans="5:41" x14ac:dyDescent="0.2">
      <c r="F46" s="1"/>
      <c r="G46" s="466"/>
      <c r="H46" s="462"/>
      <c r="I46" s="462"/>
      <c r="J46" s="462"/>
      <c r="K46" s="462"/>
      <c r="L46" s="462"/>
      <c r="M46" s="463"/>
      <c r="N46" s="463"/>
      <c r="O46" s="463"/>
      <c r="P46" s="464"/>
      <c r="Q46" s="462"/>
      <c r="R46" s="462"/>
      <c r="S46" s="462"/>
      <c r="T46" s="1"/>
      <c r="U46" s="1"/>
      <c r="V46" s="6"/>
      <c r="W46" s="2"/>
      <c r="X46" s="2"/>
      <c r="Y46" s="2"/>
      <c r="Z46" s="2"/>
      <c r="AA46" s="2"/>
    </row>
    <row r="47" spans="5:41" x14ac:dyDescent="0.2">
      <c r="G47" s="465"/>
      <c r="H47" s="462"/>
      <c r="I47" s="462"/>
      <c r="J47" s="462"/>
      <c r="K47" s="462"/>
      <c r="L47" s="462"/>
      <c r="M47" s="466"/>
      <c r="N47" s="466"/>
      <c r="O47" s="466"/>
      <c r="P47" s="465"/>
      <c r="Q47" s="462"/>
      <c r="R47" s="466"/>
      <c r="S47" s="466"/>
      <c r="T47" s="1"/>
      <c r="U47" s="1"/>
    </row>
    <row r="48" spans="5:41" x14ac:dyDescent="0.2">
      <c r="F48" s="470" t="s">
        <v>495</v>
      </c>
      <c r="G48" s="471" t="s">
        <v>174</v>
      </c>
      <c r="H48" s="472" t="s">
        <v>494</v>
      </c>
      <c r="I48" s="471" t="s">
        <v>174</v>
      </c>
      <c r="J48" s="472" t="s">
        <v>494</v>
      </c>
      <c r="K48" s="462"/>
      <c r="L48" s="462"/>
      <c r="M48" s="377"/>
      <c r="N48" s="467"/>
      <c r="O48" s="467"/>
      <c r="P48" s="464"/>
      <c r="Q48" s="462"/>
      <c r="R48" s="467"/>
      <c r="S48" s="467"/>
      <c r="T48" s="1"/>
      <c r="U48" s="1"/>
      <c r="V48" s="2"/>
      <c r="W48" s="2"/>
      <c r="X48" s="2"/>
      <c r="Y48" s="2"/>
      <c r="Z48" s="2"/>
      <c r="AA48" s="2"/>
    </row>
    <row r="49" spans="6:27" x14ac:dyDescent="0.2">
      <c r="F49" s="470" t="s">
        <v>25</v>
      </c>
      <c r="G49" s="473">
        <v>0</v>
      </c>
      <c r="H49" s="474">
        <v>0</v>
      </c>
      <c r="I49" s="476">
        <f>G49/$G$56</f>
        <v>0</v>
      </c>
      <c r="J49" s="476">
        <f>H49/$H$56</f>
        <v>0</v>
      </c>
      <c r="K49" s="462"/>
      <c r="L49" s="462"/>
      <c r="M49" s="377"/>
      <c r="N49" s="467"/>
      <c r="O49" s="467"/>
      <c r="P49" s="464"/>
      <c r="Q49" s="462"/>
      <c r="R49" s="467"/>
      <c r="S49" s="467"/>
      <c r="T49" s="1"/>
      <c r="U49" s="1"/>
      <c r="V49" s="498"/>
      <c r="W49" s="1"/>
      <c r="X49" s="1"/>
      <c r="Y49" s="1"/>
      <c r="Z49" s="1"/>
      <c r="AA49" s="1"/>
    </row>
    <row r="50" spans="6:27" x14ac:dyDescent="0.2">
      <c r="F50" s="470" t="s">
        <v>26</v>
      </c>
      <c r="G50" s="473">
        <f>'Réseaux de chaleur'!$G$75</f>
        <v>0.49605472888061164</v>
      </c>
      <c r="H50" s="474">
        <f>'Réseaux de chaleur'!$G$51</f>
        <v>0.49605472888061164</v>
      </c>
      <c r="I50" s="476">
        <f t="shared" ref="I50:I55" si="7">G50/$G$56</f>
        <v>0.1921225747107515</v>
      </c>
      <c r="J50" s="476">
        <f t="shared" ref="J50:J55" si="8">H50/$H$56</f>
        <v>0.21965064807272786</v>
      </c>
      <c r="K50" s="462"/>
      <c r="L50" s="462"/>
      <c r="M50" s="377"/>
      <c r="N50" s="467"/>
      <c r="O50" s="467"/>
      <c r="P50" s="464"/>
      <c r="Q50" s="462"/>
      <c r="R50" s="467"/>
      <c r="S50" s="467"/>
      <c r="T50" s="1"/>
      <c r="U50" s="1"/>
      <c r="V50" s="2"/>
      <c r="W50" s="1"/>
      <c r="X50" s="1"/>
      <c r="Y50" s="1"/>
      <c r="Z50" s="1"/>
      <c r="AA50" s="1"/>
    </row>
    <row r="51" spans="6:27" x14ac:dyDescent="0.2">
      <c r="F51" s="470" t="s">
        <v>30</v>
      </c>
      <c r="G51" s="473">
        <v>0</v>
      </c>
      <c r="H51" s="474"/>
      <c r="I51" s="476">
        <f t="shared" si="7"/>
        <v>0</v>
      </c>
      <c r="J51" s="476">
        <f t="shared" si="8"/>
        <v>0</v>
      </c>
      <c r="K51" s="462"/>
      <c r="L51" s="462"/>
      <c r="M51" s="377"/>
      <c r="N51" s="467"/>
      <c r="O51" s="467"/>
      <c r="P51" s="464"/>
      <c r="Q51" s="464"/>
      <c r="R51" s="467"/>
      <c r="S51" s="467"/>
      <c r="T51" s="1"/>
      <c r="U51" s="1"/>
      <c r="V51" s="1"/>
      <c r="W51" s="1"/>
      <c r="X51" s="1"/>
      <c r="Y51" s="1"/>
      <c r="Z51" s="1"/>
      <c r="AA51" s="1"/>
    </row>
    <row r="52" spans="6:27" x14ac:dyDescent="0.2">
      <c r="F52" s="470" t="s">
        <v>27</v>
      </c>
      <c r="G52" s="473">
        <f>'Réseaux de chaleur'!$G$74</f>
        <v>0.45232391255645549</v>
      </c>
      <c r="H52" s="474">
        <f>'Réseaux de chaleur'!$G$50</f>
        <v>0.36924401025016773</v>
      </c>
      <c r="I52" s="476">
        <f t="shared" si="7"/>
        <v>0.17518557857454103</v>
      </c>
      <c r="J52" s="476">
        <f t="shared" si="8"/>
        <v>0.1634994717849817</v>
      </c>
      <c r="K52" s="462"/>
      <c r="L52" s="462"/>
      <c r="M52" s="377"/>
      <c r="N52" s="467"/>
      <c r="O52" s="467"/>
      <c r="P52" s="464"/>
      <c r="Q52" s="462"/>
      <c r="R52" s="467"/>
      <c r="S52" s="467"/>
      <c r="T52" s="1"/>
      <c r="U52" s="1"/>
      <c r="V52" s="1"/>
      <c r="W52" s="1"/>
      <c r="X52" s="1"/>
      <c r="Y52" s="1"/>
      <c r="Z52" s="1"/>
      <c r="AA52" s="1"/>
    </row>
    <row r="53" spans="6:27" x14ac:dyDescent="0.2">
      <c r="F53" s="470" t="s">
        <v>28</v>
      </c>
      <c r="G53" s="473">
        <f>'Réseaux de chaleur'!$G$76</f>
        <v>8.7184672436062025E-2</v>
      </c>
      <c r="H53" s="474">
        <f>'Réseaux de chaleur'!$G$52</f>
        <v>8.7184672436062025E-2</v>
      </c>
      <c r="I53" s="476">
        <f t="shared" si="7"/>
        <v>3.3766725259383783E-2</v>
      </c>
      <c r="J53" s="476">
        <f t="shared" si="8"/>
        <v>3.8604953622362298E-2</v>
      </c>
      <c r="K53" s="462"/>
      <c r="L53" s="462"/>
      <c r="M53" s="377"/>
      <c r="N53" s="467"/>
      <c r="O53" s="467"/>
      <c r="P53" s="465"/>
      <c r="Q53" s="462"/>
      <c r="R53" s="466"/>
      <c r="S53" s="466"/>
      <c r="T53" s="1"/>
      <c r="U53" s="1"/>
      <c r="V53" s="1"/>
      <c r="W53" s="1"/>
      <c r="X53" s="1"/>
      <c r="Y53" s="1"/>
      <c r="Z53" s="1"/>
      <c r="AA53" s="1"/>
    </row>
    <row r="54" spans="6:27" x14ac:dyDescent="0.2">
      <c r="F54" s="470" t="s">
        <v>35</v>
      </c>
      <c r="G54" s="473">
        <f>'Réseaux de chaleur'!$G$77</f>
        <v>0.20692735997424952</v>
      </c>
      <c r="H54" s="474">
        <f>'Réseaux de chaleur'!$G$53</f>
        <v>0.20692735997424952</v>
      </c>
      <c r="I54" s="476">
        <f t="shared" si="7"/>
        <v>8.0143207718355383E-2</v>
      </c>
      <c r="J54" s="476">
        <f t="shared" si="8"/>
        <v>9.1626439737583235E-2</v>
      </c>
      <c r="K54" s="462"/>
      <c r="L54" s="462"/>
      <c r="M54" s="377"/>
      <c r="N54" s="467"/>
      <c r="O54" s="467"/>
      <c r="P54" s="464"/>
      <c r="Q54" s="462"/>
      <c r="R54" s="467"/>
      <c r="S54" s="467"/>
      <c r="T54" s="1"/>
      <c r="U54" s="1"/>
      <c r="V54" s="1"/>
      <c r="W54" s="1"/>
      <c r="X54" s="1"/>
      <c r="Y54" s="1"/>
      <c r="Z54" s="1"/>
      <c r="AA54" s="1"/>
    </row>
    <row r="55" spans="6:27" x14ac:dyDescent="0.2">
      <c r="F55" s="470" t="s">
        <v>31</v>
      </c>
      <c r="G55" s="473">
        <f>'Réseaux de chaleur'!$G$73+'Réseaux de chaleur'!$G$72+'Réseaux de chaleur'!$G$71</f>
        <v>1.3394793503803446</v>
      </c>
      <c r="H55" s="474">
        <f>'Réseaux de chaleur'!$G$49+'Réseaux de chaleur'!$G$48+'Réseaux de chaleur'!$G$47</f>
        <v>1.0989696759245797</v>
      </c>
      <c r="I55" s="476">
        <f t="shared" si="7"/>
        <v>0.51878191373696825</v>
      </c>
      <c r="J55" s="476">
        <f t="shared" si="8"/>
        <v>0.48661848678234498</v>
      </c>
      <c r="K55" s="462"/>
      <c r="L55" s="462"/>
      <c r="M55" s="467"/>
      <c r="N55" s="467"/>
      <c r="O55" s="467"/>
      <c r="P55" s="464"/>
      <c r="Q55" s="462"/>
      <c r="R55" s="467"/>
      <c r="S55" s="467"/>
      <c r="T55" s="1"/>
      <c r="U55" s="1"/>
      <c r="V55" s="1"/>
      <c r="W55" s="1"/>
      <c r="X55" s="1"/>
      <c r="Y55" s="1"/>
      <c r="Z55" s="1"/>
      <c r="AA55" s="1"/>
    </row>
    <row r="56" spans="6:27" x14ac:dyDescent="0.2">
      <c r="F56" s="470" t="s">
        <v>496</v>
      </c>
      <c r="G56" s="475">
        <f>SUM(G49:G55)</f>
        <v>2.5819700242277235</v>
      </c>
      <c r="H56" s="475">
        <f>SUM(H49:H55)</f>
        <v>2.2583804474656706</v>
      </c>
      <c r="I56" s="475">
        <f>SUM(I49:I55)</f>
        <v>1</v>
      </c>
      <c r="J56" s="475">
        <f>SUM(J49:J55)</f>
        <v>1</v>
      </c>
      <c r="K56" s="462"/>
      <c r="L56" s="462"/>
      <c r="M56" s="467"/>
      <c r="N56" s="467"/>
      <c r="O56" s="467"/>
      <c r="P56" s="464"/>
      <c r="Q56" s="464"/>
      <c r="R56" s="464"/>
      <c r="S56" s="464"/>
      <c r="T56" s="1"/>
      <c r="U56" s="1"/>
      <c r="V56" s="1"/>
      <c r="W56" s="1"/>
      <c r="X56" s="1"/>
      <c r="Y56" s="1"/>
      <c r="Z56" s="1"/>
      <c r="AA56" s="1"/>
    </row>
    <row r="57" spans="6:27" x14ac:dyDescent="0.2">
      <c r="F57" s="1"/>
      <c r="G57" s="462"/>
      <c r="H57" s="462"/>
      <c r="I57" s="462"/>
      <c r="J57" s="462"/>
      <c r="K57" s="462"/>
      <c r="L57" s="462"/>
      <c r="M57" s="467"/>
      <c r="N57" s="467"/>
      <c r="O57" s="467"/>
      <c r="P57" s="464"/>
      <c r="Q57" s="468"/>
      <c r="R57" s="469"/>
      <c r="S57" s="469"/>
      <c r="T57" s="1"/>
      <c r="U57" s="1"/>
      <c r="V57" s="1"/>
      <c r="W57" s="1"/>
      <c r="X57" s="1"/>
      <c r="Y57" s="1"/>
      <c r="Z57" s="1"/>
      <c r="AA57" s="1"/>
    </row>
    <row r="58" spans="6:27" x14ac:dyDescent="0.2">
      <c r="F58" s="1"/>
      <c r="G58" s="462"/>
      <c r="H58" s="462"/>
      <c r="I58" s="462"/>
      <c r="J58" s="462"/>
      <c r="K58" s="462"/>
      <c r="L58" s="462"/>
      <c r="M58" s="467"/>
      <c r="N58" s="467"/>
      <c r="O58" s="467"/>
      <c r="P58" s="464"/>
      <c r="Q58" s="468"/>
      <c r="R58" s="469"/>
      <c r="S58" s="469"/>
      <c r="T58" s="1"/>
      <c r="U58" s="1"/>
      <c r="V58" s="1"/>
      <c r="W58" s="1"/>
      <c r="X58" s="1"/>
      <c r="Y58" s="1"/>
      <c r="Z58" s="1"/>
      <c r="AA58" s="1"/>
    </row>
    <row r="62" spans="6:27" x14ac:dyDescent="0.2">
      <c r="G62" s="492"/>
    </row>
    <row r="63" spans="6:27" x14ac:dyDescent="0.2">
      <c r="G63" s="493"/>
    </row>
    <row r="64" spans="6:27" x14ac:dyDescent="0.2">
      <c r="G64" s="492"/>
    </row>
    <row r="65" spans="7:7" x14ac:dyDescent="0.2">
      <c r="G65" s="492"/>
    </row>
    <row r="66" spans="7:7" x14ac:dyDescent="0.2">
      <c r="G66" s="494"/>
    </row>
  </sheetData>
  <mergeCells count="48">
    <mergeCell ref="V34:V44"/>
    <mergeCell ref="P26:P32"/>
    <mergeCell ref="Q26:Q32"/>
    <mergeCell ref="R26:R32"/>
    <mergeCell ref="S26:S32"/>
    <mergeCell ref="T26:T32"/>
    <mergeCell ref="E34:E44"/>
    <mergeCell ref="H34:H44"/>
    <mergeCell ref="J34:J44"/>
    <mergeCell ref="L34:L44"/>
    <mergeCell ref="E26:E32"/>
    <mergeCell ref="H26:H32"/>
    <mergeCell ref="J26:J32"/>
    <mergeCell ref="L26:L32"/>
    <mergeCell ref="N26:N32"/>
    <mergeCell ref="O26:O32"/>
    <mergeCell ref="AH7:AH19"/>
    <mergeCell ref="E21:E24"/>
    <mergeCell ref="H21:H24"/>
    <mergeCell ref="J21:J24"/>
    <mergeCell ref="L21:L24"/>
    <mergeCell ref="N21:N24"/>
    <mergeCell ref="O21:O24"/>
    <mergeCell ref="P21:P24"/>
    <mergeCell ref="Q21:Q24"/>
    <mergeCell ref="V21:V24"/>
    <mergeCell ref="T7:T19"/>
    <mergeCell ref="V7:V19"/>
    <mergeCell ref="AD7:AD19"/>
    <mergeCell ref="AE7:AE19"/>
    <mergeCell ref="AF7:AF19"/>
    <mergeCell ref="AG7:AG19"/>
    <mergeCell ref="A4:C4"/>
    <mergeCell ref="E7:E19"/>
    <mergeCell ref="H7:H19"/>
    <mergeCell ref="J7:J19"/>
    <mergeCell ref="L7:L19"/>
    <mergeCell ref="N7:N19"/>
    <mergeCell ref="G1:L1"/>
    <mergeCell ref="N1:T1"/>
    <mergeCell ref="V1:AA1"/>
    <mergeCell ref="G2:H2"/>
    <mergeCell ref="I2:L2"/>
    <mergeCell ref="N2:N4"/>
    <mergeCell ref="O2:T3"/>
    <mergeCell ref="V2:AA3"/>
    <mergeCell ref="I3:J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66"/>
  <sheetViews>
    <sheetView topLeftCell="E2" zoomScaleNormal="100" workbookViewId="0">
      <pane xSplit="2" ySplit="3" topLeftCell="H11" activePane="bottomRight" state="frozen"/>
      <selection activeCell="E2" sqref="E2"/>
      <selection pane="topRight" activeCell="G2" sqref="G2"/>
      <selection pane="bottomLeft" activeCell="E5" sqref="E5"/>
      <selection pane="bottomRight" activeCell="I17" sqref="I17"/>
    </sheetView>
  </sheetViews>
  <sheetFormatPr baseColWidth="10" defaultRowHeight="12.75" x14ac:dyDescent="0.2"/>
  <cols>
    <col min="1" max="1" width="14.85546875" style="24" bestFit="1" customWidth="1"/>
    <col min="2" max="2" width="28" style="24" bestFit="1" customWidth="1"/>
    <col min="3" max="3" width="4.42578125" style="24" bestFit="1" customWidth="1"/>
    <col min="4" max="4" width="8" style="24" bestFit="1" customWidth="1"/>
    <col min="5" max="5" width="11.42578125" style="24"/>
    <col min="6" max="6" width="22.85546875" style="24" bestFit="1" customWidth="1"/>
    <col min="7" max="7" width="7" style="24" customWidth="1"/>
    <col min="8" max="8" width="6.28515625" style="24" customWidth="1"/>
    <col min="9" max="9" width="5.7109375" style="24" customWidth="1"/>
    <col min="10" max="10" width="5.7109375" style="24" bestFit="1" customWidth="1"/>
    <col min="11" max="11" width="5.85546875" style="24" bestFit="1" customWidth="1"/>
    <col min="12" max="12" width="9.42578125" style="24" customWidth="1"/>
    <col min="13" max="13" width="9.28515625" style="24" customWidth="1"/>
    <col min="14" max="14" width="9.7109375" style="24" customWidth="1"/>
    <col min="15" max="15" width="6.7109375" style="24" bestFit="1" customWidth="1"/>
    <col min="16" max="16" width="4.85546875" style="24" customWidth="1"/>
    <col min="17" max="17" width="5.28515625" style="24" customWidth="1"/>
    <col min="18" max="19" width="4.42578125" style="24" bestFit="1" customWidth="1"/>
    <col min="20" max="20" width="18.140625" style="24" bestFit="1" customWidth="1"/>
    <col min="21" max="21" width="6" style="24" customWidth="1"/>
    <col min="22" max="22" width="5.85546875" style="24" bestFit="1" customWidth="1"/>
    <col min="23" max="23" width="4.42578125" style="24" bestFit="1" customWidth="1"/>
    <col min="24" max="24" width="6.42578125" style="24" customWidth="1"/>
    <col min="25" max="26" width="5.42578125" style="24" bestFit="1" customWidth="1"/>
    <col min="27" max="27" width="4.42578125" style="24" bestFit="1" customWidth="1"/>
    <col min="28" max="28" width="7.28515625" style="24" customWidth="1"/>
    <col min="29" max="29" width="12.7109375" style="24" customWidth="1"/>
    <col min="30" max="256" width="11.42578125" style="24"/>
    <col min="257" max="257" width="14.85546875" style="24" bestFit="1" customWidth="1"/>
    <col min="258" max="258" width="28" style="24" bestFit="1" customWidth="1"/>
    <col min="259" max="259" width="4.42578125" style="24" bestFit="1" customWidth="1"/>
    <col min="260" max="260" width="8" style="24" bestFit="1" customWidth="1"/>
    <col min="261" max="261" width="11.42578125" style="24"/>
    <col min="262" max="262" width="22.85546875" style="24" bestFit="1" customWidth="1"/>
    <col min="263" max="263" width="7" style="24" customWidth="1"/>
    <col min="264" max="264" width="6.28515625" style="24" customWidth="1"/>
    <col min="265" max="265" width="5.7109375" style="24" customWidth="1"/>
    <col min="266" max="266" width="5.7109375" style="24" bestFit="1" customWidth="1"/>
    <col min="267" max="267" width="5.85546875" style="24" bestFit="1" customWidth="1"/>
    <col min="268" max="268" width="9.42578125" style="24" customWidth="1"/>
    <col min="269" max="269" width="5.140625" style="24" customWidth="1"/>
    <col min="270" max="270" width="9.7109375" style="24" customWidth="1"/>
    <col min="271" max="271" width="6.7109375" style="24" bestFit="1" customWidth="1"/>
    <col min="272" max="272" width="4.85546875" style="24" customWidth="1"/>
    <col min="273" max="273" width="5.28515625" style="24" customWidth="1"/>
    <col min="274" max="275" width="4.42578125" style="24" bestFit="1" customWidth="1"/>
    <col min="276" max="276" width="13.28515625" style="24" bestFit="1" customWidth="1"/>
    <col min="277" max="277" width="3.140625" style="24" customWidth="1"/>
    <col min="278" max="278" width="5.42578125" style="24" bestFit="1" customWidth="1"/>
    <col min="279" max="279" width="4.42578125" style="24" bestFit="1" customWidth="1"/>
    <col min="280" max="280" width="6.42578125" style="24" customWidth="1"/>
    <col min="281" max="281" width="5" style="24" bestFit="1" customWidth="1"/>
    <col min="282" max="282" width="4.5703125" style="24" bestFit="1" customWidth="1"/>
    <col min="283" max="283" width="4.42578125" style="24" bestFit="1" customWidth="1"/>
    <col min="284" max="284" width="4" style="24" customWidth="1"/>
    <col min="285" max="512" width="11.42578125" style="24"/>
    <col min="513" max="513" width="14.85546875" style="24" bestFit="1" customWidth="1"/>
    <col min="514" max="514" width="28" style="24" bestFit="1" customWidth="1"/>
    <col min="515" max="515" width="4.42578125" style="24" bestFit="1" customWidth="1"/>
    <col min="516" max="516" width="8" style="24" bestFit="1" customWidth="1"/>
    <col min="517" max="517" width="11.42578125" style="24"/>
    <col min="518" max="518" width="22.85546875" style="24" bestFit="1" customWidth="1"/>
    <col min="519" max="519" width="7" style="24" customWidth="1"/>
    <col min="520" max="520" width="6.28515625" style="24" customWidth="1"/>
    <col min="521" max="521" width="5.7109375" style="24" customWidth="1"/>
    <col min="522" max="522" width="5.7109375" style="24" bestFit="1" customWidth="1"/>
    <col min="523" max="523" width="5.85546875" style="24" bestFit="1" customWidth="1"/>
    <col min="524" max="524" width="9.42578125" style="24" customWidth="1"/>
    <col min="525" max="525" width="5.140625" style="24" customWidth="1"/>
    <col min="526" max="526" width="9.7109375" style="24" customWidth="1"/>
    <col min="527" max="527" width="6.7109375" style="24" bestFit="1" customWidth="1"/>
    <col min="528" max="528" width="4.85546875" style="24" customWidth="1"/>
    <col min="529" max="529" width="5.28515625" style="24" customWidth="1"/>
    <col min="530" max="531" width="4.42578125" style="24" bestFit="1" customWidth="1"/>
    <col min="532" max="532" width="13.28515625" style="24" bestFit="1" customWidth="1"/>
    <col min="533" max="533" width="3.140625" style="24" customWidth="1"/>
    <col min="534" max="534" width="5.42578125" style="24" bestFit="1" customWidth="1"/>
    <col min="535" max="535" width="4.42578125" style="24" bestFit="1" customWidth="1"/>
    <col min="536" max="536" width="6.42578125" style="24" customWidth="1"/>
    <col min="537" max="537" width="5" style="24" bestFit="1" customWidth="1"/>
    <col min="538" max="538" width="4.5703125" style="24" bestFit="1" customWidth="1"/>
    <col min="539" max="539" width="4.42578125" style="24" bestFit="1" customWidth="1"/>
    <col min="540" max="540" width="4" style="24" customWidth="1"/>
    <col min="541" max="768" width="11.42578125" style="24"/>
    <col min="769" max="769" width="14.85546875" style="24" bestFit="1" customWidth="1"/>
    <col min="770" max="770" width="28" style="24" bestFit="1" customWidth="1"/>
    <col min="771" max="771" width="4.42578125" style="24" bestFit="1" customWidth="1"/>
    <col min="772" max="772" width="8" style="24" bestFit="1" customWidth="1"/>
    <col min="773" max="773" width="11.42578125" style="24"/>
    <col min="774" max="774" width="22.85546875" style="24" bestFit="1" customWidth="1"/>
    <col min="775" max="775" width="7" style="24" customWidth="1"/>
    <col min="776" max="776" width="6.28515625" style="24" customWidth="1"/>
    <col min="777" max="777" width="5.7109375" style="24" customWidth="1"/>
    <col min="778" max="778" width="5.7109375" style="24" bestFit="1" customWidth="1"/>
    <col min="779" max="779" width="5.85546875" style="24" bestFit="1" customWidth="1"/>
    <col min="780" max="780" width="9.42578125" style="24" customWidth="1"/>
    <col min="781" max="781" width="5.140625" style="24" customWidth="1"/>
    <col min="782" max="782" width="9.7109375" style="24" customWidth="1"/>
    <col min="783" max="783" width="6.7109375" style="24" bestFit="1" customWidth="1"/>
    <col min="784" max="784" width="4.85546875" style="24" customWidth="1"/>
    <col min="785" max="785" width="5.28515625" style="24" customWidth="1"/>
    <col min="786" max="787" width="4.42578125" style="24" bestFit="1" customWidth="1"/>
    <col min="788" max="788" width="13.28515625" style="24" bestFit="1" customWidth="1"/>
    <col min="789" max="789" width="3.140625" style="24" customWidth="1"/>
    <col min="790" max="790" width="5.42578125" style="24" bestFit="1" customWidth="1"/>
    <col min="791" max="791" width="4.42578125" style="24" bestFit="1" customWidth="1"/>
    <col min="792" max="792" width="6.42578125" style="24" customWidth="1"/>
    <col min="793" max="793" width="5" style="24" bestFit="1" customWidth="1"/>
    <col min="794" max="794" width="4.5703125" style="24" bestFit="1" customWidth="1"/>
    <col min="795" max="795" width="4.42578125" style="24" bestFit="1" customWidth="1"/>
    <col min="796" max="796" width="4" style="24" customWidth="1"/>
    <col min="797" max="1024" width="11.42578125" style="24"/>
    <col min="1025" max="1025" width="14.85546875" style="24" bestFit="1" customWidth="1"/>
    <col min="1026" max="1026" width="28" style="24" bestFit="1" customWidth="1"/>
    <col min="1027" max="1027" width="4.42578125" style="24" bestFit="1" customWidth="1"/>
    <col min="1028" max="1028" width="8" style="24" bestFit="1" customWidth="1"/>
    <col min="1029" max="1029" width="11.42578125" style="24"/>
    <col min="1030" max="1030" width="22.85546875" style="24" bestFit="1" customWidth="1"/>
    <col min="1031" max="1031" width="7" style="24" customWidth="1"/>
    <col min="1032" max="1032" width="6.28515625" style="24" customWidth="1"/>
    <col min="1033" max="1033" width="5.7109375" style="24" customWidth="1"/>
    <col min="1034" max="1034" width="5.7109375" style="24" bestFit="1" customWidth="1"/>
    <col min="1035" max="1035" width="5.85546875" style="24" bestFit="1" customWidth="1"/>
    <col min="1036" max="1036" width="9.42578125" style="24" customWidth="1"/>
    <col min="1037" max="1037" width="5.140625" style="24" customWidth="1"/>
    <col min="1038" max="1038" width="9.7109375" style="24" customWidth="1"/>
    <col min="1039" max="1039" width="6.7109375" style="24" bestFit="1" customWidth="1"/>
    <col min="1040" max="1040" width="4.85546875" style="24" customWidth="1"/>
    <col min="1041" max="1041" width="5.28515625" style="24" customWidth="1"/>
    <col min="1042" max="1043" width="4.42578125" style="24" bestFit="1" customWidth="1"/>
    <col min="1044" max="1044" width="13.28515625" style="24" bestFit="1" customWidth="1"/>
    <col min="1045" max="1045" width="3.140625" style="24" customWidth="1"/>
    <col min="1046" max="1046" width="5.42578125" style="24" bestFit="1" customWidth="1"/>
    <col min="1047" max="1047" width="4.42578125" style="24" bestFit="1" customWidth="1"/>
    <col min="1048" max="1048" width="6.42578125" style="24" customWidth="1"/>
    <col min="1049" max="1049" width="5" style="24" bestFit="1" customWidth="1"/>
    <col min="1050" max="1050" width="4.5703125" style="24" bestFit="1" customWidth="1"/>
    <col min="1051" max="1051" width="4.42578125" style="24" bestFit="1" customWidth="1"/>
    <col min="1052" max="1052" width="4" style="24" customWidth="1"/>
    <col min="1053" max="1280" width="11.42578125" style="24"/>
    <col min="1281" max="1281" width="14.85546875" style="24" bestFit="1" customWidth="1"/>
    <col min="1282" max="1282" width="28" style="24" bestFit="1" customWidth="1"/>
    <col min="1283" max="1283" width="4.42578125" style="24" bestFit="1" customWidth="1"/>
    <col min="1284" max="1284" width="8" style="24" bestFit="1" customWidth="1"/>
    <col min="1285" max="1285" width="11.42578125" style="24"/>
    <col min="1286" max="1286" width="22.85546875" style="24" bestFit="1" customWidth="1"/>
    <col min="1287" max="1287" width="7" style="24" customWidth="1"/>
    <col min="1288" max="1288" width="6.28515625" style="24" customWidth="1"/>
    <col min="1289" max="1289" width="5.7109375" style="24" customWidth="1"/>
    <col min="1290" max="1290" width="5.7109375" style="24" bestFit="1" customWidth="1"/>
    <col min="1291" max="1291" width="5.85546875" style="24" bestFit="1" customWidth="1"/>
    <col min="1292" max="1292" width="9.42578125" style="24" customWidth="1"/>
    <col min="1293" max="1293" width="5.140625" style="24" customWidth="1"/>
    <col min="1294" max="1294" width="9.7109375" style="24" customWidth="1"/>
    <col min="1295" max="1295" width="6.7109375" style="24" bestFit="1" customWidth="1"/>
    <col min="1296" max="1296" width="4.85546875" style="24" customWidth="1"/>
    <col min="1297" max="1297" width="5.28515625" style="24" customWidth="1"/>
    <col min="1298" max="1299" width="4.42578125" style="24" bestFit="1" customWidth="1"/>
    <col min="1300" max="1300" width="13.28515625" style="24" bestFit="1" customWidth="1"/>
    <col min="1301" max="1301" width="3.140625" style="24" customWidth="1"/>
    <col min="1302" max="1302" width="5.42578125" style="24" bestFit="1" customWidth="1"/>
    <col min="1303" max="1303" width="4.42578125" style="24" bestFit="1" customWidth="1"/>
    <col min="1304" max="1304" width="6.42578125" style="24" customWidth="1"/>
    <col min="1305" max="1305" width="5" style="24" bestFit="1" customWidth="1"/>
    <col min="1306" max="1306" width="4.5703125" style="24" bestFit="1" customWidth="1"/>
    <col min="1307" max="1307" width="4.42578125" style="24" bestFit="1" customWidth="1"/>
    <col min="1308" max="1308" width="4" style="24" customWidth="1"/>
    <col min="1309" max="1536" width="11.42578125" style="24"/>
    <col min="1537" max="1537" width="14.85546875" style="24" bestFit="1" customWidth="1"/>
    <col min="1538" max="1538" width="28" style="24" bestFit="1" customWidth="1"/>
    <col min="1539" max="1539" width="4.42578125" style="24" bestFit="1" customWidth="1"/>
    <col min="1540" max="1540" width="8" style="24" bestFit="1" customWidth="1"/>
    <col min="1541" max="1541" width="11.42578125" style="24"/>
    <col min="1542" max="1542" width="22.85546875" style="24" bestFit="1" customWidth="1"/>
    <col min="1543" max="1543" width="7" style="24" customWidth="1"/>
    <col min="1544" max="1544" width="6.28515625" style="24" customWidth="1"/>
    <col min="1545" max="1545" width="5.7109375" style="24" customWidth="1"/>
    <col min="1546" max="1546" width="5.7109375" style="24" bestFit="1" customWidth="1"/>
    <col min="1547" max="1547" width="5.85546875" style="24" bestFit="1" customWidth="1"/>
    <col min="1548" max="1548" width="9.42578125" style="24" customWidth="1"/>
    <col min="1549" max="1549" width="5.140625" style="24" customWidth="1"/>
    <col min="1550" max="1550" width="9.7109375" style="24" customWidth="1"/>
    <col min="1551" max="1551" width="6.7109375" style="24" bestFit="1" customWidth="1"/>
    <col min="1552" max="1552" width="4.85546875" style="24" customWidth="1"/>
    <col min="1553" max="1553" width="5.28515625" style="24" customWidth="1"/>
    <col min="1554" max="1555" width="4.42578125" style="24" bestFit="1" customWidth="1"/>
    <col min="1556" max="1556" width="13.28515625" style="24" bestFit="1" customWidth="1"/>
    <col min="1557" max="1557" width="3.140625" style="24" customWidth="1"/>
    <col min="1558" max="1558" width="5.42578125" style="24" bestFit="1" customWidth="1"/>
    <col min="1559" max="1559" width="4.42578125" style="24" bestFit="1" customWidth="1"/>
    <col min="1560" max="1560" width="6.42578125" style="24" customWidth="1"/>
    <col min="1561" max="1561" width="5" style="24" bestFit="1" customWidth="1"/>
    <col min="1562" max="1562" width="4.5703125" style="24" bestFit="1" customWidth="1"/>
    <col min="1563" max="1563" width="4.42578125" style="24" bestFit="1" customWidth="1"/>
    <col min="1564" max="1564" width="4" style="24" customWidth="1"/>
    <col min="1565" max="1792" width="11.42578125" style="24"/>
    <col min="1793" max="1793" width="14.85546875" style="24" bestFit="1" customWidth="1"/>
    <col min="1794" max="1794" width="28" style="24" bestFit="1" customWidth="1"/>
    <col min="1795" max="1795" width="4.42578125" style="24" bestFit="1" customWidth="1"/>
    <col min="1796" max="1796" width="8" style="24" bestFit="1" customWidth="1"/>
    <col min="1797" max="1797" width="11.42578125" style="24"/>
    <col min="1798" max="1798" width="22.85546875" style="24" bestFit="1" customWidth="1"/>
    <col min="1799" max="1799" width="7" style="24" customWidth="1"/>
    <col min="1800" max="1800" width="6.28515625" style="24" customWidth="1"/>
    <col min="1801" max="1801" width="5.7109375" style="24" customWidth="1"/>
    <col min="1802" max="1802" width="5.7109375" style="24" bestFit="1" customWidth="1"/>
    <col min="1803" max="1803" width="5.85546875" style="24" bestFit="1" customWidth="1"/>
    <col min="1804" max="1804" width="9.42578125" style="24" customWidth="1"/>
    <col min="1805" max="1805" width="5.140625" style="24" customWidth="1"/>
    <col min="1806" max="1806" width="9.7109375" style="24" customWidth="1"/>
    <col min="1807" max="1807" width="6.7109375" style="24" bestFit="1" customWidth="1"/>
    <col min="1808" max="1808" width="4.85546875" style="24" customWidth="1"/>
    <col min="1809" max="1809" width="5.28515625" style="24" customWidth="1"/>
    <col min="1810" max="1811" width="4.42578125" style="24" bestFit="1" customWidth="1"/>
    <col min="1812" max="1812" width="13.28515625" style="24" bestFit="1" customWidth="1"/>
    <col min="1813" max="1813" width="3.140625" style="24" customWidth="1"/>
    <col min="1814" max="1814" width="5.42578125" style="24" bestFit="1" customWidth="1"/>
    <col min="1815" max="1815" width="4.42578125" style="24" bestFit="1" customWidth="1"/>
    <col min="1816" max="1816" width="6.42578125" style="24" customWidth="1"/>
    <col min="1817" max="1817" width="5" style="24" bestFit="1" customWidth="1"/>
    <col min="1818" max="1818" width="4.5703125" style="24" bestFit="1" customWidth="1"/>
    <col min="1819" max="1819" width="4.42578125" style="24" bestFit="1" customWidth="1"/>
    <col min="1820" max="1820" width="4" style="24" customWidth="1"/>
    <col min="1821" max="2048" width="11.42578125" style="24"/>
    <col min="2049" max="2049" width="14.85546875" style="24" bestFit="1" customWidth="1"/>
    <col min="2050" max="2050" width="28" style="24" bestFit="1" customWidth="1"/>
    <col min="2051" max="2051" width="4.42578125" style="24" bestFit="1" customWidth="1"/>
    <col min="2052" max="2052" width="8" style="24" bestFit="1" customWidth="1"/>
    <col min="2053" max="2053" width="11.42578125" style="24"/>
    <col min="2054" max="2054" width="22.85546875" style="24" bestFit="1" customWidth="1"/>
    <col min="2055" max="2055" width="7" style="24" customWidth="1"/>
    <col min="2056" max="2056" width="6.28515625" style="24" customWidth="1"/>
    <col min="2057" max="2057" width="5.7109375" style="24" customWidth="1"/>
    <col min="2058" max="2058" width="5.7109375" style="24" bestFit="1" customWidth="1"/>
    <col min="2059" max="2059" width="5.85546875" style="24" bestFit="1" customWidth="1"/>
    <col min="2060" max="2060" width="9.42578125" style="24" customWidth="1"/>
    <col min="2061" max="2061" width="5.140625" style="24" customWidth="1"/>
    <col min="2062" max="2062" width="9.7109375" style="24" customWidth="1"/>
    <col min="2063" max="2063" width="6.7109375" style="24" bestFit="1" customWidth="1"/>
    <col min="2064" max="2064" width="4.85546875" style="24" customWidth="1"/>
    <col min="2065" max="2065" width="5.28515625" style="24" customWidth="1"/>
    <col min="2066" max="2067" width="4.42578125" style="24" bestFit="1" customWidth="1"/>
    <col min="2068" max="2068" width="13.28515625" style="24" bestFit="1" customWidth="1"/>
    <col min="2069" max="2069" width="3.140625" style="24" customWidth="1"/>
    <col min="2070" max="2070" width="5.42578125" style="24" bestFit="1" customWidth="1"/>
    <col min="2071" max="2071" width="4.42578125" style="24" bestFit="1" customWidth="1"/>
    <col min="2072" max="2072" width="6.42578125" style="24" customWidth="1"/>
    <col min="2073" max="2073" width="5" style="24" bestFit="1" customWidth="1"/>
    <col min="2074" max="2074" width="4.5703125" style="24" bestFit="1" customWidth="1"/>
    <col min="2075" max="2075" width="4.42578125" style="24" bestFit="1" customWidth="1"/>
    <col min="2076" max="2076" width="4" style="24" customWidth="1"/>
    <col min="2077" max="2304" width="11.42578125" style="24"/>
    <col min="2305" max="2305" width="14.85546875" style="24" bestFit="1" customWidth="1"/>
    <col min="2306" max="2306" width="28" style="24" bestFit="1" customWidth="1"/>
    <col min="2307" max="2307" width="4.42578125" style="24" bestFit="1" customWidth="1"/>
    <col min="2308" max="2308" width="8" style="24" bestFit="1" customWidth="1"/>
    <col min="2309" max="2309" width="11.42578125" style="24"/>
    <col min="2310" max="2310" width="22.85546875" style="24" bestFit="1" customWidth="1"/>
    <col min="2311" max="2311" width="7" style="24" customWidth="1"/>
    <col min="2312" max="2312" width="6.28515625" style="24" customWidth="1"/>
    <col min="2313" max="2313" width="5.7109375" style="24" customWidth="1"/>
    <col min="2314" max="2314" width="5.7109375" style="24" bestFit="1" customWidth="1"/>
    <col min="2315" max="2315" width="5.85546875" style="24" bestFit="1" customWidth="1"/>
    <col min="2316" max="2316" width="9.42578125" style="24" customWidth="1"/>
    <col min="2317" max="2317" width="5.140625" style="24" customWidth="1"/>
    <col min="2318" max="2318" width="9.7109375" style="24" customWidth="1"/>
    <col min="2319" max="2319" width="6.7109375" style="24" bestFit="1" customWidth="1"/>
    <col min="2320" max="2320" width="4.85546875" style="24" customWidth="1"/>
    <col min="2321" max="2321" width="5.28515625" style="24" customWidth="1"/>
    <col min="2322" max="2323" width="4.42578125" style="24" bestFit="1" customWidth="1"/>
    <col min="2324" max="2324" width="13.28515625" style="24" bestFit="1" customWidth="1"/>
    <col min="2325" max="2325" width="3.140625" style="24" customWidth="1"/>
    <col min="2326" max="2326" width="5.42578125" style="24" bestFit="1" customWidth="1"/>
    <col min="2327" max="2327" width="4.42578125" style="24" bestFit="1" customWidth="1"/>
    <col min="2328" max="2328" width="6.42578125" style="24" customWidth="1"/>
    <col min="2329" max="2329" width="5" style="24" bestFit="1" customWidth="1"/>
    <col min="2330" max="2330" width="4.5703125" style="24" bestFit="1" customWidth="1"/>
    <col min="2331" max="2331" width="4.42578125" style="24" bestFit="1" customWidth="1"/>
    <col min="2332" max="2332" width="4" style="24" customWidth="1"/>
    <col min="2333" max="2560" width="11.42578125" style="24"/>
    <col min="2561" max="2561" width="14.85546875" style="24" bestFit="1" customWidth="1"/>
    <col min="2562" max="2562" width="28" style="24" bestFit="1" customWidth="1"/>
    <col min="2563" max="2563" width="4.42578125" style="24" bestFit="1" customWidth="1"/>
    <col min="2564" max="2564" width="8" style="24" bestFit="1" customWidth="1"/>
    <col min="2565" max="2565" width="11.42578125" style="24"/>
    <col min="2566" max="2566" width="22.85546875" style="24" bestFit="1" customWidth="1"/>
    <col min="2567" max="2567" width="7" style="24" customWidth="1"/>
    <col min="2568" max="2568" width="6.28515625" style="24" customWidth="1"/>
    <col min="2569" max="2569" width="5.7109375" style="24" customWidth="1"/>
    <col min="2570" max="2570" width="5.7109375" style="24" bestFit="1" customWidth="1"/>
    <col min="2571" max="2571" width="5.85546875" style="24" bestFit="1" customWidth="1"/>
    <col min="2572" max="2572" width="9.42578125" style="24" customWidth="1"/>
    <col min="2573" max="2573" width="5.140625" style="24" customWidth="1"/>
    <col min="2574" max="2574" width="9.7109375" style="24" customWidth="1"/>
    <col min="2575" max="2575" width="6.7109375" style="24" bestFit="1" customWidth="1"/>
    <col min="2576" max="2576" width="4.85546875" style="24" customWidth="1"/>
    <col min="2577" max="2577" width="5.28515625" style="24" customWidth="1"/>
    <col min="2578" max="2579" width="4.42578125" style="24" bestFit="1" customWidth="1"/>
    <col min="2580" max="2580" width="13.28515625" style="24" bestFit="1" customWidth="1"/>
    <col min="2581" max="2581" width="3.140625" style="24" customWidth="1"/>
    <col min="2582" max="2582" width="5.42578125" style="24" bestFit="1" customWidth="1"/>
    <col min="2583" max="2583" width="4.42578125" style="24" bestFit="1" customWidth="1"/>
    <col min="2584" max="2584" width="6.42578125" style="24" customWidth="1"/>
    <col min="2585" max="2585" width="5" style="24" bestFit="1" customWidth="1"/>
    <col min="2586" max="2586" width="4.5703125" style="24" bestFit="1" customWidth="1"/>
    <col min="2587" max="2587" width="4.42578125" style="24" bestFit="1" customWidth="1"/>
    <col min="2588" max="2588" width="4" style="24" customWidth="1"/>
    <col min="2589" max="2816" width="11.42578125" style="24"/>
    <col min="2817" max="2817" width="14.85546875" style="24" bestFit="1" customWidth="1"/>
    <col min="2818" max="2818" width="28" style="24" bestFit="1" customWidth="1"/>
    <col min="2819" max="2819" width="4.42578125" style="24" bestFit="1" customWidth="1"/>
    <col min="2820" max="2820" width="8" style="24" bestFit="1" customWidth="1"/>
    <col min="2821" max="2821" width="11.42578125" style="24"/>
    <col min="2822" max="2822" width="22.85546875" style="24" bestFit="1" customWidth="1"/>
    <col min="2823" max="2823" width="7" style="24" customWidth="1"/>
    <col min="2824" max="2824" width="6.28515625" style="24" customWidth="1"/>
    <col min="2825" max="2825" width="5.7109375" style="24" customWidth="1"/>
    <col min="2826" max="2826" width="5.7109375" style="24" bestFit="1" customWidth="1"/>
    <col min="2827" max="2827" width="5.85546875" style="24" bestFit="1" customWidth="1"/>
    <col min="2828" max="2828" width="9.42578125" style="24" customWidth="1"/>
    <col min="2829" max="2829" width="5.140625" style="24" customWidth="1"/>
    <col min="2830" max="2830" width="9.7109375" style="24" customWidth="1"/>
    <col min="2831" max="2831" width="6.7109375" style="24" bestFit="1" customWidth="1"/>
    <col min="2832" max="2832" width="4.85546875" style="24" customWidth="1"/>
    <col min="2833" max="2833" width="5.28515625" style="24" customWidth="1"/>
    <col min="2834" max="2835" width="4.42578125" style="24" bestFit="1" customWidth="1"/>
    <col min="2836" max="2836" width="13.28515625" style="24" bestFit="1" customWidth="1"/>
    <col min="2837" max="2837" width="3.140625" style="24" customWidth="1"/>
    <col min="2838" max="2838" width="5.42578125" style="24" bestFit="1" customWidth="1"/>
    <col min="2839" max="2839" width="4.42578125" style="24" bestFit="1" customWidth="1"/>
    <col min="2840" max="2840" width="6.42578125" style="24" customWidth="1"/>
    <col min="2841" max="2841" width="5" style="24" bestFit="1" customWidth="1"/>
    <col min="2842" max="2842" width="4.5703125" style="24" bestFit="1" customWidth="1"/>
    <col min="2843" max="2843" width="4.42578125" style="24" bestFit="1" customWidth="1"/>
    <col min="2844" max="2844" width="4" style="24" customWidth="1"/>
    <col min="2845" max="3072" width="11.42578125" style="24"/>
    <col min="3073" max="3073" width="14.85546875" style="24" bestFit="1" customWidth="1"/>
    <col min="3074" max="3074" width="28" style="24" bestFit="1" customWidth="1"/>
    <col min="3075" max="3075" width="4.42578125" style="24" bestFit="1" customWidth="1"/>
    <col min="3076" max="3076" width="8" style="24" bestFit="1" customWidth="1"/>
    <col min="3077" max="3077" width="11.42578125" style="24"/>
    <col min="3078" max="3078" width="22.85546875" style="24" bestFit="1" customWidth="1"/>
    <col min="3079" max="3079" width="7" style="24" customWidth="1"/>
    <col min="3080" max="3080" width="6.28515625" style="24" customWidth="1"/>
    <col min="3081" max="3081" width="5.7109375" style="24" customWidth="1"/>
    <col min="3082" max="3082" width="5.7109375" style="24" bestFit="1" customWidth="1"/>
    <col min="3083" max="3083" width="5.85546875" style="24" bestFit="1" customWidth="1"/>
    <col min="3084" max="3084" width="9.42578125" style="24" customWidth="1"/>
    <col min="3085" max="3085" width="5.140625" style="24" customWidth="1"/>
    <col min="3086" max="3086" width="9.7109375" style="24" customWidth="1"/>
    <col min="3087" max="3087" width="6.7109375" style="24" bestFit="1" customWidth="1"/>
    <col min="3088" max="3088" width="4.85546875" style="24" customWidth="1"/>
    <col min="3089" max="3089" width="5.28515625" style="24" customWidth="1"/>
    <col min="3090" max="3091" width="4.42578125" style="24" bestFit="1" customWidth="1"/>
    <col min="3092" max="3092" width="13.28515625" style="24" bestFit="1" customWidth="1"/>
    <col min="3093" max="3093" width="3.140625" style="24" customWidth="1"/>
    <col min="3094" max="3094" width="5.42578125" style="24" bestFit="1" customWidth="1"/>
    <col min="3095" max="3095" width="4.42578125" style="24" bestFit="1" customWidth="1"/>
    <col min="3096" max="3096" width="6.42578125" style="24" customWidth="1"/>
    <col min="3097" max="3097" width="5" style="24" bestFit="1" customWidth="1"/>
    <col min="3098" max="3098" width="4.5703125" style="24" bestFit="1" customWidth="1"/>
    <col min="3099" max="3099" width="4.42578125" style="24" bestFit="1" customWidth="1"/>
    <col min="3100" max="3100" width="4" style="24" customWidth="1"/>
    <col min="3101" max="3328" width="11.42578125" style="24"/>
    <col min="3329" max="3329" width="14.85546875" style="24" bestFit="1" customWidth="1"/>
    <col min="3330" max="3330" width="28" style="24" bestFit="1" customWidth="1"/>
    <col min="3331" max="3331" width="4.42578125" style="24" bestFit="1" customWidth="1"/>
    <col min="3332" max="3332" width="8" style="24" bestFit="1" customWidth="1"/>
    <col min="3333" max="3333" width="11.42578125" style="24"/>
    <col min="3334" max="3334" width="22.85546875" style="24" bestFit="1" customWidth="1"/>
    <col min="3335" max="3335" width="7" style="24" customWidth="1"/>
    <col min="3336" max="3336" width="6.28515625" style="24" customWidth="1"/>
    <col min="3337" max="3337" width="5.7109375" style="24" customWidth="1"/>
    <col min="3338" max="3338" width="5.7109375" style="24" bestFit="1" customWidth="1"/>
    <col min="3339" max="3339" width="5.85546875" style="24" bestFit="1" customWidth="1"/>
    <col min="3340" max="3340" width="9.42578125" style="24" customWidth="1"/>
    <col min="3341" max="3341" width="5.140625" style="24" customWidth="1"/>
    <col min="3342" max="3342" width="9.7109375" style="24" customWidth="1"/>
    <col min="3343" max="3343" width="6.7109375" style="24" bestFit="1" customWidth="1"/>
    <col min="3344" max="3344" width="4.85546875" style="24" customWidth="1"/>
    <col min="3345" max="3345" width="5.28515625" style="24" customWidth="1"/>
    <col min="3346" max="3347" width="4.42578125" style="24" bestFit="1" customWidth="1"/>
    <col min="3348" max="3348" width="13.28515625" style="24" bestFit="1" customWidth="1"/>
    <col min="3349" max="3349" width="3.140625" style="24" customWidth="1"/>
    <col min="3350" max="3350" width="5.42578125" style="24" bestFit="1" customWidth="1"/>
    <col min="3351" max="3351" width="4.42578125" style="24" bestFit="1" customWidth="1"/>
    <col min="3352" max="3352" width="6.42578125" style="24" customWidth="1"/>
    <col min="3353" max="3353" width="5" style="24" bestFit="1" customWidth="1"/>
    <col min="3354" max="3354" width="4.5703125" style="24" bestFit="1" customWidth="1"/>
    <col min="3355" max="3355" width="4.42578125" style="24" bestFit="1" customWidth="1"/>
    <col min="3356" max="3356" width="4" style="24" customWidth="1"/>
    <col min="3357" max="3584" width="11.42578125" style="24"/>
    <col min="3585" max="3585" width="14.85546875" style="24" bestFit="1" customWidth="1"/>
    <col min="3586" max="3586" width="28" style="24" bestFit="1" customWidth="1"/>
    <col min="3587" max="3587" width="4.42578125" style="24" bestFit="1" customWidth="1"/>
    <col min="3588" max="3588" width="8" style="24" bestFit="1" customWidth="1"/>
    <col min="3589" max="3589" width="11.42578125" style="24"/>
    <col min="3590" max="3590" width="22.85546875" style="24" bestFit="1" customWidth="1"/>
    <col min="3591" max="3591" width="7" style="24" customWidth="1"/>
    <col min="3592" max="3592" width="6.28515625" style="24" customWidth="1"/>
    <col min="3593" max="3593" width="5.7109375" style="24" customWidth="1"/>
    <col min="3594" max="3594" width="5.7109375" style="24" bestFit="1" customWidth="1"/>
    <col min="3595" max="3595" width="5.85546875" style="24" bestFit="1" customWidth="1"/>
    <col min="3596" max="3596" width="9.42578125" style="24" customWidth="1"/>
    <col min="3597" max="3597" width="5.140625" style="24" customWidth="1"/>
    <col min="3598" max="3598" width="9.7109375" style="24" customWidth="1"/>
    <col min="3599" max="3599" width="6.7109375" style="24" bestFit="1" customWidth="1"/>
    <col min="3600" max="3600" width="4.85546875" style="24" customWidth="1"/>
    <col min="3601" max="3601" width="5.28515625" style="24" customWidth="1"/>
    <col min="3602" max="3603" width="4.42578125" style="24" bestFit="1" customWidth="1"/>
    <col min="3604" max="3604" width="13.28515625" style="24" bestFit="1" customWidth="1"/>
    <col min="3605" max="3605" width="3.140625" style="24" customWidth="1"/>
    <col min="3606" max="3606" width="5.42578125" style="24" bestFit="1" customWidth="1"/>
    <col min="3607" max="3607" width="4.42578125" style="24" bestFit="1" customWidth="1"/>
    <col min="3608" max="3608" width="6.42578125" style="24" customWidth="1"/>
    <col min="3609" max="3609" width="5" style="24" bestFit="1" customWidth="1"/>
    <col min="3610" max="3610" width="4.5703125" style="24" bestFit="1" customWidth="1"/>
    <col min="3611" max="3611" width="4.42578125" style="24" bestFit="1" customWidth="1"/>
    <col min="3612" max="3612" width="4" style="24" customWidth="1"/>
    <col min="3613" max="3840" width="11.42578125" style="24"/>
    <col min="3841" max="3841" width="14.85546875" style="24" bestFit="1" customWidth="1"/>
    <col min="3842" max="3842" width="28" style="24" bestFit="1" customWidth="1"/>
    <col min="3843" max="3843" width="4.42578125" style="24" bestFit="1" customWidth="1"/>
    <col min="3844" max="3844" width="8" style="24" bestFit="1" customWidth="1"/>
    <col min="3845" max="3845" width="11.42578125" style="24"/>
    <col min="3846" max="3846" width="22.85546875" style="24" bestFit="1" customWidth="1"/>
    <col min="3847" max="3847" width="7" style="24" customWidth="1"/>
    <col min="3848" max="3848" width="6.28515625" style="24" customWidth="1"/>
    <col min="3849" max="3849" width="5.7109375" style="24" customWidth="1"/>
    <col min="3850" max="3850" width="5.7109375" style="24" bestFit="1" customWidth="1"/>
    <col min="3851" max="3851" width="5.85546875" style="24" bestFit="1" customWidth="1"/>
    <col min="3852" max="3852" width="9.42578125" style="24" customWidth="1"/>
    <col min="3853" max="3853" width="5.140625" style="24" customWidth="1"/>
    <col min="3854" max="3854" width="9.7109375" style="24" customWidth="1"/>
    <col min="3855" max="3855" width="6.7109375" style="24" bestFit="1" customWidth="1"/>
    <col min="3856" max="3856" width="4.85546875" style="24" customWidth="1"/>
    <col min="3857" max="3857" width="5.28515625" style="24" customWidth="1"/>
    <col min="3858" max="3859" width="4.42578125" style="24" bestFit="1" customWidth="1"/>
    <col min="3860" max="3860" width="13.28515625" style="24" bestFit="1" customWidth="1"/>
    <col min="3861" max="3861" width="3.140625" style="24" customWidth="1"/>
    <col min="3862" max="3862" width="5.42578125" style="24" bestFit="1" customWidth="1"/>
    <col min="3863" max="3863" width="4.42578125" style="24" bestFit="1" customWidth="1"/>
    <col min="3864" max="3864" width="6.42578125" style="24" customWidth="1"/>
    <col min="3865" max="3865" width="5" style="24" bestFit="1" customWidth="1"/>
    <col min="3866" max="3866" width="4.5703125" style="24" bestFit="1" customWidth="1"/>
    <col min="3867" max="3867" width="4.42578125" style="24" bestFit="1" customWidth="1"/>
    <col min="3868" max="3868" width="4" style="24" customWidth="1"/>
    <col min="3869" max="4096" width="11.42578125" style="24"/>
    <col min="4097" max="4097" width="14.85546875" style="24" bestFit="1" customWidth="1"/>
    <col min="4098" max="4098" width="28" style="24" bestFit="1" customWidth="1"/>
    <col min="4099" max="4099" width="4.42578125" style="24" bestFit="1" customWidth="1"/>
    <col min="4100" max="4100" width="8" style="24" bestFit="1" customWidth="1"/>
    <col min="4101" max="4101" width="11.42578125" style="24"/>
    <col min="4102" max="4102" width="22.85546875" style="24" bestFit="1" customWidth="1"/>
    <col min="4103" max="4103" width="7" style="24" customWidth="1"/>
    <col min="4104" max="4104" width="6.28515625" style="24" customWidth="1"/>
    <col min="4105" max="4105" width="5.7109375" style="24" customWidth="1"/>
    <col min="4106" max="4106" width="5.7109375" style="24" bestFit="1" customWidth="1"/>
    <col min="4107" max="4107" width="5.85546875" style="24" bestFit="1" customWidth="1"/>
    <col min="4108" max="4108" width="9.42578125" style="24" customWidth="1"/>
    <col min="4109" max="4109" width="5.140625" style="24" customWidth="1"/>
    <col min="4110" max="4110" width="9.7109375" style="24" customWidth="1"/>
    <col min="4111" max="4111" width="6.7109375" style="24" bestFit="1" customWidth="1"/>
    <col min="4112" max="4112" width="4.85546875" style="24" customWidth="1"/>
    <col min="4113" max="4113" width="5.28515625" style="24" customWidth="1"/>
    <col min="4114" max="4115" width="4.42578125" style="24" bestFit="1" customWidth="1"/>
    <col min="4116" max="4116" width="13.28515625" style="24" bestFit="1" customWidth="1"/>
    <col min="4117" max="4117" width="3.140625" style="24" customWidth="1"/>
    <col min="4118" max="4118" width="5.42578125" style="24" bestFit="1" customWidth="1"/>
    <col min="4119" max="4119" width="4.42578125" style="24" bestFit="1" customWidth="1"/>
    <col min="4120" max="4120" width="6.42578125" style="24" customWidth="1"/>
    <col min="4121" max="4121" width="5" style="24" bestFit="1" customWidth="1"/>
    <col min="4122" max="4122" width="4.5703125" style="24" bestFit="1" customWidth="1"/>
    <col min="4123" max="4123" width="4.42578125" style="24" bestFit="1" customWidth="1"/>
    <col min="4124" max="4124" width="4" style="24" customWidth="1"/>
    <col min="4125" max="4352" width="11.42578125" style="24"/>
    <col min="4353" max="4353" width="14.85546875" style="24" bestFit="1" customWidth="1"/>
    <col min="4354" max="4354" width="28" style="24" bestFit="1" customWidth="1"/>
    <col min="4355" max="4355" width="4.42578125" style="24" bestFit="1" customWidth="1"/>
    <col min="4356" max="4356" width="8" style="24" bestFit="1" customWidth="1"/>
    <col min="4357" max="4357" width="11.42578125" style="24"/>
    <col min="4358" max="4358" width="22.85546875" style="24" bestFit="1" customWidth="1"/>
    <col min="4359" max="4359" width="7" style="24" customWidth="1"/>
    <col min="4360" max="4360" width="6.28515625" style="24" customWidth="1"/>
    <col min="4361" max="4361" width="5.7109375" style="24" customWidth="1"/>
    <col min="4362" max="4362" width="5.7109375" style="24" bestFit="1" customWidth="1"/>
    <col min="4363" max="4363" width="5.85546875" style="24" bestFit="1" customWidth="1"/>
    <col min="4364" max="4364" width="9.42578125" style="24" customWidth="1"/>
    <col min="4365" max="4365" width="5.140625" style="24" customWidth="1"/>
    <col min="4366" max="4366" width="9.7109375" style="24" customWidth="1"/>
    <col min="4367" max="4367" width="6.7109375" style="24" bestFit="1" customWidth="1"/>
    <col min="4368" max="4368" width="4.85546875" style="24" customWidth="1"/>
    <col min="4369" max="4369" width="5.28515625" style="24" customWidth="1"/>
    <col min="4370" max="4371" width="4.42578125" style="24" bestFit="1" customWidth="1"/>
    <col min="4372" max="4372" width="13.28515625" style="24" bestFit="1" customWidth="1"/>
    <col min="4373" max="4373" width="3.140625" style="24" customWidth="1"/>
    <col min="4374" max="4374" width="5.42578125" style="24" bestFit="1" customWidth="1"/>
    <col min="4375" max="4375" width="4.42578125" style="24" bestFit="1" customWidth="1"/>
    <col min="4376" max="4376" width="6.42578125" style="24" customWidth="1"/>
    <col min="4377" max="4377" width="5" style="24" bestFit="1" customWidth="1"/>
    <col min="4378" max="4378" width="4.5703125" style="24" bestFit="1" customWidth="1"/>
    <col min="4379" max="4379" width="4.42578125" style="24" bestFit="1" customWidth="1"/>
    <col min="4380" max="4380" width="4" style="24" customWidth="1"/>
    <col min="4381" max="4608" width="11.42578125" style="24"/>
    <col min="4609" max="4609" width="14.85546875" style="24" bestFit="1" customWidth="1"/>
    <col min="4610" max="4610" width="28" style="24" bestFit="1" customWidth="1"/>
    <col min="4611" max="4611" width="4.42578125" style="24" bestFit="1" customWidth="1"/>
    <col min="4612" max="4612" width="8" style="24" bestFit="1" customWidth="1"/>
    <col min="4613" max="4613" width="11.42578125" style="24"/>
    <col min="4614" max="4614" width="22.85546875" style="24" bestFit="1" customWidth="1"/>
    <col min="4615" max="4615" width="7" style="24" customWidth="1"/>
    <col min="4616" max="4616" width="6.28515625" style="24" customWidth="1"/>
    <col min="4617" max="4617" width="5.7109375" style="24" customWidth="1"/>
    <col min="4618" max="4618" width="5.7109375" style="24" bestFit="1" customWidth="1"/>
    <col min="4619" max="4619" width="5.85546875" style="24" bestFit="1" customWidth="1"/>
    <col min="4620" max="4620" width="9.42578125" style="24" customWidth="1"/>
    <col min="4621" max="4621" width="5.140625" style="24" customWidth="1"/>
    <col min="4622" max="4622" width="9.7109375" style="24" customWidth="1"/>
    <col min="4623" max="4623" width="6.7109375" style="24" bestFit="1" customWidth="1"/>
    <col min="4624" max="4624" width="4.85546875" style="24" customWidth="1"/>
    <col min="4625" max="4625" width="5.28515625" style="24" customWidth="1"/>
    <col min="4626" max="4627" width="4.42578125" style="24" bestFit="1" customWidth="1"/>
    <col min="4628" max="4628" width="13.28515625" style="24" bestFit="1" customWidth="1"/>
    <col min="4629" max="4629" width="3.140625" style="24" customWidth="1"/>
    <col min="4630" max="4630" width="5.42578125" style="24" bestFit="1" customWidth="1"/>
    <col min="4631" max="4631" width="4.42578125" style="24" bestFit="1" customWidth="1"/>
    <col min="4632" max="4632" width="6.42578125" style="24" customWidth="1"/>
    <col min="4633" max="4633" width="5" style="24" bestFit="1" customWidth="1"/>
    <col min="4634" max="4634" width="4.5703125" style="24" bestFit="1" customWidth="1"/>
    <col min="4635" max="4635" width="4.42578125" style="24" bestFit="1" customWidth="1"/>
    <col min="4636" max="4636" width="4" style="24" customWidth="1"/>
    <col min="4637" max="4864" width="11.42578125" style="24"/>
    <col min="4865" max="4865" width="14.85546875" style="24" bestFit="1" customWidth="1"/>
    <col min="4866" max="4866" width="28" style="24" bestFit="1" customWidth="1"/>
    <col min="4867" max="4867" width="4.42578125" style="24" bestFit="1" customWidth="1"/>
    <col min="4868" max="4868" width="8" style="24" bestFit="1" customWidth="1"/>
    <col min="4869" max="4869" width="11.42578125" style="24"/>
    <col min="4870" max="4870" width="22.85546875" style="24" bestFit="1" customWidth="1"/>
    <col min="4871" max="4871" width="7" style="24" customWidth="1"/>
    <col min="4872" max="4872" width="6.28515625" style="24" customWidth="1"/>
    <col min="4873" max="4873" width="5.7109375" style="24" customWidth="1"/>
    <col min="4874" max="4874" width="5.7109375" style="24" bestFit="1" customWidth="1"/>
    <col min="4875" max="4875" width="5.85546875" style="24" bestFit="1" customWidth="1"/>
    <col min="4876" max="4876" width="9.42578125" style="24" customWidth="1"/>
    <col min="4877" max="4877" width="5.140625" style="24" customWidth="1"/>
    <col min="4878" max="4878" width="9.7109375" style="24" customWidth="1"/>
    <col min="4879" max="4879" width="6.7109375" style="24" bestFit="1" customWidth="1"/>
    <col min="4880" max="4880" width="4.85546875" style="24" customWidth="1"/>
    <col min="4881" max="4881" width="5.28515625" style="24" customWidth="1"/>
    <col min="4882" max="4883" width="4.42578125" style="24" bestFit="1" customWidth="1"/>
    <col min="4884" max="4884" width="13.28515625" style="24" bestFit="1" customWidth="1"/>
    <col min="4885" max="4885" width="3.140625" style="24" customWidth="1"/>
    <col min="4886" max="4886" width="5.42578125" style="24" bestFit="1" customWidth="1"/>
    <col min="4887" max="4887" width="4.42578125" style="24" bestFit="1" customWidth="1"/>
    <col min="4888" max="4888" width="6.42578125" style="24" customWidth="1"/>
    <col min="4889" max="4889" width="5" style="24" bestFit="1" customWidth="1"/>
    <col min="4890" max="4890" width="4.5703125" style="24" bestFit="1" customWidth="1"/>
    <col min="4891" max="4891" width="4.42578125" style="24" bestFit="1" customWidth="1"/>
    <col min="4892" max="4892" width="4" style="24" customWidth="1"/>
    <col min="4893" max="5120" width="11.42578125" style="24"/>
    <col min="5121" max="5121" width="14.85546875" style="24" bestFit="1" customWidth="1"/>
    <col min="5122" max="5122" width="28" style="24" bestFit="1" customWidth="1"/>
    <col min="5123" max="5123" width="4.42578125" style="24" bestFit="1" customWidth="1"/>
    <col min="5124" max="5124" width="8" style="24" bestFit="1" customWidth="1"/>
    <col min="5125" max="5125" width="11.42578125" style="24"/>
    <col min="5126" max="5126" width="22.85546875" style="24" bestFit="1" customWidth="1"/>
    <col min="5127" max="5127" width="7" style="24" customWidth="1"/>
    <col min="5128" max="5128" width="6.28515625" style="24" customWidth="1"/>
    <col min="5129" max="5129" width="5.7109375" style="24" customWidth="1"/>
    <col min="5130" max="5130" width="5.7109375" style="24" bestFit="1" customWidth="1"/>
    <col min="5131" max="5131" width="5.85546875" style="24" bestFit="1" customWidth="1"/>
    <col min="5132" max="5132" width="9.42578125" style="24" customWidth="1"/>
    <col min="5133" max="5133" width="5.140625" style="24" customWidth="1"/>
    <col min="5134" max="5134" width="9.7109375" style="24" customWidth="1"/>
    <col min="5135" max="5135" width="6.7109375" style="24" bestFit="1" customWidth="1"/>
    <col min="5136" max="5136" width="4.85546875" style="24" customWidth="1"/>
    <col min="5137" max="5137" width="5.28515625" style="24" customWidth="1"/>
    <col min="5138" max="5139" width="4.42578125" style="24" bestFit="1" customWidth="1"/>
    <col min="5140" max="5140" width="13.28515625" style="24" bestFit="1" customWidth="1"/>
    <col min="5141" max="5141" width="3.140625" style="24" customWidth="1"/>
    <col min="5142" max="5142" width="5.42578125" style="24" bestFit="1" customWidth="1"/>
    <col min="5143" max="5143" width="4.42578125" style="24" bestFit="1" customWidth="1"/>
    <col min="5144" max="5144" width="6.42578125" style="24" customWidth="1"/>
    <col min="5145" max="5145" width="5" style="24" bestFit="1" customWidth="1"/>
    <col min="5146" max="5146" width="4.5703125" style="24" bestFit="1" customWidth="1"/>
    <col min="5147" max="5147" width="4.42578125" style="24" bestFit="1" customWidth="1"/>
    <col min="5148" max="5148" width="4" style="24" customWidth="1"/>
    <col min="5149" max="5376" width="11.42578125" style="24"/>
    <col min="5377" max="5377" width="14.85546875" style="24" bestFit="1" customWidth="1"/>
    <col min="5378" max="5378" width="28" style="24" bestFit="1" customWidth="1"/>
    <col min="5379" max="5379" width="4.42578125" style="24" bestFit="1" customWidth="1"/>
    <col min="5380" max="5380" width="8" style="24" bestFit="1" customWidth="1"/>
    <col min="5381" max="5381" width="11.42578125" style="24"/>
    <col min="5382" max="5382" width="22.85546875" style="24" bestFit="1" customWidth="1"/>
    <col min="5383" max="5383" width="7" style="24" customWidth="1"/>
    <col min="5384" max="5384" width="6.28515625" style="24" customWidth="1"/>
    <col min="5385" max="5385" width="5.7109375" style="24" customWidth="1"/>
    <col min="5386" max="5386" width="5.7109375" style="24" bestFit="1" customWidth="1"/>
    <col min="5387" max="5387" width="5.85546875" style="24" bestFit="1" customWidth="1"/>
    <col min="5388" max="5388" width="9.42578125" style="24" customWidth="1"/>
    <col min="5389" max="5389" width="5.140625" style="24" customWidth="1"/>
    <col min="5390" max="5390" width="9.7109375" style="24" customWidth="1"/>
    <col min="5391" max="5391" width="6.7109375" style="24" bestFit="1" customWidth="1"/>
    <col min="5392" max="5392" width="4.85546875" style="24" customWidth="1"/>
    <col min="5393" max="5393" width="5.28515625" style="24" customWidth="1"/>
    <col min="5394" max="5395" width="4.42578125" style="24" bestFit="1" customWidth="1"/>
    <col min="5396" max="5396" width="13.28515625" style="24" bestFit="1" customWidth="1"/>
    <col min="5397" max="5397" width="3.140625" style="24" customWidth="1"/>
    <col min="5398" max="5398" width="5.42578125" style="24" bestFit="1" customWidth="1"/>
    <col min="5399" max="5399" width="4.42578125" style="24" bestFit="1" customWidth="1"/>
    <col min="5400" max="5400" width="6.42578125" style="24" customWidth="1"/>
    <col min="5401" max="5401" width="5" style="24" bestFit="1" customWidth="1"/>
    <col min="5402" max="5402" width="4.5703125" style="24" bestFit="1" customWidth="1"/>
    <col min="5403" max="5403" width="4.42578125" style="24" bestFit="1" customWidth="1"/>
    <col min="5404" max="5404" width="4" style="24" customWidth="1"/>
    <col min="5405" max="5632" width="11.42578125" style="24"/>
    <col min="5633" max="5633" width="14.85546875" style="24" bestFit="1" customWidth="1"/>
    <col min="5634" max="5634" width="28" style="24" bestFit="1" customWidth="1"/>
    <col min="5635" max="5635" width="4.42578125" style="24" bestFit="1" customWidth="1"/>
    <col min="5636" max="5636" width="8" style="24" bestFit="1" customWidth="1"/>
    <col min="5637" max="5637" width="11.42578125" style="24"/>
    <col min="5638" max="5638" width="22.85546875" style="24" bestFit="1" customWidth="1"/>
    <col min="5639" max="5639" width="7" style="24" customWidth="1"/>
    <col min="5640" max="5640" width="6.28515625" style="24" customWidth="1"/>
    <col min="5641" max="5641" width="5.7109375" style="24" customWidth="1"/>
    <col min="5642" max="5642" width="5.7109375" style="24" bestFit="1" customWidth="1"/>
    <col min="5643" max="5643" width="5.85546875" style="24" bestFit="1" customWidth="1"/>
    <col min="5644" max="5644" width="9.42578125" style="24" customWidth="1"/>
    <col min="5645" max="5645" width="5.140625" style="24" customWidth="1"/>
    <col min="5646" max="5646" width="9.7109375" style="24" customWidth="1"/>
    <col min="5647" max="5647" width="6.7109375" style="24" bestFit="1" customWidth="1"/>
    <col min="5648" max="5648" width="4.85546875" style="24" customWidth="1"/>
    <col min="5649" max="5649" width="5.28515625" style="24" customWidth="1"/>
    <col min="5650" max="5651" width="4.42578125" style="24" bestFit="1" customWidth="1"/>
    <col min="5652" max="5652" width="13.28515625" style="24" bestFit="1" customWidth="1"/>
    <col min="5653" max="5653" width="3.140625" style="24" customWidth="1"/>
    <col min="5654" max="5654" width="5.42578125" style="24" bestFit="1" customWidth="1"/>
    <col min="5655" max="5655" width="4.42578125" style="24" bestFit="1" customWidth="1"/>
    <col min="5656" max="5656" width="6.42578125" style="24" customWidth="1"/>
    <col min="5657" max="5657" width="5" style="24" bestFit="1" customWidth="1"/>
    <col min="5658" max="5658" width="4.5703125" style="24" bestFit="1" customWidth="1"/>
    <col min="5659" max="5659" width="4.42578125" style="24" bestFit="1" customWidth="1"/>
    <col min="5660" max="5660" width="4" style="24" customWidth="1"/>
    <col min="5661" max="5888" width="11.42578125" style="24"/>
    <col min="5889" max="5889" width="14.85546875" style="24" bestFit="1" customWidth="1"/>
    <col min="5890" max="5890" width="28" style="24" bestFit="1" customWidth="1"/>
    <col min="5891" max="5891" width="4.42578125" style="24" bestFit="1" customWidth="1"/>
    <col min="5892" max="5892" width="8" style="24" bestFit="1" customWidth="1"/>
    <col min="5893" max="5893" width="11.42578125" style="24"/>
    <col min="5894" max="5894" width="22.85546875" style="24" bestFit="1" customWidth="1"/>
    <col min="5895" max="5895" width="7" style="24" customWidth="1"/>
    <col min="5896" max="5896" width="6.28515625" style="24" customWidth="1"/>
    <col min="5897" max="5897" width="5.7109375" style="24" customWidth="1"/>
    <col min="5898" max="5898" width="5.7109375" style="24" bestFit="1" customWidth="1"/>
    <col min="5899" max="5899" width="5.85546875" style="24" bestFit="1" customWidth="1"/>
    <col min="5900" max="5900" width="9.42578125" style="24" customWidth="1"/>
    <col min="5901" max="5901" width="5.140625" style="24" customWidth="1"/>
    <col min="5902" max="5902" width="9.7109375" style="24" customWidth="1"/>
    <col min="5903" max="5903" width="6.7109375" style="24" bestFit="1" customWidth="1"/>
    <col min="5904" max="5904" width="4.85546875" style="24" customWidth="1"/>
    <col min="5905" max="5905" width="5.28515625" style="24" customWidth="1"/>
    <col min="5906" max="5907" width="4.42578125" style="24" bestFit="1" customWidth="1"/>
    <col min="5908" max="5908" width="13.28515625" style="24" bestFit="1" customWidth="1"/>
    <col min="5909" max="5909" width="3.140625" style="24" customWidth="1"/>
    <col min="5910" max="5910" width="5.42578125" style="24" bestFit="1" customWidth="1"/>
    <col min="5911" max="5911" width="4.42578125" style="24" bestFit="1" customWidth="1"/>
    <col min="5912" max="5912" width="6.42578125" style="24" customWidth="1"/>
    <col min="5913" max="5913" width="5" style="24" bestFit="1" customWidth="1"/>
    <col min="5914" max="5914" width="4.5703125" style="24" bestFit="1" customWidth="1"/>
    <col min="5915" max="5915" width="4.42578125" style="24" bestFit="1" customWidth="1"/>
    <col min="5916" max="5916" width="4" style="24" customWidth="1"/>
    <col min="5917" max="6144" width="11.42578125" style="24"/>
    <col min="6145" max="6145" width="14.85546875" style="24" bestFit="1" customWidth="1"/>
    <col min="6146" max="6146" width="28" style="24" bestFit="1" customWidth="1"/>
    <col min="6147" max="6147" width="4.42578125" style="24" bestFit="1" customWidth="1"/>
    <col min="6148" max="6148" width="8" style="24" bestFit="1" customWidth="1"/>
    <col min="6149" max="6149" width="11.42578125" style="24"/>
    <col min="6150" max="6150" width="22.85546875" style="24" bestFit="1" customWidth="1"/>
    <col min="6151" max="6151" width="7" style="24" customWidth="1"/>
    <col min="6152" max="6152" width="6.28515625" style="24" customWidth="1"/>
    <col min="6153" max="6153" width="5.7109375" style="24" customWidth="1"/>
    <col min="6154" max="6154" width="5.7109375" style="24" bestFit="1" customWidth="1"/>
    <col min="6155" max="6155" width="5.85546875" style="24" bestFit="1" customWidth="1"/>
    <col min="6156" max="6156" width="9.42578125" style="24" customWidth="1"/>
    <col min="6157" max="6157" width="5.140625" style="24" customWidth="1"/>
    <col min="6158" max="6158" width="9.7109375" style="24" customWidth="1"/>
    <col min="6159" max="6159" width="6.7109375" style="24" bestFit="1" customWidth="1"/>
    <col min="6160" max="6160" width="4.85546875" style="24" customWidth="1"/>
    <col min="6161" max="6161" width="5.28515625" style="24" customWidth="1"/>
    <col min="6162" max="6163" width="4.42578125" style="24" bestFit="1" customWidth="1"/>
    <col min="6164" max="6164" width="13.28515625" style="24" bestFit="1" customWidth="1"/>
    <col min="6165" max="6165" width="3.140625" style="24" customWidth="1"/>
    <col min="6166" max="6166" width="5.42578125" style="24" bestFit="1" customWidth="1"/>
    <col min="6167" max="6167" width="4.42578125" style="24" bestFit="1" customWidth="1"/>
    <col min="6168" max="6168" width="6.42578125" style="24" customWidth="1"/>
    <col min="6169" max="6169" width="5" style="24" bestFit="1" customWidth="1"/>
    <col min="6170" max="6170" width="4.5703125" style="24" bestFit="1" customWidth="1"/>
    <col min="6171" max="6171" width="4.42578125" style="24" bestFit="1" customWidth="1"/>
    <col min="6172" max="6172" width="4" style="24" customWidth="1"/>
    <col min="6173" max="6400" width="11.42578125" style="24"/>
    <col min="6401" max="6401" width="14.85546875" style="24" bestFit="1" customWidth="1"/>
    <col min="6402" max="6402" width="28" style="24" bestFit="1" customWidth="1"/>
    <col min="6403" max="6403" width="4.42578125" style="24" bestFit="1" customWidth="1"/>
    <col min="6404" max="6404" width="8" style="24" bestFit="1" customWidth="1"/>
    <col min="6405" max="6405" width="11.42578125" style="24"/>
    <col min="6406" max="6406" width="22.85546875" style="24" bestFit="1" customWidth="1"/>
    <col min="6407" max="6407" width="7" style="24" customWidth="1"/>
    <col min="6408" max="6408" width="6.28515625" style="24" customWidth="1"/>
    <col min="6409" max="6409" width="5.7109375" style="24" customWidth="1"/>
    <col min="6410" max="6410" width="5.7109375" style="24" bestFit="1" customWidth="1"/>
    <col min="6411" max="6411" width="5.85546875" style="24" bestFit="1" customWidth="1"/>
    <col min="6412" max="6412" width="9.42578125" style="24" customWidth="1"/>
    <col min="6413" max="6413" width="5.140625" style="24" customWidth="1"/>
    <col min="6414" max="6414" width="9.7109375" style="24" customWidth="1"/>
    <col min="6415" max="6415" width="6.7109375" style="24" bestFit="1" customWidth="1"/>
    <col min="6416" max="6416" width="4.85546875" style="24" customWidth="1"/>
    <col min="6417" max="6417" width="5.28515625" style="24" customWidth="1"/>
    <col min="6418" max="6419" width="4.42578125" style="24" bestFit="1" customWidth="1"/>
    <col min="6420" max="6420" width="13.28515625" style="24" bestFit="1" customWidth="1"/>
    <col min="6421" max="6421" width="3.140625" style="24" customWidth="1"/>
    <col min="6422" max="6422" width="5.42578125" style="24" bestFit="1" customWidth="1"/>
    <col min="6423" max="6423" width="4.42578125" style="24" bestFit="1" customWidth="1"/>
    <col min="6424" max="6424" width="6.42578125" style="24" customWidth="1"/>
    <col min="6425" max="6425" width="5" style="24" bestFit="1" customWidth="1"/>
    <col min="6426" max="6426" width="4.5703125" style="24" bestFit="1" customWidth="1"/>
    <col min="6427" max="6427" width="4.42578125" style="24" bestFit="1" customWidth="1"/>
    <col min="6428" max="6428" width="4" style="24" customWidth="1"/>
    <col min="6429" max="6656" width="11.42578125" style="24"/>
    <col min="6657" max="6657" width="14.85546875" style="24" bestFit="1" customWidth="1"/>
    <col min="6658" max="6658" width="28" style="24" bestFit="1" customWidth="1"/>
    <col min="6659" max="6659" width="4.42578125" style="24" bestFit="1" customWidth="1"/>
    <col min="6660" max="6660" width="8" style="24" bestFit="1" customWidth="1"/>
    <col min="6661" max="6661" width="11.42578125" style="24"/>
    <col min="6662" max="6662" width="22.85546875" style="24" bestFit="1" customWidth="1"/>
    <col min="6663" max="6663" width="7" style="24" customWidth="1"/>
    <col min="6664" max="6664" width="6.28515625" style="24" customWidth="1"/>
    <col min="6665" max="6665" width="5.7109375" style="24" customWidth="1"/>
    <col min="6666" max="6666" width="5.7109375" style="24" bestFit="1" customWidth="1"/>
    <col min="6667" max="6667" width="5.85546875" style="24" bestFit="1" customWidth="1"/>
    <col min="6668" max="6668" width="9.42578125" style="24" customWidth="1"/>
    <col min="6669" max="6669" width="5.140625" style="24" customWidth="1"/>
    <col min="6670" max="6670" width="9.7109375" style="24" customWidth="1"/>
    <col min="6671" max="6671" width="6.7109375" style="24" bestFit="1" customWidth="1"/>
    <col min="6672" max="6672" width="4.85546875" style="24" customWidth="1"/>
    <col min="6673" max="6673" width="5.28515625" style="24" customWidth="1"/>
    <col min="6674" max="6675" width="4.42578125" style="24" bestFit="1" customWidth="1"/>
    <col min="6676" max="6676" width="13.28515625" style="24" bestFit="1" customWidth="1"/>
    <col min="6677" max="6677" width="3.140625" style="24" customWidth="1"/>
    <col min="6678" max="6678" width="5.42578125" style="24" bestFit="1" customWidth="1"/>
    <col min="6679" max="6679" width="4.42578125" style="24" bestFit="1" customWidth="1"/>
    <col min="6680" max="6680" width="6.42578125" style="24" customWidth="1"/>
    <col min="6681" max="6681" width="5" style="24" bestFit="1" customWidth="1"/>
    <col min="6682" max="6682" width="4.5703125" style="24" bestFit="1" customWidth="1"/>
    <col min="6683" max="6683" width="4.42578125" style="24" bestFit="1" customWidth="1"/>
    <col min="6684" max="6684" width="4" style="24" customWidth="1"/>
    <col min="6685" max="6912" width="11.42578125" style="24"/>
    <col min="6913" max="6913" width="14.85546875" style="24" bestFit="1" customWidth="1"/>
    <col min="6914" max="6914" width="28" style="24" bestFit="1" customWidth="1"/>
    <col min="6915" max="6915" width="4.42578125" style="24" bestFit="1" customWidth="1"/>
    <col min="6916" max="6916" width="8" style="24" bestFit="1" customWidth="1"/>
    <col min="6917" max="6917" width="11.42578125" style="24"/>
    <col min="6918" max="6918" width="22.85546875" style="24" bestFit="1" customWidth="1"/>
    <col min="6919" max="6919" width="7" style="24" customWidth="1"/>
    <col min="6920" max="6920" width="6.28515625" style="24" customWidth="1"/>
    <col min="6921" max="6921" width="5.7109375" style="24" customWidth="1"/>
    <col min="6922" max="6922" width="5.7109375" style="24" bestFit="1" customWidth="1"/>
    <col min="6923" max="6923" width="5.85546875" style="24" bestFit="1" customWidth="1"/>
    <col min="6924" max="6924" width="9.42578125" style="24" customWidth="1"/>
    <col min="6925" max="6925" width="5.140625" style="24" customWidth="1"/>
    <col min="6926" max="6926" width="9.7109375" style="24" customWidth="1"/>
    <col min="6927" max="6927" width="6.7109375" style="24" bestFit="1" customWidth="1"/>
    <col min="6928" max="6928" width="4.85546875" style="24" customWidth="1"/>
    <col min="6929" max="6929" width="5.28515625" style="24" customWidth="1"/>
    <col min="6930" max="6931" width="4.42578125" style="24" bestFit="1" customWidth="1"/>
    <col min="6932" max="6932" width="13.28515625" style="24" bestFit="1" customWidth="1"/>
    <col min="6933" max="6933" width="3.140625" style="24" customWidth="1"/>
    <col min="6934" max="6934" width="5.42578125" style="24" bestFit="1" customWidth="1"/>
    <col min="6935" max="6935" width="4.42578125" style="24" bestFit="1" customWidth="1"/>
    <col min="6936" max="6936" width="6.42578125" style="24" customWidth="1"/>
    <col min="6937" max="6937" width="5" style="24" bestFit="1" customWidth="1"/>
    <col min="6938" max="6938" width="4.5703125" style="24" bestFit="1" customWidth="1"/>
    <col min="6939" max="6939" width="4.42578125" style="24" bestFit="1" customWidth="1"/>
    <col min="6940" max="6940" width="4" style="24" customWidth="1"/>
    <col min="6941" max="7168" width="11.42578125" style="24"/>
    <col min="7169" max="7169" width="14.85546875" style="24" bestFit="1" customWidth="1"/>
    <col min="7170" max="7170" width="28" style="24" bestFit="1" customWidth="1"/>
    <col min="7171" max="7171" width="4.42578125" style="24" bestFit="1" customWidth="1"/>
    <col min="7172" max="7172" width="8" style="24" bestFit="1" customWidth="1"/>
    <col min="7173" max="7173" width="11.42578125" style="24"/>
    <col min="7174" max="7174" width="22.85546875" style="24" bestFit="1" customWidth="1"/>
    <col min="7175" max="7175" width="7" style="24" customWidth="1"/>
    <col min="7176" max="7176" width="6.28515625" style="24" customWidth="1"/>
    <col min="7177" max="7177" width="5.7109375" style="24" customWidth="1"/>
    <col min="7178" max="7178" width="5.7109375" style="24" bestFit="1" customWidth="1"/>
    <col min="7179" max="7179" width="5.85546875" style="24" bestFit="1" customWidth="1"/>
    <col min="7180" max="7180" width="9.42578125" style="24" customWidth="1"/>
    <col min="7181" max="7181" width="5.140625" style="24" customWidth="1"/>
    <col min="7182" max="7182" width="9.7109375" style="24" customWidth="1"/>
    <col min="7183" max="7183" width="6.7109375" style="24" bestFit="1" customWidth="1"/>
    <col min="7184" max="7184" width="4.85546875" style="24" customWidth="1"/>
    <col min="7185" max="7185" width="5.28515625" style="24" customWidth="1"/>
    <col min="7186" max="7187" width="4.42578125" style="24" bestFit="1" customWidth="1"/>
    <col min="7188" max="7188" width="13.28515625" style="24" bestFit="1" customWidth="1"/>
    <col min="7189" max="7189" width="3.140625" style="24" customWidth="1"/>
    <col min="7190" max="7190" width="5.42578125" style="24" bestFit="1" customWidth="1"/>
    <col min="7191" max="7191" width="4.42578125" style="24" bestFit="1" customWidth="1"/>
    <col min="7192" max="7192" width="6.42578125" style="24" customWidth="1"/>
    <col min="7193" max="7193" width="5" style="24" bestFit="1" customWidth="1"/>
    <col min="7194" max="7194" width="4.5703125" style="24" bestFit="1" customWidth="1"/>
    <col min="7195" max="7195" width="4.42578125" style="24" bestFit="1" customWidth="1"/>
    <col min="7196" max="7196" width="4" style="24" customWidth="1"/>
    <col min="7197" max="7424" width="11.42578125" style="24"/>
    <col min="7425" max="7425" width="14.85546875" style="24" bestFit="1" customWidth="1"/>
    <col min="7426" max="7426" width="28" style="24" bestFit="1" customWidth="1"/>
    <col min="7427" max="7427" width="4.42578125" style="24" bestFit="1" customWidth="1"/>
    <col min="7428" max="7428" width="8" style="24" bestFit="1" customWidth="1"/>
    <col min="7429" max="7429" width="11.42578125" style="24"/>
    <col min="7430" max="7430" width="22.85546875" style="24" bestFit="1" customWidth="1"/>
    <col min="7431" max="7431" width="7" style="24" customWidth="1"/>
    <col min="7432" max="7432" width="6.28515625" style="24" customWidth="1"/>
    <col min="7433" max="7433" width="5.7109375" style="24" customWidth="1"/>
    <col min="7434" max="7434" width="5.7109375" style="24" bestFit="1" customWidth="1"/>
    <col min="7435" max="7435" width="5.85546875" style="24" bestFit="1" customWidth="1"/>
    <col min="7436" max="7436" width="9.42578125" style="24" customWidth="1"/>
    <col min="7437" max="7437" width="5.140625" style="24" customWidth="1"/>
    <col min="7438" max="7438" width="9.7109375" style="24" customWidth="1"/>
    <col min="7439" max="7439" width="6.7109375" style="24" bestFit="1" customWidth="1"/>
    <col min="7440" max="7440" width="4.85546875" style="24" customWidth="1"/>
    <col min="7441" max="7441" width="5.28515625" style="24" customWidth="1"/>
    <col min="7442" max="7443" width="4.42578125" style="24" bestFit="1" customWidth="1"/>
    <col min="7444" max="7444" width="13.28515625" style="24" bestFit="1" customWidth="1"/>
    <col min="7445" max="7445" width="3.140625" style="24" customWidth="1"/>
    <col min="7446" max="7446" width="5.42578125" style="24" bestFit="1" customWidth="1"/>
    <col min="7447" max="7447" width="4.42578125" style="24" bestFit="1" customWidth="1"/>
    <col min="7448" max="7448" width="6.42578125" style="24" customWidth="1"/>
    <col min="7449" max="7449" width="5" style="24" bestFit="1" customWidth="1"/>
    <col min="7450" max="7450" width="4.5703125" style="24" bestFit="1" customWidth="1"/>
    <col min="7451" max="7451" width="4.42578125" style="24" bestFit="1" customWidth="1"/>
    <col min="7452" max="7452" width="4" style="24" customWidth="1"/>
    <col min="7453" max="7680" width="11.42578125" style="24"/>
    <col min="7681" max="7681" width="14.85546875" style="24" bestFit="1" customWidth="1"/>
    <col min="7682" max="7682" width="28" style="24" bestFit="1" customWidth="1"/>
    <col min="7683" max="7683" width="4.42578125" style="24" bestFit="1" customWidth="1"/>
    <col min="7684" max="7684" width="8" style="24" bestFit="1" customWidth="1"/>
    <col min="7685" max="7685" width="11.42578125" style="24"/>
    <col min="7686" max="7686" width="22.85546875" style="24" bestFit="1" customWidth="1"/>
    <col min="7687" max="7687" width="7" style="24" customWidth="1"/>
    <col min="7688" max="7688" width="6.28515625" style="24" customWidth="1"/>
    <col min="7689" max="7689" width="5.7109375" style="24" customWidth="1"/>
    <col min="7690" max="7690" width="5.7109375" style="24" bestFit="1" customWidth="1"/>
    <col min="7691" max="7691" width="5.85546875" style="24" bestFit="1" customWidth="1"/>
    <col min="7692" max="7692" width="9.42578125" style="24" customWidth="1"/>
    <col min="7693" max="7693" width="5.140625" style="24" customWidth="1"/>
    <col min="7694" max="7694" width="9.7109375" style="24" customWidth="1"/>
    <col min="7695" max="7695" width="6.7109375" style="24" bestFit="1" customWidth="1"/>
    <col min="7696" max="7696" width="4.85546875" style="24" customWidth="1"/>
    <col min="7697" max="7697" width="5.28515625" style="24" customWidth="1"/>
    <col min="7698" max="7699" width="4.42578125" style="24" bestFit="1" customWidth="1"/>
    <col min="7700" max="7700" width="13.28515625" style="24" bestFit="1" customWidth="1"/>
    <col min="7701" max="7701" width="3.140625" style="24" customWidth="1"/>
    <col min="7702" max="7702" width="5.42578125" style="24" bestFit="1" customWidth="1"/>
    <col min="7703" max="7703" width="4.42578125" style="24" bestFit="1" customWidth="1"/>
    <col min="7704" max="7704" width="6.42578125" style="24" customWidth="1"/>
    <col min="7705" max="7705" width="5" style="24" bestFit="1" customWidth="1"/>
    <col min="7706" max="7706" width="4.5703125" style="24" bestFit="1" customWidth="1"/>
    <col min="7707" max="7707" width="4.42578125" style="24" bestFit="1" customWidth="1"/>
    <col min="7708" max="7708" width="4" style="24" customWidth="1"/>
    <col min="7709" max="7936" width="11.42578125" style="24"/>
    <col min="7937" max="7937" width="14.85546875" style="24" bestFit="1" customWidth="1"/>
    <col min="7938" max="7938" width="28" style="24" bestFit="1" customWidth="1"/>
    <col min="7939" max="7939" width="4.42578125" style="24" bestFit="1" customWidth="1"/>
    <col min="7940" max="7940" width="8" style="24" bestFit="1" customWidth="1"/>
    <col min="7941" max="7941" width="11.42578125" style="24"/>
    <col min="7942" max="7942" width="22.85546875" style="24" bestFit="1" customWidth="1"/>
    <col min="7943" max="7943" width="7" style="24" customWidth="1"/>
    <col min="7944" max="7944" width="6.28515625" style="24" customWidth="1"/>
    <col min="7945" max="7945" width="5.7109375" style="24" customWidth="1"/>
    <col min="7946" max="7946" width="5.7109375" style="24" bestFit="1" customWidth="1"/>
    <col min="7947" max="7947" width="5.85546875" style="24" bestFit="1" customWidth="1"/>
    <col min="7948" max="7948" width="9.42578125" style="24" customWidth="1"/>
    <col min="7949" max="7949" width="5.140625" style="24" customWidth="1"/>
    <col min="7950" max="7950" width="9.7109375" style="24" customWidth="1"/>
    <col min="7951" max="7951" width="6.7109375" style="24" bestFit="1" customWidth="1"/>
    <col min="7952" max="7952" width="4.85546875" style="24" customWidth="1"/>
    <col min="7953" max="7953" width="5.28515625" style="24" customWidth="1"/>
    <col min="7954" max="7955" width="4.42578125" style="24" bestFit="1" customWidth="1"/>
    <col min="7956" max="7956" width="13.28515625" style="24" bestFit="1" customWidth="1"/>
    <col min="7957" max="7957" width="3.140625" style="24" customWidth="1"/>
    <col min="7958" max="7958" width="5.42578125" style="24" bestFit="1" customWidth="1"/>
    <col min="7959" max="7959" width="4.42578125" style="24" bestFit="1" customWidth="1"/>
    <col min="7960" max="7960" width="6.42578125" style="24" customWidth="1"/>
    <col min="7961" max="7961" width="5" style="24" bestFit="1" customWidth="1"/>
    <col min="7962" max="7962" width="4.5703125" style="24" bestFit="1" customWidth="1"/>
    <col min="7963" max="7963" width="4.42578125" style="24" bestFit="1" customWidth="1"/>
    <col min="7964" max="7964" width="4" style="24" customWidth="1"/>
    <col min="7965" max="8192" width="11.42578125" style="24"/>
    <col min="8193" max="8193" width="14.85546875" style="24" bestFit="1" customWidth="1"/>
    <col min="8194" max="8194" width="28" style="24" bestFit="1" customWidth="1"/>
    <col min="8195" max="8195" width="4.42578125" style="24" bestFit="1" customWidth="1"/>
    <col min="8196" max="8196" width="8" style="24" bestFit="1" customWidth="1"/>
    <col min="8197" max="8197" width="11.42578125" style="24"/>
    <col min="8198" max="8198" width="22.85546875" style="24" bestFit="1" customWidth="1"/>
    <col min="8199" max="8199" width="7" style="24" customWidth="1"/>
    <col min="8200" max="8200" width="6.28515625" style="24" customWidth="1"/>
    <col min="8201" max="8201" width="5.7109375" style="24" customWidth="1"/>
    <col min="8202" max="8202" width="5.7109375" style="24" bestFit="1" customWidth="1"/>
    <col min="8203" max="8203" width="5.85546875" style="24" bestFit="1" customWidth="1"/>
    <col min="8204" max="8204" width="9.42578125" style="24" customWidth="1"/>
    <col min="8205" max="8205" width="5.140625" style="24" customWidth="1"/>
    <col min="8206" max="8206" width="9.7109375" style="24" customWidth="1"/>
    <col min="8207" max="8207" width="6.7109375" style="24" bestFit="1" customWidth="1"/>
    <col min="8208" max="8208" width="4.85546875" style="24" customWidth="1"/>
    <col min="8209" max="8209" width="5.28515625" style="24" customWidth="1"/>
    <col min="8210" max="8211" width="4.42578125" style="24" bestFit="1" customWidth="1"/>
    <col min="8212" max="8212" width="13.28515625" style="24" bestFit="1" customWidth="1"/>
    <col min="8213" max="8213" width="3.140625" style="24" customWidth="1"/>
    <col min="8214" max="8214" width="5.42578125" style="24" bestFit="1" customWidth="1"/>
    <col min="8215" max="8215" width="4.42578125" style="24" bestFit="1" customWidth="1"/>
    <col min="8216" max="8216" width="6.42578125" style="24" customWidth="1"/>
    <col min="8217" max="8217" width="5" style="24" bestFit="1" customWidth="1"/>
    <col min="8218" max="8218" width="4.5703125" style="24" bestFit="1" customWidth="1"/>
    <col min="8219" max="8219" width="4.42578125" style="24" bestFit="1" customWidth="1"/>
    <col min="8220" max="8220" width="4" style="24" customWidth="1"/>
    <col min="8221" max="8448" width="11.42578125" style="24"/>
    <col min="8449" max="8449" width="14.85546875" style="24" bestFit="1" customWidth="1"/>
    <col min="8450" max="8450" width="28" style="24" bestFit="1" customWidth="1"/>
    <col min="8451" max="8451" width="4.42578125" style="24" bestFit="1" customWidth="1"/>
    <col min="8452" max="8452" width="8" style="24" bestFit="1" customWidth="1"/>
    <col min="8453" max="8453" width="11.42578125" style="24"/>
    <col min="8454" max="8454" width="22.85546875" style="24" bestFit="1" customWidth="1"/>
    <col min="8455" max="8455" width="7" style="24" customWidth="1"/>
    <col min="8456" max="8456" width="6.28515625" style="24" customWidth="1"/>
    <col min="8457" max="8457" width="5.7109375" style="24" customWidth="1"/>
    <col min="8458" max="8458" width="5.7109375" style="24" bestFit="1" customWidth="1"/>
    <col min="8459" max="8459" width="5.85546875" style="24" bestFit="1" customWidth="1"/>
    <col min="8460" max="8460" width="9.42578125" style="24" customWidth="1"/>
    <col min="8461" max="8461" width="5.140625" style="24" customWidth="1"/>
    <col min="8462" max="8462" width="9.7109375" style="24" customWidth="1"/>
    <col min="8463" max="8463" width="6.7109375" style="24" bestFit="1" customWidth="1"/>
    <col min="8464" max="8464" width="4.85546875" style="24" customWidth="1"/>
    <col min="8465" max="8465" width="5.28515625" style="24" customWidth="1"/>
    <col min="8466" max="8467" width="4.42578125" style="24" bestFit="1" customWidth="1"/>
    <col min="8468" max="8468" width="13.28515625" style="24" bestFit="1" customWidth="1"/>
    <col min="8469" max="8469" width="3.140625" style="24" customWidth="1"/>
    <col min="8470" max="8470" width="5.42578125" style="24" bestFit="1" customWidth="1"/>
    <col min="8471" max="8471" width="4.42578125" style="24" bestFit="1" customWidth="1"/>
    <col min="8472" max="8472" width="6.42578125" style="24" customWidth="1"/>
    <col min="8473" max="8473" width="5" style="24" bestFit="1" customWidth="1"/>
    <col min="8474" max="8474" width="4.5703125" style="24" bestFit="1" customWidth="1"/>
    <col min="8475" max="8475" width="4.42578125" style="24" bestFit="1" customWidth="1"/>
    <col min="8476" max="8476" width="4" style="24" customWidth="1"/>
    <col min="8477" max="8704" width="11.42578125" style="24"/>
    <col min="8705" max="8705" width="14.85546875" style="24" bestFit="1" customWidth="1"/>
    <col min="8706" max="8706" width="28" style="24" bestFit="1" customWidth="1"/>
    <col min="8707" max="8707" width="4.42578125" style="24" bestFit="1" customWidth="1"/>
    <col min="8708" max="8708" width="8" style="24" bestFit="1" customWidth="1"/>
    <col min="8709" max="8709" width="11.42578125" style="24"/>
    <col min="8710" max="8710" width="22.85546875" style="24" bestFit="1" customWidth="1"/>
    <col min="8711" max="8711" width="7" style="24" customWidth="1"/>
    <col min="8712" max="8712" width="6.28515625" style="24" customWidth="1"/>
    <col min="8713" max="8713" width="5.7109375" style="24" customWidth="1"/>
    <col min="8714" max="8714" width="5.7109375" style="24" bestFit="1" customWidth="1"/>
    <col min="8715" max="8715" width="5.85546875" style="24" bestFit="1" customWidth="1"/>
    <col min="8716" max="8716" width="9.42578125" style="24" customWidth="1"/>
    <col min="8717" max="8717" width="5.140625" style="24" customWidth="1"/>
    <col min="8718" max="8718" width="9.7109375" style="24" customWidth="1"/>
    <col min="8719" max="8719" width="6.7109375" style="24" bestFit="1" customWidth="1"/>
    <col min="8720" max="8720" width="4.85546875" style="24" customWidth="1"/>
    <col min="8721" max="8721" width="5.28515625" style="24" customWidth="1"/>
    <col min="8722" max="8723" width="4.42578125" style="24" bestFit="1" customWidth="1"/>
    <col min="8724" max="8724" width="13.28515625" style="24" bestFit="1" customWidth="1"/>
    <col min="8725" max="8725" width="3.140625" style="24" customWidth="1"/>
    <col min="8726" max="8726" width="5.42578125" style="24" bestFit="1" customWidth="1"/>
    <col min="8727" max="8727" width="4.42578125" style="24" bestFit="1" customWidth="1"/>
    <col min="8728" max="8728" width="6.42578125" style="24" customWidth="1"/>
    <col min="8729" max="8729" width="5" style="24" bestFit="1" customWidth="1"/>
    <col min="8730" max="8730" width="4.5703125" style="24" bestFit="1" customWidth="1"/>
    <col min="8731" max="8731" width="4.42578125" style="24" bestFit="1" customWidth="1"/>
    <col min="8732" max="8732" width="4" style="24" customWidth="1"/>
    <col min="8733" max="8960" width="11.42578125" style="24"/>
    <col min="8961" max="8961" width="14.85546875" style="24" bestFit="1" customWidth="1"/>
    <col min="8962" max="8962" width="28" style="24" bestFit="1" customWidth="1"/>
    <col min="8963" max="8963" width="4.42578125" style="24" bestFit="1" customWidth="1"/>
    <col min="8964" max="8964" width="8" style="24" bestFit="1" customWidth="1"/>
    <col min="8965" max="8965" width="11.42578125" style="24"/>
    <col min="8966" max="8966" width="22.85546875" style="24" bestFit="1" customWidth="1"/>
    <col min="8967" max="8967" width="7" style="24" customWidth="1"/>
    <col min="8968" max="8968" width="6.28515625" style="24" customWidth="1"/>
    <col min="8969" max="8969" width="5.7109375" style="24" customWidth="1"/>
    <col min="8970" max="8970" width="5.7109375" style="24" bestFit="1" customWidth="1"/>
    <col min="8971" max="8971" width="5.85546875" style="24" bestFit="1" customWidth="1"/>
    <col min="8972" max="8972" width="9.42578125" style="24" customWidth="1"/>
    <col min="8973" max="8973" width="5.140625" style="24" customWidth="1"/>
    <col min="8974" max="8974" width="9.7109375" style="24" customWidth="1"/>
    <col min="8975" max="8975" width="6.7109375" style="24" bestFit="1" customWidth="1"/>
    <col min="8976" max="8976" width="4.85546875" style="24" customWidth="1"/>
    <col min="8977" max="8977" width="5.28515625" style="24" customWidth="1"/>
    <col min="8978" max="8979" width="4.42578125" style="24" bestFit="1" customWidth="1"/>
    <col min="8980" max="8980" width="13.28515625" style="24" bestFit="1" customWidth="1"/>
    <col min="8981" max="8981" width="3.140625" style="24" customWidth="1"/>
    <col min="8982" max="8982" width="5.42578125" style="24" bestFit="1" customWidth="1"/>
    <col min="8983" max="8983" width="4.42578125" style="24" bestFit="1" customWidth="1"/>
    <col min="8984" max="8984" width="6.42578125" style="24" customWidth="1"/>
    <col min="8985" max="8985" width="5" style="24" bestFit="1" customWidth="1"/>
    <col min="8986" max="8986" width="4.5703125" style="24" bestFit="1" customWidth="1"/>
    <col min="8987" max="8987" width="4.42578125" style="24" bestFit="1" customWidth="1"/>
    <col min="8988" max="8988" width="4" style="24" customWidth="1"/>
    <col min="8989" max="9216" width="11.42578125" style="24"/>
    <col min="9217" max="9217" width="14.85546875" style="24" bestFit="1" customWidth="1"/>
    <col min="9218" max="9218" width="28" style="24" bestFit="1" customWidth="1"/>
    <col min="9219" max="9219" width="4.42578125" style="24" bestFit="1" customWidth="1"/>
    <col min="9220" max="9220" width="8" style="24" bestFit="1" customWidth="1"/>
    <col min="9221" max="9221" width="11.42578125" style="24"/>
    <col min="9222" max="9222" width="22.85546875" style="24" bestFit="1" customWidth="1"/>
    <col min="9223" max="9223" width="7" style="24" customWidth="1"/>
    <col min="9224" max="9224" width="6.28515625" style="24" customWidth="1"/>
    <col min="9225" max="9225" width="5.7109375" style="24" customWidth="1"/>
    <col min="9226" max="9226" width="5.7109375" style="24" bestFit="1" customWidth="1"/>
    <col min="9227" max="9227" width="5.85546875" style="24" bestFit="1" customWidth="1"/>
    <col min="9228" max="9228" width="9.42578125" style="24" customWidth="1"/>
    <col min="9229" max="9229" width="5.140625" style="24" customWidth="1"/>
    <col min="9230" max="9230" width="9.7109375" style="24" customWidth="1"/>
    <col min="9231" max="9231" width="6.7109375" style="24" bestFit="1" customWidth="1"/>
    <col min="9232" max="9232" width="4.85546875" style="24" customWidth="1"/>
    <col min="9233" max="9233" width="5.28515625" style="24" customWidth="1"/>
    <col min="9234" max="9235" width="4.42578125" style="24" bestFit="1" customWidth="1"/>
    <col min="9236" max="9236" width="13.28515625" style="24" bestFit="1" customWidth="1"/>
    <col min="9237" max="9237" width="3.140625" style="24" customWidth="1"/>
    <col min="9238" max="9238" width="5.42578125" style="24" bestFit="1" customWidth="1"/>
    <col min="9239" max="9239" width="4.42578125" style="24" bestFit="1" customWidth="1"/>
    <col min="9240" max="9240" width="6.42578125" style="24" customWidth="1"/>
    <col min="9241" max="9241" width="5" style="24" bestFit="1" customWidth="1"/>
    <col min="9242" max="9242" width="4.5703125" style="24" bestFit="1" customWidth="1"/>
    <col min="9243" max="9243" width="4.42578125" style="24" bestFit="1" customWidth="1"/>
    <col min="9244" max="9244" width="4" style="24" customWidth="1"/>
    <col min="9245" max="9472" width="11.42578125" style="24"/>
    <col min="9473" max="9473" width="14.85546875" style="24" bestFit="1" customWidth="1"/>
    <col min="9474" max="9474" width="28" style="24" bestFit="1" customWidth="1"/>
    <col min="9475" max="9475" width="4.42578125" style="24" bestFit="1" customWidth="1"/>
    <col min="9476" max="9476" width="8" style="24" bestFit="1" customWidth="1"/>
    <col min="9477" max="9477" width="11.42578125" style="24"/>
    <col min="9478" max="9478" width="22.85546875" style="24" bestFit="1" customWidth="1"/>
    <col min="9479" max="9479" width="7" style="24" customWidth="1"/>
    <col min="9480" max="9480" width="6.28515625" style="24" customWidth="1"/>
    <col min="9481" max="9481" width="5.7109375" style="24" customWidth="1"/>
    <col min="9482" max="9482" width="5.7109375" style="24" bestFit="1" customWidth="1"/>
    <col min="9483" max="9483" width="5.85546875" style="24" bestFit="1" customWidth="1"/>
    <col min="9484" max="9484" width="9.42578125" style="24" customWidth="1"/>
    <col min="9485" max="9485" width="5.140625" style="24" customWidth="1"/>
    <col min="9486" max="9486" width="9.7109375" style="24" customWidth="1"/>
    <col min="9487" max="9487" width="6.7109375" style="24" bestFit="1" customWidth="1"/>
    <col min="9488" max="9488" width="4.85546875" style="24" customWidth="1"/>
    <col min="9489" max="9489" width="5.28515625" style="24" customWidth="1"/>
    <col min="9490" max="9491" width="4.42578125" style="24" bestFit="1" customWidth="1"/>
    <col min="9492" max="9492" width="13.28515625" style="24" bestFit="1" customWidth="1"/>
    <col min="9493" max="9493" width="3.140625" style="24" customWidth="1"/>
    <col min="9494" max="9494" width="5.42578125" style="24" bestFit="1" customWidth="1"/>
    <col min="9495" max="9495" width="4.42578125" style="24" bestFit="1" customWidth="1"/>
    <col min="9496" max="9496" width="6.42578125" style="24" customWidth="1"/>
    <col min="9497" max="9497" width="5" style="24" bestFit="1" customWidth="1"/>
    <col min="9498" max="9498" width="4.5703125" style="24" bestFit="1" customWidth="1"/>
    <col min="9499" max="9499" width="4.42578125" style="24" bestFit="1" customWidth="1"/>
    <col min="9500" max="9500" width="4" style="24" customWidth="1"/>
    <col min="9501" max="9728" width="11.42578125" style="24"/>
    <col min="9729" max="9729" width="14.85546875" style="24" bestFit="1" customWidth="1"/>
    <col min="9730" max="9730" width="28" style="24" bestFit="1" customWidth="1"/>
    <col min="9731" max="9731" width="4.42578125" style="24" bestFit="1" customWidth="1"/>
    <col min="9732" max="9732" width="8" style="24" bestFit="1" customWidth="1"/>
    <col min="9733" max="9733" width="11.42578125" style="24"/>
    <col min="9734" max="9734" width="22.85546875" style="24" bestFit="1" customWidth="1"/>
    <col min="9735" max="9735" width="7" style="24" customWidth="1"/>
    <col min="9736" max="9736" width="6.28515625" style="24" customWidth="1"/>
    <col min="9737" max="9737" width="5.7109375" style="24" customWidth="1"/>
    <col min="9738" max="9738" width="5.7109375" style="24" bestFit="1" customWidth="1"/>
    <col min="9739" max="9739" width="5.85546875" style="24" bestFit="1" customWidth="1"/>
    <col min="9740" max="9740" width="9.42578125" style="24" customWidth="1"/>
    <col min="9741" max="9741" width="5.140625" style="24" customWidth="1"/>
    <col min="9742" max="9742" width="9.7109375" style="24" customWidth="1"/>
    <col min="9743" max="9743" width="6.7109375" style="24" bestFit="1" customWidth="1"/>
    <col min="9744" max="9744" width="4.85546875" style="24" customWidth="1"/>
    <col min="9745" max="9745" width="5.28515625" style="24" customWidth="1"/>
    <col min="9746" max="9747" width="4.42578125" style="24" bestFit="1" customWidth="1"/>
    <col min="9748" max="9748" width="13.28515625" style="24" bestFit="1" customWidth="1"/>
    <col min="9749" max="9749" width="3.140625" style="24" customWidth="1"/>
    <col min="9750" max="9750" width="5.42578125" style="24" bestFit="1" customWidth="1"/>
    <col min="9751" max="9751" width="4.42578125" style="24" bestFit="1" customWidth="1"/>
    <col min="9752" max="9752" width="6.42578125" style="24" customWidth="1"/>
    <col min="9753" max="9753" width="5" style="24" bestFit="1" customWidth="1"/>
    <col min="9754" max="9754" width="4.5703125" style="24" bestFit="1" customWidth="1"/>
    <col min="9755" max="9755" width="4.42578125" style="24" bestFit="1" customWidth="1"/>
    <col min="9756" max="9756" width="4" style="24" customWidth="1"/>
    <col min="9757" max="9984" width="11.42578125" style="24"/>
    <col min="9985" max="9985" width="14.85546875" style="24" bestFit="1" customWidth="1"/>
    <col min="9986" max="9986" width="28" style="24" bestFit="1" customWidth="1"/>
    <col min="9987" max="9987" width="4.42578125" style="24" bestFit="1" customWidth="1"/>
    <col min="9988" max="9988" width="8" style="24" bestFit="1" customWidth="1"/>
    <col min="9989" max="9989" width="11.42578125" style="24"/>
    <col min="9990" max="9990" width="22.85546875" style="24" bestFit="1" customWidth="1"/>
    <col min="9991" max="9991" width="7" style="24" customWidth="1"/>
    <col min="9992" max="9992" width="6.28515625" style="24" customWidth="1"/>
    <col min="9993" max="9993" width="5.7109375" style="24" customWidth="1"/>
    <col min="9994" max="9994" width="5.7109375" style="24" bestFit="1" customWidth="1"/>
    <col min="9995" max="9995" width="5.85546875" style="24" bestFit="1" customWidth="1"/>
    <col min="9996" max="9996" width="9.42578125" style="24" customWidth="1"/>
    <col min="9997" max="9997" width="5.140625" style="24" customWidth="1"/>
    <col min="9998" max="9998" width="9.7109375" style="24" customWidth="1"/>
    <col min="9999" max="9999" width="6.7109375" style="24" bestFit="1" customWidth="1"/>
    <col min="10000" max="10000" width="4.85546875" style="24" customWidth="1"/>
    <col min="10001" max="10001" width="5.28515625" style="24" customWidth="1"/>
    <col min="10002" max="10003" width="4.42578125" style="24" bestFit="1" customWidth="1"/>
    <col min="10004" max="10004" width="13.28515625" style="24" bestFit="1" customWidth="1"/>
    <col min="10005" max="10005" width="3.140625" style="24" customWidth="1"/>
    <col min="10006" max="10006" width="5.42578125" style="24" bestFit="1" customWidth="1"/>
    <col min="10007" max="10007" width="4.42578125" style="24" bestFit="1" customWidth="1"/>
    <col min="10008" max="10008" width="6.42578125" style="24" customWidth="1"/>
    <col min="10009" max="10009" width="5" style="24" bestFit="1" customWidth="1"/>
    <col min="10010" max="10010" width="4.5703125" style="24" bestFit="1" customWidth="1"/>
    <col min="10011" max="10011" width="4.42578125" style="24" bestFit="1" customWidth="1"/>
    <col min="10012" max="10012" width="4" style="24" customWidth="1"/>
    <col min="10013" max="10240" width="11.42578125" style="24"/>
    <col min="10241" max="10241" width="14.85546875" style="24" bestFit="1" customWidth="1"/>
    <col min="10242" max="10242" width="28" style="24" bestFit="1" customWidth="1"/>
    <col min="10243" max="10243" width="4.42578125" style="24" bestFit="1" customWidth="1"/>
    <col min="10244" max="10244" width="8" style="24" bestFit="1" customWidth="1"/>
    <col min="10245" max="10245" width="11.42578125" style="24"/>
    <col min="10246" max="10246" width="22.85546875" style="24" bestFit="1" customWidth="1"/>
    <col min="10247" max="10247" width="7" style="24" customWidth="1"/>
    <col min="10248" max="10248" width="6.28515625" style="24" customWidth="1"/>
    <col min="10249" max="10249" width="5.7109375" style="24" customWidth="1"/>
    <col min="10250" max="10250" width="5.7109375" style="24" bestFit="1" customWidth="1"/>
    <col min="10251" max="10251" width="5.85546875" style="24" bestFit="1" customWidth="1"/>
    <col min="10252" max="10252" width="9.42578125" style="24" customWidth="1"/>
    <col min="10253" max="10253" width="5.140625" style="24" customWidth="1"/>
    <col min="10254" max="10254" width="9.7109375" style="24" customWidth="1"/>
    <col min="10255" max="10255" width="6.7109375" style="24" bestFit="1" customWidth="1"/>
    <col min="10256" max="10256" width="4.85546875" style="24" customWidth="1"/>
    <col min="10257" max="10257" width="5.28515625" style="24" customWidth="1"/>
    <col min="10258" max="10259" width="4.42578125" style="24" bestFit="1" customWidth="1"/>
    <col min="10260" max="10260" width="13.28515625" style="24" bestFit="1" customWidth="1"/>
    <col min="10261" max="10261" width="3.140625" style="24" customWidth="1"/>
    <col min="10262" max="10262" width="5.42578125" style="24" bestFit="1" customWidth="1"/>
    <col min="10263" max="10263" width="4.42578125" style="24" bestFit="1" customWidth="1"/>
    <col min="10264" max="10264" width="6.42578125" style="24" customWidth="1"/>
    <col min="10265" max="10265" width="5" style="24" bestFit="1" customWidth="1"/>
    <col min="10266" max="10266" width="4.5703125" style="24" bestFit="1" customWidth="1"/>
    <col min="10267" max="10267" width="4.42578125" style="24" bestFit="1" customWidth="1"/>
    <col min="10268" max="10268" width="4" style="24" customWidth="1"/>
    <col min="10269" max="10496" width="11.42578125" style="24"/>
    <col min="10497" max="10497" width="14.85546875" style="24" bestFit="1" customWidth="1"/>
    <col min="10498" max="10498" width="28" style="24" bestFit="1" customWidth="1"/>
    <col min="10499" max="10499" width="4.42578125" style="24" bestFit="1" customWidth="1"/>
    <col min="10500" max="10500" width="8" style="24" bestFit="1" customWidth="1"/>
    <col min="10501" max="10501" width="11.42578125" style="24"/>
    <col min="10502" max="10502" width="22.85546875" style="24" bestFit="1" customWidth="1"/>
    <col min="10503" max="10503" width="7" style="24" customWidth="1"/>
    <col min="10504" max="10504" width="6.28515625" style="24" customWidth="1"/>
    <col min="10505" max="10505" width="5.7109375" style="24" customWidth="1"/>
    <col min="10506" max="10506" width="5.7109375" style="24" bestFit="1" customWidth="1"/>
    <col min="10507" max="10507" width="5.85546875" style="24" bestFit="1" customWidth="1"/>
    <col min="10508" max="10508" width="9.42578125" style="24" customWidth="1"/>
    <col min="10509" max="10509" width="5.140625" style="24" customWidth="1"/>
    <col min="10510" max="10510" width="9.7109375" style="24" customWidth="1"/>
    <col min="10511" max="10511" width="6.7109375" style="24" bestFit="1" customWidth="1"/>
    <col min="10512" max="10512" width="4.85546875" style="24" customWidth="1"/>
    <col min="10513" max="10513" width="5.28515625" style="24" customWidth="1"/>
    <col min="10514" max="10515" width="4.42578125" style="24" bestFit="1" customWidth="1"/>
    <col min="10516" max="10516" width="13.28515625" style="24" bestFit="1" customWidth="1"/>
    <col min="10517" max="10517" width="3.140625" style="24" customWidth="1"/>
    <col min="10518" max="10518" width="5.42578125" style="24" bestFit="1" customWidth="1"/>
    <col min="10519" max="10519" width="4.42578125" style="24" bestFit="1" customWidth="1"/>
    <col min="10520" max="10520" width="6.42578125" style="24" customWidth="1"/>
    <col min="10521" max="10521" width="5" style="24" bestFit="1" customWidth="1"/>
    <col min="10522" max="10522" width="4.5703125" style="24" bestFit="1" customWidth="1"/>
    <col min="10523" max="10523" width="4.42578125" style="24" bestFit="1" customWidth="1"/>
    <col min="10524" max="10524" width="4" style="24" customWidth="1"/>
    <col min="10525" max="10752" width="11.42578125" style="24"/>
    <col min="10753" max="10753" width="14.85546875" style="24" bestFit="1" customWidth="1"/>
    <col min="10754" max="10754" width="28" style="24" bestFit="1" customWidth="1"/>
    <col min="10755" max="10755" width="4.42578125" style="24" bestFit="1" customWidth="1"/>
    <col min="10756" max="10756" width="8" style="24" bestFit="1" customWidth="1"/>
    <col min="10757" max="10757" width="11.42578125" style="24"/>
    <col min="10758" max="10758" width="22.85546875" style="24" bestFit="1" customWidth="1"/>
    <col min="10759" max="10759" width="7" style="24" customWidth="1"/>
    <col min="10760" max="10760" width="6.28515625" style="24" customWidth="1"/>
    <col min="10761" max="10761" width="5.7109375" style="24" customWidth="1"/>
    <col min="10762" max="10762" width="5.7109375" style="24" bestFit="1" customWidth="1"/>
    <col min="10763" max="10763" width="5.85546875" style="24" bestFit="1" customWidth="1"/>
    <col min="10764" max="10764" width="9.42578125" style="24" customWidth="1"/>
    <col min="10765" max="10765" width="5.140625" style="24" customWidth="1"/>
    <col min="10766" max="10766" width="9.7109375" style="24" customWidth="1"/>
    <col min="10767" max="10767" width="6.7109375" style="24" bestFit="1" customWidth="1"/>
    <col min="10768" max="10768" width="4.85546875" style="24" customWidth="1"/>
    <col min="10769" max="10769" width="5.28515625" style="24" customWidth="1"/>
    <col min="10770" max="10771" width="4.42578125" style="24" bestFit="1" customWidth="1"/>
    <col min="10772" max="10772" width="13.28515625" style="24" bestFit="1" customWidth="1"/>
    <col min="10773" max="10773" width="3.140625" style="24" customWidth="1"/>
    <col min="10774" max="10774" width="5.42578125" style="24" bestFit="1" customWidth="1"/>
    <col min="10775" max="10775" width="4.42578125" style="24" bestFit="1" customWidth="1"/>
    <col min="10776" max="10776" width="6.42578125" style="24" customWidth="1"/>
    <col min="10777" max="10777" width="5" style="24" bestFit="1" customWidth="1"/>
    <col min="10778" max="10778" width="4.5703125" style="24" bestFit="1" customWidth="1"/>
    <col min="10779" max="10779" width="4.42578125" style="24" bestFit="1" customWidth="1"/>
    <col min="10780" max="10780" width="4" style="24" customWidth="1"/>
    <col min="10781" max="11008" width="11.42578125" style="24"/>
    <col min="11009" max="11009" width="14.85546875" style="24" bestFit="1" customWidth="1"/>
    <col min="11010" max="11010" width="28" style="24" bestFit="1" customWidth="1"/>
    <col min="11011" max="11011" width="4.42578125" style="24" bestFit="1" customWidth="1"/>
    <col min="11012" max="11012" width="8" style="24" bestFit="1" customWidth="1"/>
    <col min="11013" max="11013" width="11.42578125" style="24"/>
    <col min="11014" max="11014" width="22.85546875" style="24" bestFit="1" customWidth="1"/>
    <col min="11015" max="11015" width="7" style="24" customWidth="1"/>
    <col min="11016" max="11016" width="6.28515625" style="24" customWidth="1"/>
    <col min="11017" max="11017" width="5.7109375" style="24" customWidth="1"/>
    <col min="11018" max="11018" width="5.7109375" style="24" bestFit="1" customWidth="1"/>
    <col min="11019" max="11019" width="5.85546875" style="24" bestFit="1" customWidth="1"/>
    <col min="11020" max="11020" width="9.42578125" style="24" customWidth="1"/>
    <col min="11021" max="11021" width="5.140625" style="24" customWidth="1"/>
    <col min="11022" max="11022" width="9.7109375" style="24" customWidth="1"/>
    <col min="11023" max="11023" width="6.7109375" style="24" bestFit="1" customWidth="1"/>
    <col min="11024" max="11024" width="4.85546875" style="24" customWidth="1"/>
    <col min="11025" max="11025" width="5.28515625" style="24" customWidth="1"/>
    <col min="11026" max="11027" width="4.42578125" style="24" bestFit="1" customWidth="1"/>
    <col min="11028" max="11028" width="13.28515625" style="24" bestFit="1" customWidth="1"/>
    <col min="11029" max="11029" width="3.140625" style="24" customWidth="1"/>
    <col min="11030" max="11030" width="5.42578125" style="24" bestFit="1" customWidth="1"/>
    <col min="11031" max="11031" width="4.42578125" style="24" bestFit="1" customWidth="1"/>
    <col min="11032" max="11032" width="6.42578125" style="24" customWidth="1"/>
    <col min="11033" max="11033" width="5" style="24" bestFit="1" customWidth="1"/>
    <col min="11034" max="11034" width="4.5703125" style="24" bestFit="1" customWidth="1"/>
    <col min="11035" max="11035" width="4.42578125" style="24" bestFit="1" customWidth="1"/>
    <col min="11036" max="11036" width="4" style="24" customWidth="1"/>
    <col min="11037" max="11264" width="11.42578125" style="24"/>
    <col min="11265" max="11265" width="14.85546875" style="24" bestFit="1" customWidth="1"/>
    <col min="11266" max="11266" width="28" style="24" bestFit="1" customWidth="1"/>
    <col min="11267" max="11267" width="4.42578125" style="24" bestFit="1" customWidth="1"/>
    <col min="11268" max="11268" width="8" style="24" bestFit="1" customWidth="1"/>
    <col min="11269" max="11269" width="11.42578125" style="24"/>
    <col min="11270" max="11270" width="22.85546875" style="24" bestFit="1" customWidth="1"/>
    <col min="11271" max="11271" width="7" style="24" customWidth="1"/>
    <col min="11272" max="11272" width="6.28515625" style="24" customWidth="1"/>
    <col min="11273" max="11273" width="5.7109375" style="24" customWidth="1"/>
    <col min="11274" max="11274" width="5.7109375" style="24" bestFit="1" customWidth="1"/>
    <col min="11275" max="11275" width="5.85546875" style="24" bestFit="1" customWidth="1"/>
    <col min="11276" max="11276" width="9.42578125" style="24" customWidth="1"/>
    <col min="11277" max="11277" width="5.140625" style="24" customWidth="1"/>
    <col min="11278" max="11278" width="9.7109375" style="24" customWidth="1"/>
    <col min="11279" max="11279" width="6.7109375" style="24" bestFit="1" customWidth="1"/>
    <col min="11280" max="11280" width="4.85546875" style="24" customWidth="1"/>
    <col min="11281" max="11281" width="5.28515625" style="24" customWidth="1"/>
    <col min="11282" max="11283" width="4.42578125" style="24" bestFit="1" customWidth="1"/>
    <col min="11284" max="11284" width="13.28515625" style="24" bestFit="1" customWidth="1"/>
    <col min="11285" max="11285" width="3.140625" style="24" customWidth="1"/>
    <col min="11286" max="11286" width="5.42578125" style="24" bestFit="1" customWidth="1"/>
    <col min="11287" max="11287" width="4.42578125" style="24" bestFit="1" customWidth="1"/>
    <col min="11288" max="11288" width="6.42578125" style="24" customWidth="1"/>
    <col min="11289" max="11289" width="5" style="24" bestFit="1" customWidth="1"/>
    <col min="11290" max="11290" width="4.5703125" style="24" bestFit="1" customWidth="1"/>
    <col min="11291" max="11291" width="4.42578125" style="24" bestFit="1" customWidth="1"/>
    <col min="11292" max="11292" width="4" style="24" customWidth="1"/>
    <col min="11293" max="11520" width="11.42578125" style="24"/>
    <col min="11521" max="11521" width="14.85546875" style="24" bestFit="1" customWidth="1"/>
    <col min="11522" max="11522" width="28" style="24" bestFit="1" customWidth="1"/>
    <col min="11523" max="11523" width="4.42578125" style="24" bestFit="1" customWidth="1"/>
    <col min="11524" max="11524" width="8" style="24" bestFit="1" customWidth="1"/>
    <col min="11525" max="11525" width="11.42578125" style="24"/>
    <col min="11526" max="11526" width="22.85546875" style="24" bestFit="1" customWidth="1"/>
    <col min="11527" max="11527" width="7" style="24" customWidth="1"/>
    <col min="11528" max="11528" width="6.28515625" style="24" customWidth="1"/>
    <col min="11529" max="11529" width="5.7109375" style="24" customWidth="1"/>
    <col min="11530" max="11530" width="5.7109375" style="24" bestFit="1" customWidth="1"/>
    <col min="11531" max="11531" width="5.85546875" style="24" bestFit="1" customWidth="1"/>
    <col min="11532" max="11532" width="9.42578125" style="24" customWidth="1"/>
    <col min="11533" max="11533" width="5.140625" style="24" customWidth="1"/>
    <col min="11534" max="11534" width="9.7109375" style="24" customWidth="1"/>
    <col min="11535" max="11535" width="6.7109375" style="24" bestFit="1" customWidth="1"/>
    <col min="11536" max="11536" width="4.85546875" style="24" customWidth="1"/>
    <col min="11537" max="11537" width="5.28515625" style="24" customWidth="1"/>
    <col min="11538" max="11539" width="4.42578125" style="24" bestFit="1" customWidth="1"/>
    <col min="11540" max="11540" width="13.28515625" style="24" bestFit="1" customWidth="1"/>
    <col min="11541" max="11541" width="3.140625" style="24" customWidth="1"/>
    <col min="11542" max="11542" width="5.42578125" style="24" bestFit="1" customWidth="1"/>
    <col min="11543" max="11543" width="4.42578125" style="24" bestFit="1" customWidth="1"/>
    <col min="11544" max="11544" width="6.42578125" style="24" customWidth="1"/>
    <col min="11545" max="11545" width="5" style="24" bestFit="1" customWidth="1"/>
    <col min="11546" max="11546" width="4.5703125" style="24" bestFit="1" customWidth="1"/>
    <col min="11547" max="11547" width="4.42578125" style="24" bestFit="1" customWidth="1"/>
    <col min="11548" max="11548" width="4" style="24" customWidth="1"/>
    <col min="11549" max="11776" width="11.42578125" style="24"/>
    <col min="11777" max="11777" width="14.85546875" style="24" bestFit="1" customWidth="1"/>
    <col min="11778" max="11778" width="28" style="24" bestFit="1" customWidth="1"/>
    <col min="11779" max="11779" width="4.42578125" style="24" bestFit="1" customWidth="1"/>
    <col min="11780" max="11780" width="8" style="24" bestFit="1" customWidth="1"/>
    <col min="11781" max="11781" width="11.42578125" style="24"/>
    <col min="11782" max="11782" width="22.85546875" style="24" bestFit="1" customWidth="1"/>
    <col min="11783" max="11783" width="7" style="24" customWidth="1"/>
    <col min="11784" max="11784" width="6.28515625" style="24" customWidth="1"/>
    <col min="11785" max="11785" width="5.7109375" style="24" customWidth="1"/>
    <col min="11786" max="11786" width="5.7109375" style="24" bestFit="1" customWidth="1"/>
    <col min="11787" max="11787" width="5.85546875" style="24" bestFit="1" customWidth="1"/>
    <col min="11788" max="11788" width="9.42578125" style="24" customWidth="1"/>
    <col min="11789" max="11789" width="5.140625" style="24" customWidth="1"/>
    <col min="11790" max="11790" width="9.7109375" style="24" customWidth="1"/>
    <col min="11791" max="11791" width="6.7109375" style="24" bestFit="1" customWidth="1"/>
    <col min="11792" max="11792" width="4.85546875" style="24" customWidth="1"/>
    <col min="11793" max="11793" width="5.28515625" style="24" customWidth="1"/>
    <col min="11794" max="11795" width="4.42578125" style="24" bestFit="1" customWidth="1"/>
    <col min="11796" max="11796" width="13.28515625" style="24" bestFit="1" customWidth="1"/>
    <col min="11797" max="11797" width="3.140625" style="24" customWidth="1"/>
    <col min="11798" max="11798" width="5.42578125" style="24" bestFit="1" customWidth="1"/>
    <col min="11799" max="11799" width="4.42578125" style="24" bestFit="1" customWidth="1"/>
    <col min="11800" max="11800" width="6.42578125" style="24" customWidth="1"/>
    <col min="11801" max="11801" width="5" style="24" bestFit="1" customWidth="1"/>
    <col min="11802" max="11802" width="4.5703125" style="24" bestFit="1" customWidth="1"/>
    <col min="11803" max="11803" width="4.42578125" style="24" bestFit="1" customWidth="1"/>
    <col min="11804" max="11804" width="4" style="24" customWidth="1"/>
    <col min="11805" max="12032" width="11.42578125" style="24"/>
    <col min="12033" max="12033" width="14.85546875" style="24" bestFit="1" customWidth="1"/>
    <col min="12034" max="12034" width="28" style="24" bestFit="1" customWidth="1"/>
    <col min="12035" max="12035" width="4.42578125" style="24" bestFit="1" customWidth="1"/>
    <col min="12036" max="12036" width="8" style="24" bestFit="1" customWidth="1"/>
    <col min="12037" max="12037" width="11.42578125" style="24"/>
    <col min="12038" max="12038" width="22.85546875" style="24" bestFit="1" customWidth="1"/>
    <col min="12039" max="12039" width="7" style="24" customWidth="1"/>
    <col min="12040" max="12040" width="6.28515625" style="24" customWidth="1"/>
    <col min="12041" max="12041" width="5.7109375" style="24" customWidth="1"/>
    <col min="12042" max="12042" width="5.7109375" style="24" bestFit="1" customWidth="1"/>
    <col min="12043" max="12043" width="5.85546875" style="24" bestFit="1" customWidth="1"/>
    <col min="12044" max="12044" width="9.42578125" style="24" customWidth="1"/>
    <col min="12045" max="12045" width="5.140625" style="24" customWidth="1"/>
    <col min="12046" max="12046" width="9.7109375" style="24" customWidth="1"/>
    <col min="12047" max="12047" width="6.7109375" style="24" bestFit="1" customWidth="1"/>
    <col min="12048" max="12048" width="4.85546875" style="24" customWidth="1"/>
    <col min="12049" max="12049" width="5.28515625" style="24" customWidth="1"/>
    <col min="12050" max="12051" width="4.42578125" style="24" bestFit="1" customWidth="1"/>
    <col min="12052" max="12052" width="13.28515625" style="24" bestFit="1" customWidth="1"/>
    <col min="12053" max="12053" width="3.140625" style="24" customWidth="1"/>
    <col min="12054" max="12054" width="5.42578125" style="24" bestFit="1" customWidth="1"/>
    <col min="12055" max="12055" width="4.42578125" style="24" bestFit="1" customWidth="1"/>
    <col min="12056" max="12056" width="6.42578125" style="24" customWidth="1"/>
    <col min="12057" max="12057" width="5" style="24" bestFit="1" customWidth="1"/>
    <col min="12058" max="12058" width="4.5703125" style="24" bestFit="1" customWidth="1"/>
    <col min="12059" max="12059" width="4.42578125" style="24" bestFit="1" customWidth="1"/>
    <col min="12060" max="12060" width="4" style="24" customWidth="1"/>
    <col min="12061" max="12288" width="11.42578125" style="24"/>
    <col min="12289" max="12289" width="14.85546875" style="24" bestFit="1" customWidth="1"/>
    <col min="12290" max="12290" width="28" style="24" bestFit="1" customWidth="1"/>
    <col min="12291" max="12291" width="4.42578125" style="24" bestFit="1" customWidth="1"/>
    <col min="12292" max="12292" width="8" style="24" bestFit="1" customWidth="1"/>
    <col min="12293" max="12293" width="11.42578125" style="24"/>
    <col min="12294" max="12294" width="22.85546875" style="24" bestFit="1" customWidth="1"/>
    <col min="12295" max="12295" width="7" style="24" customWidth="1"/>
    <col min="12296" max="12296" width="6.28515625" style="24" customWidth="1"/>
    <col min="12297" max="12297" width="5.7109375" style="24" customWidth="1"/>
    <col min="12298" max="12298" width="5.7109375" style="24" bestFit="1" customWidth="1"/>
    <col min="12299" max="12299" width="5.85546875" style="24" bestFit="1" customWidth="1"/>
    <col min="12300" max="12300" width="9.42578125" style="24" customWidth="1"/>
    <col min="12301" max="12301" width="5.140625" style="24" customWidth="1"/>
    <col min="12302" max="12302" width="9.7109375" style="24" customWidth="1"/>
    <col min="12303" max="12303" width="6.7109375" style="24" bestFit="1" customWidth="1"/>
    <col min="12304" max="12304" width="4.85546875" style="24" customWidth="1"/>
    <col min="12305" max="12305" width="5.28515625" style="24" customWidth="1"/>
    <col min="12306" max="12307" width="4.42578125" style="24" bestFit="1" customWidth="1"/>
    <col min="12308" max="12308" width="13.28515625" style="24" bestFit="1" customWidth="1"/>
    <col min="12309" max="12309" width="3.140625" style="24" customWidth="1"/>
    <col min="12310" max="12310" width="5.42578125" style="24" bestFit="1" customWidth="1"/>
    <col min="12311" max="12311" width="4.42578125" style="24" bestFit="1" customWidth="1"/>
    <col min="12312" max="12312" width="6.42578125" style="24" customWidth="1"/>
    <col min="12313" max="12313" width="5" style="24" bestFit="1" customWidth="1"/>
    <col min="12314" max="12314" width="4.5703125" style="24" bestFit="1" customWidth="1"/>
    <col min="12315" max="12315" width="4.42578125" style="24" bestFit="1" customWidth="1"/>
    <col min="12316" max="12316" width="4" style="24" customWidth="1"/>
    <col min="12317" max="12544" width="11.42578125" style="24"/>
    <col min="12545" max="12545" width="14.85546875" style="24" bestFit="1" customWidth="1"/>
    <col min="12546" max="12546" width="28" style="24" bestFit="1" customWidth="1"/>
    <col min="12547" max="12547" width="4.42578125" style="24" bestFit="1" customWidth="1"/>
    <col min="12548" max="12548" width="8" style="24" bestFit="1" customWidth="1"/>
    <col min="12549" max="12549" width="11.42578125" style="24"/>
    <col min="12550" max="12550" width="22.85546875" style="24" bestFit="1" customWidth="1"/>
    <col min="12551" max="12551" width="7" style="24" customWidth="1"/>
    <col min="12552" max="12552" width="6.28515625" style="24" customWidth="1"/>
    <col min="12553" max="12553" width="5.7109375" style="24" customWidth="1"/>
    <col min="12554" max="12554" width="5.7109375" style="24" bestFit="1" customWidth="1"/>
    <col min="12555" max="12555" width="5.85546875" style="24" bestFit="1" customWidth="1"/>
    <col min="12556" max="12556" width="9.42578125" style="24" customWidth="1"/>
    <col min="12557" max="12557" width="5.140625" style="24" customWidth="1"/>
    <col min="12558" max="12558" width="9.7109375" style="24" customWidth="1"/>
    <col min="12559" max="12559" width="6.7109375" style="24" bestFit="1" customWidth="1"/>
    <col min="12560" max="12560" width="4.85546875" style="24" customWidth="1"/>
    <col min="12561" max="12561" width="5.28515625" style="24" customWidth="1"/>
    <col min="12562" max="12563" width="4.42578125" style="24" bestFit="1" customWidth="1"/>
    <col min="12564" max="12564" width="13.28515625" style="24" bestFit="1" customWidth="1"/>
    <col min="12565" max="12565" width="3.140625" style="24" customWidth="1"/>
    <col min="12566" max="12566" width="5.42578125" style="24" bestFit="1" customWidth="1"/>
    <col min="12567" max="12567" width="4.42578125" style="24" bestFit="1" customWidth="1"/>
    <col min="12568" max="12568" width="6.42578125" style="24" customWidth="1"/>
    <col min="12569" max="12569" width="5" style="24" bestFit="1" customWidth="1"/>
    <col min="12570" max="12570" width="4.5703125" style="24" bestFit="1" customWidth="1"/>
    <col min="12571" max="12571" width="4.42578125" style="24" bestFit="1" customWidth="1"/>
    <col min="12572" max="12572" width="4" style="24" customWidth="1"/>
    <col min="12573" max="12800" width="11.42578125" style="24"/>
    <col min="12801" max="12801" width="14.85546875" style="24" bestFit="1" customWidth="1"/>
    <col min="12802" max="12802" width="28" style="24" bestFit="1" customWidth="1"/>
    <col min="12803" max="12803" width="4.42578125" style="24" bestFit="1" customWidth="1"/>
    <col min="12804" max="12804" width="8" style="24" bestFit="1" customWidth="1"/>
    <col min="12805" max="12805" width="11.42578125" style="24"/>
    <col min="12806" max="12806" width="22.85546875" style="24" bestFit="1" customWidth="1"/>
    <col min="12807" max="12807" width="7" style="24" customWidth="1"/>
    <col min="12808" max="12808" width="6.28515625" style="24" customWidth="1"/>
    <col min="12809" max="12809" width="5.7109375" style="24" customWidth="1"/>
    <col min="12810" max="12810" width="5.7109375" style="24" bestFit="1" customWidth="1"/>
    <col min="12811" max="12811" width="5.85546875" style="24" bestFit="1" customWidth="1"/>
    <col min="12812" max="12812" width="9.42578125" style="24" customWidth="1"/>
    <col min="12813" max="12813" width="5.140625" style="24" customWidth="1"/>
    <col min="12814" max="12814" width="9.7109375" style="24" customWidth="1"/>
    <col min="12815" max="12815" width="6.7109375" style="24" bestFit="1" customWidth="1"/>
    <col min="12816" max="12816" width="4.85546875" style="24" customWidth="1"/>
    <col min="12817" max="12817" width="5.28515625" style="24" customWidth="1"/>
    <col min="12818" max="12819" width="4.42578125" style="24" bestFit="1" customWidth="1"/>
    <col min="12820" max="12820" width="13.28515625" style="24" bestFit="1" customWidth="1"/>
    <col min="12821" max="12821" width="3.140625" style="24" customWidth="1"/>
    <col min="12822" max="12822" width="5.42578125" style="24" bestFit="1" customWidth="1"/>
    <col min="12823" max="12823" width="4.42578125" style="24" bestFit="1" customWidth="1"/>
    <col min="12824" max="12824" width="6.42578125" style="24" customWidth="1"/>
    <col min="12825" max="12825" width="5" style="24" bestFit="1" customWidth="1"/>
    <col min="12826" max="12826" width="4.5703125" style="24" bestFit="1" customWidth="1"/>
    <col min="12827" max="12827" width="4.42578125" style="24" bestFit="1" customWidth="1"/>
    <col min="12828" max="12828" width="4" style="24" customWidth="1"/>
    <col min="12829" max="13056" width="11.42578125" style="24"/>
    <col min="13057" max="13057" width="14.85546875" style="24" bestFit="1" customWidth="1"/>
    <col min="13058" max="13058" width="28" style="24" bestFit="1" customWidth="1"/>
    <col min="13059" max="13059" width="4.42578125" style="24" bestFit="1" customWidth="1"/>
    <col min="13060" max="13060" width="8" style="24" bestFit="1" customWidth="1"/>
    <col min="13061" max="13061" width="11.42578125" style="24"/>
    <col min="13062" max="13062" width="22.85546875" style="24" bestFit="1" customWidth="1"/>
    <col min="13063" max="13063" width="7" style="24" customWidth="1"/>
    <col min="13064" max="13064" width="6.28515625" style="24" customWidth="1"/>
    <col min="13065" max="13065" width="5.7109375" style="24" customWidth="1"/>
    <col min="13066" max="13066" width="5.7109375" style="24" bestFit="1" customWidth="1"/>
    <col min="13067" max="13067" width="5.85546875" style="24" bestFit="1" customWidth="1"/>
    <col min="13068" max="13068" width="9.42578125" style="24" customWidth="1"/>
    <col min="13069" max="13069" width="5.140625" style="24" customWidth="1"/>
    <col min="13070" max="13070" width="9.7109375" style="24" customWidth="1"/>
    <col min="13071" max="13071" width="6.7109375" style="24" bestFit="1" customWidth="1"/>
    <col min="13072" max="13072" width="4.85546875" style="24" customWidth="1"/>
    <col min="13073" max="13073" width="5.28515625" style="24" customWidth="1"/>
    <col min="13074" max="13075" width="4.42578125" style="24" bestFit="1" customWidth="1"/>
    <col min="13076" max="13076" width="13.28515625" style="24" bestFit="1" customWidth="1"/>
    <col min="13077" max="13077" width="3.140625" style="24" customWidth="1"/>
    <col min="13078" max="13078" width="5.42578125" style="24" bestFit="1" customWidth="1"/>
    <col min="13079" max="13079" width="4.42578125" style="24" bestFit="1" customWidth="1"/>
    <col min="13080" max="13080" width="6.42578125" style="24" customWidth="1"/>
    <col min="13081" max="13081" width="5" style="24" bestFit="1" customWidth="1"/>
    <col min="13082" max="13082" width="4.5703125" style="24" bestFit="1" customWidth="1"/>
    <col min="13083" max="13083" width="4.42578125" style="24" bestFit="1" customWidth="1"/>
    <col min="13084" max="13084" width="4" style="24" customWidth="1"/>
    <col min="13085" max="13312" width="11.42578125" style="24"/>
    <col min="13313" max="13313" width="14.85546875" style="24" bestFit="1" customWidth="1"/>
    <col min="13314" max="13314" width="28" style="24" bestFit="1" customWidth="1"/>
    <col min="13315" max="13315" width="4.42578125" style="24" bestFit="1" customWidth="1"/>
    <col min="13316" max="13316" width="8" style="24" bestFit="1" customWidth="1"/>
    <col min="13317" max="13317" width="11.42578125" style="24"/>
    <col min="13318" max="13318" width="22.85546875" style="24" bestFit="1" customWidth="1"/>
    <col min="13319" max="13319" width="7" style="24" customWidth="1"/>
    <col min="13320" max="13320" width="6.28515625" style="24" customWidth="1"/>
    <col min="13321" max="13321" width="5.7109375" style="24" customWidth="1"/>
    <col min="13322" max="13322" width="5.7109375" style="24" bestFit="1" customWidth="1"/>
    <col min="13323" max="13323" width="5.85546875" style="24" bestFit="1" customWidth="1"/>
    <col min="13324" max="13324" width="9.42578125" style="24" customWidth="1"/>
    <col min="13325" max="13325" width="5.140625" style="24" customWidth="1"/>
    <col min="13326" max="13326" width="9.7109375" style="24" customWidth="1"/>
    <col min="13327" max="13327" width="6.7109375" style="24" bestFit="1" customWidth="1"/>
    <col min="13328" max="13328" width="4.85546875" style="24" customWidth="1"/>
    <col min="13329" max="13329" width="5.28515625" style="24" customWidth="1"/>
    <col min="13330" max="13331" width="4.42578125" style="24" bestFit="1" customWidth="1"/>
    <col min="13332" max="13332" width="13.28515625" style="24" bestFit="1" customWidth="1"/>
    <col min="13333" max="13333" width="3.140625" style="24" customWidth="1"/>
    <col min="13334" max="13334" width="5.42578125" style="24" bestFit="1" customWidth="1"/>
    <col min="13335" max="13335" width="4.42578125" style="24" bestFit="1" customWidth="1"/>
    <col min="13336" max="13336" width="6.42578125" style="24" customWidth="1"/>
    <col min="13337" max="13337" width="5" style="24" bestFit="1" customWidth="1"/>
    <col min="13338" max="13338" width="4.5703125" style="24" bestFit="1" customWidth="1"/>
    <col min="13339" max="13339" width="4.42578125" style="24" bestFit="1" customWidth="1"/>
    <col min="13340" max="13340" width="4" style="24" customWidth="1"/>
    <col min="13341" max="13568" width="11.42578125" style="24"/>
    <col min="13569" max="13569" width="14.85546875" style="24" bestFit="1" customWidth="1"/>
    <col min="13570" max="13570" width="28" style="24" bestFit="1" customWidth="1"/>
    <col min="13571" max="13571" width="4.42578125" style="24" bestFit="1" customWidth="1"/>
    <col min="13572" max="13572" width="8" style="24" bestFit="1" customWidth="1"/>
    <col min="13573" max="13573" width="11.42578125" style="24"/>
    <col min="13574" max="13574" width="22.85546875" style="24" bestFit="1" customWidth="1"/>
    <col min="13575" max="13575" width="7" style="24" customWidth="1"/>
    <col min="13576" max="13576" width="6.28515625" style="24" customWidth="1"/>
    <col min="13577" max="13577" width="5.7109375" style="24" customWidth="1"/>
    <col min="13578" max="13578" width="5.7109375" style="24" bestFit="1" customWidth="1"/>
    <col min="13579" max="13579" width="5.85546875" style="24" bestFit="1" customWidth="1"/>
    <col min="13580" max="13580" width="9.42578125" style="24" customWidth="1"/>
    <col min="13581" max="13581" width="5.140625" style="24" customWidth="1"/>
    <col min="13582" max="13582" width="9.7109375" style="24" customWidth="1"/>
    <col min="13583" max="13583" width="6.7109375" style="24" bestFit="1" customWidth="1"/>
    <col min="13584" max="13584" width="4.85546875" style="24" customWidth="1"/>
    <col min="13585" max="13585" width="5.28515625" style="24" customWidth="1"/>
    <col min="13586" max="13587" width="4.42578125" style="24" bestFit="1" customWidth="1"/>
    <col min="13588" max="13588" width="13.28515625" style="24" bestFit="1" customWidth="1"/>
    <col min="13589" max="13589" width="3.140625" style="24" customWidth="1"/>
    <col min="13590" max="13590" width="5.42578125" style="24" bestFit="1" customWidth="1"/>
    <col min="13591" max="13591" width="4.42578125" style="24" bestFit="1" customWidth="1"/>
    <col min="13592" max="13592" width="6.42578125" style="24" customWidth="1"/>
    <col min="13593" max="13593" width="5" style="24" bestFit="1" customWidth="1"/>
    <col min="13594" max="13594" width="4.5703125" style="24" bestFit="1" customWidth="1"/>
    <col min="13595" max="13595" width="4.42578125" style="24" bestFit="1" customWidth="1"/>
    <col min="13596" max="13596" width="4" style="24" customWidth="1"/>
    <col min="13597" max="13824" width="11.42578125" style="24"/>
    <col min="13825" max="13825" width="14.85546875" style="24" bestFit="1" customWidth="1"/>
    <col min="13826" max="13826" width="28" style="24" bestFit="1" customWidth="1"/>
    <col min="13827" max="13827" width="4.42578125" style="24" bestFit="1" customWidth="1"/>
    <col min="13828" max="13828" width="8" style="24" bestFit="1" customWidth="1"/>
    <col min="13829" max="13829" width="11.42578125" style="24"/>
    <col min="13830" max="13830" width="22.85546875" style="24" bestFit="1" customWidth="1"/>
    <col min="13831" max="13831" width="7" style="24" customWidth="1"/>
    <col min="13832" max="13832" width="6.28515625" style="24" customWidth="1"/>
    <col min="13833" max="13833" width="5.7109375" style="24" customWidth="1"/>
    <col min="13834" max="13834" width="5.7109375" style="24" bestFit="1" customWidth="1"/>
    <col min="13835" max="13835" width="5.85546875" style="24" bestFit="1" customWidth="1"/>
    <col min="13836" max="13836" width="9.42578125" style="24" customWidth="1"/>
    <col min="13837" max="13837" width="5.140625" style="24" customWidth="1"/>
    <col min="13838" max="13838" width="9.7109375" style="24" customWidth="1"/>
    <col min="13839" max="13839" width="6.7109375" style="24" bestFit="1" customWidth="1"/>
    <col min="13840" max="13840" width="4.85546875" style="24" customWidth="1"/>
    <col min="13841" max="13841" width="5.28515625" style="24" customWidth="1"/>
    <col min="13842" max="13843" width="4.42578125" style="24" bestFit="1" customWidth="1"/>
    <col min="13844" max="13844" width="13.28515625" style="24" bestFit="1" customWidth="1"/>
    <col min="13845" max="13845" width="3.140625" style="24" customWidth="1"/>
    <col min="13846" max="13846" width="5.42578125" style="24" bestFit="1" customWidth="1"/>
    <col min="13847" max="13847" width="4.42578125" style="24" bestFit="1" customWidth="1"/>
    <col min="13848" max="13848" width="6.42578125" style="24" customWidth="1"/>
    <col min="13849" max="13849" width="5" style="24" bestFit="1" customWidth="1"/>
    <col min="13850" max="13850" width="4.5703125" style="24" bestFit="1" customWidth="1"/>
    <col min="13851" max="13851" width="4.42578125" style="24" bestFit="1" customWidth="1"/>
    <col min="13852" max="13852" width="4" style="24" customWidth="1"/>
    <col min="13853" max="14080" width="11.42578125" style="24"/>
    <col min="14081" max="14081" width="14.85546875" style="24" bestFit="1" customWidth="1"/>
    <col min="14082" max="14082" width="28" style="24" bestFit="1" customWidth="1"/>
    <col min="14083" max="14083" width="4.42578125" style="24" bestFit="1" customWidth="1"/>
    <col min="14084" max="14084" width="8" style="24" bestFit="1" customWidth="1"/>
    <col min="14085" max="14085" width="11.42578125" style="24"/>
    <col min="14086" max="14086" width="22.85546875" style="24" bestFit="1" customWidth="1"/>
    <col min="14087" max="14087" width="7" style="24" customWidth="1"/>
    <col min="14088" max="14088" width="6.28515625" style="24" customWidth="1"/>
    <col min="14089" max="14089" width="5.7109375" style="24" customWidth="1"/>
    <col min="14090" max="14090" width="5.7109375" style="24" bestFit="1" customWidth="1"/>
    <col min="14091" max="14091" width="5.85546875" style="24" bestFit="1" customWidth="1"/>
    <col min="14092" max="14092" width="9.42578125" style="24" customWidth="1"/>
    <col min="14093" max="14093" width="5.140625" style="24" customWidth="1"/>
    <col min="14094" max="14094" width="9.7109375" style="24" customWidth="1"/>
    <col min="14095" max="14095" width="6.7109375" style="24" bestFit="1" customWidth="1"/>
    <col min="14096" max="14096" width="4.85546875" style="24" customWidth="1"/>
    <col min="14097" max="14097" width="5.28515625" style="24" customWidth="1"/>
    <col min="14098" max="14099" width="4.42578125" style="24" bestFit="1" customWidth="1"/>
    <col min="14100" max="14100" width="13.28515625" style="24" bestFit="1" customWidth="1"/>
    <col min="14101" max="14101" width="3.140625" style="24" customWidth="1"/>
    <col min="14102" max="14102" width="5.42578125" style="24" bestFit="1" customWidth="1"/>
    <col min="14103" max="14103" width="4.42578125" style="24" bestFit="1" customWidth="1"/>
    <col min="14104" max="14104" width="6.42578125" style="24" customWidth="1"/>
    <col min="14105" max="14105" width="5" style="24" bestFit="1" customWidth="1"/>
    <col min="14106" max="14106" width="4.5703125" style="24" bestFit="1" customWidth="1"/>
    <col min="14107" max="14107" width="4.42578125" style="24" bestFit="1" customWidth="1"/>
    <col min="14108" max="14108" width="4" style="24" customWidth="1"/>
    <col min="14109" max="14336" width="11.42578125" style="24"/>
    <col min="14337" max="14337" width="14.85546875" style="24" bestFit="1" customWidth="1"/>
    <col min="14338" max="14338" width="28" style="24" bestFit="1" customWidth="1"/>
    <col min="14339" max="14339" width="4.42578125" style="24" bestFit="1" customWidth="1"/>
    <col min="14340" max="14340" width="8" style="24" bestFit="1" customWidth="1"/>
    <col min="14341" max="14341" width="11.42578125" style="24"/>
    <col min="14342" max="14342" width="22.85546875" style="24" bestFit="1" customWidth="1"/>
    <col min="14343" max="14343" width="7" style="24" customWidth="1"/>
    <col min="14344" max="14344" width="6.28515625" style="24" customWidth="1"/>
    <col min="14345" max="14345" width="5.7109375" style="24" customWidth="1"/>
    <col min="14346" max="14346" width="5.7109375" style="24" bestFit="1" customWidth="1"/>
    <col min="14347" max="14347" width="5.85546875" style="24" bestFit="1" customWidth="1"/>
    <col min="14348" max="14348" width="9.42578125" style="24" customWidth="1"/>
    <col min="14349" max="14349" width="5.140625" style="24" customWidth="1"/>
    <col min="14350" max="14350" width="9.7109375" style="24" customWidth="1"/>
    <col min="14351" max="14351" width="6.7109375" style="24" bestFit="1" customWidth="1"/>
    <col min="14352" max="14352" width="4.85546875" style="24" customWidth="1"/>
    <col min="14353" max="14353" width="5.28515625" style="24" customWidth="1"/>
    <col min="14354" max="14355" width="4.42578125" style="24" bestFit="1" customWidth="1"/>
    <col min="14356" max="14356" width="13.28515625" style="24" bestFit="1" customWidth="1"/>
    <col min="14357" max="14357" width="3.140625" style="24" customWidth="1"/>
    <col min="14358" max="14358" width="5.42578125" style="24" bestFit="1" customWidth="1"/>
    <col min="14359" max="14359" width="4.42578125" style="24" bestFit="1" customWidth="1"/>
    <col min="14360" max="14360" width="6.42578125" style="24" customWidth="1"/>
    <col min="14361" max="14361" width="5" style="24" bestFit="1" customWidth="1"/>
    <col min="14362" max="14362" width="4.5703125" style="24" bestFit="1" customWidth="1"/>
    <col min="14363" max="14363" width="4.42578125" style="24" bestFit="1" customWidth="1"/>
    <col min="14364" max="14364" width="4" style="24" customWidth="1"/>
    <col min="14365" max="14592" width="11.42578125" style="24"/>
    <col min="14593" max="14593" width="14.85546875" style="24" bestFit="1" customWidth="1"/>
    <col min="14594" max="14594" width="28" style="24" bestFit="1" customWidth="1"/>
    <col min="14595" max="14595" width="4.42578125" style="24" bestFit="1" customWidth="1"/>
    <col min="14596" max="14596" width="8" style="24" bestFit="1" customWidth="1"/>
    <col min="14597" max="14597" width="11.42578125" style="24"/>
    <col min="14598" max="14598" width="22.85546875" style="24" bestFit="1" customWidth="1"/>
    <col min="14599" max="14599" width="7" style="24" customWidth="1"/>
    <col min="14600" max="14600" width="6.28515625" style="24" customWidth="1"/>
    <col min="14601" max="14601" width="5.7109375" style="24" customWidth="1"/>
    <col min="14602" max="14602" width="5.7109375" style="24" bestFit="1" customWidth="1"/>
    <col min="14603" max="14603" width="5.85546875" style="24" bestFit="1" customWidth="1"/>
    <col min="14604" max="14604" width="9.42578125" style="24" customWidth="1"/>
    <col min="14605" max="14605" width="5.140625" style="24" customWidth="1"/>
    <col min="14606" max="14606" width="9.7109375" style="24" customWidth="1"/>
    <col min="14607" max="14607" width="6.7109375" style="24" bestFit="1" customWidth="1"/>
    <col min="14608" max="14608" width="4.85546875" style="24" customWidth="1"/>
    <col min="14609" max="14609" width="5.28515625" style="24" customWidth="1"/>
    <col min="14610" max="14611" width="4.42578125" style="24" bestFit="1" customWidth="1"/>
    <col min="14612" max="14612" width="13.28515625" style="24" bestFit="1" customWidth="1"/>
    <col min="14613" max="14613" width="3.140625" style="24" customWidth="1"/>
    <col min="14614" max="14614" width="5.42578125" style="24" bestFit="1" customWidth="1"/>
    <col min="14615" max="14615" width="4.42578125" style="24" bestFit="1" customWidth="1"/>
    <col min="14616" max="14616" width="6.42578125" style="24" customWidth="1"/>
    <col min="14617" max="14617" width="5" style="24" bestFit="1" customWidth="1"/>
    <col min="14618" max="14618" width="4.5703125" style="24" bestFit="1" customWidth="1"/>
    <col min="14619" max="14619" width="4.42578125" style="24" bestFit="1" customWidth="1"/>
    <col min="14620" max="14620" width="4" style="24" customWidth="1"/>
    <col min="14621" max="14848" width="11.42578125" style="24"/>
    <col min="14849" max="14849" width="14.85546875" style="24" bestFit="1" customWidth="1"/>
    <col min="14850" max="14850" width="28" style="24" bestFit="1" customWidth="1"/>
    <col min="14851" max="14851" width="4.42578125" style="24" bestFit="1" customWidth="1"/>
    <col min="14852" max="14852" width="8" style="24" bestFit="1" customWidth="1"/>
    <col min="14853" max="14853" width="11.42578125" style="24"/>
    <col min="14854" max="14854" width="22.85546875" style="24" bestFit="1" customWidth="1"/>
    <col min="14855" max="14855" width="7" style="24" customWidth="1"/>
    <col min="14856" max="14856" width="6.28515625" style="24" customWidth="1"/>
    <col min="14857" max="14857" width="5.7109375" style="24" customWidth="1"/>
    <col min="14858" max="14858" width="5.7109375" style="24" bestFit="1" customWidth="1"/>
    <col min="14859" max="14859" width="5.85546875" style="24" bestFit="1" customWidth="1"/>
    <col min="14860" max="14860" width="9.42578125" style="24" customWidth="1"/>
    <col min="14861" max="14861" width="5.140625" style="24" customWidth="1"/>
    <col min="14862" max="14862" width="9.7109375" style="24" customWidth="1"/>
    <col min="14863" max="14863" width="6.7109375" style="24" bestFit="1" customWidth="1"/>
    <col min="14864" max="14864" width="4.85546875" style="24" customWidth="1"/>
    <col min="14865" max="14865" width="5.28515625" style="24" customWidth="1"/>
    <col min="14866" max="14867" width="4.42578125" style="24" bestFit="1" customWidth="1"/>
    <col min="14868" max="14868" width="13.28515625" style="24" bestFit="1" customWidth="1"/>
    <col min="14869" max="14869" width="3.140625" style="24" customWidth="1"/>
    <col min="14870" max="14870" width="5.42578125" style="24" bestFit="1" customWidth="1"/>
    <col min="14871" max="14871" width="4.42578125" style="24" bestFit="1" customWidth="1"/>
    <col min="14872" max="14872" width="6.42578125" style="24" customWidth="1"/>
    <col min="14873" max="14873" width="5" style="24" bestFit="1" customWidth="1"/>
    <col min="14874" max="14874" width="4.5703125" style="24" bestFit="1" customWidth="1"/>
    <col min="14875" max="14875" width="4.42578125" style="24" bestFit="1" customWidth="1"/>
    <col min="14876" max="14876" width="4" style="24" customWidth="1"/>
    <col min="14877" max="15104" width="11.42578125" style="24"/>
    <col min="15105" max="15105" width="14.85546875" style="24" bestFit="1" customWidth="1"/>
    <col min="15106" max="15106" width="28" style="24" bestFit="1" customWidth="1"/>
    <col min="15107" max="15107" width="4.42578125" style="24" bestFit="1" customWidth="1"/>
    <col min="15108" max="15108" width="8" style="24" bestFit="1" customWidth="1"/>
    <col min="15109" max="15109" width="11.42578125" style="24"/>
    <col min="15110" max="15110" width="22.85546875" style="24" bestFit="1" customWidth="1"/>
    <col min="15111" max="15111" width="7" style="24" customWidth="1"/>
    <col min="15112" max="15112" width="6.28515625" style="24" customWidth="1"/>
    <col min="15113" max="15113" width="5.7109375" style="24" customWidth="1"/>
    <col min="15114" max="15114" width="5.7109375" style="24" bestFit="1" customWidth="1"/>
    <col min="15115" max="15115" width="5.85546875" style="24" bestFit="1" customWidth="1"/>
    <col min="15116" max="15116" width="9.42578125" style="24" customWidth="1"/>
    <col min="15117" max="15117" width="5.140625" style="24" customWidth="1"/>
    <col min="15118" max="15118" width="9.7109375" style="24" customWidth="1"/>
    <col min="15119" max="15119" width="6.7109375" style="24" bestFit="1" customWidth="1"/>
    <col min="15120" max="15120" width="4.85546875" style="24" customWidth="1"/>
    <col min="15121" max="15121" width="5.28515625" style="24" customWidth="1"/>
    <col min="15122" max="15123" width="4.42578125" style="24" bestFit="1" customWidth="1"/>
    <col min="15124" max="15124" width="13.28515625" style="24" bestFit="1" customWidth="1"/>
    <col min="15125" max="15125" width="3.140625" style="24" customWidth="1"/>
    <col min="15126" max="15126" width="5.42578125" style="24" bestFit="1" customWidth="1"/>
    <col min="15127" max="15127" width="4.42578125" style="24" bestFit="1" customWidth="1"/>
    <col min="15128" max="15128" width="6.42578125" style="24" customWidth="1"/>
    <col min="15129" max="15129" width="5" style="24" bestFit="1" customWidth="1"/>
    <col min="15130" max="15130" width="4.5703125" style="24" bestFit="1" customWidth="1"/>
    <col min="15131" max="15131" width="4.42578125" style="24" bestFit="1" customWidth="1"/>
    <col min="15132" max="15132" width="4" style="24" customWidth="1"/>
    <col min="15133" max="15360" width="11.42578125" style="24"/>
    <col min="15361" max="15361" width="14.85546875" style="24" bestFit="1" customWidth="1"/>
    <col min="15362" max="15362" width="28" style="24" bestFit="1" customWidth="1"/>
    <col min="15363" max="15363" width="4.42578125" style="24" bestFit="1" customWidth="1"/>
    <col min="15364" max="15364" width="8" style="24" bestFit="1" customWidth="1"/>
    <col min="15365" max="15365" width="11.42578125" style="24"/>
    <col min="15366" max="15366" width="22.85546875" style="24" bestFit="1" customWidth="1"/>
    <col min="15367" max="15367" width="7" style="24" customWidth="1"/>
    <col min="15368" max="15368" width="6.28515625" style="24" customWidth="1"/>
    <col min="15369" max="15369" width="5.7109375" style="24" customWidth="1"/>
    <col min="15370" max="15370" width="5.7109375" style="24" bestFit="1" customWidth="1"/>
    <col min="15371" max="15371" width="5.85546875" style="24" bestFit="1" customWidth="1"/>
    <col min="15372" max="15372" width="9.42578125" style="24" customWidth="1"/>
    <col min="15373" max="15373" width="5.140625" style="24" customWidth="1"/>
    <col min="15374" max="15374" width="9.7109375" style="24" customWidth="1"/>
    <col min="15375" max="15375" width="6.7109375" style="24" bestFit="1" customWidth="1"/>
    <col min="15376" max="15376" width="4.85546875" style="24" customWidth="1"/>
    <col min="15377" max="15377" width="5.28515625" style="24" customWidth="1"/>
    <col min="15378" max="15379" width="4.42578125" style="24" bestFit="1" customWidth="1"/>
    <col min="15380" max="15380" width="13.28515625" style="24" bestFit="1" customWidth="1"/>
    <col min="15381" max="15381" width="3.140625" style="24" customWidth="1"/>
    <col min="15382" max="15382" width="5.42578125" style="24" bestFit="1" customWidth="1"/>
    <col min="15383" max="15383" width="4.42578125" style="24" bestFit="1" customWidth="1"/>
    <col min="15384" max="15384" width="6.42578125" style="24" customWidth="1"/>
    <col min="15385" max="15385" width="5" style="24" bestFit="1" customWidth="1"/>
    <col min="15386" max="15386" width="4.5703125" style="24" bestFit="1" customWidth="1"/>
    <col min="15387" max="15387" width="4.42578125" style="24" bestFit="1" customWidth="1"/>
    <col min="15388" max="15388" width="4" style="24" customWidth="1"/>
    <col min="15389" max="15616" width="11.42578125" style="24"/>
    <col min="15617" max="15617" width="14.85546875" style="24" bestFit="1" customWidth="1"/>
    <col min="15618" max="15618" width="28" style="24" bestFit="1" customWidth="1"/>
    <col min="15619" max="15619" width="4.42578125" style="24" bestFit="1" customWidth="1"/>
    <col min="15620" max="15620" width="8" style="24" bestFit="1" customWidth="1"/>
    <col min="15621" max="15621" width="11.42578125" style="24"/>
    <col min="15622" max="15622" width="22.85546875" style="24" bestFit="1" customWidth="1"/>
    <col min="15623" max="15623" width="7" style="24" customWidth="1"/>
    <col min="15624" max="15624" width="6.28515625" style="24" customWidth="1"/>
    <col min="15625" max="15625" width="5.7109375" style="24" customWidth="1"/>
    <col min="15626" max="15626" width="5.7109375" style="24" bestFit="1" customWidth="1"/>
    <col min="15627" max="15627" width="5.85546875" style="24" bestFit="1" customWidth="1"/>
    <col min="15628" max="15628" width="9.42578125" style="24" customWidth="1"/>
    <col min="15629" max="15629" width="5.140625" style="24" customWidth="1"/>
    <col min="15630" max="15630" width="9.7109375" style="24" customWidth="1"/>
    <col min="15631" max="15631" width="6.7109375" style="24" bestFit="1" customWidth="1"/>
    <col min="15632" max="15632" width="4.85546875" style="24" customWidth="1"/>
    <col min="15633" max="15633" width="5.28515625" style="24" customWidth="1"/>
    <col min="15634" max="15635" width="4.42578125" style="24" bestFit="1" customWidth="1"/>
    <col min="15636" max="15636" width="13.28515625" style="24" bestFit="1" customWidth="1"/>
    <col min="15637" max="15637" width="3.140625" style="24" customWidth="1"/>
    <col min="15638" max="15638" width="5.42578125" style="24" bestFit="1" customWidth="1"/>
    <col min="15639" max="15639" width="4.42578125" style="24" bestFit="1" customWidth="1"/>
    <col min="15640" max="15640" width="6.42578125" style="24" customWidth="1"/>
    <col min="15641" max="15641" width="5" style="24" bestFit="1" customWidth="1"/>
    <col min="15642" max="15642" width="4.5703125" style="24" bestFit="1" customWidth="1"/>
    <col min="15643" max="15643" width="4.42578125" style="24" bestFit="1" customWidth="1"/>
    <col min="15644" max="15644" width="4" style="24" customWidth="1"/>
    <col min="15645" max="15872" width="11.42578125" style="24"/>
    <col min="15873" max="15873" width="14.85546875" style="24" bestFit="1" customWidth="1"/>
    <col min="15874" max="15874" width="28" style="24" bestFit="1" customWidth="1"/>
    <col min="15875" max="15875" width="4.42578125" style="24" bestFit="1" customWidth="1"/>
    <col min="15876" max="15876" width="8" style="24" bestFit="1" customWidth="1"/>
    <col min="15877" max="15877" width="11.42578125" style="24"/>
    <col min="15878" max="15878" width="22.85546875" style="24" bestFit="1" customWidth="1"/>
    <col min="15879" max="15879" width="7" style="24" customWidth="1"/>
    <col min="15880" max="15880" width="6.28515625" style="24" customWidth="1"/>
    <col min="15881" max="15881" width="5.7109375" style="24" customWidth="1"/>
    <col min="15882" max="15882" width="5.7109375" style="24" bestFit="1" customWidth="1"/>
    <col min="15883" max="15883" width="5.85546875" style="24" bestFit="1" customWidth="1"/>
    <col min="15884" max="15884" width="9.42578125" style="24" customWidth="1"/>
    <col min="15885" max="15885" width="5.140625" style="24" customWidth="1"/>
    <col min="15886" max="15886" width="9.7109375" style="24" customWidth="1"/>
    <col min="15887" max="15887" width="6.7109375" style="24" bestFit="1" customWidth="1"/>
    <col min="15888" max="15888" width="4.85546875" style="24" customWidth="1"/>
    <col min="15889" max="15889" width="5.28515625" style="24" customWidth="1"/>
    <col min="15890" max="15891" width="4.42578125" style="24" bestFit="1" customWidth="1"/>
    <col min="15892" max="15892" width="13.28515625" style="24" bestFit="1" customWidth="1"/>
    <col min="15893" max="15893" width="3.140625" style="24" customWidth="1"/>
    <col min="15894" max="15894" width="5.42578125" style="24" bestFit="1" customWidth="1"/>
    <col min="15895" max="15895" width="4.42578125" style="24" bestFit="1" customWidth="1"/>
    <col min="15896" max="15896" width="6.42578125" style="24" customWidth="1"/>
    <col min="15897" max="15897" width="5" style="24" bestFit="1" customWidth="1"/>
    <col min="15898" max="15898" width="4.5703125" style="24" bestFit="1" customWidth="1"/>
    <col min="15899" max="15899" width="4.42578125" style="24" bestFit="1" customWidth="1"/>
    <col min="15900" max="15900" width="4" style="24" customWidth="1"/>
    <col min="15901" max="16128" width="11.42578125" style="24"/>
    <col min="16129" max="16129" width="14.85546875" style="24" bestFit="1" customWidth="1"/>
    <col min="16130" max="16130" width="28" style="24" bestFit="1" customWidth="1"/>
    <col min="16131" max="16131" width="4.42578125" style="24" bestFit="1" customWidth="1"/>
    <col min="16132" max="16132" width="8" style="24" bestFit="1" customWidth="1"/>
    <col min="16133" max="16133" width="11.42578125" style="24"/>
    <col min="16134" max="16134" width="22.85546875" style="24" bestFit="1" customWidth="1"/>
    <col min="16135" max="16135" width="7" style="24" customWidth="1"/>
    <col min="16136" max="16136" width="6.28515625" style="24" customWidth="1"/>
    <col min="16137" max="16137" width="5.7109375" style="24" customWidth="1"/>
    <col min="16138" max="16138" width="5.7109375" style="24" bestFit="1" customWidth="1"/>
    <col min="16139" max="16139" width="5.85546875" style="24" bestFit="1" customWidth="1"/>
    <col min="16140" max="16140" width="9.42578125" style="24" customWidth="1"/>
    <col min="16141" max="16141" width="5.140625" style="24" customWidth="1"/>
    <col min="16142" max="16142" width="9.7109375" style="24" customWidth="1"/>
    <col min="16143" max="16143" width="6.7109375" style="24" bestFit="1" customWidth="1"/>
    <col min="16144" max="16144" width="4.85546875" style="24" customWidth="1"/>
    <col min="16145" max="16145" width="5.28515625" style="24" customWidth="1"/>
    <col min="16146" max="16147" width="4.42578125" style="24" bestFit="1" customWidth="1"/>
    <col min="16148" max="16148" width="13.28515625" style="24" bestFit="1" customWidth="1"/>
    <col min="16149" max="16149" width="3.140625" style="24" customWidth="1"/>
    <col min="16150" max="16150" width="5.42578125" style="24" bestFit="1" customWidth="1"/>
    <col min="16151" max="16151" width="4.42578125" style="24" bestFit="1" customWidth="1"/>
    <col min="16152" max="16152" width="6.42578125" style="24" customWidth="1"/>
    <col min="16153" max="16153" width="5" style="24" bestFit="1" customWidth="1"/>
    <col min="16154" max="16154" width="4.5703125" style="24" bestFit="1" customWidth="1"/>
    <col min="16155" max="16155" width="4.42578125" style="24" bestFit="1" customWidth="1"/>
    <col min="16156" max="16156" width="4" style="24" customWidth="1"/>
    <col min="16157" max="16384" width="11.42578125" style="24"/>
  </cols>
  <sheetData>
    <row r="1" spans="1:42" x14ac:dyDescent="0.2">
      <c r="E1" s="1"/>
      <c r="F1" s="1"/>
      <c r="G1" s="631" t="s">
        <v>0</v>
      </c>
      <c r="H1" s="632"/>
      <c r="I1" s="632"/>
      <c r="J1" s="632"/>
      <c r="K1" s="632"/>
      <c r="L1" s="633"/>
      <c r="M1" s="589"/>
      <c r="N1" s="632" t="s">
        <v>1</v>
      </c>
      <c r="O1" s="632"/>
      <c r="P1" s="632"/>
      <c r="Q1" s="632"/>
      <c r="R1" s="632"/>
      <c r="S1" s="632"/>
      <c r="T1" s="632"/>
      <c r="U1" s="1"/>
      <c r="V1" s="632" t="s">
        <v>2</v>
      </c>
      <c r="W1" s="632"/>
      <c r="X1" s="632"/>
      <c r="Y1" s="632"/>
      <c r="Z1" s="632"/>
      <c r="AA1" s="632"/>
      <c r="AB1" s="28"/>
    </row>
    <row r="2" spans="1:42" ht="15" customHeight="1" x14ac:dyDescent="0.25">
      <c r="E2" s="1"/>
      <c r="F2" s="1"/>
      <c r="G2" s="675" t="s">
        <v>43</v>
      </c>
      <c r="H2" s="635"/>
      <c r="I2" s="636" t="s">
        <v>3</v>
      </c>
      <c r="J2" s="635"/>
      <c r="K2" s="635"/>
      <c r="L2" s="635"/>
      <c r="M2" s="378"/>
      <c r="N2" s="637" t="s">
        <v>4</v>
      </c>
      <c r="O2" s="639" t="s">
        <v>5</v>
      </c>
      <c r="P2" s="640"/>
      <c r="Q2" s="640"/>
      <c r="R2" s="640"/>
      <c r="S2" s="640"/>
      <c r="T2" s="641"/>
      <c r="U2" s="1"/>
      <c r="V2" s="643" t="s">
        <v>515</v>
      </c>
      <c r="W2" s="640"/>
      <c r="X2" s="640"/>
      <c r="Y2" s="640"/>
      <c r="Z2" s="640"/>
      <c r="AA2" s="641"/>
      <c r="AB2" s="29"/>
      <c r="AJ2" s="578"/>
      <c r="AK2" s="571"/>
      <c r="AL2" s="578"/>
      <c r="AM2" s="570" t="s">
        <v>514</v>
      </c>
      <c r="AN2" s="571"/>
      <c r="AO2" s="572"/>
    </row>
    <row r="3" spans="1:42" s="25" customFormat="1" ht="38.25" x14ac:dyDescent="0.2">
      <c r="E3" s="4"/>
      <c r="F3" s="4"/>
      <c r="G3" s="30"/>
      <c r="H3" s="30"/>
      <c r="I3" s="644" t="s">
        <v>6</v>
      </c>
      <c r="J3" s="635"/>
      <c r="K3" s="644" t="s">
        <v>52</v>
      </c>
      <c r="L3" s="635"/>
      <c r="M3" s="379" t="s">
        <v>474</v>
      </c>
      <c r="N3" s="638"/>
      <c r="O3" s="642"/>
      <c r="P3" s="640"/>
      <c r="Q3" s="640"/>
      <c r="R3" s="640"/>
      <c r="S3" s="640"/>
      <c r="T3" s="641"/>
      <c r="U3" s="4"/>
      <c r="V3" s="642"/>
      <c r="W3" s="633"/>
      <c r="X3" s="633"/>
      <c r="Y3" s="633"/>
      <c r="Z3" s="633"/>
      <c r="AA3" s="641"/>
      <c r="AB3" s="31"/>
      <c r="AD3" s="579"/>
      <c r="AE3" s="579" t="s">
        <v>499</v>
      </c>
      <c r="AF3" s="579"/>
      <c r="AG3" s="579" t="s">
        <v>516</v>
      </c>
      <c r="AH3" s="579"/>
      <c r="AI3" s="579" t="s">
        <v>459</v>
      </c>
      <c r="AJ3" s="573"/>
      <c r="AK3" s="574"/>
      <c r="AL3" s="574"/>
      <c r="AM3" s="574"/>
      <c r="AN3" s="574"/>
      <c r="AO3" s="572"/>
    </row>
    <row r="4" spans="1:42" ht="15" x14ac:dyDescent="0.25">
      <c r="A4" s="648" t="s">
        <v>44</v>
      </c>
      <c r="B4" s="649"/>
      <c r="C4" s="649"/>
      <c r="E4" s="22" t="s">
        <v>7</v>
      </c>
      <c r="F4" s="22" t="s">
        <v>8</v>
      </c>
      <c r="G4" s="32"/>
      <c r="H4" s="33" t="s">
        <v>9</v>
      </c>
      <c r="I4" s="21"/>
      <c r="J4" s="606" t="s">
        <v>9</v>
      </c>
      <c r="K4" s="21"/>
      <c r="L4" s="606" t="s">
        <v>9</v>
      </c>
      <c r="M4" s="33"/>
      <c r="N4" s="638"/>
      <c r="O4" s="14" t="s">
        <v>10</v>
      </c>
      <c r="P4" s="14" t="s">
        <v>11</v>
      </c>
      <c r="Q4" s="14" t="s">
        <v>12</v>
      </c>
      <c r="R4" s="13" t="s">
        <v>13</v>
      </c>
      <c r="S4" s="12" t="s">
        <v>14</v>
      </c>
      <c r="T4" s="12" t="s">
        <v>15</v>
      </c>
      <c r="U4" s="10"/>
      <c r="V4" s="20" t="s">
        <v>9</v>
      </c>
      <c r="W4" s="14" t="s">
        <v>16</v>
      </c>
      <c r="X4" s="14" t="s">
        <v>17</v>
      </c>
      <c r="Y4" s="13" t="s">
        <v>18</v>
      </c>
      <c r="Z4" s="12" t="s">
        <v>19</v>
      </c>
      <c r="AA4" s="12" t="s">
        <v>20</v>
      </c>
      <c r="AB4" s="24" t="s">
        <v>517</v>
      </c>
      <c r="AD4" s="14" t="s">
        <v>16</v>
      </c>
      <c r="AE4" s="14" t="s">
        <v>17</v>
      </c>
      <c r="AF4" s="13" t="s">
        <v>18</v>
      </c>
      <c r="AG4" s="12" t="s">
        <v>19</v>
      </c>
      <c r="AH4" s="12" t="s">
        <v>20</v>
      </c>
      <c r="AI4" s="594" t="s">
        <v>459</v>
      </c>
      <c r="AJ4" s="575" t="s">
        <v>9</v>
      </c>
      <c r="AK4" s="575" t="s">
        <v>16</v>
      </c>
      <c r="AL4" s="575" t="s">
        <v>17</v>
      </c>
      <c r="AM4" s="576" t="s">
        <v>18</v>
      </c>
      <c r="AN4" s="577" t="s">
        <v>19</v>
      </c>
      <c r="AO4" s="577" t="s">
        <v>20</v>
      </c>
    </row>
    <row r="5" spans="1:42" ht="15" x14ac:dyDescent="0.25">
      <c r="A5" s="24" t="s">
        <v>9</v>
      </c>
      <c r="C5" s="26">
        <f>SUM(C7:C25)</f>
        <v>254.30679437314899</v>
      </c>
      <c r="E5" s="2"/>
      <c r="F5" s="19"/>
      <c r="G5" s="34">
        <f>SUM(G7:G44)-R23-S23</f>
        <v>253.72298874522971</v>
      </c>
      <c r="H5" s="19"/>
      <c r="I5" s="18"/>
      <c r="J5" s="17"/>
      <c r="L5" s="8"/>
      <c r="N5" s="16"/>
      <c r="O5" s="15"/>
      <c r="P5" s="14"/>
      <c r="Q5" s="14"/>
      <c r="R5" s="13"/>
      <c r="S5" s="12"/>
      <c r="T5" s="11">
        <f>SUM(T7:T32)+T39</f>
        <v>153.44724405923179</v>
      </c>
      <c r="U5" s="10"/>
      <c r="V5" s="9">
        <f>SUM(V7,V21,V26:V32,V34)</f>
        <v>141.35992461220781</v>
      </c>
      <c r="W5" s="9">
        <f>SUM(W7:W44)</f>
        <v>4.9028632242196792</v>
      </c>
      <c r="X5" s="9">
        <f>SUM(X7:X44)</f>
        <v>35.581263206731975</v>
      </c>
      <c r="Y5" s="9">
        <f>SUM(Y7:Y44)</f>
        <v>33.710339547937352</v>
      </c>
      <c r="Z5" s="9">
        <f>SUM(Z7:Z44)</f>
        <v>22.729321282548508</v>
      </c>
      <c r="AA5" s="9">
        <f>SUM(AA7:AA44)</f>
        <v>44.436137350770274</v>
      </c>
      <c r="AB5" s="27"/>
      <c r="AJ5" s="9">
        <f>SUM(AJ13,AJ23,AJ26:AJ32,AJ40)</f>
        <v>154.26030999227305</v>
      </c>
      <c r="AK5" s="9">
        <f>SUM(AK7:AK44)</f>
        <v>4.9047852199405435</v>
      </c>
      <c r="AL5" s="9">
        <f>SUM(AL7:AL44)</f>
        <v>35.376092046757002</v>
      </c>
      <c r="AM5" s="9">
        <f>SUM(AM7:AM44)</f>
        <v>39.293582217044602</v>
      </c>
      <c r="AN5" s="9">
        <f>SUM(AN7:AN44)</f>
        <v>23.342412002148667</v>
      </c>
      <c r="AO5" s="9">
        <f>SUM(AO7:AO44)</f>
        <v>51.343438506382249</v>
      </c>
      <c r="AP5" s="27"/>
    </row>
    <row r="6" spans="1:42" x14ac:dyDescent="0.2">
      <c r="E6" s="1"/>
      <c r="F6" s="1"/>
      <c r="G6" s="509">
        <f>G5-'bilan complet'!K261-I40-I41</f>
        <v>5.6161277950780297E-2</v>
      </c>
      <c r="H6" s="510"/>
      <c r="I6" s="510"/>
      <c r="J6" s="510"/>
      <c r="K6" s="510"/>
      <c r="L6" s="510"/>
      <c r="M6" s="510"/>
      <c r="N6" s="510"/>
      <c r="O6" s="510"/>
      <c r="P6" s="510"/>
      <c r="Q6" s="510"/>
      <c r="R6" s="510"/>
      <c r="S6" s="510"/>
      <c r="T6" s="509">
        <f>T5-'bilan complet'!K255+(SUM(AD7:AH19)-T7)</f>
        <v>-7.1054273576010019E-15</v>
      </c>
      <c r="U6" s="510"/>
      <c r="V6" s="511">
        <f>V5-'scenario demande'!H368</f>
        <v>0</v>
      </c>
      <c r="W6" s="1"/>
      <c r="X6" s="1"/>
      <c r="Y6" s="1"/>
      <c r="Z6" s="1"/>
      <c r="AA6" s="1"/>
      <c r="AB6" s="35"/>
      <c r="AJ6" s="580">
        <f>AJ5-'bilan complet'!K255</f>
        <v>0</v>
      </c>
      <c r="AK6" s="1"/>
      <c r="AL6" s="1"/>
      <c r="AM6" s="1"/>
      <c r="AN6" s="1"/>
      <c r="AO6" s="1"/>
    </row>
    <row r="7" spans="1:42" x14ac:dyDescent="0.2">
      <c r="A7" s="24" t="s">
        <v>45</v>
      </c>
      <c r="B7" s="24" t="s">
        <v>46</v>
      </c>
      <c r="C7" s="27">
        <f>G29+G35+G13</f>
        <v>15.237702247549423</v>
      </c>
      <c r="E7" s="650" t="s">
        <v>14</v>
      </c>
      <c r="F7" s="1" t="s">
        <v>21</v>
      </c>
      <c r="G7" s="2">
        <f>électricité!H27*0.086</f>
        <v>5.8230781406249994</v>
      </c>
      <c r="H7" s="651">
        <f>SUM(G7:G20)</f>
        <v>121.1554305158606</v>
      </c>
      <c r="I7" s="3"/>
      <c r="J7" s="652">
        <f>SUM(I7:I19)</f>
        <v>71.131999088666163</v>
      </c>
      <c r="K7" s="2">
        <f>G7-I7</f>
        <v>5.8230781406249994</v>
      </c>
      <c r="L7" s="652">
        <f>SUM(K6:K19)</f>
        <v>52.592253378070382</v>
      </c>
      <c r="N7" s="651">
        <f>L7-M13</f>
        <v>47.22322743059032</v>
      </c>
      <c r="O7" s="46"/>
      <c r="P7" s="46"/>
      <c r="Q7" s="46"/>
      <c r="R7" s="45"/>
      <c r="S7" s="588"/>
      <c r="T7" s="666">
        <f>N7-O12-P12-Q12</f>
        <v>42.077402985277821</v>
      </c>
      <c r="U7" s="23"/>
      <c r="V7" s="655">
        <f>SUM(W7:AA19)</f>
        <v>41.717618015643701</v>
      </c>
      <c r="W7" s="503"/>
      <c r="X7" s="506"/>
      <c r="Y7" s="503"/>
      <c r="Z7" s="506"/>
      <c r="AA7" s="503"/>
      <c r="AB7" s="36"/>
      <c r="AC7" s="514"/>
      <c r="AD7" s="645">
        <f>'bilan complet'!$I$253</f>
        <v>0.83670951424265561</v>
      </c>
      <c r="AE7" s="645">
        <f>'bilan complet'!$I$250</f>
        <v>11.698851723619905</v>
      </c>
      <c r="AF7" s="645">
        <f>'bilan complet'!$I$251</f>
        <v>13.78305140388337</v>
      </c>
      <c r="AG7" s="645">
        <f>'bilan complet'!$I$252</f>
        <v>14.12317539540161</v>
      </c>
      <c r="AH7" s="655">
        <f>'bilan complet'!$I$254</f>
        <v>2.448680881171537</v>
      </c>
      <c r="AJ7" s="554"/>
      <c r="AK7" s="555"/>
      <c r="AL7" s="506"/>
      <c r="AM7" s="503"/>
      <c r="AN7" s="506"/>
      <c r="AO7" s="503"/>
    </row>
    <row r="8" spans="1:42" x14ac:dyDescent="0.2">
      <c r="B8" s="24" t="s">
        <v>21</v>
      </c>
      <c r="C8" s="27">
        <f>G7</f>
        <v>5.8230781406249994</v>
      </c>
      <c r="D8" s="27"/>
      <c r="E8" s="650"/>
      <c r="F8" s="1" t="s">
        <v>22</v>
      </c>
      <c r="G8" s="2">
        <f>électricité!H25*0.086</f>
        <v>5.6278359687499995</v>
      </c>
      <c r="H8" s="651"/>
      <c r="I8" s="3"/>
      <c r="J8" s="652"/>
      <c r="K8" s="2">
        <f>G8-I8</f>
        <v>5.6278359687499995</v>
      </c>
      <c r="L8" s="652"/>
      <c r="N8" s="651"/>
      <c r="O8" s="46"/>
      <c r="P8" s="46"/>
      <c r="Q8" s="46"/>
      <c r="R8" s="45"/>
      <c r="S8" s="588"/>
      <c r="T8" s="666"/>
      <c r="U8" s="23"/>
      <c r="V8" s="656"/>
      <c r="W8" s="504"/>
      <c r="X8" s="507"/>
      <c r="Y8" s="504"/>
      <c r="Z8" s="507"/>
      <c r="AA8" s="504"/>
      <c r="AB8" s="36"/>
      <c r="AC8" s="38"/>
      <c r="AD8" s="646"/>
      <c r="AE8" s="646"/>
      <c r="AF8" s="646"/>
      <c r="AG8" s="646"/>
      <c r="AH8" s="656"/>
      <c r="AJ8" s="591"/>
      <c r="AK8" s="556"/>
      <c r="AL8" s="507"/>
      <c r="AM8" s="504"/>
      <c r="AN8" s="507"/>
      <c r="AO8" s="504"/>
    </row>
    <row r="9" spans="1:42" x14ac:dyDescent="0.2">
      <c r="B9" s="24" t="s">
        <v>47</v>
      </c>
      <c r="C9" s="27">
        <f>G11+G21+G22+G26+G34</f>
        <v>0</v>
      </c>
      <c r="E9" s="650"/>
      <c r="F9" s="1" t="s">
        <v>23</v>
      </c>
      <c r="G9" s="2">
        <f>électricité!H26*0.086</f>
        <v>2.7230235429687499</v>
      </c>
      <c r="H9" s="651"/>
      <c r="I9" s="3"/>
      <c r="J9" s="652"/>
      <c r="K9" s="2">
        <f>G9-I9</f>
        <v>2.7230235429687499</v>
      </c>
      <c r="L9" s="652"/>
      <c r="N9" s="651"/>
      <c r="O9" s="46"/>
      <c r="P9" s="46"/>
      <c r="Q9" s="46"/>
      <c r="R9" s="45"/>
      <c r="S9" s="588"/>
      <c r="T9" s="666"/>
      <c r="U9" s="23"/>
      <c r="V9" s="656"/>
      <c r="W9" s="504"/>
      <c r="X9" s="507"/>
      <c r="Y9" s="504"/>
      <c r="Z9" s="507"/>
      <c r="AA9" s="504"/>
      <c r="AB9" s="36"/>
      <c r="AC9" s="38"/>
      <c r="AD9" s="646"/>
      <c r="AE9" s="646"/>
      <c r="AF9" s="646"/>
      <c r="AG9" s="646"/>
      <c r="AH9" s="656"/>
      <c r="AJ9" s="591"/>
      <c r="AK9" s="556"/>
      <c r="AL9" s="507"/>
      <c r="AM9" s="504"/>
      <c r="AN9" s="507"/>
      <c r="AO9" s="504"/>
    </row>
    <row r="10" spans="1:42" x14ac:dyDescent="0.2">
      <c r="B10" s="24" t="s">
        <v>28</v>
      </c>
      <c r="C10" s="27">
        <f>G14+G30+G37</f>
        <v>0.15800065494576065</v>
      </c>
      <c r="E10" s="650"/>
      <c r="F10" s="1" t="s">
        <v>24</v>
      </c>
      <c r="G10" s="2">
        <f>80.7+'bilan complet'!H233</f>
        <v>78.98</v>
      </c>
      <c r="H10" s="651"/>
      <c r="I10" s="3">
        <f>K10/0.33-K10</f>
        <v>54.067324587594683</v>
      </c>
      <c r="J10" s="652"/>
      <c r="K10" s="3">
        <f>électricité!H22*0.086</f>
        <v>26.630174796874996</v>
      </c>
      <c r="L10" s="652"/>
      <c r="N10" s="651"/>
      <c r="O10" s="46"/>
      <c r="P10" s="46"/>
      <c r="Q10" s="46"/>
      <c r="R10" s="45"/>
      <c r="S10" s="588"/>
      <c r="T10" s="666"/>
      <c r="U10" s="23"/>
      <c r="V10" s="656"/>
      <c r="W10" s="504"/>
      <c r="X10" s="507"/>
      <c r="Y10" s="504"/>
      <c r="Z10" s="507"/>
      <c r="AA10" s="504"/>
      <c r="AB10" s="36"/>
      <c r="AC10" s="38"/>
      <c r="AD10" s="646"/>
      <c r="AE10" s="646"/>
      <c r="AF10" s="646"/>
      <c r="AG10" s="646"/>
      <c r="AH10" s="656"/>
      <c r="AJ10" s="591"/>
      <c r="AK10" s="556"/>
      <c r="AL10" s="507"/>
      <c r="AM10" s="504"/>
      <c r="AN10" s="507"/>
      <c r="AO10" s="504"/>
    </row>
    <row r="11" spans="1:42" x14ac:dyDescent="0.2">
      <c r="B11" s="24" t="s">
        <v>22</v>
      </c>
      <c r="C11" s="27">
        <f>G8</f>
        <v>5.6278359687499995</v>
      </c>
      <c r="E11" s="650"/>
      <c r="F11" s="1" t="s">
        <v>25</v>
      </c>
      <c r="G11" s="2"/>
      <c r="H11" s="651"/>
      <c r="I11" s="3"/>
      <c r="J11" s="652"/>
      <c r="K11" s="2">
        <f>G11-I11</f>
        <v>0</v>
      </c>
      <c r="L11" s="652"/>
      <c r="N11" s="651"/>
      <c r="O11" s="46"/>
      <c r="P11" s="46"/>
      <c r="Q11" s="46"/>
      <c r="R11" s="45"/>
      <c r="S11" s="588"/>
      <c r="T11" s="666"/>
      <c r="U11" s="23"/>
      <c r="V11" s="656"/>
      <c r="W11" s="504"/>
      <c r="X11" s="507"/>
      <c r="Y11" s="504"/>
      <c r="Z11" s="507"/>
      <c r="AA11" s="504"/>
      <c r="AB11" s="36"/>
      <c r="AC11" s="38"/>
      <c r="AD11" s="646"/>
      <c r="AE11" s="646"/>
      <c r="AF11" s="646"/>
      <c r="AG11" s="646"/>
      <c r="AH11" s="656"/>
      <c r="AJ11" s="591"/>
      <c r="AK11" s="556"/>
      <c r="AL11" s="507"/>
      <c r="AM11" s="504"/>
      <c r="AN11" s="507"/>
      <c r="AO11" s="504"/>
    </row>
    <row r="12" spans="1:42" x14ac:dyDescent="0.2">
      <c r="B12" s="24" t="s">
        <v>23</v>
      </c>
      <c r="C12" s="27">
        <f>G9</f>
        <v>2.7230235429687499</v>
      </c>
      <c r="D12" s="27"/>
      <c r="E12" s="650"/>
      <c r="F12" s="1" t="s">
        <v>26</v>
      </c>
      <c r="G12" s="2">
        <f>'bilan complet'!J247</f>
        <v>3.7274099614546392</v>
      </c>
      <c r="H12" s="651"/>
      <c r="I12" s="3">
        <f>G12-K12</f>
        <v>2.6793252739546389</v>
      </c>
      <c r="J12" s="652"/>
      <c r="K12" s="2">
        <f>électricité!H21*0.086</f>
        <v>1.0480846875000001</v>
      </c>
      <c r="L12" s="652"/>
      <c r="N12" s="651"/>
      <c r="O12" s="46">
        <f>(électricité!H32)*0.086</f>
        <v>3.4258244453124997</v>
      </c>
      <c r="P12" s="46">
        <f>électricité!H36*0.086</f>
        <v>1.7199999999999998</v>
      </c>
      <c r="Q12" s="46"/>
      <c r="R12" s="45"/>
      <c r="S12" s="588"/>
      <c r="T12" s="666"/>
      <c r="U12" s="7"/>
      <c r="V12" s="656"/>
      <c r="W12" s="504"/>
      <c r="X12" s="507"/>
      <c r="Y12" s="504"/>
      <c r="Z12" s="507"/>
      <c r="AA12" s="504"/>
      <c r="AB12" s="36"/>
      <c r="AC12" s="38" t="s">
        <v>497</v>
      </c>
      <c r="AD12" s="646"/>
      <c r="AE12" s="646"/>
      <c r="AF12" s="646"/>
      <c r="AG12" s="646"/>
      <c r="AH12" s="656"/>
      <c r="AJ12" s="591"/>
      <c r="AK12" s="556"/>
      <c r="AL12" s="507"/>
      <c r="AM12" s="504"/>
      <c r="AN12" s="507"/>
      <c r="AO12" s="504"/>
    </row>
    <row r="13" spans="1:42" x14ac:dyDescent="0.2">
      <c r="B13" s="24" t="s">
        <v>62</v>
      </c>
      <c r="C13" s="27">
        <f>G39</f>
        <v>5.4100717534313203</v>
      </c>
      <c r="E13" s="650"/>
      <c r="F13" s="1" t="s">
        <v>27</v>
      </c>
      <c r="G13" s="2"/>
      <c r="H13" s="651"/>
      <c r="I13" s="3"/>
      <c r="J13" s="652"/>
      <c r="K13" s="2">
        <f>G13-I13</f>
        <v>0</v>
      </c>
      <c r="L13" s="652"/>
      <c r="M13" s="37">
        <f>électricité!H34*0.086</f>
        <v>5.3690259474800586</v>
      </c>
      <c r="N13" s="651"/>
      <c r="O13" s="46"/>
      <c r="P13" s="46"/>
      <c r="Q13" s="46"/>
      <c r="R13" s="45"/>
      <c r="S13" s="588"/>
      <c r="T13" s="666"/>
      <c r="U13" s="1"/>
      <c r="V13" s="656"/>
      <c r="W13" s="504">
        <f>'scenario demande'!$H$339</f>
        <v>0.78529870714547101</v>
      </c>
      <c r="X13" s="507">
        <f>'scenario demande'!$H$12</f>
        <v>11.67769799911019</v>
      </c>
      <c r="Y13" s="504">
        <f>'scenario demande'!$H$113</f>
        <v>12.839029802457777</v>
      </c>
      <c r="Z13" s="507">
        <f>'scenario demande'!$H$188</f>
        <v>13.964994696699854</v>
      </c>
      <c r="AA13" s="504">
        <f>'scenario demande'!$H$278</f>
        <v>2.4505968102304081</v>
      </c>
      <c r="AB13" s="36"/>
      <c r="AC13" s="38"/>
      <c r="AD13" s="646"/>
      <c r="AE13" s="646"/>
      <c r="AF13" s="646"/>
      <c r="AG13" s="646"/>
      <c r="AH13" s="656"/>
      <c r="AI13" s="27">
        <f>SUM(AD7:AH19)</f>
        <v>42.890468918319073</v>
      </c>
      <c r="AJ13" s="591">
        <f>SUM(AK7:AO19)</f>
        <v>42.890468918319073</v>
      </c>
      <c r="AK13" s="557">
        <f>AD7</f>
        <v>0.83670951424265561</v>
      </c>
      <c r="AL13" s="507">
        <f>AE7</f>
        <v>11.698851723619905</v>
      </c>
      <c r="AM13" s="507">
        <f>AF7</f>
        <v>13.78305140388337</v>
      </c>
      <c r="AN13" s="507">
        <f>AG7</f>
        <v>14.12317539540161</v>
      </c>
      <c r="AO13" s="507">
        <f>AH7</f>
        <v>2.448680881171537</v>
      </c>
    </row>
    <row r="14" spans="1:42" x14ac:dyDescent="0.2">
      <c r="B14" s="24" t="s">
        <v>48</v>
      </c>
      <c r="C14" s="27">
        <f>G38</f>
        <v>1.88</v>
      </c>
      <c r="E14" s="650"/>
      <c r="F14" s="1" t="s">
        <v>28</v>
      </c>
      <c r="G14" s="2"/>
      <c r="H14" s="651"/>
      <c r="I14" s="3"/>
      <c r="J14" s="652"/>
      <c r="K14" s="2">
        <f>G14-I14</f>
        <v>0</v>
      </c>
      <c r="L14" s="652"/>
      <c r="N14" s="651"/>
      <c r="O14" s="46"/>
      <c r="P14" s="46"/>
      <c r="Q14" s="46"/>
      <c r="R14" s="45"/>
      <c r="S14" s="588"/>
      <c r="T14" s="666"/>
      <c r="U14" s="1"/>
      <c r="V14" s="656"/>
      <c r="W14" s="504"/>
      <c r="X14" s="507"/>
      <c r="Y14" s="504"/>
      <c r="Z14" s="507"/>
      <c r="AA14" s="504"/>
      <c r="AB14" s="36"/>
      <c r="AC14" s="38"/>
      <c r="AD14" s="646"/>
      <c r="AE14" s="646"/>
      <c r="AF14" s="646"/>
      <c r="AG14" s="646"/>
      <c r="AH14" s="656"/>
      <c r="AJ14" s="591"/>
      <c r="AK14" s="556"/>
      <c r="AL14" s="507"/>
      <c r="AM14" s="504"/>
      <c r="AN14" s="507"/>
      <c r="AO14" s="504"/>
    </row>
    <row r="15" spans="1:42" x14ac:dyDescent="0.2">
      <c r="B15" s="24" t="s">
        <v>35</v>
      </c>
      <c r="C15" s="27">
        <f>G36+G31</f>
        <v>0.54093958086900806</v>
      </c>
      <c r="E15" s="650"/>
      <c r="F15" s="1" t="s">
        <v>29</v>
      </c>
      <c r="G15" s="2">
        <f>électricité!H30*0.086</f>
        <v>7.5335997971706095E-8</v>
      </c>
      <c r="H15" s="651"/>
      <c r="I15" s="3"/>
      <c r="J15" s="652"/>
      <c r="K15" s="2">
        <f>G15-I15</f>
        <v>7.5335997971706095E-8</v>
      </c>
      <c r="L15" s="652"/>
      <c r="N15" s="651"/>
      <c r="O15" s="46"/>
      <c r="P15" s="46"/>
      <c r="Q15" s="46"/>
      <c r="R15" s="45"/>
      <c r="S15" s="588"/>
      <c r="T15" s="666"/>
      <c r="U15" s="1"/>
      <c r="V15" s="656"/>
      <c r="W15" s="504"/>
      <c r="X15" s="507"/>
      <c r="Y15" s="504"/>
      <c r="Z15" s="507"/>
      <c r="AA15" s="504"/>
      <c r="AB15" s="36"/>
      <c r="AC15" s="38"/>
      <c r="AD15" s="646"/>
      <c r="AE15" s="646"/>
      <c r="AF15" s="646"/>
      <c r="AG15" s="646"/>
      <c r="AH15" s="656"/>
      <c r="AJ15" s="591"/>
      <c r="AK15" s="556"/>
      <c r="AL15" s="507"/>
      <c r="AM15" s="504"/>
      <c r="AN15" s="507"/>
      <c r="AO15" s="504"/>
    </row>
    <row r="16" spans="1:42" x14ac:dyDescent="0.2">
      <c r="B16" s="24" t="s">
        <v>39</v>
      </c>
      <c r="C16" s="27">
        <f>G12+G16+G27+G28</f>
        <v>4.6263864657198486</v>
      </c>
      <c r="E16" s="650"/>
      <c r="F16" s="1" t="s">
        <v>30</v>
      </c>
      <c r="G16" s="2">
        <v>0</v>
      </c>
      <c r="H16" s="651"/>
      <c r="I16" s="3"/>
      <c r="J16" s="652"/>
      <c r="K16" s="2">
        <f>électricité!H20*0.086</f>
        <v>0.85132256640624993</v>
      </c>
      <c r="L16" s="652"/>
      <c r="N16" s="651"/>
      <c r="O16" s="46"/>
      <c r="P16" s="46"/>
      <c r="Q16" s="46"/>
      <c r="R16" s="45"/>
      <c r="S16" s="588"/>
      <c r="T16" s="666"/>
      <c r="U16" s="1"/>
      <c r="V16" s="656"/>
      <c r="W16" s="504"/>
      <c r="X16" s="507"/>
      <c r="Y16" s="504"/>
      <c r="Z16" s="507"/>
      <c r="AA16" s="504"/>
      <c r="AB16" s="36"/>
      <c r="AC16" s="38"/>
      <c r="AD16" s="646"/>
      <c r="AE16" s="646"/>
      <c r="AF16" s="646"/>
      <c r="AG16" s="646"/>
      <c r="AH16" s="656"/>
      <c r="AJ16" s="591"/>
      <c r="AK16" s="556"/>
      <c r="AL16" s="507"/>
      <c r="AM16" s="504"/>
      <c r="AN16" s="507"/>
      <c r="AO16" s="504"/>
    </row>
    <row r="17" spans="1:41" x14ac:dyDescent="0.2">
      <c r="C17" s="27"/>
      <c r="E17" s="650"/>
      <c r="F17" s="1" t="s">
        <v>473</v>
      </c>
      <c r="G17" s="2">
        <f>électricité!H6</f>
        <v>4.2883472442626955E-2</v>
      </c>
      <c r="H17" s="651"/>
      <c r="I17" s="3">
        <f>G17-K17</f>
        <v>2.5683472442626955E-2</v>
      </c>
      <c r="J17" s="652"/>
      <c r="K17" s="5">
        <f>électricité!H17*0.086</f>
        <v>1.72E-2</v>
      </c>
      <c r="L17" s="652"/>
      <c r="N17" s="651"/>
      <c r="O17" s="46"/>
      <c r="P17" s="46"/>
      <c r="Q17" s="46"/>
      <c r="R17" s="45"/>
      <c r="S17" s="588"/>
      <c r="T17" s="666"/>
      <c r="U17" s="1"/>
      <c r="V17" s="656"/>
      <c r="W17" s="504"/>
      <c r="X17" s="507"/>
      <c r="Y17" s="504"/>
      <c r="Z17" s="507"/>
      <c r="AA17" s="504"/>
      <c r="AB17" s="36"/>
      <c r="AC17" s="38"/>
      <c r="AD17" s="646"/>
      <c r="AE17" s="646"/>
      <c r="AF17" s="646"/>
      <c r="AG17" s="646"/>
      <c r="AH17" s="656"/>
      <c r="AJ17" s="591"/>
      <c r="AK17" s="556"/>
      <c r="AL17" s="507"/>
      <c r="AM17" s="504"/>
      <c r="AN17" s="507"/>
      <c r="AO17" s="504"/>
    </row>
    <row r="18" spans="1:41" x14ac:dyDescent="0.2">
      <c r="C18" s="27"/>
      <c r="E18" s="650"/>
      <c r="F18" s="1" t="s">
        <v>182</v>
      </c>
      <c r="G18" s="2">
        <f>'bilan complet'!B247</f>
        <v>3.8558897810173014</v>
      </c>
      <c r="H18" s="651"/>
      <c r="I18" s="3">
        <f>G18-K18</f>
        <v>2.6710912126579265</v>
      </c>
      <c r="J18" s="652"/>
      <c r="K18" s="2">
        <f>électricité!H10*0.086</f>
        <v>1.1847985683593749</v>
      </c>
      <c r="L18" s="652"/>
      <c r="N18" s="651"/>
      <c r="O18" s="46"/>
      <c r="P18" s="46"/>
      <c r="Q18" s="46"/>
      <c r="R18" s="45"/>
      <c r="S18" s="588"/>
      <c r="T18" s="666"/>
      <c r="U18" s="1"/>
      <c r="V18" s="656"/>
      <c r="W18" s="504"/>
      <c r="X18" s="507"/>
      <c r="Y18" s="504"/>
      <c r="Z18" s="507"/>
      <c r="AA18" s="504"/>
      <c r="AB18" s="36"/>
      <c r="AC18" s="38"/>
      <c r="AD18" s="646"/>
      <c r="AE18" s="646"/>
      <c r="AF18" s="646"/>
      <c r="AG18" s="646"/>
      <c r="AH18" s="656"/>
      <c r="AJ18" s="591"/>
      <c r="AK18" s="556"/>
      <c r="AL18" s="507"/>
      <c r="AM18" s="504"/>
      <c r="AN18" s="507"/>
      <c r="AO18" s="504"/>
    </row>
    <row r="19" spans="1:41" x14ac:dyDescent="0.2">
      <c r="B19" s="24" t="s">
        <v>49</v>
      </c>
      <c r="C19" s="27">
        <f>G15</f>
        <v>7.5335997971706095E-8</v>
      </c>
      <c r="D19" s="27"/>
      <c r="E19" s="650"/>
      <c r="F19" s="1" t="s">
        <v>31</v>
      </c>
      <c r="G19" s="2">
        <f>'bilan complet'!F247-I32-I29</f>
        <v>20.375309573266282</v>
      </c>
      <c r="H19" s="651"/>
      <c r="I19" s="3">
        <f>G19-K19</f>
        <v>11.688574542016283</v>
      </c>
      <c r="J19" s="652"/>
      <c r="K19" s="2">
        <f>électricité!H12*0.086</f>
        <v>8.6867350312499987</v>
      </c>
      <c r="L19" s="652"/>
      <c r="N19" s="651"/>
      <c r="O19" s="46"/>
      <c r="P19" s="46"/>
      <c r="Q19" s="46"/>
      <c r="R19" s="45"/>
      <c r="S19" s="588"/>
      <c r="T19" s="666"/>
      <c r="U19" s="1"/>
      <c r="V19" s="657"/>
      <c r="W19" s="505"/>
      <c r="X19" s="508"/>
      <c r="Y19" s="505"/>
      <c r="Z19" s="508"/>
      <c r="AA19" s="505"/>
      <c r="AB19" s="36"/>
      <c r="AC19" s="516"/>
      <c r="AD19" s="647"/>
      <c r="AE19" s="647"/>
      <c r="AF19" s="647"/>
      <c r="AG19" s="647"/>
      <c r="AH19" s="657"/>
      <c r="AJ19" s="592"/>
      <c r="AK19" s="558"/>
      <c r="AL19" s="508"/>
      <c r="AM19" s="505"/>
      <c r="AN19" s="508"/>
      <c r="AO19" s="505"/>
    </row>
    <row r="20" spans="1:41" x14ac:dyDescent="0.2">
      <c r="E20" s="1"/>
      <c r="F20" s="1"/>
      <c r="G20" s="1"/>
      <c r="H20" s="1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509">
        <f>T7-électricité!H38*0.086</f>
        <v>0</v>
      </c>
      <c r="U20" s="512">
        <f>T7-électricité!H38*0.086</f>
        <v>0</v>
      </c>
      <c r="V20" s="2"/>
      <c r="W20" s="1"/>
      <c r="X20" s="2"/>
      <c r="Y20" s="1"/>
      <c r="Z20" s="2"/>
      <c r="AA20" s="1"/>
      <c r="AJ20" s="2"/>
      <c r="AK20" s="1"/>
      <c r="AL20" s="2"/>
      <c r="AM20" s="1"/>
      <c r="AN20" s="2"/>
      <c r="AO20" s="1"/>
    </row>
    <row r="21" spans="1:41" x14ac:dyDescent="0.2">
      <c r="A21" s="24" t="s">
        <v>50</v>
      </c>
      <c r="B21" s="24" t="s">
        <v>24</v>
      </c>
      <c r="C21" s="27">
        <f>G10</f>
        <v>78.98</v>
      </c>
      <c r="E21" s="658" t="s">
        <v>12</v>
      </c>
      <c r="F21" s="1" t="s">
        <v>25</v>
      </c>
      <c r="G21" s="2"/>
      <c r="H21" s="659">
        <f>SUM(G21:G24)</f>
        <v>48.165596770994462</v>
      </c>
      <c r="J21" s="659"/>
      <c r="K21" s="2">
        <f>G21-I21</f>
        <v>0</v>
      </c>
      <c r="L21" s="660">
        <f>SUM(K21:K24)</f>
        <v>48.165596770994462</v>
      </c>
      <c r="M21" s="2"/>
      <c r="N21" s="660">
        <f>L21</f>
        <v>48.165596770994462</v>
      </c>
      <c r="O21" s="662"/>
      <c r="P21" s="662"/>
      <c r="Q21" s="662"/>
      <c r="R21" s="569"/>
      <c r="S21" s="569"/>
      <c r="T21" s="569"/>
      <c r="U21" s="1"/>
      <c r="V21" s="663">
        <f>SUM(W23:AA23)</f>
        <v>26.776537707254061</v>
      </c>
      <c r="W21" s="477"/>
      <c r="X21" s="477"/>
      <c r="Y21" s="477"/>
      <c r="Z21" s="477"/>
      <c r="AA21" s="478"/>
      <c r="AC21" s="514"/>
      <c r="AD21" s="524"/>
      <c r="AE21" s="524"/>
      <c r="AF21" s="524"/>
      <c r="AG21" s="524"/>
      <c r="AH21" s="517"/>
      <c r="AJ21" s="551"/>
      <c r="AK21" s="478"/>
      <c r="AL21" s="477"/>
      <c r="AM21" s="477"/>
      <c r="AN21" s="477"/>
      <c r="AO21" s="478"/>
    </row>
    <row r="22" spans="1:41" x14ac:dyDescent="0.2">
      <c r="B22" s="24" t="s">
        <v>34</v>
      </c>
      <c r="C22" s="27">
        <f>G24+G32</f>
        <v>50.485825203379818</v>
      </c>
      <c r="E22" s="658"/>
      <c r="F22" s="1" t="s">
        <v>32</v>
      </c>
      <c r="G22" s="2"/>
      <c r="H22" s="641"/>
      <c r="J22" s="641"/>
      <c r="K22" s="2">
        <f>G22-I22</f>
        <v>0</v>
      </c>
      <c r="L22" s="661"/>
      <c r="M22" s="2"/>
      <c r="N22" s="660"/>
      <c r="O22" s="662"/>
      <c r="P22" s="662"/>
      <c r="Q22" s="662"/>
      <c r="R22" s="581"/>
      <c r="S22" s="587"/>
      <c r="T22" s="587"/>
      <c r="U22" s="1"/>
      <c r="V22" s="664"/>
      <c r="W22" s="581"/>
      <c r="X22" s="581"/>
      <c r="Y22" s="581"/>
      <c r="Z22" s="581"/>
      <c r="AA22" s="587"/>
      <c r="AC22" s="515"/>
      <c r="AD22" s="525"/>
      <c r="AE22" s="525"/>
      <c r="AF22" s="525"/>
      <c r="AG22" s="525"/>
      <c r="AH22" s="518"/>
      <c r="AJ22" s="552"/>
      <c r="AK22" s="587"/>
      <c r="AL22" s="581"/>
      <c r="AM22" s="581"/>
      <c r="AN22" s="581"/>
      <c r="AO22" s="587"/>
    </row>
    <row r="23" spans="1:41" x14ac:dyDescent="0.2">
      <c r="B23" s="24" t="s">
        <v>51</v>
      </c>
      <c r="C23" s="27">
        <f>G40+G41</f>
        <v>73.63616084038172</v>
      </c>
      <c r="E23" s="658"/>
      <c r="F23" s="1" t="s">
        <v>33</v>
      </c>
      <c r="G23" s="2"/>
      <c r="H23" s="641"/>
      <c r="I23" s="27"/>
      <c r="J23" s="641"/>
      <c r="K23" s="2">
        <f>G23-I23</f>
        <v>0</v>
      </c>
      <c r="L23" s="661"/>
      <c r="M23" s="2"/>
      <c r="N23" s="660"/>
      <c r="O23" s="662"/>
      <c r="P23" s="662"/>
      <c r="Q23" s="662"/>
      <c r="R23" s="581">
        <f>G32</f>
        <v>2.3202284323853597</v>
      </c>
      <c r="S23" s="587">
        <f>G19</f>
        <v>20.375309573266282</v>
      </c>
      <c r="T23" s="587">
        <f>N21-R23-S23</f>
        <v>25.470058765342824</v>
      </c>
      <c r="U23" s="1"/>
      <c r="V23" s="664"/>
      <c r="W23" s="482">
        <f>'scenario demande'!H337</f>
        <v>0.56157515703724936</v>
      </c>
      <c r="X23" s="491">
        <f>'scenario demande'!H10</f>
        <v>11.105446644159358</v>
      </c>
      <c r="Y23" s="491">
        <f>'scenario demande'!H110</f>
        <v>9.7293223230879633</v>
      </c>
      <c r="Z23" s="491">
        <f>'scenario demande'!H186</f>
        <v>5.2251679109392546</v>
      </c>
      <c r="AA23" s="479">
        <f>'scenario demande'!H277+'scenario demande'!H279</f>
        <v>0.15502567203023401</v>
      </c>
      <c r="AC23" s="38"/>
      <c r="AD23" s="525"/>
      <c r="AE23" s="525"/>
      <c r="AF23" s="525"/>
      <c r="AG23" s="525"/>
      <c r="AH23" s="518"/>
      <c r="AJ23" s="552">
        <f>SUM(AK23:AO23)</f>
        <v>25.47005876534282</v>
      </c>
      <c r="AK23" s="559">
        <f>$T$23*W23/$V$21</f>
        <v>0.534174821527446</v>
      </c>
      <c r="AL23" s="559">
        <f>$T$23*X23/$V$21</f>
        <v>10.563590473666398</v>
      </c>
      <c r="AM23" s="559">
        <f>$T$23*Y23/$V$21</f>
        <v>9.2546099135467639</v>
      </c>
      <c r="AN23" s="559">
        <f>$T$23*Z23/$V$21</f>
        <v>4.9702218862430492</v>
      </c>
      <c r="AO23" s="559">
        <f>$T$23*AA23/$V$21</f>
        <v>0.14746167035916399</v>
      </c>
    </row>
    <row r="24" spans="1:41" x14ac:dyDescent="0.2">
      <c r="B24" s="24" t="s">
        <v>40</v>
      </c>
      <c r="C24" s="27">
        <f>G44+G18</f>
        <v>9.1777698991923522</v>
      </c>
      <c r="E24" s="658"/>
      <c r="F24" s="1" t="s">
        <v>34</v>
      </c>
      <c r="G24" s="2">
        <f>'bilan complet'!F261-'bilan complet'!F258</f>
        <v>48.165596770994462</v>
      </c>
      <c r="H24" s="641"/>
      <c r="J24" s="641"/>
      <c r="K24" s="2">
        <f>G24-I24</f>
        <v>48.165596770994462</v>
      </c>
      <c r="L24" s="661"/>
      <c r="M24" s="6"/>
      <c r="N24" s="660"/>
      <c r="O24" s="662"/>
      <c r="P24" s="662"/>
      <c r="Q24" s="662"/>
      <c r="R24" s="581"/>
      <c r="S24" s="587"/>
      <c r="T24" s="587"/>
      <c r="U24" s="1"/>
      <c r="V24" s="665"/>
      <c r="W24" s="480"/>
      <c r="X24" s="480"/>
      <c r="Y24" s="480"/>
      <c r="Z24" s="480"/>
      <c r="AA24" s="481"/>
      <c r="AC24" s="38"/>
      <c r="AD24" s="525"/>
      <c r="AE24" s="525"/>
      <c r="AF24" s="525"/>
      <c r="AG24" s="525"/>
      <c r="AH24" s="518"/>
      <c r="AJ24" s="553"/>
      <c r="AK24" s="481"/>
      <c r="AL24" s="480"/>
      <c r="AM24" s="480"/>
      <c r="AN24" s="480"/>
      <c r="AO24" s="481"/>
    </row>
    <row r="25" spans="1:41" x14ac:dyDescent="0.2">
      <c r="B25" s="24" t="s">
        <v>39</v>
      </c>
      <c r="C25" s="27">
        <f>G42</f>
        <v>0</v>
      </c>
      <c r="E25" s="1"/>
      <c r="F25" s="1"/>
      <c r="G25" s="1"/>
      <c r="H25" s="1"/>
      <c r="I25" s="1"/>
      <c r="J25" s="1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W25" s="464"/>
      <c r="X25" s="495"/>
      <c r="Y25" s="495"/>
      <c r="Z25" s="495"/>
      <c r="AA25" s="464"/>
      <c r="AC25" s="520" t="s">
        <v>472</v>
      </c>
      <c r="AD25" s="526">
        <f>'bilan complet'!$F$253+'bilan complet'!$J$253</f>
        <v>0.4308819417828747</v>
      </c>
      <c r="AE25" s="526">
        <f>'bilan complet'!$F$250+'bilan complet'!$J$250</f>
        <v>15.553577679645468</v>
      </c>
      <c r="AF25" s="526">
        <f>'bilan complet'!$F$251+'bilan complet'!$J$251</f>
        <v>21.386067988916476</v>
      </c>
      <c r="AG25" s="526">
        <f>'bilan complet'!$F$252+'bilan complet'!$J$252</f>
        <v>5.6074596549931295</v>
      </c>
      <c r="AH25" s="521">
        <f>'bilan complet'!$F$254+'bilan complet'!$J$254</f>
        <v>3.3580653189818546</v>
      </c>
      <c r="AI25" s="27">
        <f>SUM(AD25:AH25)</f>
        <v>46.336052584319809</v>
      </c>
      <c r="AK25" s="464"/>
      <c r="AL25" s="495"/>
      <c r="AM25" s="495"/>
      <c r="AN25" s="495"/>
      <c r="AO25" s="464"/>
    </row>
    <row r="26" spans="1:41" x14ac:dyDescent="0.2">
      <c r="E26" s="671" t="s">
        <v>13</v>
      </c>
      <c r="F26" s="1" t="s">
        <v>25</v>
      </c>
      <c r="G26" s="377">
        <v>0</v>
      </c>
      <c r="H26" s="653">
        <f>SUM(G26:G32)</f>
        <v>4.5719354669659502</v>
      </c>
      <c r="I26" s="377">
        <f t="shared" ref="I26:I32" si="0">G26-K26</f>
        <v>0</v>
      </c>
      <c r="J26" s="672"/>
      <c r="K26" s="27">
        <f t="shared" ref="K26:K32" si="1">$L$26*J49</f>
        <v>0</v>
      </c>
      <c r="L26" s="672">
        <f>V29</f>
        <v>4.0020818659281749</v>
      </c>
      <c r="M26" s="1"/>
      <c r="N26" s="653">
        <f>L26</f>
        <v>4.0020818659281749</v>
      </c>
      <c r="O26" s="654"/>
      <c r="P26" s="654"/>
      <c r="Q26" s="654"/>
      <c r="R26" s="673"/>
      <c r="S26" s="674"/>
      <c r="T26" s="674">
        <f>N26-O26-Q26</f>
        <v>4.0020818659281749</v>
      </c>
      <c r="U26" s="1"/>
      <c r="V26" s="483"/>
      <c r="W26" s="483"/>
      <c r="X26" s="483"/>
      <c r="Y26" s="483"/>
      <c r="Z26" s="496"/>
      <c r="AA26" s="483"/>
      <c r="AC26" s="522" t="s">
        <v>498</v>
      </c>
      <c r="AD26" s="527"/>
      <c r="AE26" s="527"/>
      <c r="AF26" s="527"/>
      <c r="AG26" s="527"/>
      <c r="AH26" s="523"/>
      <c r="AI26" s="27"/>
      <c r="AJ26" s="483"/>
      <c r="AK26" s="483"/>
      <c r="AL26" s="483"/>
      <c r="AM26" s="483"/>
      <c r="AN26" s="496"/>
      <c r="AO26" s="483"/>
    </row>
    <row r="27" spans="1:41" x14ac:dyDescent="0.2">
      <c r="E27" s="671"/>
      <c r="F27" s="1" t="s">
        <v>26</v>
      </c>
      <c r="G27" s="377">
        <f>$K$27/'Réseaux de chaleur'!$H$63</f>
        <v>0.89897650426520914</v>
      </c>
      <c r="H27" s="653"/>
      <c r="I27" s="377">
        <f t="shared" si="0"/>
        <v>0</v>
      </c>
      <c r="J27" s="672"/>
      <c r="K27" s="27">
        <f t="shared" si="1"/>
        <v>0.89897650426520914</v>
      </c>
      <c r="L27" s="672"/>
      <c r="M27" s="1"/>
      <c r="N27" s="653"/>
      <c r="O27" s="654"/>
      <c r="P27" s="654"/>
      <c r="Q27" s="654"/>
      <c r="R27" s="673"/>
      <c r="S27" s="674"/>
      <c r="T27" s="674"/>
      <c r="U27" s="1"/>
      <c r="V27" s="485"/>
      <c r="W27" s="585"/>
      <c r="X27" s="585"/>
      <c r="Y27" s="585"/>
      <c r="Z27" s="586"/>
      <c r="AA27" s="585"/>
      <c r="AC27" s="38"/>
      <c r="AD27" s="525"/>
      <c r="AE27" s="525"/>
      <c r="AF27" s="525"/>
      <c r="AG27" s="525"/>
      <c r="AH27" s="518"/>
      <c r="AJ27" s="485"/>
      <c r="AK27" s="585"/>
      <c r="AL27" s="585"/>
      <c r="AM27" s="585"/>
      <c r="AN27" s="586"/>
      <c r="AO27" s="585"/>
    </row>
    <row r="28" spans="1:41" x14ac:dyDescent="0.2">
      <c r="E28" s="671"/>
      <c r="F28" s="1" t="s">
        <v>30</v>
      </c>
      <c r="G28" s="377">
        <v>0</v>
      </c>
      <c r="H28" s="653"/>
      <c r="I28" s="377">
        <f t="shared" si="0"/>
        <v>0</v>
      </c>
      <c r="J28" s="672"/>
      <c r="K28" s="27">
        <f t="shared" si="1"/>
        <v>0</v>
      </c>
      <c r="L28" s="672"/>
      <c r="M28" s="1"/>
      <c r="N28" s="653"/>
      <c r="O28" s="654"/>
      <c r="P28" s="654" t="e">
        <v>#REF!</v>
      </c>
      <c r="Q28" s="654"/>
      <c r="R28" s="673" t="e">
        <v>#REF!</v>
      </c>
      <c r="S28" s="674" t="e">
        <v>#REF!</v>
      </c>
      <c r="T28" s="674"/>
      <c r="U28" s="1"/>
      <c r="V28" s="485"/>
      <c r="W28" s="585"/>
      <c r="X28" s="585"/>
      <c r="Y28" s="585"/>
      <c r="Z28" s="586"/>
      <c r="AA28" s="585"/>
      <c r="AC28" s="38"/>
      <c r="AD28" s="525"/>
      <c r="AE28" s="525"/>
      <c r="AF28" s="525"/>
      <c r="AG28" s="525"/>
      <c r="AH28" s="518"/>
      <c r="AJ28" s="485"/>
      <c r="AK28" s="585"/>
      <c r="AL28" s="585"/>
      <c r="AM28" s="585"/>
      <c r="AN28" s="586"/>
      <c r="AO28" s="585"/>
    </row>
    <row r="29" spans="1:41" x14ac:dyDescent="0.2">
      <c r="E29" s="671"/>
      <c r="F29" s="1" t="s">
        <v>27</v>
      </c>
      <c r="G29" s="377">
        <f>$K$29/'Réseaux de chaleur'!$H$62</f>
        <v>0.81972521585099167</v>
      </c>
      <c r="H29" s="653"/>
      <c r="I29" s="377">
        <f t="shared" si="0"/>
        <v>0.15056177433997808</v>
      </c>
      <c r="J29" s="672"/>
      <c r="K29" s="27">
        <f t="shared" si="1"/>
        <v>0.66916344151101359</v>
      </c>
      <c r="L29" s="672"/>
      <c r="M29" s="1"/>
      <c r="N29" s="653"/>
      <c r="O29" s="654"/>
      <c r="P29" s="654" t="e">
        <v>#REF!</v>
      </c>
      <c r="Q29" s="654"/>
      <c r="R29" s="673" t="e">
        <v>#REF!</v>
      </c>
      <c r="S29" s="674" t="e">
        <v>#REF!</v>
      </c>
      <c r="T29" s="674"/>
      <c r="U29" s="1"/>
      <c r="V29" s="489">
        <f>SUM(W29:AA29)</f>
        <v>4.0020818659281749</v>
      </c>
      <c r="W29" s="490">
        <f>'scenario demande'!H340</f>
        <v>0</v>
      </c>
      <c r="X29" s="490">
        <f>'scenario demande'!H13</f>
        <v>1.7937353456999456</v>
      </c>
      <c r="Y29" s="490">
        <f>'scenario demande'!H114</f>
        <v>1.4836428821971821</v>
      </c>
      <c r="Z29" s="488">
        <f>'scenario demande'!H189</f>
        <v>0.72470363803104765</v>
      </c>
      <c r="AA29" s="585"/>
      <c r="AC29" s="38"/>
      <c r="AD29" s="525"/>
      <c r="AE29" s="525"/>
      <c r="AF29" s="525"/>
      <c r="AG29" s="525"/>
      <c r="AH29" s="518"/>
      <c r="AJ29" s="489">
        <f>SUM(AK29:AO29)</f>
        <v>4.0020818659281749</v>
      </c>
      <c r="AK29" s="490">
        <f>W29</f>
        <v>0</v>
      </c>
      <c r="AL29" s="490">
        <f>X29</f>
        <v>1.7937353456999456</v>
      </c>
      <c r="AM29" s="490">
        <f>Y29</f>
        <v>1.4836428821971821</v>
      </c>
      <c r="AN29" s="490">
        <f>Z29</f>
        <v>0.72470363803104765</v>
      </c>
      <c r="AO29" s="490">
        <f>AA29</f>
        <v>0</v>
      </c>
    </row>
    <row r="30" spans="1:41" x14ac:dyDescent="0.2">
      <c r="E30" s="671"/>
      <c r="F30" s="1" t="s">
        <v>28</v>
      </c>
      <c r="G30" s="377">
        <f>$K$30/'Réseaux de chaleur'!$H$64</f>
        <v>0.15800065494576065</v>
      </c>
      <c r="H30" s="653"/>
      <c r="I30" s="377">
        <f t="shared" si="0"/>
        <v>0</v>
      </c>
      <c r="J30" s="672"/>
      <c r="K30" s="27">
        <f t="shared" si="1"/>
        <v>0.15800065494576065</v>
      </c>
      <c r="L30" s="672"/>
      <c r="M30" s="1"/>
      <c r="N30" s="653"/>
      <c r="O30" s="654"/>
      <c r="P30" s="654"/>
      <c r="Q30" s="654"/>
      <c r="R30" s="673"/>
      <c r="S30" s="674"/>
      <c r="T30" s="674"/>
      <c r="U30" s="1"/>
      <c r="V30" s="485"/>
      <c r="W30" s="585"/>
      <c r="X30" s="585"/>
      <c r="Y30" s="585"/>
      <c r="Z30" s="586"/>
      <c r="AA30" s="585"/>
      <c r="AC30" s="38"/>
      <c r="AD30" s="525"/>
      <c r="AE30" s="525"/>
      <c r="AF30" s="525"/>
      <c r="AG30" s="525"/>
      <c r="AH30" s="518"/>
      <c r="AJ30" s="485"/>
      <c r="AK30" s="585"/>
      <c r="AL30" s="585"/>
      <c r="AM30" s="585"/>
      <c r="AN30" s="586"/>
      <c r="AO30" s="585"/>
    </row>
    <row r="31" spans="1:41" x14ac:dyDescent="0.2">
      <c r="E31" s="671"/>
      <c r="F31" s="1" t="s">
        <v>35</v>
      </c>
      <c r="G31" s="377">
        <f>$K$31/'Réseaux de chaleur'!$H$65</f>
        <v>0.3750046595186286</v>
      </c>
      <c r="H31" s="653"/>
      <c r="I31" s="377">
        <f t="shared" si="0"/>
        <v>0</v>
      </c>
      <c r="J31" s="672"/>
      <c r="K31" s="27">
        <f t="shared" si="1"/>
        <v>0.3750046595186286</v>
      </c>
      <c r="L31" s="672"/>
      <c r="M31" s="1"/>
      <c r="N31" s="653"/>
      <c r="O31" s="654"/>
      <c r="P31" s="654"/>
      <c r="Q31" s="654"/>
      <c r="R31" s="673"/>
      <c r="S31" s="674"/>
      <c r="T31" s="674"/>
      <c r="U31" s="1"/>
      <c r="V31" s="485"/>
      <c r="W31" s="585"/>
      <c r="X31" s="585"/>
      <c r="Y31" s="585"/>
      <c r="Z31" s="586"/>
      <c r="AA31" s="585"/>
      <c r="AC31" s="38"/>
      <c r="AD31" s="525"/>
      <c r="AE31" s="525"/>
      <c r="AF31" s="525"/>
      <c r="AG31" s="525"/>
      <c r="AH31" s="518"/>
      <c r="AJ31" s="485"/>
      <c r="AK31" s="585"/>
      <c r="AL31" s="585"/>
      <c r="AM31" s="585"/>
      <c r="AN31" s="586"/>
      <c r="AO31" s="585"/>
    </row>
    <row r="32" spans="1:41" x14ac:dyDescent="0.2">
      <c r="E32" s="671"/>
      <c r="F32" s="1" t="s">
        <v>31</v>
      </c>
      <c r="G32" s="377">
        <f>$K$32/'Réseaux de chaleur'!$H$61</f>
        <v>2.3202284323853597</v>
      </c>
      <c r="H32" s="653"/>
      <c r="I32" s="377">
        <f t="shared" si="0"/>
        <v>0.41929182669779652</v>
      </c>
      <c r="J32" s="672"/>
      <c r="K32" s="27">
        <f t="shared" si="1"/>
        <v>1.9009366056875632</v>
      </c>
      <c r="L32" s="672"/>
      <c r="M32" s="1"/>
      <c r="N32" s="653"/>
      <c r="O32" s="654"/>
      <c r="P32" s="654"/>
      <c r="Q32" s="654"/>
      <c r="R32" s="673"/>
      <c r="S32" s="674"/>
      <c r="T32" s="674"/>
      <c r="U32" s="1"/>
      <c r="V32" s="486"/>
      <c r="W32" s="484"/>
      <c r="X32" s="484"/>
      <c r="Y32" s="484"/>
      <c r="Z32" s="487"/>
      <c r="AA32" s="484"/>
      <c r="AC32" s="38"/>
      <c r="AD32" s="525"/>
      <c r="AE32" s="525"/>
      <c r="AF32" s="525"/>
      <c r="AG32" s="525"/>
      <c r="AH32" s="518"/>
      <c r="AJ32" s="486"/>
      <c r="AK32" s="484"/>
      <c r="AL32" s="484"/>
      <c r="AM32" s="484"/>
      <c r="AN32" s="487"/>
      <c r="AO32" s="484"/>
    </row>
    <row r="33" spans="5:41" x14ac:dyDescent="0.2">
      <c r="E33" s="4"/>
      <c r="F33" s="1"/>
      <c r="H33" s="380">
        <f>SUM(G49:G55)-'Réseaux de chaleur'!H78</f>
        <v>0</v>
      </c>
      <c r="I33" s="1"/>
      <c r="J33" s="1"/>
      <c r="K33" s="2"/>
      <c r="L33" s="461">
        <f>SUM(H49:H55)-'Réseaux de chaleur'!H54</f>
        <v>0</v>
      </c>
      <c r="M33" s="1"/>
      <c r="N33" s="1"/>
      <c r="O33" s="1"/>
      <c r="P33" s="1"/>
      <c r="Q33" s="1"/>
      <c r="R33" s="1"/>
      <c r="S33" s="1"/>
      <c r="T33" s="513">
        <f>T23+T26+G35+G36+G38-('bilan complet'!F255+'bilan complet'!G255)-'bilan complet'!J255</f>
        <v>0</v>
      </c>
      <c r="U33" s="1"/>
      <c r="X33" s="27"/>
      <c r="Y33" s="27"/>
      <c r="Z33" s="27"/>
      <c r="AC33" s="38"/>
      <c r="AD33" s="525"/>
      <c r="AE33" s="525"/>
      <c r="AF33" s="525"/>
      <c r="AG33" s="525"/>
      <c r="AH33" s="518"/>
      <c r="AL33" s="27"/>
      <c r="AM33" s="27"/>
      <c r="AN33" s="27"/>
    </row>
    <row r="34" spans="5:41" x14ac:dyDescent="0.2">
      <c r="E34" s="667" t="s">
        <v>36</v>
      </c>
      <c r="F34" s="1" t="s">
        <v>25</v>
      </c>
      <c r="H34" s="667">
        <f>SUM(G34:G44)</f>
        <v>102.5255639970604</v>
      </c>
      <c r="I34" s="590"/>
      <c r="J34" s="669"/>
      <c r="K34" s="2">
        <f t="shared" ref="K34:K38" si="2">G34-I34</f>
        <v>0</v>
      </c>
      <c r="L34" s="667">
        <f>SUM(K34:K44)</f>
        <v>97.071033564439531</v>
      </c>
      <c r="M34" s="584"/>
      <c r="N34" s="584"/>
      <c r="O34" s="584"/>
      <c r="P34" s="584"/>
      <c r="Q34" s="584"/>
      <c r="R34" s="584"/>
      <c r="S34" s="584"/>
      <c r="T34" s="499"/>
      <c r="V34" s="667">
        <f>SUM(W34:AA44)</f>
        <v>68.863687023381857</v>
      </c>
      <c r="W34" s="367"/>
      <c r="X34" s="366"/>
      <c r="Y34" s="367"/>
      <c r="Z34" s="368"/>
      <c r="AA34" s="365"/>
      <c r="AC34" s="38"/>
      <c r="AD34" s="525"/>
      <c r="AE34" s="525"/>
      <c r="AF34" s="525"/>
      <c r="AG34" s="525"/>
      <c r="AH34" s="518"/>
      <c r="AJ34" s="365"/>
      <c r="AK34" s="367"/>
      <c r="AL34" s="366"/>
      <c r="AM34" s="367"/>
      <c r="AN34" s="368"/>
      <c r="AO34" s="365"/>
    </row>
    <row r="35" spans="5:41" x14ac:dyDescent="0.2">
      <c r="E35" s="667"/>
      <c r="F35" s="1" t="s">
        <v>27</v>
      </c>
      <c r="G35" s="27">
        <f>'bilan complet'!J261-G12-G27-G29-G30-G31-G36-G38</f>
        <v>14.417977031698431</v>
      </c>
      <c r="H35" s="667"/>
      <c r="I35" s="590">
        <v>0</v>
      </c>
      <c r="J35" s="669"/>
      <c r="K35" s="2">
        <f t="shared" si="2"/>
        <v>14.417977031698431</v>
      </c>
      <c r="L35" s="667"/>
      <c r="M35" s="584"/>
      <c r="N35" s="584"/>
      <c r="O35" s="584"/>
      <c r="P35" s="584"/>
      <c r="Q35" s="584"/>
      <c r="R35" s="584"/>
      <c r="S35" s="584"/>
      <c r="T35" s="500"/>
      <c r="V35" s="667"/>
      <c r="W35" s="598">
        <f>'scenario demande'!H341</f>
        <v>0.10894558046522639</v>
      </c>
      <c r="X35" s="599">
        <f>'scenario demande'!H14</f>
        <v>3.3147478579268954</v>
      </c>
      <c r="Y35" s="598">
        <f>'scenario demande'!H115-'scenario demande'!H166</f>
        <v>6.8743493677601872</v>
      </c>
      <c r="Z35" s="600">
        <f>'scenario demande'!H190-'scenario demande'!H236</f>
        <v>0.71736788823178677</v>
      </c>
      <c r="AA35" s="386"/>
      <c r="AB35" s="24">
        <f>SUM(W35:AA35)</f>
        <v>11.015410694384096</v>
      </c>
      <c r="AC35" s="38"/>
      <c r="AD35" s="525"/>
      <c r="AE35" s="525"/>
      <c r="AF35" s="525"/>
      <c r="AG35" s="525"/>
      <c r="AH35" s="518"/>
      <c r="AJ35" s="582"/>
      <c r="AK35" s="369">
        <f>W35</f>
        <v>0.10894558046522639</v>
      </c>
      <c r="AL35" s="369">
        <f>X35</f>
        <v>3.3147478579268954</v>
      </c>
      <c r="AM35" s="388">
        <f>Y35+K35-SUM(W35:AA35)</f>
        <v>10.27691570507452</v>
      </c>
      <c r="AN35" s="369">
        <f>Z35</f>
        <v>0.71736788823178677</v>
      </c>
      <c r="AO35" s="369">
        <f>AA35</f>
        <v>0</v>
      </c>
    </row>
    <row r="36" spans="5:41" x14ac:dyDescent="0.2">
      <c r="E36" s="667"/>
      <c r="F36" s="1" t="s">
        <v>35</v>
      </c>
      <c r="G36" s="27">
        <f>'scenario demande'!H166</f>
        <v>0.16593492135037952</v>
      </c>
      <c r="H36" s="667"/>
      <c r="I36" s="590"/>
      <c r="J36" s="669"/>
      <c r="K36" s="2">
        <f t="shared" si="2"/>
        <v>0.16593492135037952</v>
      </c>
      <c r="L36" s="667"/>
      <c r="M36" s="584"/>
      <c r="N36" s="584"/>
      <c r="O36" s="584"/>
      <c r="P36" s="584"/>
      <c r="Q36" s="584"/>
      <c r="R36" s="584"/>
      <c r="S36" s="584"/>
      <c r="T36" s="500"/>
      <c r="V36" s="667"/>
      <c r="W36" s="601"/>
      <c r="X36" s="599"/>
      <c r="Y36" s="598">
        <f>'scenario demande'!H166</f>
        <v>0.16593492135037952</v>
      </c>
      <c r="Z36" s="600">
        <f>'scenario demande'!H236</f>
        <v>7.5090248596425876E-3</v>
      </c>
      <c r="AA36" s="593"/>
      <c r="AB36" s="24">
        <f>SUM(W36:AA36)</f>
        <v>0.1734439462100221</v>
      </c>
      <c r="AC36" s="516"/>
      <c r="AD36" s="528"/>
      <c r="AE36" s="528"/>
      <c r="AF36" s="528"/>
      <c r="AG36" s="528"/>
      <c r="AH36" s="519"/>
      <c r="AJ36" s="582"/>
      <c r="AK36" s="367"/>
      <c r="AL36" s="366"/>
      <c r="AM36" s="388">
        <f>K36</f>
        <v>0.16593492135037952</v>
      </c>
      <c r="AN36" s="370">
        <f>'scenario demande'!V237</f>
        <v>0</v>
      </c>
      <c r="AO36" s="365"/>
    </row>
    <row r="37" spans="5:41" x14ac:dyDescent="0.2">
      <c r="E37" s="667"/>
      <c r="F37" s="1" t="s">
        <v>41</v>
      </c>
      <c r="G37" s="27"/>
      <c r="H37" s="667"/>
      <c r="I37" s="590"/>
      <c r="J37" s="669"/>
      <c r="K37" s="2">
        <f t="shared" si="2"/>
        <v>0</v>
      </c>
      <c r="L37" s="667"/>
      <c r="M37" s="584"/>
      <c r="N37" s="584"/>
      <c r="O37" s="584"/>
      <c r="P37" s="584"/>
      <c r="Q37" s="584"/>
      <c r="R37" s="584"/>
      <c r="S37" s="584"/>
      <c r="T37" s="500"/>
      <c r="V37" s="667"/>
      <c r="W37" s="367"/>
      <c r="X37" s="366"/>
      <c r="Y37" s="369"/>
      <c r="Z37" s="370"/>
      <c r="AA37" s="365"/>
      <c r="AJ37" s="582"/>
      <c r="AK37" s="602"/>
      <c r="AL37" s="366"/>
      <c r="AM37" s="387">
        <f>K38</f>
        <v>1.88</v>
      </c>
      <c r="AN37" s="369"/>
      <c r="AO37" s="365"/>
    </row>
    <row r="38" spans="5:41" x14ac:dyDescent="0.2">
      <c r="E38" s="667"/>
      <c r="F38" s="1" t="s">
        <v>42</v>
      </c>
      <c r="G38" s="27">
        <f>indicateurs!H14</f>
        <v>1.88</v>
      </c>
      <c r="H38" s="667"/>
      <c r="I38" s="590"/>
      <c r="J38" s="669"/>
      <c r="K38" s="2">
        <f t="shared" si="2"/>
        <v>1.88</v>
      </c>
      <c r="L38" s="667"/>
      <c r="M38" s="584"/>
      <c r="N38" s="584"/>
      <c r="O38" s="584"/>
      <c r="P38" s="584"/>
      <c r="Q38" s="584"/>
      <c r="R38" s="584"/>
      <c r="S38" s="584"/>
      <c r="T38" s="500"/>
      <c r="V38" s="667"/>
      <c r="W38" s="367"/>
      <c r="X38" s="366"/>
      <c r="Y38" s="369"/>
      <c r="Z38" s="370"/>
      <c r="AA38" s="365"/>
      <c r="AJ38" s="582"/>
      <c r="AK38" s="602"/>
      <c r="AL38" s="366"/>
      <c r="AM38" s="602"/>
      <c r="AN38" s="366"/>
      <c r="AO38" s="602"/>
    </row>
    <row r="39" spans="5:41" x14ac:dyDescent="0.2">
      <c r="E39" s="667"/>
      <c r="F39" s="1" t="s">
        <v>63</v>
      </c>
      <c r="G39" s="27">
        <f>K39</f>
        <v>5.4100717534313203</v>
      </c>
      <c r="H39" s="667"/>
      <c r="I39" s="40"/>
      <c r="J39" s="669"/>
      <c r="K39" s="2">
        <f>'bilan complet'!E255*0.09</f>
        <v>5.4100717534313203</v>
      </c>
      <c r="L39" s="667"/>
      <c r="M39" s="584"/>
      <c r="N39" s="584"/>
      <c r="O39" s="584"/>
      <c r="P39" s="584"/>
      <c r="Q39" s="584"/>
      <c r="R39" s="584"/>
      <c r="S39" s="584"/>
      <c r="T39" s="502">
        <f>L34-K41-K43</f>
        <v>81.897700442682975</v>
      </c>
      <c r="V39" s="667"/>
      <c r="W39" s="369"/>
      <c r="X39" s="366"/>
      <c r="Y39" s="369"/>
      <c r="Z39" s="370"/>
      <c r="AA39" s="371"/>
      <c r="AC39" s="529" t="s">
        <v>518</v>
      </c>
      <c r="AD39" s="533">
        <f>'bilan complet'!$E$253</f>
        <v>3.4249553037052154</v>
      </c>
      <c r="AE39" s="533">
        <f>'bilan complet'!E250</f>
        <v>2.6832865276688005</v>
      </c>
      <c r="AF39" s="533">
        <f>'bilan complet'!$E$251</f>
        <v>2.4494273909923847</v>
      </c>
      <c r="AG39" s="533">
        <f>'bilan complet'!$E$252</f>
        <v>2.8069431942411711</v>
      </c>
      <c r="AH39" s="530">
        <f>'bilan complet'!$E$254</f>
        <v>48.747295954851545</v>
      </c>
      <c r="AJ39" s="365"/>
      <c r="AK39" s="366">
        <f>AD39</f>
        <v>3.4249553037052154</v>
      </c>
      <c r="AL39" s="366">
        <f>AE39</f>
        <v>2.6832865276688005</v>
      </c>
      <c r="AM39" s="366">
        <f>AF39</f>
        <v>2.4494273909923847</v>
      </c>
      <c r="AN39" s="366">
        <f>AG39</f>
        <v>2.8069431942411711</v>
      </c>
      <c r="AO39" s="369">
        <f>AH39</f>
        <v>48.747295954851545</v>
      </c>
    </row>
    <row r="40" spans="5:41" x14ac:dyDescent="0.2">
      <c r="E40" s="667"/>
      <c r="F40" s="1" t="s">
        <v>37</v>
      </c>
      <c r="G40" s="27">
        <f>K40+I40</f>
        <v>59.077983547470019</v>
      </c>
      <c r="H40" s="667"/>
      <c r="I40" s="40">
        <f>0.08*K40</f>
        <v>4.3761469294422239</v>
      </c>
      <c r="J40" s="669"/>
      <c r="K40" s="2">
        <f>'bilan complet'!E255-K39</f>
        <v>54.701836618027798</v>
      </c>
      <c r="L40" s="667"/>
      <c r="M40" s="584"/>
      <c r="N40" s="584"/>
      <c r="O40" s="584"/>
      <c r="P40" s="584"/>
      <c r="Q40" s="584"/>
      <c r="R40" s="584"/>
      <c r="S40" s="584"/>
      <c r="T40" s="500"/>
      <c r="V40" s="667"/>
      <c r="W40" s="595">
        <f>'scenario demande'!H336</f>
        <v>3.4470437795717328</v>
      </c>
      <c r="X40" s="366">
        <f>'scenario demande'!H9</f>
        <v>2.6503894611270384</v>
      </c>
      <c r="Y40" s="369">
        <f>'scenario demande'!H109+'scenario demande'!H112</f>
        <v>2.6125679349557878</v>
      </c>
      <c r="Z40" s="370">
        <f>'scenario demande'!H185</f>
        <v>2.0100917520817996</v>
      </c>
      <c r="AA40" s="371">
        <f>'scenario demande'!H273+'scenario demande'!H274+'scenario demande'!H275+'scenario demande'!H276</f>
        <v>41.830514868509631</v>
      </c>
      <c r="AB40" s="27">
        <f>SUM(W40:AA40)</f>
        <v>52.550607796245991</v>
      </c>
      <c r="AC40" s="531" t="s">
        <v>182</v>
      </c>
      <c r="AD40" s="534"/>
      <c r="AE40" s="535">
        <f>'bilan complet'!$B$250</f>
        <v>5.3218801181750512</v>
      </c>
      <c r="AF40" s="534"/>
      <c r="AG40" s="534"/>
      <c r="AH40" s="532"/>
      <c r="AI40" s="27">
        <f>SUM(AD39:AH40)</f>
        <v>65.433788489634168</v>
      </c>
      <c r="AJ40" s="582">
        <f>SUM(AK34:AO44)</f>
        <v>81.897700442682975</v>
      </c>
      <c r="AK40" s="602"/>
      <c r="AL40" s="602"/>
      <c r="AM40" s="602"/>
      <c r="AN40" s="602"/>
      <c r="AO40" s="602"/>
    </row>
    <row r="41" spans="5:41" x14ac:dyDescent="0.2">
      <c r="E41" s="667"/>
      <c r="F41" s="1" t="s">
        <v>38</v>
      </c>
      <c r="G41" s="27">
        <f>K41+I41</f>
        <v>14.558177292911704</v>
      </c>
      <c r="H41" s="667"/>
      <c r="I41" s="40">
        <f>0.08*K41</f>
        <v>1.0783835031786448</v>
      </c>
      <c r="J41" s="669"/>
      <c r="K41" s="2">
        <f>'bilan complet'!E258</f>
        <v>13.47979378973306</v>
      </c>
      <c r="L41" s="667"/>
      <c r="M41" s="584"/>
      <c r="N41" s="584"/>
      <c r="O41" s="584"/>
      <c r="P41" s="584"/>
      <c r="Q41" s="584"/>
      <c r="R41" s="584"/>
      <c r="S41" s="584"/>
      <c r="T41" s="500"/>
      <c r="V41" s="667"/>
      <c r="W41" s="369"/>
      <c r="X41" s="366"/>
      <c r="Y41" s="369"/>
      <c r="Z41" s="370"/>
      <c r="AA41" s="371"/>
      <c r="AJ41" s="582"/>
      <c r="AK41" s="366"/>
      <c r="AL41" s="366"/>
      <c r="AM41" s="366"/>
      <c r="AN41" s="366"/>
      <c r="AO41" s="366"/>
    </row>
    <row r="42" spans="5:41" x14ac:dyDescent="0.2">
      <c r="E42" s="667"/>
      <c r="F42" s="1" t="s">
        <v>39</v>
      </c>
      <c r="G42" s="27"/>
      <c r="H42" s="667"/>
      <c r="I42" s="40"/>
      <c r="J42" s="669"/>
      <c r="K42" s="2">
        <f>G42-I42</f>
        <v>0</v>
      </c>
      <c r="L42" s="667"/>
      <c r="M42" s="584"/>
      <c r="N42" s="584"/>
      <c r="O42" s="584"/>
      <c r="P42" s="584"/>
      <c r="Q42" s="584"/>
      <c r="R42" s="584"/>
      <c r="S42" s="584"/>
      <c r="T42" s="500"/>
      <c r="V42" s="667"/>
      <c r="W42" s="369"/>
      <c r="X42" s="366"/>
      <c r="Y42" s="369"/>
      <c r="Z42" s="370"/>
      <c r="AA42" s="371"/>
      <c r="AJ42" s="582"/>
      <c r="AK42" s="366"/>
      <c r="AL42" s="366"/>
      <c r="AM42" s="366"/>
      <c r="AN42" s="366"/>
      <c r="AO42" s="366"/>
    </row>
    <row r="43" spans="5:41" x14ac:dyDescent="0.2">
      <c r="E43" s="667"/>
      <c r="F43" s="1" t="s">
        <v>472</v>
      </c>
      <c r="G43" s="27">
        <f>'bilan complet'!F258</f>
        <v>1.6935393320234915</v>
      </c>
      <c r="H43" s="667"/>
      <c r="I43" s="40"/>
      <c r="J43" s="669"/>
      <c r="K43" s="2">
        <f>G43-I43</f>
        <v>1.6935393320234915</v>
      </c>
      <c r="L43" s="667"/>
      <c r="M43" s="584"/>
      <c r="N43" s="584"/>
      <c r="O43" s="584"/>
      <c r="P43" s="584"/>
      <c r="Q43" s="584"/>
      <c r="R43" s="584"/>
      <c r="S43" s="584"/>
      <c r="T43" s="500"/>
      <c r="V43" s="667"/>
      <c r="W43" s="369"/>
      <c r="X43" s="366"/>
      <c r="Y43" s="369"/>
      <c r="Z43" s="370"/>
      <c r="AA43" s="371"/>
      <c r="AJ43" s="582"/>
      <c r="AK43" s="369"/>
      <c r="AL43" s="366"/>
      <c r="AM43" s="369"/>
      <c r="AN43" s="371"/>
      <c r="AO43" s="366"/>
    </row>
    <row r="44" spans="5:41" x14ac:dyDescent="0.2">
      <c r="E44" s="668"/>
      <c r="F44" s="1" t="s">
        <v>40</v>
      </c>
      <c r="G44" s="27">
        <f>'bilan complet'!B255</f>
        <v>5.3218801181750512</v>
      </c>
      <c r="H44" s="668"/>
      <c r="I44" s="590"/>
      <c r="J44" s="670"/>
      <c r="K44" s="2">
        <f>G44-I44</f>
        <v>5.3218801181750512</v>
      </c>
      <c r="L44" s="668"/>
      <c r="M44" s="584"/>
      <c r="N44" s="584"/>
      <c r="O44" s="584"/>
      <c r="P44" s="584"/>
      <c r="Q44" s="584"/>
      <c r="R44" s="584"/>
      <c r="S44" s="584"/>
      <c r="T44" s="501"/>
      <c r="V44" s="668"/>
      <c r="W44" s="497">
        <f>'scenario demande'!H338</f>
        <v>0</v>
      </c>
      <c r="X44" s="596">
        <f>'scenario demande'!H11</f>
        <v>5.0392458987085433</v>
      </c>
      <c r="Y44" s="374">
        <f>'scenario demande'!H111</f>
        <v>5.4923161280794382E-3</v>
      </c>
      <c r="Z44" s="597">
        <f>'scenario demande'!H187</f>
        <v>7.9486371705118838E-2</v>
      </c>
      <c r="AA44" s="372"/>
      <c r="AB44" s="24">
        <f>SUM(W44:AA44)</f>
        <v>5.1242245865417413</v>
      </c>
      <c r="AI44" s="612">
        <f>AI13+AI25+AI40-'bilan complet'!K255</f>
        <v>0.40000000000000568</v>
      </c>
      <c r="AJ44" s="583"/>
      <c r="AK44" s="497"/>
      <c r="AL44" s="373">
        <f>AE40</f>
        <v>5.3218801181750512</v>
      </c>
      <c r="AM44" s="374"/>
      <c r="AN44" s="604"/>
      <c r="AO44" s="605"/>
    </row>
    <row r="45" spans="5:41" x14ac:dyDescent="0.2">
      <c r="E45" s="1"/>
      <c r="F45" s="1"/>
      <c r="G45" s="389"/>
      <c r="H45" s="1"/>
      <c r="I45" s="1"/>
      <c r="J45" s="1"/>
      <c r="K45" s="2"/>
      <c r="L45" s="1"/>
      <c r="M45" s="1"/>
      <c r="N45" s="1"/>
      <c r="O45" s="1"/>
      <c r="P45" s="1"/>
      <c r="Q45" s="1"/>
      <c r="R45" s="1"/>
      <c r="S45" s="1"/>
      <c r="T45" s="536">
        <f>T39-K35-K36-K38-SUM(AD39:AH40)</f>
        <v>0</v>
      </c>
      <c r="U45" s="1"/>
      <c r="W45" s="27"/>
      <c r="X45" s="27"/>
      <c r="Y45" s="27"/>
      <c r="Z45" s="27"/>
      <c r="AA45" s="27"/>
    </row>
    <row r="46" spans="5:41" x14ac:dyDescent="0.2">
      <c r="F46" s="1"/>
      <c r="G46" s="466"/>
      <c r="H46" s="462"/>
      <c r="I46" s="462"/>
      <c r="J46" s="462"/>
      <c r="K46" s="462"/>
      <c r="L46" s="462"/>
      <c r="M46" s="463"/>
      <c r="N46" s="463"/>
      <c r="O46" s="463"/>
      <c r="P46" s="464"/>
      <c r="Q46" s="462"/>
      <c r="R46" s="462"/>
      <c r="S46" s="462"/>
      <c r="T46" s="1"/>
      <c r="U46" s="1"/>
      <c r="V46" s="6"/>
      <c r="W46" s="2"/>
      <c r="X46" s="2"/>
      <c r="Y46" s="2"/>
      <c r="Z46" s="2"/>
      <c r="AA46" s="2"/>
    </row>
    <row r="47" spans="5:41" x14ac:dyDescent="0.2">
      <c r="G47" s="465"/>
      <c r="H47" s="462"/>
      <c r="I47" s="462"/>
      <c r="J47" s="462"/>
      <c r="K47" s="462"/>
      <c r="L47" s="462"/>
      <c r="M47" s="466"/>
      <c r="N47" s="466"/>
      <c r="O47" s="466"/>
      <c r="P47" s="465"/>
      <c r="Q47" s="462"/>
      <c r="R47" s="466"/>
      <c r="S47" s="466"/>
      <c r="T47" s="1"/>
      <c r="U47" s="1"/>
    </row>
    <row r="48" spans="5:41" x14ac:dyDescent="0.2">
      <c r="F48" s="470" t="s">
        <v>495</v>
      </c>
      <c r="G48" s="471" t="s">
        <v>174</v>
      </c>
      <c r="H48" s="472" t="s">
        <v>494</v>
      </c>
      <c r="I48" s="471" t="s">
        <v>174</v>
      </c>
      <c r="J48" s="472" t="s">
        <v>494</v>
      </c>
      <c r="K48" s="462"/>
      <c r="L48" s="462"/>
      <c r="M48" s="377"/>
      <c r="N48" s="467"/>
      <c r="O48" s="467"/>
      <c r="P48" s="464"/>
      <c r="Q48" s="462"/>
      <c r="R48" s="467"/>
      <c r="S48" s="467"/>
      <c r="T48" s="1"/>
      <c r="U48" s="1"/>
      <c r="V48" s="2"/>
      <c r="W48" s="2"/>
      <c r="X48" s="2"/>
      <c r="Y48" s="2"/>
      <c r="Z48" s="2"/>
      <c r="AA48" s="2"/>
    </row>
    <row r="49" spans="6:27" x14ac:dyDescent="0.2">
      <c r="F49" s="470" t="s">
        <v>25</v>
      </c>
      <c r="G49" s="473">
        <v>0</v>
      </c>
      <c r="H49" s="474">
        <v>0</v>
      </c>
      <c r="I49" s="476">
        <f t="shared" ref="I49:I55" si="3">G49/$G$56</f>
        <v>0</v>
      </c>
      <c r="J49" s="476">
        <f t="shared" ref="J49:J55" si="4">H49/$H$56</f>
        <v>0</v>
      </c>
      <c r="K49" s="462"/>
      <c r="L49" s="462"/>
      <c r="M49" s="377"/>
      <c r="N49" s="467"/>
      <c r="O49" s="467"/>
      <c r="P49" s="464"/>
      <c r="Q49" s="462"/>
      <c r="R49" s="467"/>
      <c r="S49" s="467"/>
      <c r="T49" s="1"/>
      <c r="U49" s="1"/>
      <c r="V49" s="498"/>
      <c r="W49" s="1"/>
      <c r="X49" s="1"/>
      <c r="Y49" s="1"/>
      <c r="Z49" s="1"/>
      <c r="AA49" s="1"/>
    </row>
    <row r="50" spans="6:27" x14ac:dyDescent="0.2">
      <c r="F50" s="470" t="s">
        <v>26</v>
      </c>
      <c r="G50" s="473">
        <f>'Réseaux de chaleur'!$H$75</f>
        <v>0.49605472888061164</v>
      </c>
      <c r="H50" s="474">
        <f>'Réseaux de chaleur'!H51</f>
        <v>0.49605472888061164</v>
      </c>
      <c r="I50" s="476">
        <f t="shared" si="3"/>
        <v>0.19677011156530605</v>
      </c>
      <c r="J50" s="476">
        <f t="shared" si="4"/>
        <v>0.22462721512987235</v>
      </c>
      <c r="K50" s="462"/>
      <c r="L50" s="462"/>
      <c r="M50" s="377"/>
      <c r="N50" s="467"/>
      <c r="O50" s="467"/>
      <c r="P50" s="464"/>
      <c r="Q50" s="462"/>
      <c r="R50" s="467"/>
      <c r="S50" s="467"/>
      <c r="T50" s="1"/>
      <c r="U50" s="1"/>
      <c r="V50" s="2"/>
      <c r="W50" s="1"/>
      <c r="X50" s="1"/>
      <c r="Y50" s="1"/>
      <c r="Z50" s="1"/>
      <c r="AA50" s="1"/>
    </row>
    <row r="51" spans="6:27" x14ac:dyDescent="0.2">
      <c r="F51" s="470" t="s">
        <v>30</v>
      </c>
      <c r="G51" s="473">
        <v>0</v>
      </c>
      <c r="H51" s="474"/>
      <c r="I51" s="476">
        <f t="shared" si="3"/>
        <v>0</v>
      </c>
      <c r="J51" s="476">
        <f t="shared" si="4"/>
        <v>0</v>
      </c>
      <c r="K51" s="462"/>
      <c r="L51" s="462"/>
      <c r="M51" s="377"/>
      <c r="N51" s="467"/>
      <c r="O51" s="467"/>
      <c r="P51" s="464"/>
      <c r="Q51" s="464"/>
      <c r="R51" s="467"/>
      <c r="S51" s="467"/>
      <c r="T51" s="1"/>
      <c r="U51" s="1"/>
      <c r="V51" s="1"/>
      <c r="W51" s="1"/>
      <c r="X51" s="1"/>
      <c r="Y51" s="1"/>
      <c r="Z51" s="1"/>
      <c r="AA51" s="1"/>
    </row>
    <row r="52" spans="6:27" x14ac:dyDescent="0.2">
      <c r="F52" s="470" t="s">
        <v>27</v>
      </c>
      <c r="G52" s="473">
        <f>'Réseaux de chaleur'!H74</f>
        <v>0.45232391255645549</v>
      </c>
      <c r="H52" s="474">
        <f>'Réseaux de chaleur'!H50</f>
        <v>0.36924401025016773</v>
      </c>
      <c r="I52" s="476">
        <f t="shared" si="3"/>
        <v>0.17942340140216775</v>
      </c>
      <c r="J52" s="476">
        <f t="shared" si="4"/>
        <v>0.16720383638524575</v>
      </c>
      <c r="K52" s="462"/>
      <c r="L52" s="462"/>
      <c r="M52" s="377"/>
      <c r="N52" s="467"/>
      <c r="O52" s="467"/>
      <c r="P52" s="464"/>
      <c r="Q52" s="462"/>
      <c r="R52" s="467"/>
      <c r="S52" s="467"/>
      <c r="T52" s="1"/>
      <c r="U52" s="1"/>
      <c r="V52" s="1"/>
      <c r="W52" s="1"/>
      <c r="X52" s="1"/>
      <c r="Y52" s="1"/>
      <c r="Z52" s="1"/>
      <c r="AA52" s="1"/>
    </row>
    <row r="53" spans="6:27" x14ac:dyDescent="0.2">
      <c r="F53" s="470" t="s">
        <v>28</v>
      </c>
      <c r="G53" s="473">
        <f>'Réseaux de chaleur'!$H$76</f>
        <v>8.7184672436062025E-2</v>
      </c>
      <c r="H53" s="474">
        <f>'Réseaux de chaleur'!H52</f>
        <v>8.7184672436062025E-2</v>
      </c>
      <c r="I53" s="476">
        <f t="shared" si="3"/>
        <v>3.4583558472955231E-2</v>
      </c>
      <c r="J53" s="476">
        <f t="shared" si="4"/>
        <v>3.9479615919630034E-2</v>
      </c>
      <c r="K53" s="462"/>
      <c r="L53" s="462"/>
      <c r="M53" s="377"/>
      <c r="N53" s="467"/>
      <c r="O53" s="467"/>
      <c r="P53" s="465"/>
      <c r="Q53" s="462"/>
      <c r="R53" s="466"/>
      <c r="S53" s="466"/>
      <c r="T53" s="1"/>
      <c r="U53" s="1"/>
      <c r="V53" s="1"/>
      <c r="W53" s="1"/>
      <c r="X53" s="1"/>
      <c r="Y53" s="1"/>
      <c r="Z53" s="1"/>
      <c r="AA53" s="1"/>
    </row>
    <row r="54" spans="6:27" x14ac:dyDescent="0.2">
      <c r="F54" s="470" t="s">
        <v>35</v>
      </c>
      <c r="G54" s="473">
        <f>'Réseaux de chaleur'!$H$77</f>
        <v>0.20692735997424952</v>
      </c>
      <c r="H54" s="474">
        <f>'Réseaux de chaleur'!H53</f>
        <v>0.20692735997424952</v>
      </c>
      <c r="I54" s="476">
        <f t="shared" si="3"/>
        <v>8.2081910195531974E-2</v>
      </c>
      <c r="J54" s="476">
        <f t="shared" si="4"/>
        <v>9.3702395923291881E-2</v>
      </c>
      <c r="K54" s="462"/>
      <c r="L54" s="462"/>
      <c r="M54" s="377"/>
      <c r="N54" s="467"/>
      <c r="O54" s="467"/>
      <c r="P54" s="464"/>
      <c r="Q54" s="462"/>
      <c r="R54" s="467"/>
      <c r="S54" s="467"/>
      <c r="T54" s="1"/>
      <c r="U54" s="1"/>
      <c r="V54" s="1"/>
      <c r="W54" s="1"/>
      <c r="X54" s="1"/>
      <c r="Y54" s="1"/>
      <c r="Z54" s="1"/>
      <c r="AA54" s="1"/>
    </row>
    <row r="55" spans="6:27" x14ac:dyDescent="0.2">
      <c r="F55" s="470" t="s">
        <v>31</v>
      </c>
      <c r="G55" s="473">
        <f>'Réseaux de chaleur'!$H$73+'Réseaux de chaleur'!$H$72+'Réseaux de chaleur'!$H$71</f>
        <v>1.2784954908424553</v>
      </c>
      <c r="H55" s="474">
        <f>'Réseaux de chaleur'!H49+'Réseaux de chaleur'!H48+'Réseaux de chaleur'!H47</f>
        <v>1.0489357486871391</v>
      </c>
      <c r="I55" s="476">
        <f t="shared" si="3"/>
        <v>0.50714101836403902</v>
      </c>
      <c r="J55" s="476">
        <f t="shared" si="4"/>
        <v>0.47498693664196001</v>
      </c>
      <c r="K55" s="462"/>
      <c r="L55" s="462"/>
      <c r="M55" s="467"/>
      <c r="N55" s="467"/>
      <c r="O55" s="467"/>
      <c r="P55" s="464"/>
      <c r="Q55" s="462"/>
      <c r="R55" s="467"/>
      <c r="S55" s="467"/>
      <c r="T55" s="1"/>
      <c r="U55" s="1"/>
      <c r="V55" s="1"/>
      <c r="W55" s="1"/>
      <c r="X55" s="1"/>
      <c r="Y55" s="1"/>
      <c r="Z55" s="1"/>
      <c r="AA55" s="1"/>
    </row>
    <row r="56" spans="6:27" x14ac:dyDescent="0.2">
      <c r="F56" s="470" t="s">
        <v>496</v>
      </c>
      <c r="G56" s="475">
        <f>SUM(G49:G55)</f>
        <v>2.5209861646898339</v>
      </c>
      <c r="H56" s="475">
        <f>SUM(H49:H55)</f>
        <v>2.20834652022823</v>
      </c>
      <c r="I56" s="475">
        <f>SUM(I49:I55)</f>
        <v>1</v>
      </c>
      <c r="J56" s="475">
        <f>SUM(J49:J55)</f>
        <v>1</v>
      </c>
      <c r="K56" s="462"/>
      <c r="L56" s="462"/>
      <c r="M56" s="467"/>
      <c r="N56" s="467"/>
      <c r="O56" s="467"/>
      <c r="P56" s="464"/>
      <c r="Q56" s="464"/>
      <c r="R56" s="464"/>
      <c r="S56" s="464"/>
      <c r="T56" s="1"/>
      <c r="U56" s="1"/>
      <c r="V56" s="1"/>
      <c r="W56" s="1"/>
      <c r="X56" s="1"/>
      <c r="Y56" s="1"/>
      <c r="Z56" s="1"/>
      <c r="AA56" s="1"/>
    </row>
    <row r="57" spans="6:27" x14ac:dyDescent="0.2">
      <c r="F57" s="1"/>
      <c r="G57" s="462"/>
      <c r="H57" s="462"/>
      <c r="I57" s="462"/>
      <c r="J57" s="462"/>
      <c r="K57" s="462"/>
      <c r="L57" s="462"/>
      <c r="M57" s="467"/>
      <c r="N57" s="467"/>
      <c r="O57" s="467"/>
      <c r="P57" s="464"/>
      <c r="Q57" s="468"/>
      <c r="R57" s="469"/>
      <c r="S57" s="469"/>
      <c r="T57" s="1"/>
      <c r="U57" s="1"/>
      <c r="V57" s="1"/>
      <c r="W57" s="1"/>
      <c r="X57" s="1"/>
      <c r="Y57" s="1"/>
      <c r="Z57" s="1"/>
      <c r="AA57" s="1"/>
    </row>
    <row r="58" spans="6:27" x14ac:dyDescent="0.2">
      <c r="F58" s="1"/>
      <c r="G58" s="462"/>
      <c r="H58" s="462"/>
      <c r="I58" s="462"/>
      <c r="J58" s="462"/>
      <c r="K58" s="462"/>
      <c r="L58" s="462"/>
      <c r="M58" s="467"/>
      <c r="N58" s="467"/>
      <c r="O58" s="467"/>
      <c r="P58" s="464"/>
      <c r="Q58" s="468"/>
      <c r="R58" s="469"/>
      <c r="S58" s="469"/>
      <c r="T58" s="1"/>
      <c r="U58" s="1"/>
      <c r="V58" s="1"/>
      <c r="W58" s="1"/>
      <c r="X58" s="1"/>
      <c r="Y58" s="1"/>
      <c r="Z58" s="1"/>
      <c r="AA58" s="1"/>
    </row>
    <row r="62" spans="6:27" x14ac:dyDescent="0.2">
      <c r="G62" s="492"/>
    </row>
    <row r="63" spans="6:27" x14ac:dyDescent="0.2">
      <c r="G63" s="493"/>
    </row>
    <row r="64" spans="6:27" x14ac:dyDescent="0.2">
      <c r="G64" s="492"/>
    </row>
    <row r="65" spans="7:7" x14ac:dyDescent="0.2">
      <c r="G65" s="492"/>
    </row>
    <row r="66" spans="7:7" x14ac:dyDescent="0.2">
      <c r="G66" s="494"/>
    </row>
  </sheetData>
  <mergeCells count="48">
    <mergeCell ref="V34:V44"/>
    <mergeCell ref="P26:P32"/>
    <mergeCell ref="Q26:Q32"/>
    <mergeCell ref="R26:R32"/>
    <mergeCell ref="S26:S32"/>
    <mergeCell ref="T26:T32"/>
    <mergeCell ref="E34:E44"/>
    <mergeCell ref="H34:H44"/>
    <mergeCell ref="J34:J44"/>
    <mergeCell ref="L34:L44"/>
    <mergeCell ref="E26:E32"/>
    <mergeCell ref="H26:H32"/>
    <mergeCell ref="J26:J32"/>
    <mergeCell ref="L26:L32"/>
    <mergeCell ref="N26:N32"/>
    <mergeCell ref="O26:O32"/>
    <mergeCell ref="AH7:AH19"/>
    <mergeCell ref="E21:E24"/>
    <mergeCell ref="H21:H24"/>
    <mergeCell ref="J21:J24"/>
    <mergeCell ref="L21:L24"/>
    <mergeCell ref="N21:N24"/>
    <mergeCell ref="O21:O24"/>
    <mergeCell ref="P21:P24"/>
    <mergeCell ref="Q21:Q24"/>
    <mergeCell ref="V21:V24"/>
    <mergeCell ref="T7:T19"/>
    <mergeCell ref="V7:V19"/>
    <mergeCell ref="AD7:AD19"/>
    <mergeCell ref="AE7:AE19"/>
    <mergeCell ref="AF7:AF19"/>
    <mergeCell ref="AG7:AG19"/>
    <mergeCell ref="A4:C4"/>
    <mergeCell ref="E7:E19"/>
    <mergeCell ref="H7:H19"/>
    <mergeCell ref="J7:J19"/>
    <mergeCell ref="L7:L19"/>
    <mergeCell ref="N7:N19"/>
    <mergeCell ref="G1:L1"/>
    <mergeCell ref="N1:T1"/>
    <mergeCell ref="V1:AA1"/>
    <mergeCell ref="G2:H2"/>
    <mergeCell ref="I2:L2"/>
    <mergeCell ref="N2:N4"/>
    <mergeCell ref="O2:T3"/>
    <mergeCell ref="V2:AA3"/>
    <mergeCell ref="I3:J3"/>
    <mergeCell ref="K3:L3"/>
  </mergeCell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7"/>
  <sheetViews>
    <sheetView topLeftCell="A55" zoomScale="75" zoomScaleNormal="75" workbookViewId="0">
      <selection activeCell="H61" sqref="H61"/>
    </sheetView>
  </sheetViews>
  <sheetFormatPr baseColWidth="10" defaultRowHeight="12.75" x14ac:dyDescent="0.2"/>
  <cols>
    <col min="1" max="1" width="45.140625" style="123" customWidth="1"/>
    <col min="2" max="2" width="16.7109375" style="123" customWidth="1"/>
    <col min="3" max="3" width="17" style="123" customWidth="1"/>
    <col min="4" max="4" width="11.42578125" style="123"/>
    <col min="5" max="5" width="12.28515625" style="123" bestFit="1" customWidth="1"/>
    <col min="6" max="6" width="12.140625" style="123" customWidth="1"/>
    <col min="7" max="7" width="12.42578125" style="123" customWidth="1"/>
    <col min="8" max="8" width="19.5703125" style="123" customWidth="1"/>
    <col min="9" max="9" width="15.85546875" style="123" customWidth="1"/>
    <col min="10" max="10" width="17.28515625" style="123" customWidth="1"/>
    <col min="11" max="12" width="11.42578125" style="123"/>
    <col min="13" max="13" width="15.85546875" style="123" customWidth="1"/>
    <col min="14" max="256" width="11.42578125" style="123"/>
    <col min="257" max="257" width="45.140625" style="123" customWidth="1"/>
    <col min="258" max="258" width="16.7109375" style="123" customWidth="1"/>
    <col min="259" max="259" width="17" style="123" customWidth="1"/>
    <col min="260" max="260" width="11.42578125" style="123"/>
    <col min="261" max="261" width="12.28515625" style="123" bestFit="1" customWidth="1"/>
    <col min="262" max="262" width="12.140625" style="123" customWidth="1"/>
    <col min="263" max="263" width="12.42578125" style="123" customWidth="1"/>
    <col min="264" max="264" width="19.5703125" style="123" customWidth="1"/>
    <col min="265" max="265" width="15.85546875" style="123" customWidth="1"/>
    <col min="266" max="266" width="17.28515625" style="123" customWidth="1"/>
    <col min="267" max="268" width="11.42578125" style="123"/>
    <col min="269" max="269" width="15.85546875" style="123" customWidth="1"/>
    <col min="270" max="512" width="11.42578125" style="123"/>
    <col min="513" max="513" width="45.140625" style="123" customWidth="1"/>
    <col min="514" max="514" width="16.7109375" style="123" customWidth="1"/>
    <col min="515" max="515" width="17" style="123" customWidth="1"/>
    <col min="516" max="516" width="11.42578125" style="123"/>
    <col min="517" max="517" width="12.28515625" style="123" bestFit="1" customWidth="1"/>
    <col min="518" max="518" width="12.140625" style="123" customWidth="1"/>
    <col min="519" max="519" width="12.42578125" style="123" customWidth="1"/>
    <col min="520" max="520" width="19.5703125" style="123" customWidth="1"/>
    <col min="521" max="521" width="15.85546875" style="123" customWidth="1"/>
    <col min="522" max="522" width="17.28515625" style="123" customWidth="1"/>
    <col min="523" max="524" width="11.42578125" style="123"/>
    <col min="525" max="525" width="15.85546875" style="123" customWidth="1"/>
    <col min="526" max="768" width="11.42578125" style="123"/>
    <col min="769" max="769" width="45.140625" style="123" customWidth="1"/>
    <col min="770" max="770" width="16.7109375" style="123" customWidth="1"/>
    <col min="771" max="771" width="17" style="123" customWidth="1"/>
    <col min="772" max="772" width="11.42578125" style="123"/>
    <col min="773" max="773" width="12.28515625" style="123" bestFit="1" customWidth="1"/>
    <col min="774" max="774" width="12.140625" style="123" customWidth="1"/>
    <col min="775" max="775" width="12.42578125" style="123" customWidth="1"/>
    <col min="776" max="776" width="19.5703125" style="123" customWidth="1"/>
    <col min="777" max="777" width="15.85546875" style="123" customWidth="1"/>
    <col min="778" max="778" width="17.28515625" style="123" customWidth="1"/>
    <col min="779" max="780" width="11.42578125" style="123"/>
    <col min="781" max="781" width="15.85546875" style="123" customWidth="1"/>
    <col min="782" max="1024" width="11.42578125" style="123"/>
    <col min="1025" max="1025" width="45.140625" style="123" customWidth="1"/>
    <col min="1026" max="1026" width="16.7109375" style="123" customWidth="1"/>
    <col min="1027" max="1027" width="17" style="123" customWidth="1"/>
    <col min="1028" max="1028" width="11.42578125" style="123"/>
    <col min="1029" max="1029" width="12.28515625" style="123" bestFit="1" customWidth="1"/>
    <col min="1030" max="1030" width="12.140625" style="123" customWidth="1"/>
    <col min="1031" max="1031" width="12.42578125" style="123" customWidth="1"/>
    <col min="1032" max="1032" width="19.5703125" style="123" customWidth="1"/>
    <col min="1033" max="1033" width="15.85546875" style="123" customWidth="1"/>
    <col min="1034" max="1034" width="17.28515625" style="123" customWidth="1"/>
    <col min="1035" max="1036" width="11.42578125" style="123"/>
    <col min="1037" max="1037" width="15.85546875" style="123" customWidth="1"/>
    <col min="1038" max="1280" width="11.42578125" style="123"/>
    <col min="1281" max="1281" width="45.140625" style="123" customWidth="1"/>
    <col min="1282" max="1282" width="16.7109375" style="123" customWidth="1"/>
    <col min="1283" max="1283" width="17" style="123" customWidth="1"/>
    <col min="1284" max="1284" width="11.42578125" style="123"/>
    <col min="1285" max="1285" width="12.28515625" style="123" bestFit="1" customWidth="1"/>
    <col min="1286" max="1286" width="12.140625" style="123" customWidth="1"/>
    <col min="1287" max="1287" width="12.42578125" style="123" customWidth="1"/>
    <col min="1288" max="1288" width="19.5703125" style="123" customWidth="1"/>
    <col min="1289" max="1289" width="15.85546875" style="123" customWidth="1"/>
    <col min="1290" max="1290" width="17.28515625" style="123" customWidth="1"/>
    <col min="1291" max="1292" width="11.42578125" style="123"/>
    <col min="1293" max="1293" width="15.85546875" style="123" customWidth="1"/>
    <col min="1294" max="1536" width="11.42578125" style="123"/>
    <col min="1537" max="1537" width="45.140625" style="123" customWidth="1"/>
    <col min="1538" max="1538" width="16.7109375" style="123" customWidth="1"/>
    <col min="1539" max="1539" width="17" style="123" customWidth="1"/>
    <col min="1540" max="1540" width="11.42578125" style="123"/>
    <col min="1541" max="1541" width="12.28515625" style="123" bestFit="1" customWidth="1"/>
    <col min="1542" max="1542" width="12.140625" style="123" customWidth="1"/>
    <col min="1543" max="1543" width="12.42578125" style="123" customWidth="1"/>
    <col min="1544" max="1544" width="19.5703125" style="123" customWidth="1"/>
    <col min="1545" max="1545" width="15.85546875" style="123" customWidth="1"/>
    <col min="1546" max="1546" width="17.28515625" style="123" customWidth="1"/>
    <col min="1547" max="1548" width="11.42578125" style="123"/>
    <col min="1549" max="1549" width="15.85546875" style="123" customWidth="1"/>
    <col min="1550" max="1792" width="11.42578125" style="123"/>
    <col min="1793" max="1793" width="45.140625" style="123" customWidth="1"/>
    <col min="1794" max="1794" width="16.7109375" style="123" customWidth="1"/>
    <col min="1795" max="1795" width="17" style="123" customWidth="1"/>
    <col min="1796" max="1796" width="11.42578125" style="123"/>
    <col min="1797" max="1797" width="12.28515625" style="123" bestFit="1" customWidth="1"/>
    <col min="1798" max="1798" width="12.140625" style="123" customWidth="1"/>
    <col min="1799" max="1799" width="12.42578125" style="123" customWidth="1"/>
    <col min="1800" max="1800" width="19.5703125" style="123" customWidth="1"/>
    <col min="1801" max="1801" width="15.85546875" style="123" customWidth="1"/>
    <col min="1802" max="1802" width="17.28515625" style="123" customWidth="1"/>
    <col min="1803" max="1804" width="11.42578125" style="123"/>
    <col min="1805" max="1805" width="15.85546875" style="123" customWidth="1"/>
    <col min="1806" max="2048" width="11.42578125" style="123"/>
    <col min="2049" max="2049" width="45.140625" style="123" customWidth="1"/>
    <col min="2050" max="2050" width="16.7109375" style="123" customWidth="1"/>
    <col min="2051" max="2051" width="17" style="123" customWidth="1"/>
    <col min="2052" max="2052" width="11.42578125" style="123"/>
    <col min="2053" max="2053" width="12.28515625" style="123" bestFit="1" customWidth="1"/>
    <col min="2054" max="2054" width="12.140625" style="123" customWidth="1"/>
    <col min="2055" max="2055" width="12.42578125" style="123" customWidth="1"/>
    <col min="2056" max="2056" width="19.5703125" style="123" customWidth="1"/>
    <col min="2057" max="2057" width="15.85546875" style="123" customWidth="1"/>
    <col min="2058" max="2058" width="17.28515625" style="123" customWidth="1"/>
    <col min="2059" max="2060" width="11.42578125" style="123"/>
    <col min="2061" max="2061" width="15.85546875" style="123" customWidth="1"/>
    <col min="2062" max="2304" width="11.42578125" style="123"/>
    <col min="2305" max="2305" width="45.140625" style="123" customWidth="1"/>
    <col min="2306" max="2306" width="16.7109375" style="123" customWidth="1"/>
    <col min="2307" max="2307" width="17" style="123" customWidth="1"/>
    <col min="2308" max="2308" width="11.42578125" style="123"/>
    <col min="2309" max="2309" width="12.28515625" style="123" bestFit="1" customWidth="1"/>
    <col min="2310" max="2310" width="12.140625" style="123" customWidth="1"/>
    <col min="2311" max="2311" width="12.42578125" style="123" customWidth="1"/>
    <col min="2312" max="2312" width="19.5703125" style="123" customWidth="1"/>
    <col min="2313" max="2313" width="15.85546875" style="123" customWidth="1"/>
    <col min="2314" max="2314" width="17.28515625" style="123" customWidth="1"/>
    <col min="2315" max="2316" width="11.42578125" style="123"/>
    <col min="2317" max="2317" width="15.85546875" style="123" customWidth="1"/>
    <col min="2318" max="2560" width="11.42578125" style="123"/>
    <col min="2561" max="2561" width="45.140625" style="123" customWidth="1"/>
    <col min="2562" max="2562" width="16.7109375" style="123" customWidth="1"/>
    <col min="2563" max="2563" width="17" style="123" customWidth="1"/>
    <col min="2564" max="2564" width="11.42578125" style="123"/>
    <col min="2565" max="2565" width="12.28515625" style="123" bestFit="1" customWidth="1"/>
    <col min="2566" max="2566" width="12.140625" style="123" customWidth="1"/>
    <col min="2567" max="2567" width="12.42578125" style="123" customWidth="1"/>
    <col min="2568" max="2568" width="19.5703125" style="123" customWidth="1"/>
    <col min="2569" max="2569" width="15.85546875" style="123" customWidth="1"/>
    <col min="2570" max="2570" width="17.28515625" style="123" customWidth="1"/>
    <col min="2571" max="2572" width="11.42578125" style="123"/>
    <col min="2573" max="2573" width="15.85546875" style="123" customWidth="1"/>
    <col min="2574" max="2816" width="11.42578125" style="123"/>
    <col min="2817" max="2817" width="45.140625" style="123" customWidth="1"/>
    <col min="2818" max="2818" width="16.7109375" style="123" customWidth="1"/>
    <col min="2819" max="2819" width="17" style="123" customWidth="1"/>
    <col min="2820" max="2820" width="11.42578125" style="123"/>
    <col min="2821" max="2821" width="12.28515625" style="123" bestFit="1" customWidth="1"/>
    <col min="2822" max="2822" width="12.140625" style="123" customWidth="1"/>
    <col min="2823" max="2823" width="12.42578125" style="123" customWidth="1"/>
    <col min="2824" max="2824" width="19.5703125" style="123" customWidth="1"/>
    <col min="2825" max="2825" width="15.85546875" style="123" customWidth="1"/>
    <col min="2826" max="2826" width="17.28515625" style="123" customWidth="1"/>
    <col min="2827" max="2828" width="11.42578125" style="123"/>
    <col min="2829" max="2829" width="15.85546875" style="123" customWidth="1"/>
    <col min="2830" max="3072" width="11.42578125" style="123"/>
    <col min="3073" max="3073" width="45.140625" style="123" customWidth="1"/>
    <col min="3074" max="3074" width="16.7109375" style="123" customWidth="1"/>
    <col min="3075" max="3075" width="17" style="123" customWidth="1"/>
    <col min="3076" max="3076" width="11.42578125" style="123"/>
    <col min="3077" max="3077" width="12.28515625" style="123" bestFit="1" customWidth="1"/>
    <col min="3078" max="3078" width="12.140625" style="123" customWidth="1"/>
    <col min="3079" max="3079" width="12.42578125" style="123" customWidth="1"/>
    <col min="3080" max="3080" width="19.5703125" style="123" customWidth="1"/>
    <col min="3081" max="3081" width="15.85546875" style="123" customWidth="1"/>
    <col min="3082" max="3082" width="17.28515625" style="123" customWidth="1"/>
    <col min="3083" max="3084" width="11.42578125" style="123"/>
    <col min="3085" max="3085" width="15.85546875" style="123" customWidth="1"/>
    <col min="3086" max="3328" width="11.42578125" style="123"/>
    <col min="3329" max="3329" width="45.140625" style="123" customWidth="1"/>
    <col min="3330" max="3330" width="16.7109375" style="123" customWidth="1"/>
    <col min="3331" max="3331" width="17" style="123" customWidth="1"/>
    <col min="3332" max="3332" width="11.42578125" style="123"/>
    <col min="3333" max="3333" width="12.28515625" style="123" bestFit="1" customWidth="1"/>
    <col min="3334" max="3334" width="12.140625" style="123" customWidth="1"/>
    <col min="3335" max="3335" width="12.42578125" style="123" customWidth="1"/>
    <col min="3336" max="3336" width="19.5703125" style="123" customWidth="1"/>
    <col min="3337" max="3337" width="15.85546875" style="123" customWidth="1"/>
    <col min="3338" max="3338" width="17.28515625" style="123" customWidth="1"/>
    <col min="3339" max="3340" width="11.42578125" style="123"/>
    <col min="3341" max="3341" width="15.85546875" style="123" customWidth="1"/>
    <col min="3342" max="3584" width="11.42578125" style="123"/>
    <col min="3585" max="3585" width="45.140625" style="123" customWidth="1"/>
    <col min="3586" max="3586" width="16.7109375" style="123" customWidth="1"/>
    <col min="3587" max="3587" width="17" style="123" customWidth="1"/>
    <col min="3588" max="3588" width="11.42578125" style="123"/>
    <col min="3589" max="3589" width="12.28515625" style="123" bestFit="1" customWidth="1"/>
    <col min="3590" max="3590" width="12.140625" style="123" customWidth="1"/>
    <col min="3591" max="3591" width="12.42578125" style="123" customWidth="1"/>
    <col min="3592" max="3592" width="19.5703125" style="123" customWidth="1"/>
    <col min="3593" max="3593" width="15.85546875" style="123" customWidth="1"/>
    <col min="3594" max="3594" width="17.28515625" style="123" customWidth="1"/>
    <col min="3595" max="3596" width="11.42578125" style="123"/>
    <col min="3597" max="3597" width="15.85546875" style="123" customWidth="1"/>
    <col min="3598" max="3840" width="11.42578125" style="123"/>
    <col min="3841" max="3841" width="45.140625" style="123" customWidth="1"/>
    <col min="3842" max="3842" width="16.7109375" style="123" customWidth="1"/>
    <col min="3843" max="3843" width="17" style="123" customWidth="1"/>
    <col min="3844" max="3844" width="11.42578125" style="123"/>
    <col min="3845" max="3845" width="12.28515625" style="123" bestFit="1" customWidth="1"/>
    <col min="3846" max="3846" width="12.140625" style="123" customWidth="1"/>
    <col min="3847" max="3847" width="12.42578125" style="123" customWidth="1"/>
    <col min="3848" max="3848" width="19.5703125" style="123" customWidth="1"/>
    <col min="3849" max="3849" width="15.85546875" style="123" customWidth="1"/>
    <col min="3850" max="3850" width="17.28515625" style="123" customWidth="1"/>
    <col min="3851" max="3852" width="11.42578125" style="123"/>
    <col min="3853" max="3853" width="15.85546875" style="123" customWidth="1"/>
    <col min="3854" max="4096" width="11.42578125" style="123"/>
    <col min="4097" max="4097" width="45.140625" style="123" customWidth="1"/>
    <col min="4098" max="4098" width="16.7109375" style="123" customWidth="1"/>
    <col min="4099" max="4099" width="17" style="123" customWidth="1"/>
    <col min="4100" max="4100" width="11.42578125" style="123"/>
    <col min="4101" max="4101" width="12.28515625" style="123" bestFit="1" customWidth="1"/>
    <col min="4102" max="4102" width="12.140625" style="123" customWidth="1"/>
    <col min="4103" max="4103" width="12.42578125" style="123" customWidth="1"/>
    <col min="4104" max="4104" width="19.5703125" style="123" customWidth="1"/>
    <col min="4105" max="4105" width="15.85546875" style="123" customWidth="1"/>
    <col min="4106" max="4106" width="17.28515625" style="123" customWidth="1"/>
    <col min="4107" max="4108" width="11.42578125" style="123"/>
    <col min="4109" max="4109" width="15.85546875" style="123" customWidth="1"/>
    <col min="4110" max="4352" width="11.42578125" style="123"/>
    <col min="4353" max="4353" width="45.140625" style="123" customWidth="1"/>
    <col min="4354" max="4354" width="16.7109375" style="123" customWidth="1"/>
    <col min="4355" max="4355" width="17" style="123" customWidth="1"/>
    <col min="4356" max="4356" width="11.42578125" style="123"/>
    <col min="4357" max="4357" width="12.28515625" style="123" bestFit="1" customWidth="1"/>
    <col min="4358" max="4358" width="12.140625" style="123" customWidth="1"/>
    <col min="4359" max="4359" width="12.42578125" style="123" customWidth="1"/>
    <col min="4360" max="4360" width="19.5703125" style="123" customWidth="1"/>
    <col min="4361" max="4361" width="15.85546875" style="123" customWidth="1"/>
    <col min="4362" max="4362" width="17.28515625" style="123" customWidth="1"/>
    <col min="4363" max="4364" width="11.42578125" style="123"/>
    <col min="4365" max="4365" width="15.85546875" style="123" customWidth="1"/>
    <col min="4366" max="4608" width="11.42578125" style="123"/>
    <col min="4609" max="4609" width="45.140625" style="123" customWidth="1"/>
    <col min="4610" max="4610" width="16.7109375" style="123" customWidth="1"/>
    <col min="4611" max="4611" width="17" style="123" customWidth="1"/>
    <col min="4612" max="4612" width="11.42578125" style="123"/>
    <col min="4613" max="4613" width="12.28515625" style="123" bestFit="1" customWidth="1"/>
    <col min="4614" max="4614" width="12.140625" style="123" customWidth="1"/>
    <col min="4615" max="4615" width="12.42578125" style="123" customWidth="1"/>
    <col min="4616" max="4616" width="19.5703125" style="123" customWidth="1"/>
    <col min="4617" max="4617" width="15.85546875" style="123" customWidth="1"/>
    <col min="4618" max="4618" width="17.28515625" style="123" customWidth="1"/>
    <col min="4619" max="4620" width="11.42578125" style="123"/>
    <col min="4621" max="4621" width="15.85546875" style="123" customWidth="1"/>
    <col min="4622" max="4864" width="11.42578125" style="123"/>
    <col min="4865" max="4865" width="45.140625" style="123" customWidth="1"/>
    <col min="4866" max="4866" width="16.7109375" style="123" customWidth="1"/>
    <col min="4867" max="4867" width="17" style="123" customWidth="1"/>
    <col min="4868" max="4868" width="11.42578125" style="123"/>
    <col min="4869" max="4869" width="12.28515625" style="123" bestFit="1" customWidth="1"/>
    <col min="4870" max="4870" width="12.140625" style="123" customWidth="1"/>
    <col min="4871" max="4871" width="12.42578125" style="123" customWidth="1"/>
    <col min="4872" max="4872" width="19.5703125" style="123" customWidth="1"/>
    <col min="4873" max="4873" width="15.85546875" style="123" customWidth="1"/>
    <col min="4874" max="4874" width="17.28515625" style="123" customWidth="1"/>
    <col min="4875" max="4876" width="11.42578125" style="123"/>
    <col min="4877" max="4877" width="15.85546875" style="123" customWidth="1"/>
    <col min="4878" max="5120" width="11.42578125" style="123"/>
    <col min="5121" max="5121" width="45.140625" style="123" customWidth="1"/>
    <col min="5122" max="5122" width="16.7109375" style="123" customWidth="1"/>
    <col min="5123" max="5123" width="17" style="123" customWidth="1"/>
    <col min="5124" max="5124" width="11.42578125" style="123"/>
    <col min="5125" max="5125" width="12.28515625" style="123" bestFit="1" customWidth="1"/>
    <col min="5126" max="5126" width="12.140625" style="123" customWidth="1"/>
    <col min="5127" max="5127" width="12.42578125" style="123" customWidth="1"/>
    <col min="5128" max="5128" width="19.5703125" style="123" customWidth="1"/>
    <col min="5129" max="5129" width="15.85546875" style="123" customWidth="1"/>
    <col min="5130" max="5130" width="17.28515625" style="123" customWidth="1"/>
    <col min="5131" max="5132" width="11.42578125" style="123"/>
    <col min="5133" max="5133" width="15.85546875" style="123" customWidth="1"/>
    <col min="5134" max="5376" width="11.42578125" style="123"/>
    <col min="5377" max="5377" width="45.140625" style="123" customWidth="1"/>
    <col min="5378" max="5378" width="16.7109375" style="123" customWidth="1"/>
    <col min="5379" max="5379" width="17" style="123" customWidth="1"/>
    <col min="5380" max="5380" width="11.42578125" style="123"/>
    <col min="5381" max="5381" width="12.28515625" style="123" bestFit="1" customWidth="1"/>
    <col min="5382" max="5382" width="12.140625" style="123" customWidth="1"/>
    <col min="5383" max="5383" width="12.42578125" style="123" customWidth="1"/>
    <col min="5384" max="5384" width="19.5703125" style="123" customWidth="1"/>
    <col min="5385" max="5385" width="15.85546875" style="123" customWidth="1"/>
    <col min="5386" max="5386" width="17.28515625" style="123" customWidth="1"/>
    <col min="5387" max="5388" width="11.42578125" style="123"/>
    <col min="5389" max="5389" width="15.85546875" style="123" customWidth="1"/>
    <col min="5390" max="5632" width="11.42578125" style="123"/>
    <col min="5633" max="5633" width="45.140625" style="123" customWidth="1"/>
    <col min="5634" max="5634" width="16.7109375" style="123" customWidth="1"/>
    <col min="5635" max="5635" width="17" style="123" customWidth="1"/>
    <col min="5636" max="5636" width="11.42578125" style="123"/>
    <col min="5637" max="5637" width="12.28515625" style="123" bestFit="1" customWidth="1"/>
    <col min="5638" max="5638" width="12.140625" style="123" customWidth="1"/>
    <col min="5639" max="5639" width="12.42578125" style="123" customWidth="1"/>
    <col min="5640" max="5640" width="19.5703125" style="123" customWidth="1"/>
    <col min="5641" max="5641" width="15.85546875" style="123" customWidth="1"/>
    <col min="5642" max="5642" width="17.28515625" style="123" customWidth="1"/>
    <col min="5643" max="5644" width="11.42578125" style="123"/>
    <col min="5645" max="5645" width="15.85546875" style="123" customWidth="1"/>
    <col min="5646" max="5888" width="11.42578125" style="123"/>
    <col min="5889" max="5889" width="45.140625" style="123" customWidth="1"/>
    <col min="5890" max="5890" width="16.7109375" style="123" customWidth="1"/>
    <col min="5891" max="5891" width="17" style="123" customWidth="1"/>
    <col min="5892" max="5892" width="11.42578125" style="123"/>
    <col min="5893" max="5893" width="12.28515625" style="123" bestFit="1" customWidth="1"/>
    <col min="5894" max="5894" width="12.140625" style="123" customWidth="1"/>
    <col min="5895" max="5895" width="12.42578125" style="123" customWidth="1"/>
    <col min="5896" max="5896" width="19.5703125" style="123" customWidth="1"/>
    <col min="5897" max="5897" width="15.85546875" style="123" customWidth="1"/>
    <col min="5898" max="5898" width="17.28515625" style="123" customWidth="1"/>
    <col min="5899" max="5900" width="11.42578125" style="123"/>
    <col min="5901" max="5901" width="15.85546875" style="123" customWidth="1"/>
    <col min="5902" max="6144" width="11.42578125" style="123"/>
    <col min="6145" max="6145" width="45.140625" style="123" customWidth="1"/>
    <col min="6146" max="6146" width="16.7109375" style="123" customWidth="1"/>
    <col min="6147" max="6147" width="17" style="123" customWidth="1"/>
    <col min="6148" max="6148" width="11.42578125" style="123"/>
    <col min="6149" max="6149" width="12.28515625" style="123" bestFit="1" customWidth="1"/>
    <col min="6150" max="6150" width="12.140625" style="123" customWidth="1"/>
    <col min="6151" max="6151" width="12.42578125" style="123" customWidth="1"/>
    <col min="6152" max="6152" width="19.5703125" style="123" customWidth="1"/>
    <col min="6153" max="6153" width="15.85546875" style="123" customWidth="1"/>
    <col min="6154" max="6154" width="17.28515625" style="123" customWidth="1"/>
    <col min="6155" max="6156" width="11.42578125" style="123"/>
    <col min="6157" max="6157" width="15.85546875" style="123" customWidth="1"/>
    <col min="6158" max="6400" width="11.42578125" style="123"/>
    <col min="6401" max="6401" width="45.140625" style="123" customWidth="1"/>
    <col min="6402" max="6402" width="16.7109375" style="123" customWidth="1"/>
    <col min="6403" max="6403" width="17" style="123" customWidth="1"/>
    <col min="6404" max="6404" width="11.42578125" style="123"/>
    <col min="6405" max="6405" width="12.28515625" style="123" bestFit="1" customWidth="1"/>
    <col min="6406" max="6406" width="12.140625" style="123" customWidth="1"/>
    <col min="6407" max="6407" width="12.42578125" style="123" customWidth="1"/>
    <col min="6408" max="6408" width="19.5703125" style="123" customWidth="1"/>
    <col min="6409" max="6409" width="15.85546875" style="123" customWidth="1"/>
    <col min="6410" max="6410" width="17.28515625" style="123" customWidth="1"/>
    <col min="6411" max="6412" width="11.42578125" style="123"/>
    <col min="6413" max="6413" width="15.85546875" style="123" customWidth="1"/>
    <col min="6414" max="6656" width="11.42578125" style="123"/>
    <col min="6657" max="6657" width="45.140625" style="123" customWidth="1"/>
    <col min="6658" max="6658" width="16.7109375" style="123" customWidth="1"/>
    <col min="6659" max="6659" width="17" style="123" customWidth="1"/>
    <col min="6660" max="6660" width="11.42578125" style="123"/>
    <col min="6661" max="6661" width="12.28515625" style="123" bestFit="1" customWidth="1"/>
    <col min="6662" max="6662" width="12.140625" style="123" customWidth="1"/>
    <col min="6663" max="6663" width="12.42578125" style="123" customWidth="1"/>
    <col min="6664" max="6664" width="19.5703125" style="123" customWidth="1"/>
    <col min="6665" max="6665" width="15.85546875" style="123" customWidth="1"/>
    <col min="6666" max="6666" width="17.28515625" style="123" customWidth="1"/>
    <col min="6667" max="6668" width="11.42578125" style="123"/>
    <col min="6669" max="6669" width="15.85546875" style="123" customWidth="1"/>
    <col min="6670" max="6912" width="11.42578125" style="123"/>
    <col min="6913" max="6913" width="45.140625" style="123" customWidth="1"/>
    <col min="6914" max="6914" width="16.7109375" style="123" customWidth="1"/>
    <col min="6915" max="6915" width="17" style="123" customWidth="1"/>
    <col min="6916" max="6916" width="11.42578125" style="123"/>
    <col min="6917" max="6917" width="12.28515625" style="123" bestFit="1" customWidth="1"/>
    <col min="6918" max="6918" width="12.140625" style="123" customWidth="1"/>
    <col min="6919" max="6919" width="12.42578125" style="123" customWidth="1"/>
    <col min="6920" max="6920" width="19.5703125" style="123" customWidth="1"/>
    <col min="6921" max="6921" width="15.85546875" style="123" customWidth="1"/>
    <col min="6922" max="6922" width="17.28515625" style="123" customWidth="1"/>
    <col min="6923" max="6924" width="11.42578125" style="123"/>
    <col min="6925" max="6925" width="15.85546875" style="123" customWidth="1"/>
    <col min="6926" max="7168" width="11.42578125" style="123"/>
    <col min="7169" max="7169" width="45.140625" style="123" customWidth="1"/>
    <col min="7170" max="7170" width="16.7109375" style="123" customWidth="1"/>
    <col min="7171" max="7171" width="17" style="123" customWidth="1"/>
    <col min="7172" max="7172" width="11.42578125" style="123"/>
    <col min="7173" max="7173" width="12.28515625" style="123" bestFit="1" customWidth="1"/>
    <col min="7174" max="7174" width="12.140625" style="123" customWidth="1"/>
    <col min="7175" max="7175" width="12.42578125" style="123" customWidth="1"/>
    <col min="7176" max="7176" width="19.5703125" style="123" customWidth="1"/>
    <col min="7177" max="7177" width="15.85546875" style="123" customWidth="1"/>
    <col min="7178" max="7178" width="17.28515625" style="123" customWidth="1"/>
    <col min="7179" max="7180" width="11.42578125" style="123"/>
    <col min="7181" max="7181" width="15.85546875" style="123" customWidth="1"/>
    <col min="7182" max="7424" width="11.42578125" style="123"/>
    <col min="7425" max="7425" width="45.140625" style="123" customWidth="1"/>
    <col min="7426" max="7426" width="16.7109375" style="123" customWidth="1"/>
    <col min="7427" max="7427" width="17" style="123" customWidth="1"/>
    <col min="7428" max="7428" width="11.42578125" style="123"/>
    <col min="7429" max="7429" width="12.28515625" style="123" bestFit="1" customWidth="1"/>
    <col min="7430" max="7430" width="12.140625" style="123" customWidth="1"/>
    <col min="7431" max="7431" width="12.42578125" style="123" customWidth="1"/>
    <col min="7432" max="7432" width="19.5703125" style="123" customWidth="1"/>
    <col min="7433" max="7433" width="15.85546875" style="123" customWidth="1"/>
    <col min="7434" max="7434" width="17.28515625" style="123" customWidth="1"/>
    <col min="7435" max="7436" width="11.42578125" style="123"/>
    <col min="7437" max="7437" width="15.85546875" style="123" customWidth="1"/>
    <col min="7438" max="7680" width="11.42578125" style="123"/>
    <col min="7681" max="7681" width="45.140625" style="123" customWidth="1"/>
    <col min="7682" max="7682" width="16.7109375" style="123" customWidth="1"/>
    <col min="7683" max="7683" width="17" style="123" customWidth="1"/>
    <col min="7684" max="7684" width="11.42578125" style="123"/>
    <col min="7685" max="7685" width="12.28515625" style="123" bestFit="1" customWidth="1"/>
    <col min="7686" max="7686" width="12.140625" style="123" customWidth="1"/>
    <col min="7687" max="7687" width="12.42578125" style="123" customWidth="1"/>
    <col min="7688" max="7688" width="19.5703125" style="123" customWidth="1"/>
    <col min="7689" max="7689" width="15.85546875" style="123" customWidth="1"/>
    <col min="7690" max="7690" width="17.28515625" style="123" customWidth="1"/>
    <col min="7691" max="7692" width="11.42578125" style="123"/>
    <col min="7693" max="7693" width="15.85546875" style="123" customWidth="1"/>
    <col min="7694" max="7936" width="11.42578125" style="123"/>
    <col min="7937" max="7937" width="45.140625" style="123" customWidth="1"/>
    <col min="7938" max="7938" width="16.7109375" style="123" customWidth="1"/>
    <col min="7939" max="7939" width="17" style="123" customWidth="1"/>
    <col min="7940" max="7940" width="11.42578125" style="123"/>
    <col min="7941" max="7941" width="12.28515625" style="123" bestFit="1" customWidth="1"/>
    <col min="7942" max="7942" width="12.140625" style="123" customWidth="1"/>
    <col min="7943" max="7943" width="12.42578125" style="123" customWidth="1"/>
    <col min="7944" max="7944" width="19.5703125" style="123" customWidth="1"/>
    <col min="7945" max="7945" width="15.85546875" style="123" customWidth="1"/>
    <col min="7946" max="7946" width="17.28515625" style="123" customWidth="1"/>
    <col min="7947" max="7948" width="11.42578125" style="123"/>
    <col min="7949" max="7949" width="15.85546875" style="123" customWidth="1"/>
    <col min="7950" max="8192" width="11.42578125" style="123"/>
    <col min="8193" max="8193" width="45.140625" style="123" customWidth="1"/>
    <col min="8194" max="8194" width="16.7109375" style="123" customWidth="1"/>
    <col min="8195" max="8195" width="17" style="123" customWidth="1"/>
    <col min="8196" max="8196" width="11.42578125" style="123"/>
    <col min="8197" max="8197" width="12.28515625" style="123" bestFit="1" customWidth="1"/>
    <col min="8198" max="8198" width="12.140625" style="123" customWidth="1"/>
    <col min="8199" max="8199" width="12.42578125" style="123" customWidth="1"/>
    <col min="8200" max="8200" width="19.5703125" style="123" customWidth="1"/>
    <col min="8201" max="8201" width="15.85546875" style="123" customWidth="1"/>
    <col min="8202" max="8202" width="17.28515625" style="123" customWidth="1"/>
    <col min="8203" max="8204" width="11.42578125" style="123"/>
    <col min="8205" max="8205" width="15.85546875" style="123" customWidth="1"/>
    <col min="8206" max="8448" width="11.42578125" style="123"/>
    <col min="8449" max="8449" width="45.140625" style="123" customWidth="1"/>
    <col min="8450" max="8450" width="16.7109375" style="123" customWidth="1"/>
    <col min="8451" max="8451" width="17" style="123" customWidth="1"/>
    <col min="8452" max="8452" width="11.42578125" style="123"/>
    <col min="8453" max="8453" width="12.28515625" style="123" bestFit="1" customWidth="1"/>
    <col min="8454" max="8454" width="12.140625" style="123" customWidth="1"/>
    <col min="8455" max="8455" width="12.42578125" style="123" customWidth="1"/>
    <col min="8456" max="8456" width="19.5703125" style="123" customWidth="1"/>
    <col min="8457" max="8457" width="15.85546875" style="123" customWidth="1"/>
    <col min="8458" max="8458" width="17.28515625" style="123" customWidth="1"/>
    <col min="8459" max="8460" width="11.42578125" style="123"/>
    <col min="8461" max="8461" width="15.85546875" style="123" customWidth="1"/>
    <col min="8462" max="8704" width="11.42578125" style="123"/>
    <col min="8705" max="8705" width="45.140625" style="123" customWidth="1"/>
    <col min="8706" max="8706" width="16.7109375" style="123" customWidth="1"/>
    <col min="8707" max="8707" width="17" style="123" customWidth="1"/>
    <col min="8708" max="8708" width="11.42578125" style="123"/>
    <col min="8709" max="8709" width="12.28515625" style="123" bestFit="1" customWidth="1"/>
    <col min="8710" max="8710" width="12.140625" style="123" customWidth="1"/>
    <col min="8711" max="8711" width="12.42578125" style="123" customWidth="1"/>
    <col min="8712" max="8712" width="19.5703125" style="123" customWidth="1"/>
    <col min="8713" max="8713" width="15.85546875" style="123" customWidth="1"/>
    <col min="8714" max="8714" width="17.28515625" style="123" customWidth="1"/>
    <col min="8715" max="8716" width="11.42578125" style="123"/>
    <col min="8717" max="8717" width="15.85546875" style="123" customWidth="1"/>
    <col min="8718" max="8960" width="11.42578125" style="123"/>
    <col min="8961" max="8961" width="45.140625" style="123" customWidth="1"/>
    <col min="8962" max="8962" width="16.7109375" style="123" customWidth="1"/>
    <col min="8963" max="8963" width="17" style="123" customWidth="1"/>
    <col min="8964" max="8964" width="11.42578125" style="123"/>
    <col min="8965" max="8965" width="12.28515625" style="123" bestFit="1" customWidth="1"/>
    <col min="8966" max="8966" width="12.140625" style="123" customWidth="1"/>
    <col min="8967" max="8967" width="12.42578125" style="123" customWidth="1"/>
    <col min="8968" max="8968" width="19.5703125" style="123" customWidth="1"/>
    <col min="8969" max="8969" width="15.85546875" style="123" customWidth="1"/>
    <col min="8970" max="8970" width="17.28515625" style="123" customWidth="1"/>
    <col min="8971" max="8972" width="11.42578125" style="123"/>
    <col min="8973" max="8973" width="15.85546875" style="123" customWidth="1"/>
    <col min="8974" max="9216" width="11.42578125" style="123"/>
    <col min="9217" max="9217" width="45.140625" style="123" customWidth="1"/>
    <col min="9218" max="9218" width="16.7109375" style="123" customWidth="1"/>
    <col min="9219" max="9219" width="17" style="123" customWidth="1"/>
    <col min="9220" max="9220" width="11.42578125" style="123"/>
    <col min="9221" max="9221" width="12.28515625" style="123" bestFit="1" customWidth="1"/>
    <col min="9222" max="9222" width="12.140625" style="123" customWidth="1"/>
    <col min="9223" max="9223" width="12.42578125" style="123" customWidth="1"/>
    <col min="9224" max="9224" width="19.5703125" style="123" customWidth="1"/>
    <col min="9225" max="9225" width="15.85546875" style="123" customWidth="1"/>
    <col min="9226" max="9226" width="17.28515625" style="123" customWidth="1"/>
    <col min="9227" max="9228" width="11.42578125" style="123"/>
    <col min="9229" max="9229" width="15.85546875" style="123" customWidth="1"/>
    <col min="9230" max="9472" width="11.42578125" style="123"/>
    <col min="9473" max="9473" width="45.140625" style="123" customWidth="1"/>
    <col min="9474" max="9474" width="16.7109375" style="123" customWidth="1"/>
    <col min="9475" max="9475" width="17" style="123" customWidth="1"/>
    <col min="9476" max="9476" width="11.42578125" style="123"/>
    <col min="9477" max="9477" width="12.28515625" style="123" bestFit="1" customWidth="1"/>
    <col min="9478" max="9478" width="12.140625" style="123" customWidth="1"/>
    <col min="9479" max="9479" width="12.42578125" style="123" customWidth="1"/>
    <col min="9480" max="9480" width="19.5703125" style="123" customWidth="1"/>
    <col min="9481" max="9481" width="15.85546875" style="123" customWidth="1"/>
    <col min="9482" max="9482" width="17.28515625" style="123" customWidth="1"/>
    <col min="9483" max="9484" width="11.42578125" style="123"/>
    <col min="9485" max="9485" width="15.85546875" style="123" customWidth="1"/>
    <col min="9486" max="9728" width="11.42578125" style="123"/>
    <col min="9729" max="9729" width="45.140625" style="123" customWidth="1"/>
    <col min="9730" max="9730" width="16.7109375" style="123" customWidth="1"/>
    <col min="9731" max="9731" width="17" style="123" customWidth="1"/>
    <col min="9732" max="9732" width="11.42578125" style="123"/>
    <col min="9733" max="9733" width="12.28515625" style="123" bestFit="1" customWidth="1"/>
    <col min="9734" max="9734" width="12.140625" style="123" customWidth="1"/>
    <col min="9735" max="9735" width="12.42578125" style="123" customWidth="1"/>
    <col min="9736" max="9736" width="19.5703125" style="123" customWidth="1"/>
    <col min="9737" max="9737" width="15.85546875" style="123" customWidth="1"/>
    <col min="9738" max="9738" width="17.28515625" style="123" customWidth="1"/>
    <col min="9739" max="9740" width="11.42578125" style="123"/>
    <col min="9741" max="9741" width="15.85546875" style="123" customWidth="1"/>
    <col min="9742" max="9984" width="11.42578125" style="123"/>
    <col min="9985" max="9985" width="45.140625" style="123" customWidth="1"/>
    <col min="9986" max="9986" width="16.7109375" style="123" customWidth="1"/>
    <col min="9987" max="9987" width="17" style="123" customWidth="1"/>
    <col min="9988" max="9988" width="11.42578125" style="123"/>
    <col min="9989" max="9989" width="12.28515625" style="123" bestFit="1" customWidth="1"/>
    <col min="9990" max="9990" width="12.140625" style="123" customWidth="1"/>
    <col min="9991" max="9991" width="12.42578125" style="123" customWidth="1"/>
    <col min="9992" max="9992" width="19.5703125" style="123" customWidth="1"/>
    <col min="9993" max="9993" width="15.85546875" style="123" customWidth="1"/>
    <col min="9994" max="9994" width="17.28515625" style="123" customWidth="1"/>
    <col min="9995" max="9996" width="11.42578125" style="123"/>
    <col min="9997" max="9997" width="15.85546875" style="123" customWidth="1"/>
    <col min="9998" max="10240" width="11.42578125" style="123"/>
    <col min="10241" max="10241" width="45.140625" style="123" customWidth="1"/>
    <col min="10242" max="10242" width="16.7109375" style="123" customWidth="1"/>
    <col min="10243" max="10243" width="17" style="123" customWidth="1"/>
    <col min="10244" max="10244" width="11.42578125" style="123"/>
    <col min="10245" max="10245" width="12.28515625" style="123" bestFit="1" customWidth="1"/>
    <col min="10246" max="10246" width="12.140625" style="123" customWidth="1"/>
    <col min="10247" max="10247" width="12.42578125" style="123" customWidth="1"/>
    <col min="10248" max="10248" width="19.5703125" style="123" customWidth="1"/>
    <col min="10249" max="10249" width="15.85546875" style="123" customWidth="1"/>
    <col min="10250" max="10250" width="17.28515625" style="123" customWidth="1"/>
    <col min="10251" max="10252" width="11.42578125" style="123"/>
    <col min="10253" max="10253" width="15.85546875" style="123" customWidth="1"/>
    <col min="10254" max="10496" width="11.42578125" style="123"/>
    <col min="10497" max="10497" width="45.140625" style="123" customWidth="1"/>
    <col min="10498" max="10498" width="16.7109375" style="123" customWidth="1"/>
    <col min="10499" max="10499" width="17" style="123" customWidth="1"/>
    <col min="10500" max="10500" width="11.42578125" style="123"/>
    <col min="10501" max="10501" width="12.28515625" style="123" bestFit="1" customWidth="1"/>
    <col min="10502" max="10502" width="12.140625" style="123" customWidth="1"/>
    <col min="10503" max="10503" width="12.42578125" style="123" customWidth="1"/>
    <col min="10504" max="10504" width="19.5703125" style="123" customWidth="1"/>
    <col min="10505" max="10505" width="15.85546875" style="123" customWidth="1"/>
    <col min="10506" max="10506" width="17.28515625" style="123" customWidth="1"/>
    <col min="10507" max="10508" width="11.42578125" style="123"/>
    <col min="10509" max="10509" width="15.85546875" style="123" customWidth="1"/>
    <col min="10510" max="10752" width="11.42578125" style="123"/>
    <col min="10753" max="10753" width="45.140625" style="123" customWidth="1"/>
    <col min="10754" max="10754" width="16.7109375" style="123" customWidth="1"/>
    <col min="10755" max="10755" width="17" style="123" customWidth="1"/>
    <col min="10756" max="10756" width="11.42578125" style="123"/>
    <col min="10757" max="10757" width="12.28515625" style="123" bestFit="1" customWidth="1"/>
    <col min="10758" max="10758" width="12.140625" style="123" customWidth="1"/>
    <col min="10759" max="10759" width="12.42578125" style="123" customWidth="1"/>
    <col min="10760" max="10760" width="19.5703125" style="123" customWidth="1"/>
    <col min="10761" max="10761" width="15.85546875" style="123" customWidth="1"/>
    <col min="10762" max="10762" width="17.28515625" style="123" customWidth="1"/>
    <col min="10763" max="10764" width="11.42578125" style="123"/>
    <col min="10765" max="10765" width="15.85546875" style="123" customWidth="1"/>
    <col min="10766" max="11008" width="11.42578125" style="123"/>
    <col min="11009" max="11009" width="45.140625" style="123" customWidth="1"/>
    <col min="11010" max="11010" width="16.7109375" style="123" customWidth="1"/>
    <col min="11011" max="11011" width="17" style="123" customWidth="1"/>
    <col min="11012" max="11012" width="11.42578125" style="123"/>
    <col min="11013" max="11013" width="12.28515625" style="123" bestFit="1" customWidth="1"/>
    <col min="11014" max="11014" width="12.140625" style="123" customWidth="1"/>
    <col min="11015" max="11015" width="12.42578125" style="123" customWidth="1"/>
    <col min="11016" max="11016" width="19.5703125" style="123" customWidth="1"/>
    <col min="11017" max="11017" width="15.85546875" style="123" customWidth="1"/>
    <col min="11018" max="11018" width="17.28515625" style="123" customWidth="1"/>
    <col min="11019" max="11020" width="11.42578125" style="123"/>
    <col min="11021" max="11021" width="15.85546875" style="123" customWidth="1"/>
    <col min="11022" max="11264" width="11.42578125" style="123"/>
    <col min="11265" max="11265" width="45.140625" style="123" customWidth="1"/>
    <col min="11266" max="11266" width="16.7109375" style="123" customWidth="1"/>
    <col min="11267" max="11267" width="17" style="123" customWidth="1"/>
    <col min="11268" max="11268" width="11.42578125" style="123"/>
    <col min="11269" max="11269" width="12.28515625" style="123" bestFit="1" customWidth="1"/>
    <col min="11270" max="11270" width="12.140625" style="123" customWidth="1"/>
    <col min="11271" max="11271" width="12.42578125" style="123" customWidth="1"/>
    <col min="11272" max="11272" width="19.5703125" style="123" customWidth="1"/>
    <col min="11273" max="11273" width="15.85546875" style="123" customWidth="1"/>
    <col min="11274" max="11274" width="17.28515625" style="123" customWidth="1"/>
    <col min="11275" max="11276" width="11.42578125" style="123"/>
    <col min="11277" max="11277" width="15.85546875" style="123" customWidth="1"/>
    <col min="11278" max="11520" width="11.42578125" style="123"/>
    <col min="11521" max="11521" width="45.140625" style="123" customWidth="1"/>
    <col min="11522" max="11522" width="16.7109375" style="123" customWidth="1"/>
    <col min="11523" max="11523" width="17" style="123" customWidth="1"/>
    <col min="11524" max="11524" width="11.42578125" style="123"/>
    <col min="11525" max="11525" width="12.28515625" style="123" bestFit="1" customWidth="1"/>
    <col min="11526" max="11526" width="12.140625" style="123" customWidth="1"/>
    <col min="11527" max="11527" width="12.42578125" style="123" customWidth="1"/>
    <col min="11528" max="11528" width="19.5703125" style="123" customWidth="1"/>
    <col min="11529" max="11529" width="15.85546875" style="123" customWidth="1"/>
    <col min="11530" max="11530" width="17.28515625" style="123" customWidth="1"/>
    <col min="11531" max="11532" width="11.42578125" style="123"/>
    <col min="11533" max="11533" width="15.85546875" style="123" customWidth="1"/>
    <col min="11534" max="11776" width="11.42578125" style="123"/>
    <col min="11777" max="11777" width="45.140625" style="123" customWidth="1"/>
    <col min="11778" max="11778" width="16.7109375" style="123" customWidth="1"/>
    <col min="11779" max="11779" width="17" style="123" customWidth="1"/>
    <col min="11780" max="11780" width="11.42578125" style="123"/>
    <col min="11781" max="11781" width="12.28515625" style="123" bestFit="1" customWidth="1"/>
    <col min="11782" max="11782" width="12.140625" style="123" customWidth="1"/>
    <col min="11783" max="11783" width="12.42578125" style="123" customWidth="1"/>
    <col min="11784" max="11784" width="19.5703125" style="123" customWidth="1"/>
    <col min="11785" max="11785" width="15.85546875" style="123" customWidth="1"/>
    <col min="11786" max="11786" width="17.28515625" style="123" customWidth="1"/>
    <col min="11787" max="11788" width="11.42578125" style="123"/>
    <col min="11789" max="11789" width="15.85546875" style="123" customWidth="1"/>
    <col min="11790" max="12032" width="11.42578125" style="123"/>
    <col min="12033" max="12033" width="45.140625" style="123" customWidth="1"/>
    <col min="12034" max="12034" width="16.7109375" style="123" customWidth="1"/>
    <col min="12035" max="12035" width="17" style="123" customWidth="1"/>
    <col min="12036" max="12036" width="11.42578125" style="123"/>
    <col min="12037" max="12037" width="12.28515625" style="123" bestFit="1" customWidth="1"/>
    <col min="12038" max="12038" width="12.140625" style="123" customWidth="1"/>
    <col min="12039" max="12039" width="12.42578125" style="123" customWidth="1"/>
    <col min="12040" max="12040" width="19.5703125" style="123" customWidth="1"/>
    <col min="12041" max="12041" width="15.85546875" style="123" customWidth="1"/>
    <col min="12042" max="12042" width="17.28515625" style="123" customWidth="1"/>
    <col min="12043" max="12044" width="11.42578125" style="123"/>
    <col min="12045" max="12045" width="15.85546875" style="123" customWidth="1"/>
    <col min="12046" max="12288" width="11.42578125" style="123"/>
    <col min="12289" max="12289" width="45.140625" style="123" customWidth="1"/>
    <col min="12290" max="12290" width="16.7109375" style="123" customWidth="1"/>
    <col min="12291" max="12291" width="17" style="123" customWidth="1"/>
    <col min="12292" max="12292" width="11.42578125" style="123"/>
    <col min="12293" max="12293" width="12.28515625" style="123" bestFit="1" customWidth="1"/>
    <col min="12294" max="12294" width="12.140625" style="123" customWidth="1"/>
    <col min="12295" max="12295" width="12.42578125" style="123" customWidth="1"/>
    <col min="12296" max="12296" width="19.5703125" style="123" customWidth="1"/>
    <col min="12297" max="12297" width="15.85546875" style="123" customWidth="1"/>
    <col min="12298" max="12298" width="17.28515625" style="123" customWidth="1"/>
    <col min="12299" max="12300" width="11.42578125" style="123"/>
    <col min="12301" max="12301" width="15.85546875" style="123" customWidth="1"/>
    <col min="12302" max="12544" width="11.42578125" style="123"/>
    <col min="12545" max="12545" width="45.140625" style="123" customWidth="1"/>
    <col min="12546" max="12546" width="16.7109375" style="123" customWidth="1"/>
    <col min="12547" max="12547" width="17" style="123" customWidth="1"/>
    <col min="12548" max="12548" width="11.42578125" style="123"/>
    <col min="12549" max="12549" width="12.28515625" style="123" bestFit="1" customWidth="1"/>
    <col min="12550" max="12550" width="12.140625" style="123" customWidth="1"/>
    <col min="12551" max="12551" width="12.42578125" style="123" customWidth="1"/>
    <col min="12552" max="12552" width="19.5703125" style="123" customWidth="1"/>
    <col min="12553" max="12553" width="15.85546875" style="123" customWidth="1"/>
    <col min="12554" max="12554" width="17.28515625" style="123" customWidth="1"/>
    <col min="12555" max="12556" width="11.42578125" style="123"/>
    <col min="12557" max="12557" width="15.85546875" style="123" customWidth="1"/>
    <col min="12558" max="12800" width="11.42578125" style="123"/>
    <col min="12801" max="12801" width="45.140625" style="123" customWidth="1"/>
    <col min="12802" max="12802" width="16.7109375" style="123" customWidth="1"/>
    <col min="12803" max="12803" width="17" style="123" customWidth="1"/>
    <col min="12804" max="12804" width="11.42578125" style="123"/>
    <col min="12805" max="12805" width="12.28515625" style="123" bestFit="1" customWidth="1"/>
    <col min="12806" max="12806" width="12.140625" style="123" customWidth="1"/>
    <col min="12807" max="12807" width="12.42578125" style="123" customWidth="1"/>
    <col min="12808" max="12808" width="19.5703125" style="123" customWidth="1"/>
    <col min="12809" max="12809" width="15.85546875" style="123" customWidth="1"/>
    <col min="12810" max="12810" width="17.28515625" style="123" customWidth="1"/>
    <col min="12811" max="12812" width="11.42578125" style="123"/>
    <col min="12813" max="12813" width="15.85546875" style="123" customWidth="1"/>
    <col min="12814" max="13056" width="11.42578125" style="123"/>
    <col min="13057" max="13057" width="45.140625" style="123" customWidth="1"/>
    <col min="13058" max="13058" width="16.7109375" style="123" customWidth="1"/>
    <col min="13059" max="13059" width="17" style="123" customWidth="1"/>
    <col min="13060" max="13060" width="11.42578125" style="123"/>
    <col min="13061" max="13061" width="12.28515625" style="123" bestFit="1" customWidth="1"/>
    <col min="13062" max="13062" width="12.140625" style="123" customWidth="1"/>
    <col min="13063" max="13063" width="12.42578125" style="123" customWidth="1"/>
    <col min="13064" max="13064" width="19.5703125" style="123" customWidth="1"/>
    <col min="13065" max="13065" width="15.85546875" style="123" customWidth="1"/>
    <col min="13066" max="13066" width="17.28515625" style="123" customWidth="1"/>
    <col min="13067" max="13068" width="11.42578125" style="123"/>
    <col min="13069" max="13069" width="15.85546875" style="123" customWidth="1"/>
    <col min="13070" max="13312" width="11.42578125" style="123"/>
    <col min="13313" max="13313" width="45.140625" style="123" customWidth="1"/>
    <col min="13314" max="13314" width="16.7109375" style="123" customWidth="1"/>
    <col min="13315" max="13315" width="17" style="123" customWidth="1"/>
    <col min="13316" max="13316" width="11.42578125" style="123"/>
    <col min="13317" max="13317" width="12.28515625" style="123" bestFit="1" customWidth="1"/>
    <col min="13318" max="13318" width="12.140625" style="123" customWidth="1"/>
    <col min="13319" max="13319" width="12.42578125" style="123" customWidth="1"/>
    <col min="13320" max="13320" width="19.5703125" style="123" customWidth="1"/>
    <col min="13321" max="13321" width="15.85546875" style="123" customWidth="1"/>
    <col min="13322" max="13322" width="17.28515625" style="123" customWidth="1"/>
    <col min="13323" max="13324" width="11.42578125" style="123"/>
    <col min="13325" max="13325" width="15.85546875" style="123" customWidth="1"/>
    <col min="13326" max="13568" width="11.42578125" style="123"/>
    <col min="13569" max="13569" width="45.140625" style="123" customWidth="1"/>
    <col min="13570" max="13570" width="16.7109375" style="123" customWidth="1"/>
    <col min="13571" max="13571" width="17" style="123" customWidth="1"/>
    <col min="13572" max="13572" width="11.42578125" style="123"/>
    <col min="13573" max="13573" width="12.28515625" style="123" bestFit="1" customWidth="1"/>
    <col min="13574" max="13574" width="12.140625" style="123" customWidth="1"/>
    <col min="13575" max="13575" width="12.42578125" style="123" customWidth="1"/>
    <col min="13576" max="13576" width="19.5703125" style="123" customWidth="1"/>
    <col min="13577" max="13577" width="15.85546875" style="123" customWidth="1"/>
    <col min="13578" max="13578" width="17.28515625" style="123" customWidth="1"/>
    <col min="13579" max="13580" width="11.42578125" style="123"/>
    <col min="13581" max="13581" width="15.85546875" style="123" customWidth="1"/>
    <col min="13582" max="13824" width="11.42578125" style="123"/>
    <col min="13825" max="13825" width="45.140625" style="123" customWidth="1"/>
    <col min="13826" max="13826" width="16.7109375" style="123" customWidth="1"/>
    <col min="13827" max="13827" width="17" style="123" customWidth="1"/>
    <col min="13828" max="13828" width="11.42578125" style="123"/>
    <col min="13829" max="13829" width="12.28515625" style="123" bestFit="1" customWidth="1"/>
    <col min="13830" max="13830" width="12.140625" style="123" customWidth="1"/>
    <col min="13831" max="13831" width="12.42578125" style="123" customWidth="1"/>
    <col min="13832" max="13832" width="19.5703125" style="123" customWidth="1"/>
    <col min="13833" max="13833" width="15.85546875" style="123" customWidth="1"/>
    <col min="13834" max="13834" width="17.28515625" style="123" customWidth="1"/>
    <col min="13835" max="13836" width="11.42578125" style="123"/>
    <col min="13837" max="13837" width="15.85546875" style="123" customWidth="1"/>
    <col min="13838" max="14080" width="11.42578125" style="123"/>
    <col min="14081" max="14081" width="45.140625" style="123" customWidth="1"/>
    <col min="14082" max="14082" width="16.7109375" style="123" customWidth="1"/>
    <col min="14083" max="14083" width="17" style="123" customWidth="1"/>
    <col min="14084" max="14084" width="11.42578125" style="123"/>
    <col min="14085" max="14085" width="12.28515625" style="123" bestFit="1" customWidth="1"/>
    <col min="14086" max="14086" width="12.140625" style="123" customWidth="1"/>
    <col min="14087" max="14087" width="12.42578125" style="123" customWidth="1"/>
    <col min="14088" max="14088" width="19.5703125" style="123" customWidth="1"/>
    <col min="14089" max="14089" width="15.85546875" style="123" customWidth="1"/>
    <col min="14090" max="14090" width="17.28515625" style="123" customWidth="1"/>
    <col min="14091" max="14092" width="11.42578125" style="123"/>
    <col min="14093" max="14093" width="15.85546875" style="123" customWidth="1"/>
    <col min="14094" max="14336" width="11.42578125" style="123"/>
    <col min="14337" max="14337" width="45.140625" style="123" customWidth="1"/>
    <col min="14338" max="14338" width="16.7109375" style="123" customWidth="1"/>
    <col min="14339" max="14339" width="17" style="123" customWidth="1"/>
    <col min="14340" max="14340" width="11.42578125" style="123"/>
    <col min="14341" max="14341" width="12.28515625" style="123" bestFit="1" customWidth="1"/>
    <col min="14342" max="14342" width="12.140625" style="123" customWidth="1"/>
    <col min="14343" max="14343" width="12.42578125" style="123" customWidth="1"/>
    <col min="14344" max="14344" width="19.5703125" style="123" customWidth="1"/>
    <col min="14345" max="14345" width="15.85546875" style="123" customWidth="1"/>
    <col min="14346" max="14346" width="17.28515625" style="123" customWidth="1"/>
    <col min="14347" max="14348" width="11.42578125" style="123"/>
    <col min="14349" max="14349" width="15.85546875" style="123" customWidth="1"/>
    <col min="14350" max="14592" width="11.42578125" style="123"/>
    <col min="14593" max="14593" width="45.140625" style="123" customWidth="1"/>
    <col min="14594" max="14594" width="16.7109375" style="123" customWidth="1"/>
    <col min="14595" max="14595" width="17" style="123" customWidth="1"/>
    <col min="14596" max="14596" width="11.42578125" style="123"/>
    <col min="14597" max="14597" width="12.28515625" style="123" bestFit="1" customWidth="1"/>
    <col min="14598" max="14598" width="12.140625" style="123" customWidth="1"/>
    <col min="14599" max="14599" width="12.42578125" style="123" customWidth="1"/>
    <col min="14600" max="14600" width="19.5703125" style="123" customWidth="1"/>
    <col min="14601" max="14601" width="15.85546875" style="123" customWidth="1"/>
    <col min="14602" max="14602" width="17.28515625" style="123" customWidth="1"/>
    <col min="14603" max="14604" width="11.42578125" style="123"/>
    <col min="14605" max="14605" width="15.85546875" style="123" customWidth="1"/>
    <col min="14606" max="14848" width="11.42578125" style="123"/>
    <col min="14849" max="14849" width="45.140625" style="123" customWidth="1"/>
    <col min="14850" max="14850" width="16.7109375" style="123" customWidth="1"/>
    <col min="14851" max="14851" width="17" style="123" customWidth="1"/>
    <col min="14852" max="14852" width="11.42578125" style="123"/>
    <col min="14853" max="14853" width="12.28515625" style="123" bestFit="1" customWidth="1"/>
    <col min="14854" max="14854" width="12.140625" style="123" customWidth="1"/>
    <col min="14855" max="14855" width="12.42578125" style="123" customWidth="1"/>
    <col min="14856" max="14856" width="19.5703125" style="123" customWidth="1"/>
    <col min="14857" max="14857" width="15.85546875" style="123" customWidth="1"/>
    <col min="14858" max="14858" width="17.28515625" style="123" customWidth="1"/>
    <col min="14859" max="14860" width="11.42578125" style="123"/>
    <col min="14861" max="14861" width="15.85546875" style="123" customWidth="1"/>
    <col min="14862" max="15104" width="11.42578125" style="123"/>
    <col min="15105" max="15105" width="45.140625" style="123" customWidth="1"/>
    <col min="15106" max="15106" width="16.7109375" style="123" customWidth="1"/>
    <col min="15107" max="15107" width="17" style="123" customWidth="1"/>
    <col min="15108" max="15108" width="11.42578125" style="123"/>
    <col min="15109" max="15109" width="12.28515625" style="123" bestFit="1" customWidth="1"/>
    <col min="15110" max="15110" width="12.140625" style="123" customWidth="1"/>
    <col min="15111" max="15111" width="12.42578125" style="123" customWidth="1"/>
    <col min="15112" max="15112" width="19.5703125" style="123" customWidth="1"/>
    <col min="15113" max="15113" width="15.85546875" style="123" customWidth="1"/>
    <col min="15114" max="15114" width="17.28515625" style="123" customWidth="1"/>
    <col min="15115" max="15116" width="11.42578125" style="123"/>
    <col min="15117" max="15117" width="15.85546875" style="123" customWidth="1"/>
    <col min="15118" max="15360" width="11.42578125" style="123"/>
    <col min="15361" max="15361" width="45.140625" style="123" customWidth="1"/>
    <col min="15362" max="15362" width="16.7109375" style="123" customWidth="1"/>
    <col min="15363" max="15363" width="17" style="123" customWidth="1"/>
    <col min="15364" max="15364" width="11.42578125" style="123"/>
    <col min="15365" max="15365" width="12.28515625" style="123" bestFit="1" customWidth="1"/>
    <col min="15366" max="15366" width="12.140625" style="123" customWidth="1"/>
    <col min="15367" max="15367" width="12.42578125" style="123" customWidth="1"/>
    <col min="15368" max="15368" width="19.5703125" style="123" customWidth="1"/>
    <col min="15369" max="15369" width="15.85546875" style="123" customWidth="1"/>
    <col min="15370" max="15370" width="17.28515625" style="123" customWidth="1"/>
    <col min="15371" max="15372" width="11.42578125" style="123"/>
    <col min="15373" max="15373" width="15.85546875" style="123" customWidth="1"/>
    <col min="15374" max="15616" width="11.42578125" style="123"/>
    <col min="15617" max="15617" width="45.140625" style="123" customWidth="1"/>
    <col min="15618" max="15618" width="16.7109375" style="123" customWidth="1"/>
    <col min="15619" max="15619" width="17" style="123" customWidth="1"/>
    <col min="15620" max="15620" width="11.42578125" style="123"/>
    <col min="15621" max="15621" width="12.28515625" style="123" bestFit="1" customWidth="1"/>
    <col min="15622" max="15622" width="12.140625" style="123" customWidth="1"/>
    <col min="15623" max="15623" width="12.42578125" style="123" customWidth="1"/>
    <col min="15624" max="15624" width="19.5703125" style="123" customWidth="1"/>
    <col min="15625" max="15625" width="15.85546875" style="123" customWidth="1"/>
    <col min="15626" max="15626" width="17.28515625" style="123" customWidth="1"/>
    <col min="15627" max="15628" width="11.42578125" style="123"/>
    <col min="15629" max="15629" width="15.85546875" style="123" customWidth="1"/>
    <col min="15630" max="15872" width="11.42578125" style="123"/>
    <col min="15873" max="15873" width="45.140625" style="123" customWidth="1"/>
    <col min="15874" max="15874" width="16.7109375" style="123" customWidth="1"/>
    <col min="15875" max="15875" width="17" style="123" customWidth="1"/>
    <col min="15876" max="15876" width="11.42578125" style="123"/>
    <col min="15877" max="15877" width="12.28515625" style="123" bestFit="1" customWidth="1"/>
    <col min="15878" max="15878" width="12.140625" style="123" customWidth="1"/>
    <col min="15879" max="15879" width="12.42578125" style="123" customWidth="1"/>
    <col min="15880" max="15880" width="19.5703125" style="123" customWidth="1"/>
    <col min="15881" max="15881" width="15.85546875" style="123" customWidth="1"/>
    <col min="15882" max="15882" width="17.28515625" style="123" customWidth="1"/>
    <col min="15883" max="15884" width="11.42578125" style="123"/>
    <col min="15885" max="15885" width="15.85546875" style="123" customWidth="1"/>
    <col min="15886" max="16128" width="11.42578125" style="123"/>
    <col min="16129" max="16129" width="45.140625" style="123" customWidth="1"/>
    <col min="16130" max="16130" width="16.7109375" style="123" customWidth="1"/>
    <col min="16131" max="16131" width="17" style="123" customWidth="1"/>
    <col min="16132" max="16132" width="11.42578125" style="123"/>
    <col min="16133" max="16133" width="12.28515625" style="123" bestFit="1" customWidth="1"/>
    <col min="16134" max="16134" width="12.140625" style="123" customWidth="1"/>
    <col min="16135" max="16135" width="12.42578125" style="123" customWidth="1"/>
    <col min="16136" max="16136" width="19.5703125" style="123" customWidth="1"/>
    <col min="16137" max="16137" width="15.85546875" style="123" customWidth="1"/>
    <col min="16138" max="16138" width="17.28515625" style="123" customWidth="1"/>
    <col min="16139" max="16140" width="11.42578125" style="123"/>
    <col min="16141" max="16141" width="15.85546875" style="123" customWidth="1"/>
    <col min="16142" max="16384" width="11.42578125" style="123"/>
  </cols>
  <sheetData>
    <row r="1" spans="1:14" ht="28.5" x14ac:dyDescent="0.45">
      <c r="A1" s="116" t="s">
        <v>238</v>
      </c>
      <c r="B1" s="117"/>
      <c r="C1" s="117"/>
      <c r="D1" s="117"/>
      <c r="E1" s="117"/>
      <c r="F1" s="118"/>
      <c r="G1" s="119" t="s">
        <v>239</v>
      </c>
      <c r="H1" s="120" t="s">
        <v>240</v>
      </c>
      <c r="I1" s="120"/>
      <c r="J1" s="119" t="s">
        <v>241</v>
      </c>
      <c r="K1" s="120">
        <v>4</v>
      </c>
      <c r="L1" s="119" t="s">
        <v>242</v>
      </c>
      <c r="M1" s="121">
        <v>42012</v>
      </c>
      <c r="N1" s="122"/>
    </row>
    <row r="5" spans="1:14" ht="21" x14ac:dyDescent="0.35">
      <c r="A5" s="124" t="s">
        <v>243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</row>
    <row r="6" spans="1:14" ht="15" customHeight="1" x14ac:dyDescent="0.2"/>
    <row r="7" spans="1:14" ht="15" customHeight="1" x14ac:dyDescent="0.25">
      <c r="A7" s="125" t="s">
        <v>244</v>
      </c>
      <c r="B7" s="126"/>
      <c r="C7" s="126"/>
      <c r="D7" s="126"/>
      <c r="E7" s="126"/>
      <c r="F7" s="126"/>
      <c r="G7" s="127"/>
      <c r="H7" s="126"/>
      <c r="I7" s="126"/>
      <c r="J7" s="126"/>
      <c r="K7" s="126"/>
    </row>
    <row r="8" spans="1:14" ht="15" customHeight="1" x14ac:dyDescent="0.2"/>
    <row r="9" spans="1:14" ht="15" customHeight="1" thickBot="1" x14ac:dyDescent="0.25"/>
    <row r="10" spans="1:14" ht="15" customHeight="1" x14ac:dyDescent="0.2">
      <c r="B10" s="128" t="s">
        <v>40</v>
      </c>
      <c r="C10" s="129"/>
      <c r="D10" s="128" t="s">
        <v>51</v>
      </c>
      <c r="E10" s="129"/>
      <c r="F10" s="128" t="s">
        <v>245</v>
      </c>
      <c r="G10" s="129"/>
      <c r="H10" s="128" t="s">
        <v>54</v>
      </c>
      <c r="I10" s="129"/>
      <c r="J10" s="130" t="s">
        <v>246</v>
      </c>
      <c r="K10" s="131" t="s">
        <v>9</v>
      </c>
    </row>
    <row r="11" spans="1:14" ht="15" customHeight="1" thickBot="1" x14ac:dyDescent="0.25">
      <c r="B11" s="132" t="s">
        <v>247</v>
      </c>
      <c r="C11" s="133" t="s">
        <v>248</v>
      </c>
      <c r="D11" s="132" t="s">
        <v>249</v>
      </c>
      <c r="E11" s="133" t="s">
        <v>250</v>
      </c>
      <c r="F11" s="132" t="s">
        <v>251</v>
      </c>
      <c r="G11" s="133" t="s">
        <v>252</v>
      </c>
      <c r="H11" s="132" t="s">
        <v>253</v>
      </c>
      <c r="I11" s="133" t="s">
        <v>254</v>
      </c>
      <c r="J11" s="134"/>
      <c r="K11" s="135"/>
    </row>
    <row r="12" spans="1:14" ht="15" customHeight="1" x14ac:dyDescent="0.2"/>
    <row r="13" spans="1:14" ht="15" customHeight="1" x14ac:dyDescent="0.25">
      <c r="B13" s="136"/>
      <c r="C13" s="136"/>
      <c r="D13" s="136"/>
      <c r="E13" s="136"/>
      <c r="F13" s="137" t="s">
        <v>255</v>
      </c>
      <c r="G13" s="136"/>
      <c r="H13" s="136"/>
      <c r="I13" s="136"/>
      <c r="J13" s="136"/>
      <c r="K13" s="136"/>
    </row>
    <row r="14" spans="1:14" ht="15" customHeight="1" thickBot="1" x14ac:dyDescent="0.25"/>
    <row r="15" spans="1:14" ht="15" customHeight="1" x14ac:dyDescent="0.25">
      <c r="A15" s="138" t="s">
        <v>256</v>
      </c>
      <c r="B15" s="139">
        <v>0.11</v>
      </c>
      <c r="C15" s="140" t="s">
        <v>257</v>
      </c>
      <c r="D15" s="139">
        <v>0.9</v>
      </c>
      <c r="E15" s="140">
        <v>0.95</v>
      </c>
      <c r="F15" s="139">
        <v>0.63</v>
      </c>
      <c r="G15" s="140" t="s">
        <v>257</v>
      </c>
      <c r="H15" s="139" t="s">
        <v>258</v>
      </c>
      <c r="I15" s="140" t="s">
        <v>257</v>
      </c>
      <c r="J15" s="141">
        <v>17.18</v>
      </c>
      <c r="K15" s="142">
        <v>138.17000000000002</v>
      </c>
    </row>
    <row r="16" spans="1:14" ht="15" customHeight="1" x14ac:dyDescent="0.25">
      <c r="A16" s="143" t="s">
        <v>259</v>
      </c>
      <c r="B16" s="144">
        <v>10.9</v>
      </c>
      <c r="C16" s="145">
        <v>0.93</v>
      </c>
      <c r="D16" s="144">
        <v>64.12</v>
      </c>
      <c r="E16" s="145">
        <v>40.89</v>
      </c>
      <c r="F16" s="144">
        <v>41.9</v>
      </c>
      <c r="G16" s="145" t="s">
        <v>257</v>
      </c>
      <c r="H16" s="144">
        <v>1.67</v>
      </c>
      <c r="I16" s="145" t="s">
        <v>257</v>
      </c>
      <c r="J16" s="146">
        <v>0.36</v>
      </c>
      <c r="K16" s="147">
        <v>160.77000000000001</v>
      </c>
    </row>
    <row r="17" spans="1:11" ht="15" customHeight="1" x14ac:dyDescent="0.25">
      <c r="A17" s="143" t="s">
        <v>260</v>
      </c>
      <c r="B17" s="144">
        <v>-0.08</v>
      </c>
      <c r="C17" s="145">
        <v>-0.09</v>
      </c>
      <c r="D17" s="144" t="s">
        <v>257</v>
      </c>
      <c r="E17" s="145">
        <v>-23.02</v>
      </c>
      <c r="F17" s="144">
        <v>-2.54</v>
      </c>
      <c r="G17" s="145" t="s">
        <v>257</v>
      </c>
      <c r="H17" s="144">
        <v>-4.32</v>
      </c>
      <c r="I17" s="145" t="s">
        <v>257</v>
      </c>
      <c r="J17" s="146">
        <v>-0.2</v>
      </c>
      <c r="K17" s="147">
        <v>-30.25</v>
      </c>
    </row>
    <row r="18" spans="1:11" ht="15" customHeight="1" x14ac:dyDescent="0.25">
      <c r="A18" s="148" t="s">
        <v>261</v>
      </c>
      <c r="B18" s="149">
        <v>10.82</v>
      </c>
      <c r="C18" s="150">
        <v>0.84000000000000008</v>
      </c>
      <c r="D18" s="149">
        <v>64.12</v>
      </c>
      <c r="E18" s="150">
        <v>17.87</v>
      </c>
      <c r="F18" s="149">
        <v>39.36</v>
      </c>
      <c r="G18" s="150" t="s">
        <v>257</v>
      </c>
      <c r="H18" s="149">
        <v>-2.6500000000000004</v>
      </c>
      <c r="I18" s="150" t="s">
        <v>257</v>
      </c>
      <c r="J18" s="151">
        <v>0.15999999999999998</v>
      </c>
      <c r="K18" s="152">
        <v>130.52000000000001</v>
      </c>
    </row>
    <row r="19" spans="1:11" ht="15" customHeight="1" x14ac:dyDescent="0.25">
      <c r="A19" s="143" t="s">
        <v>262</v>
      </c>
      <c r="B19" s="144">
        <v>-0.22</v>
      </c>
      <c r="C19" s="145">
        <v>-0.04</v>
      </c>
      <c r="D19" s="144">
        <v>0.25</v>
      </c>
      <c r="E19" s="145">
        <v>0.3</v>
      </c>
      <c r="F19" s="144">
        <v>2.41</v>
      </c>
      <c r="G19" s="145" t="s">
        <v>257</v>
      </c>
      <c r="H19" s="144" t="s">
        <v>257</v>
      </c>
      <c r="I19" s="145" t="s">
        <v>257</v>
      </c>
      <c r="J19" s="146" t="s">
        <v>257</v>
      </c>
      <c r="K19" s="147">
        <v>2.7</v>
      </c>
    </row>
    <row r="20" spans="1:11" ht="15" customHeight="1" thickBot="1" x14ac:dyDescent="0.3">
      <c r="A20" s="153" t="s">
        <v>263</v>
      </c>
      <c r="B20" s="154" t="s">
        <v>257</v>
      </c>
      <c r="C20" s="155" t="s">
        <v>257</v>
      </c>
      <c r="D20" s="154" t="s">
        <v>257</v>
      </c>
      <c r="E20" s="155">
        <v>-2.44</v>
      </c>
      <c r="F20" s="154" t="s">
        <v>257</v>
      </c>
      <c r="G20" s="155" t="s">
        <v>257</v>
      </c>
      <c r="H20" s="154" t="s">
        <v>257</v>
      </c>
      <c r="I20" s="155" t="s">
        <v>257</v>
      </c>
      <c r="J20" s="156" t="s">
        <v>257</v>
      </c>
      <c r="K20" s="157">
        <v>-2.44</v>
      </c>
    </row>
    <row r="21" spans="1:11" ht="15" customHeight="1" thickBot="1" x14ac:dyDescent="0.3">
      <c r="A21" s="158" t="s">
        <v>264</v>
      </c>
      <c r="B21" s="159">
        <v>11.51</v>
      </c>
      <c r="C21" s="160" t="s">
        <v>257</v>
      </c>
      <c r="D21" s="161">
        <v>65.27000000000001</v>
      </c>
      <c r="E21" s="162">
        <v>16.680000000000003</v>
      </c>
      <c r="F21" s="161">
        <v>42.400000000000006</v>
      </c>
      <c r="G21" s="162" t="s">
        <v>257</v>
      </c>
      <c r="H21" s="161">
        <v>115.75</v>
      </c>
      <c r="I21" s="162" t="s">
        <v>257</v>
      </c>
      <c r="J21" s="163">
        <v>17.34</v>
      </c>
      <c r="K21" s="163">
        <v>268.95000000000005</v>
      </c>
    </row>
    <row r="22" spans="1:11" ht="15" customHeight="1" thickBot="1" x14ac:dyDescent="0.25">
      <c r="B22" s="164"/>
      <c r="C22" s="164"/>
      <c r="D22" s="164"/>
      <c r="E22" s="164"/>
      <c r="F22" s="164"/>
      <c r="G22" s="164"/>
      <c r="H22" s="164"/>
      <c r="I22" s="164"/>
      <c r="J22" s="164"/>
      <c r="K22" s="164"/>
    </row>
    <row r="23" spans="1:11" ht="15" customHeight="1" thickBot="1" x14ac:dyDescent="0.3">
      <c r="A23" s="158" t="s">
        <v>265</v>
      </c>
      <c r="B23" s="165">
        <v>8.9999999999999993E-3</v>
      </c>
      <c r="C23" s="166" t="s">
        <v>257</v>
      </c>
      <c r="D23" s="165">
        <v>2.2574740695546061E-2</v>
      </c>
      <c r="E23" s="166" t="s">
        <v>257</v>
      </c>
      <c r="F23" s="165">
        <v>1.4858490566037734E-2</v>
      </c>
      <c r="G23" s="166" t="s">
        <v>257</v>
      </c>
      <c r="H23" s="165">
        <v>1.0228941684665227</v>
      </c>
      <c r="I23" s="166" t="s">
        <v>257</v>
      </c>
      <c r="J23" s="167">
        <v>0.99077277970011535</v>
      </c>
      <c r="K23" s="167">
        <v>0.51373861312511615</v>
      </c>
    </row>
    <row r="24" spans="1:11" ht="15" customHeight="1" x14ac:dyDescent="0.2"/>
    <row r="25" spans="1:11" ht="15" customHeight="1" x14ac:dyDescent="0.25">
      <c r="B25" s="136"/>
      <c r="C25" s="136"/>
      <c r="D25" s="136"/>
      <c r="E25" s="136"/>
      <c r="F25" s="137" t="s">
        <v>266</v>
      </c>
      <c r="G25" s="136"/>
      <c r="H25" s="136"/>
      <c r="I25" s="136"/>
      <c r="J25" s="136"/>
      <c r="K25" s="136"/>
    </row>
    <row r="26" spans="1:11" ht="15" customHeight="1" x14ac:dyDescent="0.2"/>
    <row r="27" spans="1:11" ht="15" customHeight="1" thickBot="1" x14ac:dyDescent="0.3">
      <c r="A27" s="168" t="s">
        <v>267</v>
      </c>
    </row>
    <row r="28" spans="1:11" ht="15" customHeight="1" x14ac:dyDescent="0.25">
      <c r="A28" s="138" t="s">
        <v>268</v>
      </c>
      <c r="B28" s="139" t="s">
        <v>257</v>
      </c>
      <c r="C28" s="140" t="s">
        <v>257</v>
      </c>
      <c r="D28" s="139">
        <v>64.59</v>
      </c>
      <c r="E28" s="140">
        <v>-60.18</v>
      </c>
      <c r="F28" s="139">
        <v>0.64</v>
      </c>
      <c r="G28" s="140" t="s">
        <v>257</v>
      </c>
      <c r="H28" s="139">
        <v>-0.11</v>
      </c>
      <c r="I28" s="140">
        <v>0.28999999999999998</v>
      </c>
      <c r="J28" s="141" t="s">
        <v>257</v>
      </c>
      <c r="K28" s="142">
        <v>5.2300000000000031</v>
      </c>
    </row>
    <row r="29" spans="1:11" ht="15" customHeight="1" x14ac:dyDescent="0.25">
      <c r="A29" s="143" t="s">
        <v>269</v>
      </c>
      <c r="B29" s="144">
        <v>4.6500000000000004</v>
      </c>
      <c r="C29" s="145" t="s">
        <v>257</v>
      </c>
      <c r="D29" s="144" t="s">
        <v>257</v>
      </c>
      <c r="E29" s="145">
        <v>1.42</v>
      </c>
      <c r="F29" s="144">
        <v>3.81</v>
      </c>
      <c r="G29" s="145">
        <v>0.59</v>
      </c>
      <c r="H29" s="144">
        <v>-5.29</v>
      </c>
      <c r="I29" s="145" t="s">
        <v>257</v>
      </c>
      <c r="J29" s="146">
        <v>1.98</v>
      </c>
      <c r="K29" s="147">
        <v>7.16</v>
      </c>
    </row>
    <row r="30" spans="1:11" ht="15" customHeight="1" x14ac:dyDescent="0.25">
      <c r="A30" s="143" t="s">
        <v>270</v>
      </c>
      <c r="B30" s="144">
        <v>2.69</v>
      </c>
      <c r="C30" s="145">
        <v>-2.16</v>
      </c>
      <c r="D30" s="144" t="s">
        <v>257</v>
      </c>
      <c r="E30" s="145" t="s">
        <v>257</v>
      </c>
      <c r="F30" s="144">
        <v>0.52</v>
      </c>
      <c r="G30" s="145">
        <v>-0.22</v>
      </c>
      <c r="H30" s="144" t="s">
        <v>257</v>
      </c>
      <c r="I30" s="145" t="s">
        <v>271</v>
      </c>
      <c r="J30" s="146">
        <v>0.47</v>
      </c>
      <c r="K30" s="147">
        <v>5.97</v>
      </c>
    </row>
    <row r="31" spans="1:11" ht="15" customHeight="1" thickBot="1" x14ac:dyDescent="0.3">
      <c r="A31" s="153" t="s">
        <v>272</v>
      </c>
      <c r="B31" s="154">
        <v>0.54</v>
      </c>
      <c r="C31" s="155">
        <v>0.04</v>
      </c>
      <c r="D31" s="169">
        <v>0.68</v>
      </c>
      <c r="E31" s="170">
        <v>-1.66</v>
      </c>
      <c r="F31" s="154">
        <v>1.06</v>
      </c>
      <c r="G31" s="155">
        <v>0.03</v>
      </c>
      <c r="H31" s="154" t="s">
        <v>257</v>
      </c>
      <c r="I31" s="155">
        <v>77.569999999999993</v>
      </c>
      <c r="J31" s="156">
        <v>0.26</v>
      </c>
      <c r="K31" s="157">
        <v>78.52</v>
      </c>
    </row>
    <row r="32" spans="1:11" ht="15" customHeight="1" thickBot="1" x14ac:dyDescent="0.3">
      <c r="A32" s="158" t="s">
        <v>273</v>
      </c>
      <c r="B32" s="161">
        <v>7.88</v>
      </c>
      <c r="C32" s="162">
        <v>-2.12</v>
      </c>
      <c r="D32" s="161">
        <v>65.27000000000001</v>
      </c>
      <c r="E32" s="162">
        <v>-60.419999999999995</v>
      </c>
      <c r="F32" s="161">
        <v>6.0300000000000011</v>
      </c>
      <c r="G32" s="171">
        <v>0.4</v>
      </c>
      <c r="H32" s="172">
        <v>-5.4</v>
      </c>
      <c r="I32" s="162">
        <v>82.53</v>
      </c>
      <c r="J32" s="163">
        <v>2.71</v>
      </c>
      <c r="K32" s="163">
        <v>96.88000000000001</v>
      </c>
    </row>
    <row r="33" spans="1:11" ht="15" customHeight="1" x14ac:dyDescent="0.2"/>
    <row r="34" spans="1:11" ht="15" customHeight="1" x14ac:dyDescent="0.25">
      <c r="A34" s="168" t="s">
        <v>274</v>
      </c>
    </row>
    <row r="35" spans="1:11" ht="15" customHeight="1" x14ac:dyDescent="0.25">
      <c r="A35" s="173" t="s">
        <v>59</v>
      </c>
      <c r="B35" s="174">
        <v>5.34</v>
      </c>
      <c r="C35" s="175"/>
      <c r="D35" s="174"/>
      <c r="E35" s="175">
        <v>5.05</v>
      </c>
      <c r="F35" s="174">
        <v>11.09</v>
      </c>
      <c r="G35" s="175"/>
      <c r="H35" s="174"/>
      <c r="I35" s="175">
        <v>10.4</v>
      </c>
      <c r="J35" s="176">
        <v>1.84</v>
      </c>
      <c r="K35" s="177">
        <v>33.720000000000006</v>
      </c>
    </row>
    <row r="36" spans="1:11" ht="15" customHeight="1" x14ac:dyDescent="0.25">
      <c r="A36" s="173" t="s">
        <v>61</v>
      </c>
      <c r="B36" s="174">
        <v>0.21</v>
      </c>
      <c r="C36" s="175"/>
      <c r="D36" s="174"/>
      <c r="E36" s="175">
        <v>7.1</v>
      </c>
      <c r="F36" s="174">
        <v>15.8</v>
      </c>
      <c r="G36" s="175"/>
      <c r="H36" s="174"/>
      <c r="I36" s="175">
        <v>13.9</v>
      </c>
      <c r="J36" s="176">
        <v>8.3800000000000008</v>
      </c>
      <c r="K36" s="177">
        <v>45.39</v>
      </c>
    </row>
    <row r="37" spans="1:11" ht="15" customHeight="1" x14ac:dyDescent="0.25">
      <c r="A37" s="173" t="s">
        <v>56</v>
      </c>
      <c r="B37" s="174">
        <v>0.12</v>
      </c>
      <c r="C37" s="175"/>
      <c r="D37" s="174"/>
      <c r="E37" s="175">
        <v>3.88</v>
      </c>
      <c r="F37" s="174">
        <v>5.61</v>
      </c>
      <c r="G37" s="175"/>
      <c r="H37" s="174"/>
      <c r="I37" s="175">
        <v>12.09</v>
      </c>
      <c r="J37" s="176">
        <v>0.72</v>
      </c>
      <c r="K37" s="177">
        <v>22.419999999999998</v>
      </c>
    </row>
    <row r="38" spans="1:11" ht="15" customHeight="1" x14ac:dyDescent="0.25">
      <c r="A38" s="173" t="s">
        <v>58</v>
      </c>
      <c r="B38" s="174">
        <v>0</v>
      </c>
      <c r="C38" s="175"/>
      <c r="D38" s="174"/>
      <c r="E38" s="175">
        <v>3.44</v>
      </c>
      <c r="F38" s="174">
        <v>0.23</v>
      </c>
      <c r="G38" s="175"/>
      <c r="H38" s="174"/>
      <c r="I38" s="175">
        <v>0.66</v>
      </c>
      <c r="J38" s="176">
        <v>0.05</v>
      </c>
      <c r="K38" s="177">
        <v>4.38</v>
      </c>
    </row>
    <row r="39" spans="1:11" ht="15" customHeight="1" thickBot="1" x14ac:dyDescent="0.3">
      <c r="A39" s="178" t="s">
        <v>57</v>
      </c>
      <c r="B39" s="174"/>
      <c r="C39" s="170"/>
      <c r="D39" s="169"/>
      <c r="E39" s="175">
        <v>45.85</v>
      </c>
      <c r="F39" s="174">
        <v>0.09</v>
      </c>
      <c r="G39" s="170"/>
      <c r="H39" s="174"/>
      <c r="I39" s="175">
        <v>1.05</v>
      </c>
      <c r="J39" s="176">
        <v>2.42</v>
      </c>
      <c r="K39" s="177">
        <v>49.410000000000004</v>
      </c>
    </row>
    <row r="40" spans="1:11" ht="15" customHeight="1" thickBot="1" x14ac:dyDescent="0.3">
      <c r="A40" s="179" t="s">
        <v>275</v>
      </c>
      <c r="B40" s="172">
        <v>5.67</v>
      </c>
      <c r="C40" s="171">
        <v>0</v>
      </c>
      <c r="D40" s="172"/>
      <c r="E40" s="171">
        <v>65.319999999999993</v>
      </c>
      <c r="F40" s="172">
        <v>32.82</v>
      </c>
      <c r="G40" s="171">
        <v>-0.40000000000000013</v>
      </c>
      <c r="H40" s="172"/>
      <c r="I40" s="171">
        <v>38.099999999999994</v>
      </c>
      <c r="J40" s="180">
        <v>13.410000000000002</v>
      </c>
      <c r="K40" s="181">
        <v>154.91999999999999</v>
      </c>
    </row>
    <row r="41" spans="1:11" ht="15" customHeight="1" x14ac:dyDescent="0.2"/>
    <row r="42" spans="1:11" ht="15" customHeight="1" thickBot="1" x14ac:dyDescent="0.3">
      <c r="A42" s="168" t="s">
        <v>276</v>
      </c>
    </row>
    <row r="43" spans="1:11" ht="15" customHeight="1" thickBot="1" x14ac:dyDescent="0.3">
      <c r="A43" s="179" t="s">
        <v>277</v>
      </c>
      <c r="B43" s="161"/>
      <c r="C43" s="162">
        <v>0.06</v>
      </c>
      <c r="D43" s="161"/>
      <c r="E43" s="162">
        <v>10.79</v>
      </c>
      <c r="F43" s="161">
        <v>1.33</v>
      </c>
      <c r="G43" s="162"/>
      <c r="H43" s="161"/>
      <c r="I43" s="162"/>
      <c r="J43" s="163"/>
      <c r="K43" s="182">
        <v>12.18</v>
      </c>
    </row>
    <row r="44" spans="1:11" ht="15" customHeight="1" x14ac:dyDescent="0.2"/>
    <row r="45" spans="1:11" ht="15" customHeight="1" thickBot="1" x14ac:dyDescent="0.3">
      <c r="A45" s="168" t="s">
        <v>278</v>
      </c>
    </row>
    <row r="46" spans="1:11" ht="15" customHeight="1" thickBot="1" x14ac:dyDescent="0.3">
      <c r="A46" s="179" t="s">
        <v>279</v>
      </c>
      <c r="B46" s="159">
        <v>11.49</v>
      </c>
      <c r="C46" s="160"/>
      <c r="D46" s="183">
        <v>80.960000000000008</v>
      </c>
      <c r="E46" s="184"/>
      <c r="F46" s="183">
        <v>40.18</v>
      </c>
      <c r="G46" s="160"/>
      <c r="H46" s="159">
        <v>115.22999999999999</v>
      </c>
      <c r="I46" s="160"/>
      <c r="J46" s="163">
        <v>16.12</v>
      </c>
      <c r="K46" s="182">
        <v>263.98</v>
      </c>
    </row>
    <row r="47" spans="1:11" ht="15" customHeight="1" thickBot="1" x14ac:dyDescent="0.3">
      <c r="A47" s="185" t="s">
        <v>280</v>
      </c>
      <c r="B47" s="186"/>
      <c r="C47" s="187"/>
      <c r="D47" s="186"/>
      <c r="E47" s="187"/>
      <c r="F47" s="186"/>
      <c r="G47" s="187"/>
      <c r="H47" s="186"/>
      <c r="I47" s="187"/>
      <c r="J47" s="188"/>
      <c r="K47" s="189"/>
    </row>
    <row r="48" spans="1:11" ht="15" customHeight="1" x14ac:dyDescent="0.2"/>
    <row r="49" spans="1:11" ht="15" customHeight="1" x14ac:dyDescent="0.2"/>
    <row r="50" spans="1:11" ht="15.75" x14ac:dyDescent="0.25">
      <c r="A50" s="125" t="s">
        <v>281</v>
      </c>
      <c r="B50" s="126"/>
      <c r="C50" s="126"/>
      <c r="D50" s="126"/>
      <c r="E50" s="126"/>
      <c r="F50" s="126"/>
      <c r="G50" s="127"/>
      <c r="H50" s="126"/>
      <c r="I50" s="126"/>
      <c r="J50" s="126"/>
      <c r="K50" s="126"/>
    </row>
    <row r="52" spans="1:11" ht="13.5" thickBot="1" x14ac:dyDescent="0.25"/>
    <row r="53" spans="1:11" ht="15" x14ac:dyDescent="0.2">
      <c r="B53" s="128" t="s">
        <v>40</v>
      </c>
      <c r="C53" s="129"/>
      <c r="D53" s="128" t="s">
        <v>51</v>
      </c>
      <c r="E53" s="129"/>
      <c r="F53" s="128" t="s">
        <v>245</v>
      </c>
      <c r="G53" s="129"/>
      <c r="H53" s="128" t="s">
        <v>54</v>
      </c>
      <c r="I53" s="129"/>
      <c r="J53" s="130" t="s">
        <v>246</v>
      </c>
      <c r="K53" s="131" t="s">
        <v>9</v>
      </c>
    </row>
    <row r="54" spans="1:11" ht="15.75" thickBot="1" x14ac:dyDescent="0.25">
      <c r="B54" s="132" t="s">
        <v>247</v>
      </c>
      <c r="C54" s="133" t="s">
        <v>248</v>
      </c>
      <c r="D54" s="132" t="s">
        <v>249</v>
      </c>
      <c r="E54" s="133" t="s">
        <v>250</v>
      </c>
      <c r="F54" s="132" t="s">
        <v>251</v>
      </c>
      <c r="G54" s="133" t="s">
        <v>252</v>
      </c>
      <c r="H54" s="132" t="s">
        <v>253</v>
      </c>
      <c r="I54" s="133" t="s">
        <v>254</v>
      </c>
      <c r="J54" s="134"/>
      <c r="K54" s="135"/>
    </row>
    <row r="56" spans="1:11" ht="15" x14ac:dyDescent="0.25">
      <c r="B56" s="136"/>
      <c r="C56" s="136"/>
      <c r="D56" s="136"/>
      <c r="E56" s="136"/>
      <c r="F56" s="137" t="s">
        <v>255</v>
      </c>
      <c r="G56" s="136"/>
      <c r="H56" s="136"/>
      <c r="I56" s="136"/>
      <c r="J56" s="136"/>
      <c r="K56" s="136"/>
    </row>
    <row r="57" spans="1:11" ht="13.5" thickBot="1" x14ac:dyDescent="0.25"/>
    <row r="58" spans="1:11" ht="15" x14ac:dyDescent="0.25">
      <c r="A58" s="138" t="s">
        <v>256</v>
      </c>
      <c r="B58" s="190">
        <v>0.1087072115411772</v>
      </c>
      <c r="C58" s="140"/>
      <c r="D58" s="191">
        <v>0.9</v>
      </c>
      <c r="E58" s="192">
        <v>0.95</v>
      </c>
      <c r="F58" s="190">
        <v>0.53211181640625005</v>
      </c>
      <c r="G58" s="140"/>
      <c r="H58" s="139" t="s">
        <v>282</v>
      </c>
      <c r="I58" s="140"/>
      <c r="J58" s="193">
        <v>18.519580078124999</v>
      </c>
      <c r="K58" s="194">
        <v>122.92081902794743</v>
      </c>
    </row>
    <row r="59" spans="1:11" ht="15" x14ac:dyDescent="0.25">
      <c r="A59" s="143" t="s">
        <v>259</v>
      </c>
      <c r="B59" s="195"/>
      <c r="C59" s="196"/>
      <c r="D59" s="195"/>
      <c r="E59" s="196"/>
      <c r="F59" s="195"/>
      <c r="G59" s="196"/>
      <c r="H59" s="195"/>
      <c r="I59" s="196"/>
      <c r="J59" s="197"/>
      <c r="K59" s="198"/>
    </row>
    <row r="60" spans="1:11" ht="15" x14ac:dyDescent="0.25">
      <c r="A60" s="143" t="s">
        <v>260</v>
      </c>
      <c r="B60" s="195"/>
      <c r="C60" s="196"/>
      <c r="D60" s="195"/>
      <c r="E60" s="196"/>
      <c r="F60" s="195"/>
      <c r="G60" s="196"/>
      <c r="H60" s="195"/>
      <c r="I60" s="196"/>
      <c r="J60" s="197"/>
      <c r="K60" s="198"/>
    </row>
    <row r="61" spans="1:11" ht="15" x14ac:dyDescent="0.25">
      <c r="A61" s="148" t="s">
        <v>261</v>
      </c>
      <c r="B61" s="199">
        <v>13.324109375000001</v>
      </c>
      <c r="C61" s="200"/>
      <c r="D61" s="201">
        <v>-0.60340000598074162</v>
      </c>
      <c r="E61" s="202"/>
      <c r="F61" s="201">
        <v>40.340449218750003</v>
      </c>
      <c r="G61" s="150"/>
      <c r="H61" s="201">
        <v>-3.5496557617187503</v>
      </c>
      <c r="I61" s="150"/>
      <c r="J61" s="203">
        <v>0.89836804199218745</v>
      </c>
      <c r="K61" s="204">
        <v>49.51150282605051</v>
      </c>
    </row>
    <row r="62" spans="1:11" ht="15" x14ac:dyDescent="0.25">
      <c r="A62" s="143" t="s">
        <v>262</v>
      </c>
      <c r="B62" s="195"/>
      <c r="C62" s="196"/>
      <c r="D62" s="195"/>
      <c r="E62" s="196"/>
      <c r="F62" s="195"/>
      <c r="G62" s="196"/>
      <c r="H62" s="195"/>
      <c r="I62" s="196"/>
      <c r="J62" s="197"/>
      <c r="K62" s="198"/>
    </row>
    <row r="63" spans="1:11" ht="15.75" thickBot="1" x14ac:dyDescent="0.3">
      <c r="A63" s="153" t="s">
        <v>263</v>
      </c>
      <c r="B63" s="154"/>
      <c r="C63" s="155"/>
      <c r="D63" s="154"/>
      <c r="E63" s="205">
        <v>-2.11</v>
      </c>
      <c r="F63" s="154"/>
      <c r="G63" s="155"/>
      <c r="H63" s="154"/>
      <c r="I63" s="155"/>
      <c r="J63" s="156"/>
      <c r="K63" s="157"/>
    </row>
    <row r="64" spans="1:11" ht="15.75" thickBot="1" x14ac:dyDescent="0.3">
      <c r="A64" s="158" t="s">
        <v>264</v>
      </c>
      <c r="B64" s="183">
        <v>13.432816586541177</v>
      </c>
      <c r="C64" s="184"/>
      <c r="D64" s="172">
        <v>0.29659999401925841</v>
      </c>
      <c r="E64" s="162">
        <v>-1.1599999999999999</v>
      </c>
      <c r="F64" s="172">
        <v>40.872561035156252</v>
      </c>
      <c r="G64" s="162"/>
      <c r="H64" s="172">
        <v>116.88034423828125</v>
      </c>
      <c r="I64" s="162"/>
      <c r="J64" s="180">
        <v>19.417948120117188</v>
      </c>
      <c r="K64" s="180">
        <v>189.74026997411514</v>
      </c>
    </row>
    <row r="65" spans="1:15" ht="13.5" thickBot="1" x14ac:dyDescent="0.25">
      <c r="B65" s="164"/>
      <c r="C65" s="164"/>
      <c r="D65" s="164"/>
      <c r="E65" s="164"/>
      <c r="F65" s="164"/>
      <c r="G65" s="164"/>
      <c r="H65" s="164"/>
      <c r="I65" s="164"/>
      <c r="J65" s="164"/>
      <c r="K65" s="164"/>
    </row>
    <row r="66" spans="1:15" ht="15.75" thickBot="1" x14ac:dyDescent="0.3">
      <c r="A66" s="158" t="s">
        <v>265</v>
      </c>
      <c r="B66" s="165">
        <v>8.092659558092595E-3</v>
      </c>
      <c r="C66" s="166"/>
      <c r="D66" s="165"/>
      <c r="E66" s="166"/>
      <c r="F66" s="165">
        <v>1.301880290663846E-2</v>
      </c>
      <c r="G66" s="206"/>
      <c r="H66" s="165">
        <v>1.0303699974948923</v>
      </c>
      <c r="I66" s="166"/>
      <c r="J66" s="167">
        <v>0.95373517137675989</v>
      </c>
      <c r="K66" s="167"/>
    </row>
    <row r="68" spans="1:15" ht="15" x14ac:dyDescent="0.25">
      <c r="B68" s="136"/>
      <c r="C68" s="136"/>
      <c r="D68" s="136"/>
      <c r="E68" s="136"/>
      <c r="F68" s="137" t="s">
        <v>266</v>
      </c>
      <c r="G68" s="136"/>
      <c r="H68" s="136"/>
      <c r="I68" s="136"/>
      <c r="J68" s="136"/>
      <c r="K68" s="136"/>
    </row>
    <row r="70" spans="1:15" ht="15.75" thickBot="1" x14ac:dyDescent="0.3">
      <c r="A70" s="168" t="s">
        <v>267</v>
      </c>
    </row>
    <row r="71" spans="1:15" ht="15" x14ac:dyDescent="0.25">
      <c r="A71" s="138" t="s">
        <v>268</v>
      </c>
      <c r="B71" s="139"/>
      <c r="C71" s="140"/>
      <c r="D71" s="207"/>
      <c r="E71" s="208"/>
      <c r="F71" s="207"/>
      <c r="G71" s="140"/>
      <c r="H71" s="207"/>
      <c r="I71" s="208"/>
      <c r="J71" s="141"/>
      <c r="K71" s="194">
        <v>0</v>
      </c>
    </row>
    <row r="72" spans="1:15" ht="15" x14ac:dyDescent="0.25">
      <c r="A72" s="143" t="s">
        <v>269</v>
      </c>
      <c r="B72" s="174">
        <v>5.663302997967957</v>
      </c>
      <c r="C72" s="145"/>
      <c r="D72" s="174">
        <v>0.29659999401925846</v>
      </c>
      <c r="E72" s="145"/>
      <c r="F72" s="174">
        <v>3.5575720644156705</v>
      </c>
      <c r="G72" s="145"/>
      <c r="H72" s="174">
        <v>-5.3127170195312496</v>
      </c>
      <c r="I72" s="145"/>
      <c r="J72" s="176">
        <v>2.2943907546110842</v>
      </c>
      <c r="K72" s="209">
        <v>6.4991487914827211</v>
      </c>
    </row>
    <row r="73" spans="1:15" ht="15" x14ac:dyDescent="0.25">
      <c r="A73" s="143" t="s">
        <v>270</v>
      </c>
      <c r="B73" s="174">
        <v>0.34155584716796877</v>
      </c>
      <c r="C73" s="145"/>
      <c r="D73" s="144"/>
      <c r="E73" s="145"/>
      <c r="F73" s="210">
        <v>0.30000000000000004</v>
      </c>
      <c r="G73" s="145"/>
      <c r="H73" s="144"/>
      <c r="I73" s="175">
        <v>5.7104624843749994</v>
      </c>
      <c r="J73" s="211">
        <v>0.47</v>
      </c>
      <c r="K73" s="209">
        <v>6.8220183315429681</v>
      </c>
    </row>
    <row r="74" spans="1:15" ht="15.75" thickBot="1" x14ac:dyDescent="0.3">
      <c r="A74" s="153" t="s">
        <v>272</v>
      </c>
      <c r="B74" s="169">
        <v>0.58968189642459756</v>
      </c>
      <c r="C74" s="155"/>
      <c r="D74" s="169">
        <v>0</v>
      </c>
      <c r="E74" s="170">
        <v>0</v>
      </c>
      <c r="F74" s="169">
        <v>1.0492728319643112</v>
      </c>
      <c r="G74" s="155"/>
      <c r="H74" s="154"/>
      <c r="I74" s="170">
        <v>77.459684077023141</v>
      </c>
      <c r="J74" s="212">
        <v>0.31309252811451554</v>
      </c>
      <c r="K74" s="213">
        <v>79.411731333526561</v>
      </c>
    </row>
    <row r="75" spans="1:15" ht="15.75" thickBot="1" x14ac:dyDescent="0.3">
      <c r="A75" s="158" t="s">
        <v>273</v>
      </c>
      <c r="B75" s="172">
        <v>6.5945407415605235</v>
      </c>
      <c r="C75" s="162"/>
      <c r="D75" s="172">
        <v>0.29659999401925846</v>
      </c>
      <c r="E75" s="172">
        <v>0</v>
      </c>
      <c r="F75" s="172">
        <v>4.9068448963799813</v>
      </c>
      <c r="G75" s="171"/>
      <c r="H75" s="172">
        <v>-5.3127170195312496</v>
      </c>
      <c r="I75" s="172">
        <v>83.170146561398141</v>
      </c>
      <c r="J75" s="172">
        <v>3.0774832827255998</v>
      </c>
      <c r="K75" s="180">
        <v>92.732898456552249</v>
      </c>
    </row>
    <row r="77" spans="1:15" ht="15" x14ac:dyDescent="0.25">
      <c r="A77" s="168" t="s">
        <v>274</v>
      </c>
    </row>
    <row r="78" spans="1:15" ht="15" x14ac:dyDescent="0.25">
      <c r="A78" s="173" t="s">
        <v>59</v>
      </c>
      <c r="B78" s="174">
        <v>5.5522290898783613</v>
      </c>
      <c r="C78" s="175"/>
      <c r="D78" s="174"/>
      <c r="E78" s="175">
        <v>4.2447112566748677</v>
      </c>
      <c r="F78" s="174">
        <v>11.279422409156657</v>
      </c>
      <c r="G78" s="175"/>
      <c r="H78" s="174"/>
      <c r="I78" s="175">
        <v>10.463973844070704</v>
      </c>
      <c r="J78" s="175">
        <v>2.5937835610421374</v>
      </c>
      <c r="K78" s="177">
        <v>34.134120160822732</v>
      </c>
      <c r="O78" s="214"/>
    </row>
    <row r="79" spans="1:15" ht="15" x14ac:dyDescent="0.25">
      <c r="A79" s="173" t="s">
        <v>61</v>
      </c>
      <c r="B79" s="174">
        <v>3.0219472293460364E-2</v>
      </c>
      <c r="C79" s="175"/>
      <c r="D79" s="174"/>
      <c r="E79" s="175">
        <v>5.2053569750125162</v>
      </c>
      <c r="F79" s="174">
        <v>14.648277862917892</v>
      </c>
      <c r="G79" s="175"/>
      <c r="H79" s="174"/>
      <c r="I79" s="175">
        <v>14.038879765061509</v>
      </c>
      <c r="J79" s="175">
        <v>10.09853225024238</v>
      </c>
      <c r="K79" s="177">
        <v>44.021266325527755</v>
      </c>
      <c r="O79" s="214"/>
    </row>
    <row r="80" spans="1:15" ht="15" x14ac:dyDescent="0.25">
      <c r="A80" s="173" t="s">
        <v>56</v>
      </c>
      <c r="B80" s="174">
        <v>9.4494299448503155E-2</v>
      </c>
      <c r="C80" s="175"/>
      <c r="D80" s="174"/>
      <c r="E80" s="175">
        <v>3.4980899264016205</v>
      </c>
      <c r="F80" s="174">
        <v>5.1860724276550165</v>
      </c>
      <c r="G80" s="175"/>
      <c r="H80" s="174"/>
      <c r="I80" s="175">
        <v>12.513836904747905</v>
      </c>
      <c r="J80" s="175">
        <v>1.0121739169009745</v>
      </c>
      <c r="K80" s="177">
        <v>22.304667475154016</v>
      </c>
      <c r="O80" s="214"/>
    </row>
    <row r="81" spans="1:15" ht="15" x14ac:dyDescent="0.25">
      <c r="A81" s="173" t="s">
        <v>58</v>
      </c>
      <c r="B81" s="174">
        <v>0</v>
      </c>
      <c r="C81" s="175"/>
      <c r="D81" s="174"/>
      <c r="E81" s="175">
        <v>3.4354773087318771</v>
      </c>
      <c r="F81" s="174">
        <v>0.24199955523721961</v>
      </c>
      <c r="G81" s="175"/>
      <c r="H81" s="174"/>
      <c r="I81" s="175">
        <v>0.67886096819801933</v>
      </c>
      <c r="J81" s="175">
        <v>5.4104724817075608E-2</v>
      </c>
      <c r="K81" s="177">
        <v>4.410442556984191</v>
      </c>
      <c r="O81" s="214"/>
    </row>
    <row r="82" spans="1:15" ht="15.75" thickBot="1" x14ac:dyDescent="0.3">
      <c r="A82" s="178" t="s">
        <v>57</v>
      </c>
      <c r="B82" s="174"/>
      <c r="C82" s="170"/>
      <c r="D82" s="169"/>
      <c r="E82" s="175">
        <v>45.487065605047057</v>
      </c>
      <c r="F82" s="174">
        <v>0.11146430678939728</v>
      </c>
      <c r="G82" s="170"/>
      <c r="H82" s="174"/>
      <c r="I82" s="175">
        <v>1.3273632143362248</v>
      </c>
      <c r="J82" s="170">
        <v>2.5756590073717929</v>
      </c>
      <c r="K82" s="177">
        <v>49.501552133544472</v>
      </c>
      <c r="O82" s="214"/>
    </row>
    <row r="83" spans="1:15" ht="15.75" thickBot="1" x14ac:dyDescent="0.3">
      <c r="A83" s="179" t="s">
        <v>275</v>
      </c>
      <c r="B83" s="172">
        <v>5.6769428616203248</v>
      </c>
      <c r="C83" s="171">
        <v>0</v>
      </c>
      <c r="D83" s="172"/>
      <c r="E83" s="171">
        <v>61.870701071867941</v>
      </c>
      <c r="F83" s="171">
        <v>31.467236561756184</v>
      </c>
      <c r="G83" s="171">
        <v>-0.40000000000000013</v>
      </c>
      <c r="H83" s="172"/>
      <c r="I83" s="171">
        <v>39.022914696414361</v>
      </c>
      <c r="J83" s="171">
        <v>16.334253460374363</v>
      </c>
      <c r="K83" s="181">
        <v>153.97204865203315</v>
      </c>
    </row>
    <row r="85" spans="1:15" ht="15.75" thickBot="1" x14ac:dyDescent="0.3">
      <c r="A85" s="168" t="s">
        <v>276</v>
      </c>
    </row>
    <row r="86" spans="1:15" ht="15.75" thickBot="1" x14ac:dyDescent="0.3">
      <c r="A86" s="179" t="s">
        <v>277</v>
      </c>
      <c r="B86" s="161"/>
      <c r="C86" s="162">
        <v>0</v>
      </c>
      <c r="D86" s="161"/>
      <c r="E86" s="171">
        <v>11.144633021332247</v>
      </c>
      <c r="F86" s="172">
        <v>1.5089908688723002</v>
      </c>
      <c r="G86" s="162"/>
      <c r="H86" s="161"/>
      <c r="I86" s="162"/>
      <c r="J86" s="163"/>
      <c r="K86" s="181">
        <v>12.653623890204546</v>
      </c>
    </row>
    <row r="88" spans="1:15" ht="15.75" thickBot="1" x14ac:dyDescent="0.3">
      <c r="A88" s="168" t="s">
        <v>278</v>
      </c>
    </row>
    <row r="89" spans="1:15" ht="15.75" thickBot="1" x14ac:dyDescent="0.3">
      <c r="A89" s="179" t="s">
        <v>279</v>
      </c>
      <c r="B89" s="183">
        <v>12.271483603180847</v>
      </c>
      <c r="C89" s="184"/>
      <c r="D89" s="183">
        <v>73.311934087219441</v>
      </c>
      <c r="E89" s="184"/>
      <c r="F89" s="183">
        <v>37.483072327008472</v>
      </c>
      <c r="G89" s="184"/>
      <c r="H89" s="183">
        <v>116.88034423828125</v>
      </c>
      <c r="I89" s="184"/>
      <c r="J89" s="180">
        <v>19.411736743099961</v>
      </c>
      <c r="K89" s="181">
        <v>259.35857099878996</v>
      </c>
    </row>
    <row r="90" spans="1:15" ht="15.75" thickBot="1" x14ac:dyDescent="0.3">
      <c r="A90" s="185" t="s">
        <v>280</v>
      </c>
      <c r="B90" s="186"/>
      <c r="C90" s="187"/>
      <c r="D90" s="186"/>
      <c r="E90" s="187"/>
      <c r="F90" s="186"/>
      <c r="G90" s="187"/>
      <c r="H90" s="186"/>
      <c r="I90" s="187"/>
      <c r="J90" s="188"/>
      <c r="K90" s="189"/>
    </row>
    <row r="93" spans="1:15" ht="15.75" x14ac:dyDescent="0.25">
      <c r="A93" s="125" t="s">
        <v>283</v>
      </c>
      <c r="B93" s="126"/>
      <c r="C93" s="126"/>
      <c r="D93" s="126"/>
      <c r="E93" s="126"/>
      <c r="F93" s="126"/>
      <c r="G93" s="127"/>
      <c r="H93" s="126"/>
      <c r="I93" s="126"/>
      <c r="J93" s="126"/>
      <c r="K93" s="126"/>
    </row>
    <row r="95" spans="1:15" ht="13.5" thickBot="1" x14ac:dyDescent="0.25"/>
    <row r="96" spans="1:15" ht="15" x14ac:dyDescent="0.2">
      <c r="B96" s="128" t="s">
        <v>40</v>
      </c>
      <c r="C96" s="129"/>
      <c r="D96" s="128" t="s">
        <v>51</v>
      </c>
      <c r="E96" s="129"/>
      <c r="F96" s="128" t="s">
        <v>245</v>
      </c>
      <c r="G96" s="129"/>
      <c r="H96" s="128" t="s">
        <v>54</v>
      </c>
      <c r="I96" s="129"/>
      <c r="J96" s="130" t="s">
        <v>246</v>
      </c>
      <c r="K96" s="131" t="s">
        <v>9</v>
      </c>
    </row>
    <row r="97" spans="1:11" ht="15.75" thickBot="1" x14ac:dyDescent="0.25">
      <c r="B97" s="132" t="s">
        <v>247</v>
      </c>
      <c r="C97" s="133" t="s">
        <v>248</v>
      </c>
      <c r="D97" s="132" t="s">
        <v>249</v>
      </c>
      <c r="E97" s="133" t="s">
        <v>250</v>
      </c>
      <c r="F97" s="132" t="s">
        <v>251</v>
      </c>
      <c r="G97" s="133" t="s">
        <v>252</v>
      </c>
      <c r="H97" s="132" t="s">
        <v>253</v>
      </c>
      <c r="I97" s="133" t="s">
        <v>254</v>
      </c>
      <c r="J97" s="134"/>
      <c r="K97" s="135"/>
    </row>
    <row r="99" spans="1:11" ht="15" x14ac:dyDescent="0.25">
      <c r="B99" s="136"/>
      <c r="C99" s="136"/>
      <c r="D99" s="136"/>
      <c r="E99" s="136"/>
      <c r="F99" s="137" t="s">
        <v>255</v>
      </c>
      <c r="G99" s="136"/>
      <c r="H99" s="136"/>
      <c r="I99" s="136"/>
      <c r="J99" s="136"/>
      <c r="K99" s="136"/>
    </row>
    <row r="100" spans="1:11" ht="13.5" thickBot="1" x14ac:dyDescent="0.25"/>
    <row r="101" spans="1:11" ht="15" x14ac:dyDescent="0.25">
      <c r="A101" s="138" t="s">
        <v>256</v>
      </c>
      <c r="B101" s="190">
        <v>9.6056270205438832E-2</v>
      </c>
      <c r="C101" s="140"/>
      <c r="D101" s="383">
        <v>0.9</v>
      </c>
      <c r="E101" s="384">
        <v>0.95</v>
      </c>
      <c r="F101" s="190">
        <v>0.59958898925781245</v>
      </c>
      <c r="G101" s="140"/>
      <c r="H101" s="139" t="s">
        <v>284</v>
      </c>
      <c r="I101" s="140"/>
      <c r="J101" s="193">
        <v>18.337525390625</v>
      </c>
      <c r="K101" s="194">
        <v>118.27564525946325</v>
      </c>
    </row>
    <row r="102" spans="1:11" ht="15" x14ac:dyDescent="0.25">
      <c r="A102" s="143" t="s">
        <v>259</v>
      </c>
      <c r="B102" s="195"/>
      <c r="C102" s="196"/>
      <c r="D102" s="195"/>
      <c r="E102" s="196"/>
      <c r="F102" s="195"/>
      <c r="G102" s="196"/>
      <c r="H102" s="195"/>
      <c r="I102" s="196"/>
      <c r="J102" s="197"/>
      <c r="K102" s="198"/>
    </row>
    <row r="103" spans="1:11" ht="15" x14ac:dyDescent="0.25">
      <c r="A103" s="143" t="s">
        <v>260</v>
      </c>
      <c r="B103" s="195"/>
      <c r="C103" s="196"/>
      <c r="D103" s="195"/>
      <c r="E103" s="196"/>
      <c r="F103" s="195"/>
      <c r="G103" s="196"/>
      <c r="H103" s="195"/>
      <c r="I103" s="196"/>
      <c r="J103" s="197"/>
      <c r="K103" s="198"/>
    </row>
    <row r="104" spans="1:11" ht="15" x14ac:dyDescent="0.25">
      <c r="A104" s="148" t="s">
        <v>261</v>
      </c>
      <c r="B104" s="199">
        <v>12.324258789062499</v>
      </c>
      <c r="C104" s="200"/>
      <c r="D104" s="201">
        <v>-0.56708253180066315</v>
      </c>
      <c r="E104" s="202"/>
      <c r="F104" s="201">
        <v>43.121613281249999</v>
      </c>
      <c r="G104" s="150"/>
      <c r="H104" s="201">
        <v>-2.9397707519531253</v>
      </c>
      <c r="I104" s="150"/>
      <c r="J104" s="203">
        <v>5.5318437500000002</v>
      </c>
      <c r="K104" s="204">
        <v>51.939018786558712</v>
      </c>
    </row>
    <row r="105" spans="1:11" ht="15" x14ac:dyDescent="0.25">
      <c r="A105" s="143" t="s">
        <v>262</v>
      </c>
      <c r="B105" s="195"/>
      <c r="C105" s="196"/>
      <c r="D105" s="195"/>
      <c r="E105" s="196"/>
      <c r="F105" s="195"/>
      <c r="G105" s="196"/>
      <c r="H105" s="195"/>
      <c r="I105" s="196"/>
      <c r="J105" s="197"/>
      <c r="K105" s="198"/>
    </row>
    <row r="106" spans="1:11" ht="15.75" thickBot="1" x14ac:dyDescent="0.3">
      <c r="A106" s="153" t="s">
        <v>263</v>
      </c>
      <c r="B106" s="154"/>
      <c r="C106" s="155"/>
      <c r="D106" s="154"/>
      <c r="E106" s="215">
        <v>-2.0829487179487178</v>
      </c>
      <c r="F106" s="154"/>
      <c r="G106" s="155"/>
      <c r="H106" s="154"/>
      <c r="I106" s="155"/>
      <c r="J106" s="156"/>
      <c r="K106" s="157"/>
    </row>
    <row r="107" spans="1:11" ht="15.75" thickBot="1" x14ac:dyDescent="0.3">
      <c r="A107" s="158" t="s">
        <v>264</v>
      </c>
      <c r="B107" s="183">
        <v>12.420315059267939</v>
      </c>
      <c r="C107" s="184"/>
      <c r="D107" s="172">
        <v>0.33291746819933687</v>
      </c>
      <c r="E107" s="171">
        <v>-1.1329487179487179</v>
      </c>
      <c r="F107" s="172">
        <v>43.72120227050781</v>
      </c>
      <c r="G107" s="162"/>
      <c r="H107" s="172">
        <v>112.79022924804687</v>
      </c>
      <c r="I107" s="162"/>
      <c r="J107" s="180">
        <v>23.869369140625</v>
      </c>
      <c r="K107" s="180">
        <v>192.00108446869825</v>
      </c>
    </row>
    <row r="108" spans="1:11" ht="13.5" thickBot="1" x14ac:dyDescent="0.25"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</row>
    <row r="109" spans="1:11" ht="15.75" thickBot="1" x14ac:dyDescent="0.3">
      <c r="A109" s="158" t="s">
        <v>265</v>
      </c>
      <c r="B109" s="165">
        <v>7.7338030273042405E-3</v>
      </c>
      <c r="C109" s="166"/>
      <c r="D109" s="165"/>
      <c r="E109" s="166"/>
      <c r="F109" s="165">
        <v>1.3713918147723625E-2</v>
      </c>
      <c r="G109" s="206"/>
      <c r="H109" s="165">
        <v>1.0677343312704139</v>
      </c>
      <c r="I109" s="166"/>
      <c r="J109" s="167">
        <v>0.76824507939822517</v>
      </c>
      <c r="K109" s="167"/>
    </row>
    <row r="111" spans="1:11" ht="15" x14ac:dyDescent="0.25">
      <c r="B111" s="136"/>
      <c r="C111" s="136"/>
      <c r="D111" s="136"/>
      <c r="E111" s="136"/>
      <c r="F111" s="137" t="s">
        <v>266</v>
      </c>
      <c r="G111" s="136"/>
      <c r="H111" s="136"/>
      <c r="I111" s="136"/>
      <c r="J111" s="136"/>
      <c r="K111" s="136"/>
    </row>
    <row r="113" spans="1:15" ht="15.75" thickBot="1" x14ac:dyDescent="0.3">
      <c r="A113" s="168" t="s">
        <v>267</v>
      </c>
    </row>
    <row r="114" spans="1:15" ht="15" x14ac:dyDescent="0.25">
      <c r="A114" s="138" t="s">
        <v>268</v>
      </c>
      <c r="B114" s="139"/>
      <c r="C114" s="140"/>
      <c r="D114" s="207"/>
      <c r="E114" s="208"/>
      <c r="F114" s="207"/>
      <c r="G114" s="140"/>
      <c r="H114" s="207"/>
      <c r="I114" s="208"/>
      <c r="J114" s="141"/>
      <c r="K114" s="194">
        <v>0</v>
      </c>
    </row>
    <row r="115" spans="1:15" ht="15" x14ac:dyDescent="0.25">
      <c r="A115" s="143" t="s">
        <v>269</v>
      </c>
      <c r="B115" s="174">
        <v>4.4807099508152586</v>
      </c>
      <c r="C115" s="145"/>
      <c r="D115" s="174">
        <v>0.33291746819933693</v>
      </c>
      <c r="E115" s="145"/>
      <c r="F115" s="174">
        <v>7.6998831869599274</v>
      </c>
      <c r="G115" s="145"/>
      <c r="H115" s="174">
        <v>-6.5684266926269528</v>
      </c>
      <c r="I115" s="145"/>
      <c r="J115" s="176">
        <v>2.5282359255160971</v>
      </c>
      <c r="K115" s="209">
        <v>8.4733198388636684</v>
      </c>
    </row>
    <row r="116" spans="1:15" ht="15" x14ac:dyDescent="0.25">
      <c r="A116" s="143" t="s">
        <v>270</v>
      </c>
      <c r="B116" s="174">
        <v>0.31443844604492188</v>
      </c>
      <c r="C116" s="145"/>
      <c r="D116" s="144"/>
      <c r="E116" s="145"/>
      <c r="F116" s="382">
        <v>0.30000000000000004</v>
      </c>
      <c r="G116" s="145"/>
      <c r="H116" s="144"/>
      <c r="I116" s="175">
        <v>5.8482156718749989</v>
      </c>
      <c r="J116" s="385">
        <v>0.47</v>
      </c>
      <c r="K116" s="209">
        <v>6.9326541179199204</v>
      </c>
    </row>
    <row r="117" spans="1:15" ht="15.75" thickBot="1" x14ac:dyDescent="0.3">
      <c r="A117" s="153" t="s">
        <v>272</v>
      </c>
      <c r="B117" s="169">
        <v>0.53158787127606755</v>
      </c>
      <c r="C117" s="155"/>
      <c r="D117" s="169">
        <v>0</v>
      </c>
      <c r="E117" s="170">
        <v>0</v>
      </c>
      <c r="F117" s="169">
        <v>1.1302082251957906</v>
      </c>
      <c r="G117" s="155"/>
      <c r="H117" s="154"/>
      <c r="I117" s="170">
        <v>72.951259554656929</v>
      </c>
      <c r="J117" s="212">
        <v>0.34633609225816747</v>
      </c>
      <c r="K117" s="213">
        <v>74.959391743386959</v>
      </c>
    </row>
    <row r="118" spans="1:15" ht="15.75" thickBot="1" x14ac:dyDescent="0.3">
      <c r="A118" s="158" t="s">
        <v>273</v>
      </c>
      <c r="B118" s="172">
        <v>5.3267362681362478</v>
      </c>
      <c r="C118" s="162"/>
      <c r="D118" s="172">
        <v>0.33291746819933693</v>
      </c>
      <c r="E118" s="172">
        <v>0</v>
      </c>
      <c r="F118" s="172">
        <v>9.1300914121557177</v>
      </c>
      <c r="G118" s="171"/>
      <c r="H118" s="172">
        <v>-6.5684266926269528</v>
      </c>
      <c r="I118" s="172">
        <v>78.799475226531925</v>
      </c>
      <c r="J118" s="172">
        <v>3.3445720177742642</v>
      </c>
      <c r="K118" s="180">
        <v>90.365365700170543</v>
      </c>
    </row>
    <row r="119" spans="1:15" x14ac:dyDescent="0.2">
      <c r="I119" s="214">
        <f>I118-H118</f>
        <v>85.367901919158882</v>
      </c>
    </row>
    <row r="120" spans="1:15" ht="15" x14ac:dyDescent="0.25">
      <c r="A120" s="168" t="s">
        <v>274</v>
      </c>
    </row>
    <row r="121" spans="1:15" ht="15" x14ac:dyDescent="0.25">
      <c r="A121" s="173" t="s">
        <v>59</v>
      </c>
      <c r="B121" s="174">
        <v>5.6858477827986196</v>
      </c>
      <c r="C121" s="175"/>
      <c r="D121" s="174"/>
      <c r="E121" s="175">
        <v>3.5823531340424273</v>
      </c>
      <c r="F121" s="174">
        <v>11.437065444656279</v>
      </c>
      <c r="G121" s="175"/>
      <c r="H121" s="174"/>
      <c r="I121" s="175">
        <v>10.967756658447003</v>
      </c>
      <c r="J121" s="175">
        <v>3.2955571845347813</v>
      </c>
      <c r="K121" s="177">
        <v>34.968580204479103</v>
      </c>
      <c r="O121" s="214"/>
    </row>
    <row r="122" spans="1:15" ht="15" x14ac:dyDescent="0.25">
      <c r="A122" s="173" t="s">
        <v>61</v>
      </c>
      <c r="B122" s="174">
        <v>0</v>
      </c>
      <c r="C122" s="175"/>
      <c r="D122" s="174"/>
      <c r="E122" s="175">
        <v>3.9315538516227848</v>
      </c>
      <c r="F122" s="174">
        <v>13.571226009144796</v>
      </c>
      <c r="G122" s="175"/>
      <c r="H122" s="174"/>
      <c r="I122" s="175">
        <v>14.240906691842394</v>
      </c>
      <c r="J122" s="175">
        <v>10.717989395040595</v>
      </c>
      <c r="K122" s="177">
        <v>42.461675947650569</v>
      </c>
      <c r="O122" s="214"/>
    </row>
    <row r="123" spans="1:15" ht="15" x14ac:dyDescent="0.25">
      <c r="A123" s="173" t="s">
        <v>56</v>
      </c>
      <c r="B123" s="174">
        <v>4.9942856482604062E-2</v>
      </c>
      <c r="C123" s="175"/>
      <c r="D123" s="174"/>
      <c r="E123" s="175">
        <v>3.1909489113465059</v>
      </c>
      <c r="F123" s="174">
        <v>4.8484427416657523</v>
      </c>
      <c r="G123" s="175"/>
      <c r="H123" s="174"/>
      <c r="I123" s="175">
        <v>13.022671342785156</v>
      </c>
      <c r="J123" s="175">
        <v>1.3078294262442773</v>
      </c>
      <c r="K123" s="177">
        <v>22.419835278524296</v>
      </c>
      <c r="O123" s="214"/>
    </row>
    <row r="124" spans="1:15" ht="15" x14ac:dyDescent="0.25">
      <c r="A124" s="173" t="s">
        <v>58</v>
      </c>
      <c r="B124" s="174">
        <v>0</v>
      </c>
      <c r="C124" s="175"/>
      <c r="D124" s="174"/>
      <c r="E124" s="175">
        <v>3.4319928990553654</v>
      </c>
      <c r="F124" s="174">
        <v>0.26909330216222221</v>
      </c>
      <c r="G124" s="175"/>
      <c r="H124" s="174"/>
      <c r="I124" s="175">
        <v>0.71948119750612871</v>
      </c>
      <c r="J124" s="175">
        <v>6.1694221179455382E-2</v>
      </c>
      <c r="K124" s="177">
        <v>4.4822616199031717</v>
      </c>
      <c r="O124" s="214"/>
    </row>
    <row r="125" spans="1:15" ht="15.75" thickBot="1" x14ac:dyDescent="0.3">
      <c r="A125" s="178" t="s">
        <v>57</v>
      </c>
      <c r="B125" s="174"/>
      <c r="C125" s="170"/>
      <c r="D125" s="169"/>
      <c r="E125" s="175">
        <v>45.67670321800091</v>
      </c>
      <c r="F125" s="174">
        <v>0.12683615586511612</v>
      </c>
      <c r="G125" s="170"/>
      <c r="H125" s="174"/>
      <c r="I125" s="175">
        <v>1.6083648235612082</v>
      </c>
      <c r="J125" s="175">
        <v>2.7451954752330159</v>
      </c>
      <c r="K125" s="177">
        <v>50.157099672660252</v>
      </c>
      <c r="O125" s="214"/>
    </row>
    <row r="126" spans="1:15" ht="15.75" thickBot="1" x14ac:dyDescent="0.3">
      <c r="A126" s="179" t="s">
        <v>275</v>
      </c>
      <c r="B126" s="172">
        <v>5.7357906392812232</v>
      </c>
      <c r="C126" s="171">
        <v>0</v>
      </c>
      <c r="D126" s="172"/>
      <c r="E126" s="171">
        <v>59.813552014067994</v>
      </c>
      <c r="F126" s="171">
        <v>30.252663653494167</v>
      </c>
      <c r="G126" s="171">
        <v>-0.40000000000000013</v>
      </c>
      <c r="H126" s="172"/>
      <c r="I126" s="171">
        <v>40.559180714141895</v>
      </c>
      <c r="J126" s="171">
        <v>18.128265702232124</v>
      </c>
      <c r="K126" s="181">
        <v>154.08945272321739</v>
      </c>
    </row>
    <row r="128" spans="1:15" ht="15.75" thickBot="1" x14ac:dyDescent="0.3">
      <c r="A128" s="168" t="s">
        <v>276</v>
      </c>
    </row>
    <row r="129" spans="1:11" ht="15.75" thickBot="1" x14ac:dyDescent="0.3">
      <c r="A129" s="179" t="s">
        <v>277</v>
      </c>
      <c r="B129" s="161"/>
      <c r="C129" s="162">
        <v>0</v>
      </c>
      <c r="D129" s="161"/>
      <c r="E129" s="171">
        <v>11.714343009096154</v>
      </c>
      <c r="F129" s="172">
        <v>1.5540152218446721</v>
      </c>
      <c r="G129" s="162"/>
      <c r="H129" s="161"/>
      <c r="I129" s="162"/>
      <c r="J129" s="163"/>
      <c r="K129" s="181">
        <v>13.268358230940827</v>
      </c>
    </row>
    <row r="130" spans="1:11" x14ac:dyDescent="0.2">
      <c r="F130" s="214">
        <f>F107-F129-F118-F126+G126</f>
        <v>2.3844319830132488</v>
      </c>
      <c r="J130" s="214"/>
    </row>
    <row r="131" spans="1:11" ht="15.75" thickBot="1" x14ac:dyDescent="0.3">
      <c r="A131" s="168" t="s">
        <v>278</v>
      </c>
    </row>
    <row r="132" spans="1:11" ht="15.75" thickBot="1" x14ac:dyDescent="0.3">
      <c r="A132" s="179" t="s">
        <v>279</v>
      </c>
      <c r="B132" s="183">
        <v>11.062526907417471</v>
      </c>
      <c r="C132" s="184"/>
      <c r="D132" s="183">
        <v>71.860812491363475</v>
      </c>
      <c r="E132" s="184"/>
      <c r="F132" s="183">
        <v>40.536770287494562</v>
      </c>
      <c r="G132" s="184"/>
      <c r="H132" s="183">
        <v>112.79022924804687</v>
      </c>
      <c r="I132" s="184"/>
      <c r="J132" s="180">
        <v>21.472837720006389</v>
      </c>
      <c r="K132" s="181">
        <v>257.72317665432877</v>
      </c>
    </row>
    <row r="133" spans="1:11" ht="15.75" thickBot="1" x14ac:dyDescent="0.3">
      <c r="A133" s="185" t="s">
        <v>280</v>
      </c>
      <c r="B133" s="186"/>
      <c r="C133" s="187"/>
      <c r="D133" s="186"/>
      <c r="E133" s="187"/>
      <c r="F133" s="186"/>
      <c r="G133" s="187"/>
      <c r="H133" s="186"/>
      <c r="I133" s="187"/>
      <c r="J133" s="188"/>
      <c r="K133" s="189"/>
    </row>
    <row r="136" spans="1:11" ht="15.75" x14ac:dyDescent="0.25">
      <c r="A136" s="125" t="s">
        <v>285</v>
      </c>
      <c r="B136" s="126"/>
      <c r="C136" s="126"/>
      <c r="D136" s="126"/>
      <c r="E136" s="126"/>
      <c r="F136" s="126"/>
      <c r="G136" s="127"/>
      <c r="H136" s="126"/>
      <c r="I136" s="126"/>
      <c r="J136" s="126"/>
      <c r="K136" s="126"/>
    </row>
    <row r="138" spans="1:11" ht="13.5" thickBot="1" x14ac:dyDescent="0.25"/>
    <row r="139" spans="1:11" ht="15" x14ac:dyDescent="0.2">
      <c r="B139" s="128" t="s">
        <v>40</v>
      </c>
      <c r="C139" s="129"/>
      <c r="D139" s="128" t="s">
        <v>51</v>
      </c>
      <c r="E139" s="129"/>
      <c r="F139" s="128" t="s">
        <v>245</v>
      </c>
      <c r="G139" s="129"/>
      <c r="H139" s="128" t="s">
        <v>54</v>
      </c>
      <c r="I139" s="129"/>
      <c r="J139" s="130" t="s">
        <v>246</v>
      </c>
      <c r="K139" s="131" t="s">
        <v>9</v>
      </c>
    </row>
    <row r="140" spans="1:11" ht="15.75" thickBot="1" x14ac:dyDescent="0.25">
      <c r="B140" s="132" t="s">
        <v>247</v>
      </c>
      <c r="C140" s="133" t="s">
        <v>248</v>
      </c>
      <c r="D140" s="132" t="s">
        <v>249</v>
      </c>
      <c r="E140" s="133" t="s">
        <v>250</v>
      </c>
      <c r="F140" s="132" t="s">
        <v>251</v>
      </c>
      <c r="G140" s="133" t="s">
        <v>252</v>
      </c>
      <c r="H140" s="132" t="s">
        <v>253</v>
      </c>
      <c r="I140" s="133" t="s">
        <v>254</v>
      </c>
      <c r="J140" s="134"/>
      <c r="K140" s="135"/>
    </row>
    <row r="142" spans="1:11" ht="15" x14ac:dyDescent="0.25">
      <c r="B142" s="136"/>
      <c r="C142" s="136"/>
      <c r="D142" s="136"/>
      <c r="E142" s="136"/>
      <c r="F142" s="137" t="s">
        <v>255</v>
      </c>
      <c r="G142" s="136"/>
      <c r="H142" s="136"/>
      <c r="I142" s="136"/>
      <c r="J142" s="136"/>
      <c r="K142" s="136"/>
    </row>
    <row r="143" spans="1:11" ht="13.5" thickBot="1" x14ac:dyDescent="0.25"/>
    <row r="144" spans="1:11" ht="15" x14ac:dyDescent="0.25">
      <c r="A144" s="138" t="s">
        <v>256</v>
      </c>
      <c r="B144" s="190">
        <v>8.5452040266838891E-2</v>
      </c>
      <c r="C144" s="140"/>
      <c r="D144" s="191">
        <v>0.9</v>
      </c>
      <c r="E144" s="192">
        <v>0.95</v>
      </c>
      <c r="F144" s="190">
        <v>0.65173211669921871</v>
      </c>
      <c r="G144" s="140"/>
      <c r="H144" s="139" t="s">
        <v>286</v>
      </c>
      <c r="I144" s="140"/>
      <c r="J144" s="193">
        <v>17.911109374999999</v>
      </c>
      <c r="K144" s="194">
        <v>110.31718415696606</v>
      </c>
    </row>
    <row r="145" spans="1:11" ht="15" x14ac:dyDescent="0.25">
      <c r="A145" s="143" t="s">
        <v>259</v>
      </c>
      <c r="B145" s="195"/>
      <c r="C145" s="196"/>
      <c r="D145" s="195"/>
      <c r="E145" s="196"/>
      <c r="F145" s="195"/>
      <c r="G145" s="196"/>
      <c r="H145" s="195"/>
      <c r="I145" s="196"/>
      <c r="J145" s="197"/>
      <c r="K145" s="198"/>
    </row>
    <row r="146" spans="1:11" ht="15" x14ac:dyDescent="0.25">
      <c r="A146" s="143" t="s">
        <v>260</v>
      </c>
      <c r="B146" s="195"/>
      <c r="C146" s="196"/>
      <c r="D146" s="195"/>
      <c r="E146" s="196"/>
      <c r="F146" s="195"/>
      <c r="G146" s="196"/>
      <c r="H146" s="195"/>
      <c r="I146" s="196"/>
      <c r="J146" s="197"/>
      <c r="K146" s="198"/>
    </row>
    <row r="147" spans="1:11" ht="15" x14ac:dyDescent="0.25">
      <c r="A147" s="148" t="s">
        <v>261</v>
      </c>
      <c r="B147" s="199">
        <v>10.9046884765625</v>
      </c>
      <c r="C147" s="200"/>
      <c r="D147" s="201">
        <v>-0.86623110090937083</v>
      </c>
      <c r="E147" s="202"/>
      <c r="F147" s="201">
        <v>45.370589843749997</v>
      </c>
      <c r="G147" s="150"/>
      <c r="H147" s="201">
        <v>-2.3298852539062498</v>
      </c>
      <c r="I147" s="150"/>
      <c r="J147" s="203">
        <v>7.0207280273437496</v>
      </c>
      <c r="K147" s="204">
        <v>53.07916196549688</v>
      </c>
    </row>
    <row r="148" spans="1:11" ht="15" x14ac:dyDescent="0.25">
      <c r="A148" s="143" t="s">
        <v>262</v>
      </c>
      <c r="B148" s="195"/>
      <c r="C148" s="196"/>
      <c r="D148" s="195"/>
      <c r="E148" s="196"/>
      <c r="F148" s="195"/>
      <c r="G148" s="196"/>
      <c r="H148" s="195"/>
      <c r="I148" s="196"/>
      <c r="J148" s="197"/>
      <c r="K148" s="198"/>
    </row>
    <row r="149" spans="1:11" ht="15.75" thickBot="1" x14ac:dyDescent="0.3">
      <c r="A149" s="153" t="s">
        <v>263</v>
      </c>
      <c r="B149" s="154"/>
      <c r="C149" s="155"/>
      <c r="D149" s="154"/>
      <c r="E149" s="215">
        <v>-2.06491452991453</v>
      </c>
      <c r="F149" s="154"/>
      <c r="G149" s="155"/>
      <c r="H149" s="154"/>
      <c r="I149" s="155"/>
      <c r="J149" s="156"/>
      <c r="K149" s="157"/>
    </row>
    <row r="150" spans="1:11" ht="15.75" thickBot="1" x14ac:dyDescent="0.3">
      <c r="A150" s="158" t="s">
        <v>264</v>
      </c>
      <c r="B150" s="183">
        <v>10.990140516829339</v>
      </c>
      <c r="C150" s="184"/>
      <c r="D150" s="172">
        <v>3.376889909062919E-2</v>
      </c>
      <c r="E150" s="171">
        <v>-1.11491452991453</v>
      </c>
      <c r="F150" s="172">
        <v>46.022321960449219</v>
      </c>
      <c r="G150" s="162"/>
      <c r="H150" s="172">
        <v>105.40011474609375</v>
      </c>
      <c r="I150" s="162"/>
      <c r="J150" s="180">
        <v>24.931837402343749</v>
      </c>
      <c r="K150" s="180">
        <v>186.26326899489214</v>
      </c>
    </row>
    <row r="151" spans="1:11" ht="13.5" thickBot="1" x14ac:dyDescent="0.25"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</row>
    <row r="152" spans="1:11" ht="15.75" thickBot="1" x14ac:dyDescent="0.3">
      <c r="A152" s="158" t="s">
        <v>265</v>
      </c>
      <c r="B152" s="165">
        <v>7.7753364605288823E-3</v>
      </c>
      <c r="C152" s="166"/>
      <c r="D152" s="165"/>
      <c r="E152" s="166"/>
      <c r="F152" s="165">
        <v>1.4161217620860285E-2</v>
      </c>
      <c r="G152" s="206"/>
      <c r="H152" s="165">
        <v>1.1425983765777947</v>
      </c>
      <c r="I152" s="166"/>
      <c r="J152" s="167">
        <v>0.71840310386896078</v>
      </c>
      <c r="K152" s="167"/>
    </row>
    <row r="154" spans="1:11" ht="15" x14ac:dyDescent="0.25">
      <c r="B154" s="136"/>
      <c r="C154" s="136"/>
      <c r="D154" s="136"/>
      <c r="E154" s="136"/>
      <c r="F154" s="137" t="s">
        <v>266</v>
      </c>
      <c r="G154" s="136"/>
      <c r="H154" s="136"/>
      <c r="I154" s="136"/>
      <c r="J154" s="136"/>
      <c r="K154" s="136"/>
    </row>
    <row r="156" spans="1:11" ht="15.75" thickBot="1" x14ac:dyDescent="0.3">
      <c r="A156" s="168" t="s">
        <v>267</v>
      </c>
    </row>
    <row r="157" spans="1:11" ht="15" x14ac:dyDescent="0.25">
      <c r="A157" s="138" t="s">
        <v>268</v>
      </c>
      <c r="B157" s="139"/>
      <c r="C157" s="140"/>
      <c r="D157" s="207"/>
      <c r="E157" s="208"/>
      <c r="F157" s="207"/>
      <c r="G157" s="140"/>
      <c r="H157" s="207"/>
      <c r="I157" s="208"/>
      <c r="J157" s="141"/>
      <c r="K157" s="194">
        <v>0</v>
      </c>
    </row>
    <row r="158" spans="1:11" ht="15" x14ac:dyDescent="0.25">
      <c r="A158" s="143" t="s">
        <v>269</v>
      </c>
      <c r="B158" s="174">
        <v>4.0052647864651609</v>
      </c>
      <c r="C158" s="145"/>
      <c r="D158" s="174">
        <v>3.3768899090629148E-2</v>
      </c>
      <c r="E158" s="145"/>
      <c r="F158" s="174">
        <v>11.647719321455314</v>
      </c>
      <c r="G158" s="145"/>
      <c r="H158" s="174">
        <v>-8.148812154174804</v>
      </c>
      <c r="I158" s="145"/>
      <c r="J158" s="176">
        <v>3.0654987858473364</v>
      </c>
      <c r="K158" s="209">
        <v>10.603439638683636</v>
      </c>
    </row>
    <row r="159" spans="1:11" ht="15" x14ac:dyDescent="0.25">
      <c r="A159" s="143" t="s">
        <v>270</v>
      </c>
      <c r="B159" s="174">
        <v>0.27795635986328127</v>
      </c>
      <c r="C159" s="145"/>
      <c r="D159" s="144"/>
      <c r="E159" s="145"/>
      <c r="F159" s="210">
        <v>0.30000000000000004</v>
      </c>
      <c r="G159" s="145"/>
      <c r="H159" s="144"/>
      <c r="I159" s="175">
        <v>5.942765953124999</v>
      </c>
      <c r="J159" s="211">
        <v>0.47</v>
      </c>
      <c r="K159" s="209">
        <v>6.9907223129882796</v>
      </c>
    </row>
    <row r="160" spans="1:11" ht="15.75" thickBot="1" x14ac:dyDescent="0.3">
      <c r="A160" s="153" t="s">
        <v>272</v>
      </c>
      <c r="B160" s="169">
        <v>0.4947158342084414</v>
      </c>
      <c r="C160" s="155"/>
      <c r="D160" s="169">
        <v>0</v>
      </c>
      <c r="E160" s="170">
        <v>0</v>
      </c>
      <c r="F160" s="169">
        <v>1.2224465605780819</v>
      </c>
      <c r="G160" s="155"/>
      <c r="H160" s="154"/>
      <c r="I160" s="170">
        <v>66.186330373274728</v>
      </c>
      <c r="J160" s="212">
        <v>0.3604275686242529</v>
      </c>
      <c r="K160" s="213">
        <v>68.263920336685501</v>
      </c>
    </row>
    <row r="161" spans="1:15" ht="15.75" thickBot="1" x14ac:dyDescent="0.3">
      <c r="A161" s="158" t="s">
        <v>273</v>
      </c>
      <c r="B161" s="172">
        <v>4.7779369805368832</v>
      </c>
      <c r="C161" s="162"/>
      <c r="D161" s="172">
        <v>3.3768899090629148E-2</v>
      </c>
      <c r="E161" s="172">
        <v>0</v>
      </c>
      <c r="F161" s="172">
        <v>13.170165882033396</v>
      </c>
      <c r="G161" s="171"/>
      <c r="H161" s="172">
        <v>-8.148812154174804</v>
      </c>
      <c r="I161" s="172">
        <v>72.129096326399733</v>
      </c>
      <c r="J161" s="172">
        <v>3.8959263544715892</v>
      </c>
      <c r="K161" s="180">
        <v>85.858082288357423</v>
      </c>
    </row>
    <row r="163" spans="1:15" ht="15" x14ac:dyDescent="0.25">
      <c r="A163" s="168" t="s">
        <v>274</v>
      </c>
    </row>
    <row r="164" spans="1:15" ht="15" x14ac:dyDescent="0.25">
      <c r="A164" s="173" t="s">
        <v>59</v>
      </c>
      <c r="B164" s="174">
        <v>5.4973674706750524</v>
      </c>
      <c r="C164" s="175"/>
      <c r="D164" s="174"/>
      <c r="E164" s="175">
        <v>3.2119695889966571</v>
      </c>
      <c r="F164" s="174">
        <v>11.506421162045427</v>
      </c>
      <c r="G164" s="175"/>
      <c r="H164" s="174"/>
      <c r="I164" s="175">
        <v>11.273372563552359</v>
      </c>
      <c r="J164" s="175">
        <v>3.5635705165413114</v>
      </c>
      <c r="K164" s="177">
        <v>35.052701301810806</v>
      </c>
      <c r="O164" s="214"/>
    </row>
    <row r="165" spans="1:15" ht="15" x14ac:dyDescent="0.25">
      <c r="A165" s="173" t="s">
        <v>61</v>
      </c>
      <c r="B165" s="174">
        <v>0</v>
      </c>
      <c r="C165" s="175"/>
      <c r="D165" s="174"/>
      <c r="E165" s="175">
        <v>3.3771193605256831</v>
      </c>
      <c r="F165" s="174">
        <v>12.834612355940546</v>
      </c>
      <c r="G165" s="175"/>
      <c r="H165" s="174"/>
      <c r="I165" s="175">
        <v>14.11422187782588</v>
      </c>
      <c r="J165" s="175">
        <v>10.519289035052262</v>
      </c>
      <c r="K165" s="177">
        <v>40.845242629344369</v>
      </c>
      <c r="O165" s="214"/>
    </row>
    <row r="166" spans="1:15" ht="15" x14ac:dyDescent="0.25">
      <c r="A166" s="173" t="s">
        <v>56</v>
      </c>
      <c r="B166" s="174">
        <v>1.9902650332696836E-2</v>
      </c>
      <c r="C166" s="175"/>
      <c r="D166" s="174"/>
      <c r="E166" s="175">
        <v>3.0338295643000608</v>
      </c>
      <c r="F166" s="174">
        <v>4.6679692355296307</v>
      </c>
      <c r="G166" s="175"/>
      <c r="H166" s="174"/>
      <c r="I166" s="175">
        <v>13.388774514174349</v>
      </c>
      <c r="J166" s="175">
        <v>1.3405584718404702</v>
      </c>
      <c r="K166" s="177">
        <v>22.451034436177206</v>
      </c>
      <c r="O166" s="214"/>
    </row>
    <row r="167" spans="1:15" ht="15" x14ac:dyDescent="0.25">
      <c r="A167" s="173" t="s">
        <v>58</v>
      </c>
      <c r="B167" s="174">
        <v>0</v>
      </c>
      <c r="C167" s="175"/>
      <c r="D167" s="174"/>
      <c r="E167" s="175">
        <v>3.4292019720055769</v>
      </c>
      <c r="F167" s="174">
        <v>0.29603078774439356</v>
      </c>
      <c r="G167" s="175"/>
      <c r="H167" s="174"/>
      <c r="I167" s="175">
        <v>0.76231208949038942</v>
      </c>
      <c r="J167" s="175">
        <v>7.1327534733790776E-2</v>
      </c>
      <c r="K167" s="177">
        <v>4.5588723839741503</v>
      </c>
      <c r="O167" s="214"/>
    </row>
    <row r="168" spans="1:15" ht="15.75" thickBot="1" x14ac:dyDescent="0.3">
      <c r="A168" s="178" t="s">
        <v>57</v>
      </c>
      <c r="B168" s="174"/>
      <c r="C168" s="170"/>
      <c r="D168" s="169"/>
      <c r="E168" s="175">
        <v>46.361262774780592</v>
      </c>
      <c r="F168" s="174">
        <v>0.13771219178090971</v>
      </c>
      <c r="G168" s="170"/>
      <c r="H168" s="174"/>
      <c r="I168" s="175">
        <v>1.8811495288258393</v>
      </c>
      <c r="J168" s="175">
        <v>2.9558373420642567</v>
      </c>
      <c r="K168" s="177">
        <v>51.335961837451592</v>
      </c>
      <c r="O168" s="214"/>
    </row>
    <row r="169" spans="1:15" ht="15.75" thickBot="1" x14ac:dyDescent="0.3">
      <c r="A169" s="179" t="s">
        <v>275</v>
      </c>
      <c r="B169" s="172">
        <v>5.5172701210077495</v>
      </c>
      <c r="C169" s="171">
        <v>0</v>
      </c>
      <c r="D169" s="172"/>
      <c r="E169" s="171">
        <v>59.413383260608569</v>
      </c>
      <c r="F169" s="172">
        <v>29.442745733040905</v>
      </c>
      <c r="G169" s="171">
        <v>-0.40000000000000013</v>
      </c>
      <c r="H169" s="172"/>
      <c r="I169" s="171">
        <v>41.419830573868815</v>
      </c>
      <c r="J169" s="171">
        <v>18.450582900232092</v>
      </c>
      <c r="K169" s="181">
        <v>153.84381258875814</v>
      </c>
    </row>
    <row r="171" spans="1:15" ht="15.75" thickBot="1" x14ac:dyDescent="0.3">
      <c r="A171" s="168" t="s">
        <v>276</v>
      </c>
    </row>
    <row r="172" spans="1:15" ht="15.75" thickBot="1" x14ac:dyDescent="0.3">
      <c r="A172" s="179" t="s">
        <v>277</v>
      </c>
      <c r="B172" s="161"/>
      <c r="C172" s="162">
        <v>0</v>
      </c>
      <c r="D172" s="161"/>
      <c r="E172" s="171">
        <v>12.33774608125403</v>
      </c>
      <c r="F172" s="172">
        <v>1.6032829555473309</v>
      </c>
      <c r="G172" s="162"/>
      <c r="H172" s="161"/>
      <c r="I172" s="162"/>
      <c r="J172" s="163"/>
      <c r="K172" s="181">
        <v>13.941029036801361</v>
      </c>
    </row>
    <row r="174" spans="1:15" ht="15.75" thickBot="1" x14ac:dyDescent="0.3">
      <c r="A174" s="168" t="s">
        <v>278</v>
      </c>
    </row>
    <row r="175" spans="1:15" ht="15.75" thickBot="1" x14ac:dyDescent="0.3">
      <c r="A175" s="179" t="s">
        <v>279</v>
      </c>
      <c r="B175" s="183">
        <v>10.295207101544634</v>
      </c>
      <c r="C175" s="184"/>
      <c r="D175" s="183">
        <v>71.784898240953225</v>
      </c>
      <c r="E175" s="184"/>
      <c r="F175" s="183">
        <v>43.816194570621633</v>
      </c>
      <c r="G175" s="184"/>
      <c r="H175" s="183">
        <v>105.40011474609375</v>
      </c>
      <c r="I175" s="184"/>
      <c r="J175" s="180">
        <v>22.346509254703683</v>
      </c>
      <c r="K175" s="181">
        <v>253.64292391391692</v>
      </c>
    </row>
    <row r="176" spans="1:15" ht="15.75" thickBot="1" x14ac:dyDescent="0.3">
      <c r="A176" s="185" t="s">
        <v>280</v>
      </c>
      <c r="B176" s="186"/>
      <c r="C176" s="187"/>
      <c r="D176" s="186"/>
      <c r="E176" s="187"/>
      <c r="F176" s="186"/>
      <c r="G176" s="187"/>
      <c r="H176" s="186"/>
      <c r="I176" s="187"/>
      <c r="J176" s="188"/>
      <c r="K176" s="189"/>
    </row>
    <row r="179" spans="1:11" ht="15.75" x14ac:dyDescent="0.25">
      <c r="A179" s="125" t="s">
        <v>287</v>
      </c>
      <c r="B179" s="126"/>
      <c r="C179" s="126"/>
      <c r="D179" s="126"/>
      <c r="E179" s="126"/>
      <c r="F179" s="126"/>
      <c r="G179" s="127"/>
      <c r="H179" s="126"/>
      <c r="I179" s="126"/>
      <c r="J179" s="126"/>
      <c r="K179" s="126"/>
    </row>
    <row r="181" spans="1:11" ht="13.5" thickBot="1" x14ac:dyDescent="0.25"/>
    <row r="182" spans="1:11" ht="15" x14ac:dyDescent="0.2">
      <c r="B182" s="128" t="s">
        <v>40</v>
      </c>
      <c r="C182" s="129"/>
      <c r="D182" s="128" t="s">
        <v>51</v>
      </c>
      <c r="E182" s="129"/>
      <c r="F182" s="128" t="s">
        <v>245</v>
      </c>
      <c r="G182" s="129"/>
      <c r="H182" s="128" t="s">
        <v>54</v>
      </c>
      <c r="I182" s="129"/>
      <c r="J182" s="130" t="s">
        <v>246</v>
      </c>
      <c r="K182" s="131" t="s">
        <v>9</v>
      </c>
    </row>
    <row r="183" spans="1:11" ht="15.75" thickBot="1" x14ac:dyDescent="0.25">
      <c r="B183" s="132" t="s">
        <v>247</v>
      </c>
      <c r="C183" s="133" t="s">
        <v>248</v>
      </c>
      <c r="D183" s="132" t="s">
        <v>249</v>
      </c>
      <c r="E183" s="133" t="s">
        <v>250</v>
      </c>
      <c r="F183" s="132" t="s">
        <v>251</v>
      </c>
      <c r="G183" s="133" t="s">
        <v>252</v>
      </c>
      <c r="H183" s="132" t="s">
        <v>253</v>
      </c>
      <c r="I183" s="133" t="s">
        <v>254</v>
      </c>
      <c r="J183" s="134"/>
      <c r="K183" s="135"/>
    </row>
    <row r="185" spans="1:11" ht="15" x14ac:dyDescent="0.25">
      <c r="B185" s="136"/>
      <c r="C185" s="136"/>
      <c r="D185" s="136"/>
      <c r="E185" s="136"/>
      <c r="F185" s="137" t="s">
        <v>255</v>
      </c>
      <c r="G185" s="136"/>
      <c r="H185" s="136"/>
      <c r="I185" s="136"/>
      <c r="J185" s="136"/>
      <c r="K185" s="136"/>
    </row>
    <row r="186" spans="1:11" ht="13.5" thickBot="1" x14ac:dyDescent="0.25"/>
    <row r="187" spans="1:11" ht="15" x14ac:dyDescent="0.25">
      <c r="A187" s="138" t="s">
        <v>256</v>
      </c>
      <c r="B187" s="190">
        <v>7.6286184798919993E-2</v>
      </c>
      <c r="C187" s="140"/>
      <c r="D187" s="191">
        <v>0.9</v>
      </c>
      <c r="E187" s="192">
        <v>0.95</v>
      </c>
      <c r="F187" s="190">
        <v>0.69320800781250003</v>
      </c>
      <c r="G187" s="140"/>
      <c r="H187" s="139" t="s">
        <v>288</v>
      </c>
      <c r="I187" s="140"/>
      <c r="J187" s="193">
        <v>18.201021484375001</v>
      </c>
      <c r="K187" s="194">
        <v>102.35949419261141</v>
      </c>
    </row>
    <row r="188" spans="1:11" ht="15" x14ac:dyDescent="0.25">
      <c r="A188" s="143" t="s">
        <v>259</v>
      </c>
      <c r="B188" s="195"/>
      <c r="C188" s="196"/>
      <c r="D188" s="195"/>
      <c r="E188" s="196"/>
      <c r="F188" s="195"/>
      <c r="G188" s="196"/>
      <c r="H188" s="195"/>
      <c r="I188" s="196"/>
      <c r="J188" s="197"/>
      <c r="K188" s="198"/>
    </row>
    <row r="189" spans="1:11" ht="15" x14ac:dyDescent="0.25">
      <c r="A189" s="143" t="s">
        <v>260</v>
      </c>
      <c r="B189" s="195"/>
      <c r="C189" s="196"/>
      <c r="D189" s="195"/>
      <c r="E189" s="196"/>
      <c r="F189" s="195"/>
      <c r="G189" s="196"/>
      <c r="H189" s="195"/>
      <c r="I189" s="196"/>
      <c r="J189" s="197"/>
      <c r="K189" s="198"/>
    </row>
    <row r="190" spans="1:11" ht="15" x14ac:dyDescent="0.25">
      <c r="A190" s="148" t="s">
        <v>261</v>
      </c>
      <c r="B190" s="199">
        <v>9.8751943359375005</v>
      </c>
      <c r="C190" s="200"/>
      <c r="D190" s="201">
        <v>-0.9095166475091907</v>
      </c>
      <c r="E190" s="202"/>
      <c r="F190" s="201">
        <v>47.989019531250001</v>
      </c>
      <c r="G190" s="150"/>
      <c r="H190" s="201">
        <v>-1.7199999999999998</v>
      </c>
      <c r="I190" s="150"/>
      <c r="J190" s="203">
        <v>6.9327421874999997</v>
      </c>
      <c r="K190" s="204">
        <v>55.23469721967831</v>
      </c>
    </row>
    <row r="191" spans="1:11" ht="15" x14ac:dyDescent="0.25">
      <c r="A191" s="143" t="s">
        <v>262</v>
      </c>
      <c r="B191" s="195"/>
      <c r="C191" s="196"/>
      <c r="D191" s="195"/>
      <c r="E191" s="196"/>
      <c r="F191" s="195"/>
      <c r="G191" s="196"/>
      <c r="H191" s="195"/>
      <c r="I191" s="196"/>
      <c r="J191" s="197"/>
      <c r="K191" s="198"/>
    </row>
    <row r="192" spans="1:11" ht="15.75" thickBot="1" x14ac:dyDescent="0.3">
      <c r="A192" s="153" t="s">
        <v>263</v>
      </c>
      <c r="B192" s="154"/>
      <c r="C192" s="155"/>
      <c r="D192" s="154"/>
      <c r="E192" s="215">
        <v>-1.9657264957264959</v>
      </c>
      <c r="F192" s="154"/>
      <c r="G192" s="155"/>
      <c r="H192" s="154"/>
      <c r="I192" s="155"/>
      <c r="J192" s="156"/>
      <c r="K192" s="157"/>
    </row>
    <row r="193" spans="1:13" ht="15.75" thickBot="1" x14ac:dyDescent="0.3">
      <c r="A193" s="158" t="s">
        <v>264</v>
      </c>
      <c r="B193" s="183">
        <v>9.9514805207364212</v>
      </c>
      <c r="C193" s="184"/>
      <c r="D193" s="172">
        <v>-9.5166475091906788E-3</v>
      </c>
      <c r="E193" s="171">
        <v>-1.015726495726496</v>
      </c>
      <c r="F193" s="172">
        <v>48.682227539062502</v>
      </c>
      <c r="G193" s="162"/>
      <c r="H193" s="172">
        <v>98.02</v>
      </c>
      <c r="I193" s="162"/>
      <c r="J193" s="180">
        <v>25.133763671875002</v>
      </c>
      <c r="K193" s="180">
        <v>180.76222858843823</v>
      </c>
    </row>
    <row r="194" spans="1:13" ht="13.5" thickBot="1" x14ac:dyDescent="0.25"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</row>
    <row r="195" spans="1:13" ht="15.75" thickBot="1" x14ac:dyDescent="0.3">
      <c r="A195" s="158" t="s">
        <v>265</v>
      </c>
      <c r="B195" s="165">
        <v>7.6658126034571915E-3</v>
      </c>
      <c r="C195" s="166"/>
      <c r="D195" s="165"/>
      <c r="E195" s="166"/>
      <c r="F195" s="165">
        <v>1.4239447183395041E-2</v>
      </c>
      <c r="G195" s="206"/>
      <c r="H195" s="165">
        <v>1.2286268108549276</v>
      </c>
      <c r="I195" s="166"/>
      <c r="J195" s="167">
        <v>0.72416617431404329</v>
      </c>
      <c r="K195" s="167"/>
    </row>
    <row r="197" spans="1:13" ht="15" x14ac:dyDescent="0.25">
      <c r="B197" s="136"/>
      <c r="C197" s="136"/>
      <c r="D197" s="136"/>
      <c r="E197" s="136"/>
      <c r="F197" s="137" t="s">
        <v>266</v>
      </c>
      <c r="G197" s="136"/>
      <c r="H197" s="136"/>
      <c r="I197" s="136"/>
      <c r="J197" s="136"/>
      <c r="K197" s="136"/>
    </row>
    <row r="199" spans="1:13" ht="15.75" thickBot="1" x14ac:dyDescent="0.3">
      <c r="A199" s="168" t="s">
        <v>267</v>
      </c>
    </row>
    <row r="200" spans="1:13" ht="15" x14ac:dyDescent="0.25">
      <c r="A200" s="138" t="s">
        <v>268</v>
      </c>
      <c r="B200" s="139"/>
      <c r="C200" s="140"/>
      <c r="D200" s="207"/>
      <c r="E200" s="208"/>
      <c r="F200" s="207"/>
      <c r="G200" s="140"/>
      <c r="H200" s="207"/>
      <c r="I200" s="208"/>
      <c r="J200" s="141"/>
      <c r="K200" s="194">
        <v>0</v>
      </c>
    </row>
    <row r="201" spans="1:13" ht="15" x14ac:dyDescent="0.25">
      <c r="A201" s="143" t="s">
        <v>269</v>
      </c>
      <c r="B201" s="174">
        <v>3.5981953101792659</v>
      </c>
      <c r="C201" s="145"/>
      <c r="D201" s="174">
        <v>-9.5166475091906927E-3</v>
      </c>
      <c r="E201" s="145"/>
      <c r="F201" s="174">
        <v>16.416316509869439</v>
      </c>
      <c r="G201" s="145"/>
      <c r="H201" s="174">
        <v>-10.250518508789062</v>
      </c>
      <c r="I201" s="145"/>
      <c r="J201" s="176">
        <v>3.0030934332879506</v>
      </c>
      <c r="K201" s="209">
        <v>12.757570097038405</v>
      </c>
    </row>
    <row r="202" spans="1:13" ht="15" x14ac:dyDescent="0.25">
      <c r="A202" s="143" t="s">
        <v>270</v>
      </c>
      <c r="B202" s="174">
        <v>0.25201502990722657</v>
      </c>
      <c r="C202" s="145"/>
      <c r="D202" s="144"/>
      <c r="E202" s="145"/>
      <c r="F202" s="210">
        <v>0.30000000000000004</v>
      </c>
      <c r="G202" s="145"/>
      <c r="H202" s="144"/>
      <c r="I202" s="175">
        <v>5.9537302812499995</v>
      </c>
      <c r="J202" s="211">
        <v>0.47</v>
      </c>
      <c r="K202" s="209">
        <v>6.9757453111572261</v>
      </c>
    </row>
    <row r="203" spans="1:13" ht="15.75" thickBot="1" x14ac:dyDescent="0.3">
      <c r="A203" s="153" t="s">
        <v>272</v>
      </c>
      <c r="B203" s="169">
        <v>0.46233912525761778</v>
      </c>
      <c r="C203" s="155"/>
      <c r="D203" s="169">
        <v>0</v>
      </c>
      <c r="E203" s="170">
        <v>0</v>
      </c>
      <c r="F203" s="169">
        <v>1.3456205637242846</v>
      </c>
      <c r="G203" s="155"/>
      <c r="H203" s="154"/>
      <c r="I203" s="170">
        <v>60.036307793943315</v>
      </c>
      <c r="J203" s="212">
        <v>0.3646826994368414</v>
      </c>
      <c r="K203" s="213">
        <v>62.208950182362059</v>
      </c>
    </row>
    <row r="204" spans="1:13" ht="15.75" thickBot="1" x14ac:dyDescent="0.3">
      <c r="A204" s="158" t="s">
        <v>273</v>
      </c>
      <c r="B204" s="172">
        <v>4.3125494653441105</v>
      </c>
      <c r="C204" s="162"/>
      <c r="D204" s="172">
        <v>-9.5166475091906927E-3</v>
      </c>
      <c r="E204" s="172">
        <v>0</v>
      </c>
      <c r="F204" s="172">
        <v>18.061937073593725</v>
      </c>
      <c r="G204" s="171"/>
      <c r="H204" s="172">
        <v>-10.250518508789062</v>
      </c>
      <c r="I204" s="172">
        <v>65.990038075193311</v>
      </c>
      <c r="J204" s="172">
        <v>3.8377761327247923</v>
      </c>
      <c r="K204" s="180">
        <v>81.942265590557696</v>
      </c>
    </row>
    <row r="206" spans="1:13" ht="15" x14ac:dyDescent="0.25">
      <c r="A206" s="168" t="s">
        <v>274</v>
      </c>
    </row>
    <row r="207" spans="1:13" ht="15" x14ac:dyDescent="0.25">
      <c r="A207" s="173" t="s">
        <v>59</v>
      </c>
      <c r="B207" s="174">
        <v>5.3088871585514861</v>
      </c>
      <c r="C207" s="175"/>
      <c r="D207" s="174"/>
      <c r="E207" s="175">
        <v>2.8415860439508878</v>
      </c>
      <c r="F207" s="174">
        <v>11.565724264606386</v>
      </c>
      <c r="G207" s="175"/>
      <c r="H207" s="174"/>
      <c r="I207" s="175">
        <v>11.578988468657714</v>
      </c>
      <c r="J207" s="175">
        <v>3.8416364633760356</v>
      </c>
      <c r="K207" s="177">
        <v>35.13682239914251</v>
      </c>
      <c r="M207" s="214"/>
    </row>
    <row r="208" spans="1:13" ht="15" x14ac:dyDescent="0.25">
      <c r="A208" s="173" t="s">
        <v>61</v>
      </c>
      <c r="B208" s="174">
        <v>0</v>
      </c>
      <c r="C208" s="175"/>
      <c r="D208" s="174"/>
      <c r="E208" s="175">
        <v>2.8700272742284536</v>
      </c>
      <c r="F208" s="174">
        <v>12.041687211794288</v>
      </c>
      <c r="G208" s="175"/>
      <c r="H208" s="174"/>
      <c r="I208" s="175">
        <v>13.987537063809366</v>
      </c>
      <c r="J208" s="175">
        <v>10.311198120205297</v>
      </c>
      <c r="K208" s="177">
        <v>39.210449670037406</v>
      </c>
      <c r="M208" s="214"/>
    </row>
    <row r="209" spans="1:13" ht="15" x14ac:dyDescent="0.25">
      <c r="A209" s="173" t="s">
        <v>56</v>
      </c>
      <c r="B209" s="174">
        <v>0</v>
      </c>
      <c r="C209" s="175"/>
      <c r="D209" s="174"/>
      <c r="E209" s="175">
        <v>2.9004743181430972</v>
      </c>
      <c r="F209" s="174">
        <v>4.4562463935989207</v>
      </c>
      <c r="G209" s="175"/>
      <c r="H209" s="174"/>
      <c r="I209" s="175">
        <v>13.754877685563542</v>
      </c>
      <c r="J209" s="175">
        <v>1.371452454488155</v>
      </c>
      <c r="K209" s="177">
        <v>22.483050851793713</v>
      </c>
      <c r="M209" s="214"/>
    </row>
    <row r="210" spans="1:13" ht="15" x14ac:dyDescent="0.25">
      <c r="A210" s="173" t="s">
        <v>58</v>
      </c>
      <c r="B210" s="174">
        <v>0</v>
      </c>
      <c r="C210" s="175"/>
      <c r="D210" s="174"/>
      <c r="E210" s="175">
        <v>3.4264110449557887</v>
      </c>
      <c r="F210" s="174">
        <v>0.32214221153224165</v>
      </c>
      <c r="G210" s="175"/>
      <c r="H210" s="174"/>
      <c r="I210" s="175">
        <v>0.80514298147465024</v>
      </c>
      <c r="J210" s="175">
        <v>8.1786910082449413E-2</v>
      </c>
      <c r="K210" s="177">
        <v>4.6354831480451297</v>
      </c>
      <c r="M210" s="214"/>
    </row>
    <row r="211" spans="1:13" ht="15.75" thickBot="1" x14ac:dyDescent="0.3">
      <c r="A211" s="178" t="s">
        <v>57</v>
      </c>
      <c r="B211" s="174"/>
      <c r="C211" s="170"/>
      <c r="D211" s="169"/>
      <c r="E211" s="175">
        <v>47.169171197432959</v>
      </c>
      <c r="F211" s="174">
        <v>0.14824128651207344</v>
      </c>
      <c r="G211" s="170"/>
      <c r="H211" s="174"/>
      <c r="I211" s="175">
        <v>2.1539342340904701</v>
      </c>
      <c r="J211" s="175">
        <v>3.1664772842074367</v>
      </c>
      <c r="K211" s="177">
        <v>52.637824002242944</v>
      </c>
      <c r="M211" s="214"/>
    </row>
    <row r="212" spans="1:13" ht="15.75" thickBot="1" x14ac:dyDescent="0.3">
      <c r="A212" s="179" t="s">
        <v>275</v>
      </c>
      <c r="B212" s="172">
        <v>5.3088871585514861</v>
      </c>
      <c r="C212" s="171">
        <v>0</v>
      </c>
      <c r="D212" s="172"/>
      <c r="E212" s="171">
        <v>59.207669878711187</v>
      </c>
      <c r="F212" s="172">
        <v>28.534041368043912</v>
      </c>
      <c r="G212" s="171">
        <v>-0.40000000000000013</v>
      </c>
      <c r="H212" s="172"/>
      <c r="I212" s="171">
        <v>42.280480433595748</v>
      </c>
      <c r="J212" s="171">
        <v>18.772551232359376</v>
      </c>
      <c r="K212" s="181">
        <v>153.7036300712617</v>
      </c>
    </row>
    <row r="214" spans="1:13" ht="15.75" thickBot="1" x14ac:dyDescent="0.3">
      <c r="A214" s="168" t="s">
        <v>276</v>
      </c>
    </row>
    <row r="215" spans="1:13" ht="15.75" thickBot="1" x14ac:dyDescent="0.3">
      <c r="A215" s="179" t="s">
        <v>277</v>
      </c>
      <c r="B215" s="161"/>
      <c r="C215" s="162">
        <v>0</v>
      </c>
      <c r="D215" s="161"/>
      <c r="E215" s="171">
        <v>12.961149153411906</v>
      </c>
      <c r="F215" s="172">
        <v>1.6525506892499897</v>
      </c>
      <c r="G215" s="162"/>
      <c r="H215" s="161"/>
      <c r="I215" s="162"/>
      <c r="J215" s="163"/>
      <c r="K215" s="181">
        <v>14.613699842661896</v>
      </c>
    </row>
    <row r="217" spans="1:13" ht="15.75" thickBot="1" x14ac:dyDescent="0.3">
      <c r="A217" s="168" t="s">
        <v>278</v>
      </c>
    </row>
    <row r="218" spans="1:13" ht="15.75" thickBot="1" x14ac:dyDescent="0.3">
      <c r="A218" s="179" t="s">
        <v>279</v>
      </c>
      <c r="B218" s="183">
        <v>9.6214366238955975</v>
      </c>
      <c r="C218" s="184"/>
      <c r="D218" s="183">
        <v>72.159302384613909</v>
      </c>
      <c r="E218" s="184"/>
      <c r="F218" s="183">
        <v>47.848529130887634</v>
      </c>
      <c r="G218" s="184"/>
      <c r="H218" s="183">
        <v>98.02</v>
      </c>
      <c r="I218" s="184"/>
      <c r="J218" s="180">
        <v>22.610327365084167</v>
      </c>
      <c r="K218" s="181">
        <v>250.2595955044813</v>
      </c>
    </row>
    <row r="219" spans="1:13" ht="15.75" thickBot="1" x14ac:dyDescent="0.3">
      <c r="A219" s="185" t="s">
        <v>280</v>
      </c>
      <c r="B219" s="186"/>
      <c r="C219" s="187"/>
      <c r="D219" s="186"/>
      <c r="E219" s="187"/>
      <c r="F219" s="186"/>
      <c r="G219" s="187"/>
      <c r="H219" s="186"/>
      <c r="I219" s="187"/>
      <c r="J219" s="188"/>
      <c r="K219" s="189"/>
    </row>
    <row r="222" spans="1:13" ht="15.75" x14ac:dyDescent="0.25">
      <c r="A222" s="125" t="s">
        <v>289</v>
      </c>
      <c r="B222" s="126"/>
      <c r="C222" s="126"/>
      <c r="D222" s="126"/>
      <c r="E222" s="126"/>
      <c r="F222" s="126"/>
      <c r="G222" s="127"/>
      <c r="H222" s="126"/>
      <c r="I222" s="126"/>
      <c r="J222" s="126"/>
      <c r="K222" s="126"/>
    </row>
    <row r="224" spans="1:13" ht="13.5" thickBot="1" x14ac:dyDescent="0.25"/>
    <row r="225" spans="1:11" ht="15" x14ac:dyDescent="0.2">
      <c r="B225" s="128" t="s">
        <v>40</v>
      </c>
      <c r="C225" s="129"/>
      <c r="D225" s="128" t="s">
        <v>51</v>
      </c>
      <c r="E225" s="129"/>
      <c r="F225" s="128" t="s">
        <v>245</v>
      </c>
      <c r="G225" s="129"/>
      <c r="H225" s="128" t="s">
        <v>54</v>
      </c>
      <c r="I225" s="129"/>
      <c r="J225" s="130" t="s">
        <v>246</v>
      </c>
      <c r="K225" s="131" t="s">
        <v>9</v>
      </c>
    </row>
    <row r="226" spans="1:11" ht="15.75" thickBot="1" x14ac:dyDescent="0.25">
      <c r="B226" s="132" t="s">
        <v>247</v>
      </c>
      <c r="C226" s="133" t="s">
        <v>248</v>
      </c>
      <c r="D226" s="132" t="s">
        <v>249</v>
      </c>
      <c r="E226" s="133" t="s">
        <v>250</v>
      </c>
      <c r="F226" s="132" t="s">
        <v>251</v>
      </c>
      <c r="G226" s="133" t="s">
        <v>252</v>
      </c>
      <c r="H226" s="132" t="s">
        <v>253</v>
      </c>
      <c r="I226" s="133" t="s">
        <v>254</v>
      </c>
      <c r="J226" s="134"/>
      <c r="K226" s="135"/>
    </row>
    <row r="228" spans="1:11" ht="15" x14ac:dyDescent="0.25">
      <c r="C228" s="136"/>
      <c r="D228" s="136"/>
      <c r="E228" s="136"/>
      <c r="F228" s="137" t="s">
        <v>255</v>
      </c>
      <c r="H228" s="136"/>
      <c r="I228" s="136"/>
      <c r="J228" s="136"/>
      <c r="K228" s="136"/>
    </row>
    <row r="229" spans="1:11" ht="13.5" thickBot="1" x14ac:dyDescent="0.25"/>
    <row r="230" spans="1:11" ht="15" x14ac:dyDescent="0.25">
      <c r="A230" s="138" t="s">
        <v>256</v>
      </c>
      <c r="B230" s="190">
        <v>6.8212511791409261E-2</v>
      </c>
      <c r="C230" s="140"/>
      <c r="D230" s="363">
        <v>0.9</v>
      </c>
      <c r="E230" s="364">
        <v>0.95</v>
      </c>
      <c r="F230" s="190">
        <v>0.7244578857421875</v>
      </c>
      <c r="G230" s="140"/>
      <c r="H230" s="139" t="s">
        <v>290</v>
      </c>
      <c r="I230" s="140"/>
      <c r="J230" s="193">
        <v>18.400814453125001</v>
      </c>
      <c r="K230" s="194">
        <v>97.512670397533597</v>
      </c>
    </row>
    <row r="231" spans="1:11" ht="15" x14ac:dyDescent="0.25">
      <c r="A231" s="143" t="s">
        <v>259</v>
      </c>
      <c r="B231" s="195"/>
      <c r="C231" s="196"/>
      <c r="D231" s="195"/>
      <c r="E231" s="196"/>
      <c r="F231" s="195"/>
      <c r="G231" s="196"/>
      <c r="H231" s="195"/>
      <c r="I231" s="196"/>
      <c r="J231" s="197"/>
      <c r="K231" s="198"/>
    </row>
    <row r="232" spans="1:11" ht="15" x14ac:dyDescent="0.25">
      <c r="A232" s="143" t="s">
        <v>260</v>
      </c>
      <c r="B232" s="195"/>
      <c r="C232" s="196"/>
      <c r="D232" s="195"/>
      <c r="E232" s="196"/>
      <c r="F232" s="195"/>
      <c r="G232" s="196"/>
      <c r="H232" s="195"/>
      <c r="I232" s="196"/>
      <c r="J232" s="197"/>
      <c r="K232" s="198"/>
    </row>
    <row r="233" spans="1:11" ht="15" x14ac:dyDescent="0.25">
      <c r="A233" s="148" t="s">
        <v>261</v>
      </c>
      <c r="B233" s="199">
        <v>9.0195351562500008</v>
      </c>
      <c r="C233" s="200"/>
      <c r="D233" s="201">
        <v>-0.90934007782847137</v>
      </c>
      <c r="E233" s="202"/>
      <c r="F233" s="201">
        <v>48.329882812500003</v>
      </c>
      <c r="G233" s="150"/>
      <c r="H233" s="201">
        <v>-1.7199999999999998</v>
      </c>
      <c r="I233" s="150"/>
      <c r="J233" s="203">
        <v>6.6930087890624996</v>
      </c>
      <c r="K233" s="204">
        <v>54.72007789092153</v>
      </c>
    </row>
    <row r="234" spans="1:11" ht="15" x14ac:dyDescent="0.25">
      <c r="A234" s="143" t="s">
        <v>262</v>
      </c>
      <c r="B234" s="195"/>
      <c r="C234" s="196"/>
      <c r="D234" s="195"/>
      <c r="E234" s="196"/>
      <c r="F234" s="195"/>
      <c r="G234" s="196"/>
      <c r="H234" s="195"/>
      <c r="I234" s="196"/>
      <c r="J234" s="197"/>
      <c r="K234" s="198"/>
    </row>
    <row r="235" spans="1:11" ht="15.75" thickBot="1" x14ac:dyDescent="0.3">
      <c r="A235" s="153" t="s">
        <v>263</v>
      </c>
      <c r="B235" s="154"/>
      <c r="C235" s="155"/>
      <c r="D235" s="154"/>
      <c r="E235" s="215">
        <v>-1.8665384615384613</v>
      </c>
      <c r="F235" s="154"/>
      <c r="G235" s="155"/>
      <c r="H235" s="154"/>
      <c r="I235" s="155"/>
      <c r="J235" s="156"/>
      <c r="K235" s="157"/>
    </row>
    <row r="236" spans="1:11" ht="15.75" thickBot="1" x14ac:dyDescent="0.3">
      <c r="A236" s="158" t="s">
        <v>264</v>
      </c>
      <c r="B236" s="183">
        <v>9.0877476680414109</v>
      </c>
      <c r="C236" s="184"/>
      <c r="D236" s="172">
        <v>-9.3400778284713493E-3</v>
      </c>
      <c r="E236" s="171">
        <v>-0.9165384615384613</v>
      </c>
      <c r="F236" s="172">
        <v>49.054340698242193</v>
      </c>
      <c r="G236" s="162"/>
      <c r="H236" s="172">
        <v>93.15</v>
      </c>
      <c r="I236" s="162"/>
      <c r="J236" s="180">
        <v>25.093823242187501</v>
      </c>
      <c r="K236" s="180">
        <v>175.46003306910418</v>
      </c>
    </row>
    <row r="237" spans="1:11" ht="13.5" thickBot="1" x14ac:dyDescent="0.25"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</row>
    <row r="238" spans="1:11" ht="15.75" thickBot="1" x14ac:dyDescent="0.3">
      <c r="A238" s="158" t="s">
        <v>265</v>
      </c>
      <c r="B238" s="165">
        <v>7.5059865527835907E-3</v>
      </c>
      <c r="C238" s="166"/>
      <c r="D238" s="165"/>
      <c r="E238" s="166"/>
      <c r="F238" s="165">
        <v>1.4768476661396605E-2</v>
      </c>
      <c r="G238" s="206"/>
      <c r="H238" s="165">
        <v>1.2928609769189479</v>
      </c>
      <c r="I238" s="166"/>
      <c r="J238" s="167">
        <v>0.73328062748882861</v>
      </c>
      <c r="K238" s="167"/>
    </row>
    <row r="240" spans="1:11" ht="15" x14ac:dyDescent="0.25">
      <c r="B240" s="136"/>
      <c r="C240" s="136"/>
      <c r="D240" s="136"/>
      <c r="E240" s="136"/>
      <c r="F240" s="137" t="s">
        <v>266</v>
      </c>
      <c r="G240" s="136"/>
      <c r="H240" s="136"/>
      <c r="I240" s="136"/>
      <c r="J240" s="136"/>
      <c r="K240" s="136"/>
    </row>
    <row r="242" spans="1:13" ht="15.75" thickBot="1" x14ac:dyDescent="0.3">
      <c r="A242" s="168" t="s">
        <v>267</v>
      </c>
    </row>
    <row r="243" spans="1:13" ht="15" x14ac:dyDescent="0.25">
      <c r="A243" s="138" t="s">
        <v>268</v>
      </c>
      <c r="B243" s="139"/>
      <c r="C243" s="140"/>
      <c r="D243" s="207"/>
      <c r="E243" s="208"/>
      <c r="F243" s="207"/>
      <c r="G243" s="140"/>
      <c r="H243" s="207"/>
      <c r="I243" s="208"/>
      <c r="J243" s="141"/>
      <c r="K243" s="194">
        <v>0</v>
      </c>
    </row>
    <row r="244" spans="1:13" ht="15" x14ac:dyDescent="0.25">
      <c r="A244" s="143" t="s">
        <v>269</v>
      </c>
      <c r="B244" s="174">
        <v>3.1836813560269643</v>
      </c>
      <c r="C244" s="145"/>
      <c r="D244" s="174">
        <v>-9.3400778284713389E-3</v>
      </c>
      <c r="E244" s="145"/>
      <c r="F244" s="174">
        <v>19.213547719332375</v>
      </c>
      <c r="G244" s="145"/>
      <c r="H244" s="174">
        <v>-11.788140853515623</v>
      </c>
      <c r="I244" s="145"/>
      <c r="J244" s="176">
        <v>2.8954256235661875</v>
      </c>
      <c r="K244" s="209">
        <v>13.495173767581434</v>
      </c>
    </row>
    <row r="245" spans="1:13" ht="15" x14ac:dyDescent="0.25">
      <c r="A245" s="143" t="s">
        <v>270</v>
      </c>
      <c r="B245" s="174">
        <v>0.23118882751464845</v>
      </c>
      <c r="C245" s="145"/>
      <c r="D245" s="144"/>
      <c r="E245" s="145"/>
      <c r="F245" s="362">
        <v>0.30000000000000004</v>
      </c>
      <c r="G245" s="145"/>
      <c r="H245" s="144"/>
      <c r="I245" s="175">
        <v>6.0303609843749992</v>
      </c>
      <c r="J245" s="361">
        <v>0.47</v>
      </c>
      <c r="K245" s="209">
        <v>7.0315498118896471</v>
      </c>
    </row>
    <row r="246" spans="1:13" ht="15.75" thickBot="1" x14ac:dyDescent="0.3">
      <c r="A246" s="153" t="s">
        <v>272</v>
      </c>
      <c r="B246" s="169">
        <v>0.44101959747568892</v>
      </c>
      <c r="C246" s="155"/>
      <c r="D246" s="169">
        <v>0</v>
      </c>
      <c r="E246" s="170">
        <v>0</v>
      </c>
      <c r="F246" s="169">
        <v>1.4316154549716804</v>
      </c>
      <c r="G246" s="155"/>
      <c r="H246" s="154"/>
      <c r="I246" s="170">
        <v>56.017310950821553</v>
      </c>
      <c r="J246" s="212">
        <v>0.36198433788845219</v>
      </c>
      <c r="K246" s="213">
        <v>58.251930341157376</v>
      </c>
    </row>
    <row r="247" spans="1:13" ht="15.75" thickBot="1" x14ac:dyDescent="0.3">
      <c r="A247" s="158" t="s">
        <v>273</v>
      </c>
      <c r="B247" s="172">
        <v>3.8558897810173014</v>
      </c>
      <c r="C247" s="162"/>
      <c r="D247" s="172">
        <v>-9.3400778284713389E-3</v>
      </c>
      <c r="E247" s="172">
        <v>0</v>
      </c>
      <c r="F247" s="172">
        <v>20.945163174304056</v>
      </c>
      <c r="G247" s="171"/>
      <c r="H247" s="172">
        <v>-11.788140853515623</v>
      </c>
      <c r="I247" s="172">
        <v>62.047671935196554</v>
      </c>
      <c r="J247" s="172">
        <v>3.7274099614546392</v>
      </c>
      <c r="K247" s="180">
        <v>78.778653920628457</v>
      </c>
    </row>
    <row r="248" spans="1:13" x14ac:dyDescent="0.2">
      <c r="H248" s="214"/>
      <c r="J248" s="214">
        <f>SUM(J244:J246,F244:F246,B244:B246,I245:I246)+H244</f>
        <v>78.787993998456926</v>
      </c>
    </row>
    <row r="249" spans="1:13" ht="15" x14ac:dyDescent="0.25">
      <c r="A249" s="168" t="s">
        <v>274</v>
      </c>
    </row>
    <row r="250" spans="1:13" ht="15" x14ac:dyDescent="0.25">
      <c r="A250" s="173" t="s">
        <v>59</v>
      </c>
      <c r="B250" s="174">
        <v>5.3218801181750512</v>
      </c>
      <c r="C250" s="175"/>
      <c r="D250" s="174"/>
      <c r="E250" s="175">
        <v>2.6832865276688005</v>
      </c>
      <c r="F250" s="174">
        <v>11.58253850698685</v>
      </c>
      <c r="G250" s="175"/>
      <c r="H250" s="174"/>
      <c r="I250" s="175">
        <v>11.698851723619905</v>
      </c>
      <c r="J250" s="175">
        <v>3.9710391726586165</v>
      </c>
      <c r="K250" s="177">
        <v>35.257596049109218</v>
      </c>
      <c r="M250" s="214"/>
    </row>
    <row r="251" spans="1:13" ht="15" x14ac:dyDescent="0.25">
      <c r="A251" s="173" t="s">
        <v>61</v>
      </c>
      <c r="B251" s="174">
        <v>0</v>
      </c>
      <c r="C251" s="175"/>
      <c r="D251" s="174"/>
      <c r="E251" s="175">
        <v>2.4494273909923847</v>
      </c>
      <c r="F251" s="174">
        <v>11.327778892886755</v>
      </c>
      <c r="G251" s="175"/>
      <c r="H251" s="174"/>
      <c r="I251" s="175">
        <v>13.78305140388337</v>
      </c>
      <c r="J251" s="175">
        <v>10.058289096029721</v>
      </c>
      <c r="K251" s="177">
        <v>37.618546783792226</v>
      </c>
      <c r="M251" s="214"/>
    </row>
    <row r="252" spans="1:13" ht="15" x14ac:dyDescent="0.25">
      <c r="A252" s="173" t="s">
        <v>56</v>
      </c>
      <c r="B252" s="174">
        <v>0</v>
      </c>
      <c r="C252" s="175"/>
      <c r="D252" s="174"/>
      <c r="E252" s="175">
        <v>2.8069431942411711</v>
      </c>
      <c r="F252" s="174">
        <v>4.2123120197299384</v>
      </c>
      <c r="G252" s="175"/>
      <c r="H252" s="174"/>
      <c r="I252" s="175">
        <v>14.12317539540161</v>
      </c>
      <c r="J252" s="175">
        <v>1.3951476352631909</v>
      </c>
      <c r="K252" s="177">
        <v>22.53757824463591</v>
      </c>
      <c r="M252" s="214"/>
    </row>
    <row r="253" spans="1:13" ht="15" x14ac:dyDescent="0.25">
      <c r="A253" s="173" t="s">
        <v>58</v>
      </c>
      <c r="B253" s="174">
        <v>0</v>
      </c>
      <c r="C253" s="175"/>
      <c r="D253" s="174"/>
      <c r="E253" s="175">
        <v>3.4249553037052154</v>
      </c>
      <c r="F253" s="174">
        <v>0.33970759931903205</v>
      </c>
      <c r="G253" s="175"/>
      <c r="H253" s="174"/>
      <c r="I253" s="175">
        <v>0.83670951424265561</v>
      </c>
      <c r="J253" s="175">
        <v>9.117434246384265E-2</v>
      </c>
      <c r="K253" s="177">
        <v>4.692546759730746</v>
      </c>
      <c r="M253" s="214"/>
    </row>
    <row r="254" spans="1:13" ht="15.75" thickBot="1" x14ac:dyDescent="0.3">
      <c r="A254" s="178" t="s">
        <v>57</v>
      </c>
      <c r="B254" s="174"/>
      <c r="C254" s="170"/>
      <c r="D254" s="169"/>
      <c r="E254" s="175">
        <v>48.747295954851545</v>
      </c>
      <c r="F254" s="174">
        <v>0.15809657776782768</v>
      </c>
      <c r="G254" s="170"/>
      <c r="H254" s="174"/>
      <c r="I254" s="175">
        <v>2.448680881171537</v>
      </c>
      <c r="J254" s="175">
        <v>3.1999687412140267</v>
      </c>
      <c r="K254" s="177">
        <v>54.554042155004943</v>
      </c>
      <c r="M254" s="214"/>
    </row>
    <row r="255" spans="1:13" ht="15.75" thickBot="1" x14ac:dyDescent="0.3">
      <c r="A255" s="179" t="s">
        <v>275</v>
      </c>
      <c r="B255" s="172">
        <v>5.3218801181750512</v>
      </c>
      <c r="C255" s="171">
        <v>0</v>
      </c>
      <c r="D255" s="172"/>
      <c r="E255" s="171">
        <v>60.111908371459116</v>
      </c>
      <c r="F255" s="172">
        <v>27.620433596690404</v>
      </c>
      <c r="G255" s="171">
        <v>-0.40000000000000013</v>
      </c>
      <c r="H255" s="172"/>
      <c r="I255" s="171">
        <v>42.890468918319073</v>
      </c>
      <c r="J255" s="171">
        <v>18.715618987629398</v>
      </c>
      <c r="K255" s="181">
        <v>154.26030999227305</v>
      </c>
    </row>
    <row r="257" spans="1:11" ht="15.75" thickBot="1" x14ac:dyDescent="0.3">
      <c r="A257" s="168" t="s">
        <v>276</v>
      </c>
    </row>
    <row r="258" spans="1:11" ht="15.75" thickBot="1" x14ac:dyDescent="0.3">
      <c r="A258" s="179" t="s">
        <v>277</v>
      </c>
      <c r="B258" s="161"/>
      <c r="C258" s="162">
        <v>0</v>
      </c>
      <c r="D258" s="161"/>
      <c r="E258" s="171">
        <v>13.47979378973306</v>
      </c>
      <c r="F258" s="172">
        <v>1.6935393320234915</v>
      </c>
      <c r="G258" s="162"/>
      <c r="H258" s="161"/>
      <c r="I258" s="162"/>
      <c r="J258" s="163"/>
      <c r="K258" s="181">
        <v>15.173333121756551</v>
      </c>
    </row>
    <row r="259" spans="1:11" x14ac:dyDescent="0.2">
      <c r="E259" s="214"/>
      <c r="F259" s="214"/>
    </row>
    <row r="260" spans="1:11" ht="15.75" thickBot="1" x14ac:dyDescent="0.3">
      <c r="A260" s="168" t="s">
        <v>278</v>
      </c>
    </row>
    <row r="261" spans="1:11" ht="15.75" thickBot="1" x14ac:dyDescent="0.3">
      <c r="A261" s="179" t="s">
        <v>279</v>
      </c>
      <c r="B261" s="183">
        <v>9.1777698991923522</v>
      </c>
      <c r="C261" s="184"/>
      <c r="D261" s="183">
        <v>73.582362083363705</v>
      </c>
      <c r="E261" s="184"/>
      <c r="F261" s="183">
        <v>49.859136103017953</v>
      </c>
      <c r="G261" s="184"/>
      <c r="H261" s="183">
        <v>93.15</v>
      </c>
      <c r="I261" s="184"/>
      <c r="J261" s="180">
        <v>22.443028949084038</v>
      </c>
      <c r="K261" s="181">
        <v>248.21229703465806</v>
      </c>
    </row>
    <row r="262" spans="1:11" ht="15.75" thickBot="1" x14ac:dyDescent="0.3">
      <c r="A262" s="185" t="s">
        <v>280</v>
      </c>
      <c r="B262" s="186"/>
      <c r="C262" s="187"/>
      <c r="D262" s="186"/>
      <c r="E262" s="187"/>
      <c r="F262" s="381">
        <f>F247+F255+G255+F258</f>
        <v>49.859136103017953</v>
      </c>
      <c r="G262" s="187"/>
      <c r="H262" s="186"/>
      <c r="I262" s="187"/>
      <c r="J262" s="188"/>
      <c r="K262" s="189"/>
    </row>
    <row r="267" spans="1:11" x14ac:dyDescent="0.2"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5"/>
  <sheetViews>
    <sheetView workbookViewId="0">
      <selection activeCell="G2" sqref="G2"/>
    </sheetView>
  </sheetViews>
  <sheetFormatPr baseColWidth="10" defaultRowHeight="12.75" x14ac:dyDescent="0.2"/>
  <cols>
    <col min="1" max="1" width="11.42578125" style="123"/>
    <col min="2" max="2" width="38.28515625" style="123" customWidth="1"/>
    <col min="3" max="257" width="11.42578125" style="123"/>
    <col min="258" max="258" width="38.28515625" style="123" customWidth="1"/>
    <col min="259" max="513" width="11.42578125" style="123"/>
    <col min="514" max="514" width="38.28515625" style="123" customWidth="1"/>
    <col min="515" max="769" width="11.42578125" style="123"/>
    <col min="770" max="770" width="38.28515625" style="123" customWidth="1"/>
    <col min="771" max="1025" width="11.42578125" style="123"/>
    <col min="1026" max="1026" width="38.28515625" style="123" customWidth="1"/>
    <col min="1027" max="1281" width="11.42578125" style="123"/>
    <col min="1282" max="1282" width="38.28515625" style="123" customWidth="1"/>
    <col min="1283" max="1537" width="11.42578125" style="123"/>
    <col min="1538" max="1538" width="38.28515625" style="123" customWidth="1"/>
    <col min="1539" max="1793" width="11.42578125" style="123"/>
    <col min="1794" max="1794" width="38.28515625" style="123" customWidth="1"/>
    <col min="1795" max="2049" width="11.42578125" style="123"/>
    <col min="2050" max="2050" width="38.28515625" style="123" customWidth="1"/>
    <col min="2051" max="2305" width="11.42578125" style="123"/>
    <col min="2306" max="2306" width="38.28515625" style="123" customWidth="1"/>
    <col min="2307" max="2561" width="11.42578125" style="123"/>
    <col min="2562" max="2562" width="38.28515625" style="123" customWidth="1"/>
    <col min="2563" max="2817" width="11.42578125" style="123"/>
    <col min="2818" max="2818" width="38.28515625" style="123" customWidth="1"/>
    <col min="2819" max="3073" width="11.42578125" style="123"/>
    <col min="3074" max="3074" width="38.28515625" style="123" customWidth="1"/>
    <col min="3075" max="3329" width="11.42578125" style="123"/>
    <col min="3330" max="3330" width="38.28515625" style="123" customWidth="1"/>
    <col min="3331" max="3585" width="11.42578125" style="123"/>
    <col min="3586" max="3586" width="38.28515625" style="123" customWidth="1"/>
    <col min="3587" max="3841" width="11.42578125" style="123"/>
    <col min="3842" max="3842" width="38.28515625" style="123" customWidth="1"/>
    <col min="3843" max="4097" width="11.42578125" style="123"/>
    <col min="4098" max="4098" width="38.28515625" style="123" customWidth="1"/>
    <col min="4099" max="4353" width="11.42578125" style="123"/>
    <col min="4354" max="4354" width="38.28515625" style="123" customWidth="1"/>
    <col min="4355" max="4609" width="11.42578125" style="123"/>
    <col min="4610" max="4610" width="38.28515625" style="123" customWidth="1"/>
    <col min="4611" max="4865" width="11.42578125" style="123"/>
    <col min="4866" max="4866" width="38.28515625" style="123" customWidth="1"/>
    <col min="4867" max="5121" width="11.42578125" style="123"/>
    <col min="5122" max="5122" width="38.28515625" style="123" customWidth="1"/>
    <col min="5123" max="5377" width="11.42578125" style="123"/>
    <col min="5378" max="5378" width="38.28515625" style="123" customWidth="1"/>
    <col min="5379" max="5633" width="11.42578125" style="123"/>
    <col min="5634" max="5634" width="38.28515625" style="123" customWidth="1"/>
    <col min="5635" max="5889" width="11.42578125" style="123"/>
    <col min="5890" max="5890" width="38.28515625" style="123" customWidth="1"/>
    <col min="5891" max="6145" width="11.42578125" style="123"/>
    <col min="6146" max="6146" width="38.28515625" style="123" customWidth="1"/>
    <col min="6147" max="6401" width="11.42578125" style="123"/>
    <col min="6402" max="6402" width="38.28515625" style="123" customWidth="1"/>
    <col min="6403" max="6657" width="11.42578125" style="123"/>
    <col min="6658" max="6658" width="38.28515625" style="123" customWidth="1"/>
    <col min="6659" max="6913" width="11.42578125" style="123"/>
    <col min="6914" max="6914" width="38.28515625" style="123" customWidth="1"/>
    <col min="6915" max="7169" width="11.42578125" style="123"/>
    <col min="7170" max="7170" width="38.28515625" style="123" customWidth="1"/>
    <col min="7171" max="7425" width="11.42578125" style="123"/>
    <col min="7426" max="7426" width="38.28515625" style="123" customWidth="1"/>
    <col min="7427" max="7681" width="11.42578125" style="123"/>
    <col min="7682" max="7682" width="38.28515625" style="123" customWidth="1"/>
    <col min="7683" max="7937" width="11.42578125" style="123"/>
    <col min="7938" max="7938" width="38.28515625" style="123" customWidth="1"/>
    <col min="7939" max="8193" width="11.42578125" style="123"/>
    <col min="8194" max="8194" width="38.28515625" style="123" customWidth="1"/>
    <col min="8195" max="8449" width="11.42578125" style="123"/>
    <col min="8450" max="8450" width="38.28515625" style="123" customWidth="1"/>
    <col min="8451" max="8705" width="11.42578125" style="123"/>
    <col min="8706" max="8706" width="38.28515625" style="123" customWidth="1"/>
    <col min="8707" max="8961" width="11.42578125" style="123"/>
    <col min="8962" max="8962" width="38.28515625" style="123" customWidth="1"/>
    <col min="8963" max="9217" width="11.42578125" style="123"/>
    <col min="9218" max="9218" width="38.28515625" style="123" customWidth="1"/>
    <col min="9219" max="9473" width="11.42578125" style="123"/>
    <col min="9474" max="9474" width="38.28515625" style="123" customWidth="1"/>
    <col min="9475" max="9729" width="11.42578125" style="123"/>
    <col min="9730" max="9730" width="38.28515625" style="123" customWidth="1"/>
    <col min="9731" max="9985" width="11.42578125" style="123"/>
    <col min="9986" max="9986" width="38.28515625" style="123" customWidth="1"/>
    <col min="9987" max="10241" width="11.42578125" style="123"/>
    <col min="10242" max="10242" width="38.28515625" style="123" customWidth="1"/>
    <col min="10243" max="10497" width="11.42578125" style="123"/>
    <col min="10498" max="10498" width="38.28515625" style="123" customWidth="1"/>
    <col min="10499" max="10753" width="11.42578125" style="123"/>
    <col min="10754" max="10754" width="38.28515625" style="123" customWidth="1"/>
    <col min="10755" max="11009" width="11.42578125" style="123"/>
    <col min="11010" max="11010" width="38.28515625" style="123" customWidth="1"/>
    <col min="11011" max="11265" width="11.42578125" style="123"/>
    <col min="11266" max="11266" width="38.28515625" style="123" customWidth="1"/>
    <col min="11267" max="11521" width="11.42578125" style="123"/>
    <col min="11522" max="11522" width="38.28515625" style="123" customWidth="1"/>
    <col min="11523" max="11777" width="11.42578125" style="123"/>
    <col min="11778" max="11778" width="38.28515625" style="123" customWidth="1"/>
    <col min="11779" max="12033" width="11.42578125" style="123"/>
    <col min="12034" max="12034" width="38.28515625" style="123" customWidth="1"/>
    <col min="12035" max="12289" width="11.42578125" style="123"/>
    <col min="12290" max="12290" width="38.28515625" style="123" customWidth="1"/>
    <col min="12291" max="12545" width="11.42578125" style="123"/>
    <col min="12546" max="12546" width="38.28515625" style="123" customWidth="1"/>
    <col min="12547" max="12801" width="11.42578125" style="123"/>
    <col min="12802" max="12802" width="38.28515625" style="123" customWidth="1"/>
    <col min="12803" max="13057" width="11.42578125" style="123"/>
    <col min="13058" max="13058" width="38.28515625" style="123" customWidth="1"/>
    <col min="13059" max="13313" width="11.42578125" style="123"/>
    <col min="13314" max="13314" width="38.28515625" style="123" customWidth="1"/>
    <col min="13315" max="13569" width="11.42578125" style="123"/>
    <col min="13570" max="13570" width="38.28515625" style="123" customWidth="1"/>
    <col min="13571" max="13825" width="11.42578125" style="123"/>
    <col min="13826" max="13826" width="38.28515625" style="123" customWidth="1"/>
    <col min="13827" max="14081" width="11.42578125" style="123"/>
    <col min="14082" max="14082" width="38.28515625" style="123" customWidth="1"/>
    <col min="14083" max="14337" width="11.42578125" style="123"/>
    <col min="14338" max="14338" width="38.28515625" style="123" customWidth="1"/>
    <col min="14339" max="14593" width="11.42578125" style="123"/>
    <col min="14594" max="14594" width="38.28515625" style="123" customWidth="1"/>
    <col min="14595" max="14849" width="11.42578125" style="123"/>
    <col min="14850" max="14850" width="38.28515625" style="123" customWidth="1"/>
    <col min="14851" max="15105" width="11.42578125" style="123"/>
    <col min="15106" max="15106" width="38.28515625" style="123" customWidth="1"/>
    <col min="15107" max="15361" width="11.42578125" style="123"/>
    <col min="15362" max="15362" width="38.28515625" style="123" customWidth="1"/>
    <col min="15363" max="15617" width="11.42578125" style="123"/>
    <col min="15618" max="15618" width="38.28515625" style="123" customWidth="1"/>
    <col min="15619" max="15873" width="11.42578125" style="123"/>
    <col min="15874" max="15874" width="38.28515625" style="123" customWidth="1"/>
    <col min="15875" max="16129" width="11.42578125" style="123"/>
    <col min="16130" max="16130" width="38.28515625" style="123" customWidth="1"/>
    <col min="16131" max="16384" width="11.42578125" style="123"/>
  </cols>
  <sheetData>
    <row r="1" spans="1:10" ht="15.75" thickBot="1" x14ac:dyDescent="0.3">
      <c r="B1" s="216" t="s">
        <v>240</v>
      </c>
      <c r="C1" s="217">
        <v>2010</v>
      </c>
      <c r="D1" s="217">
        <v>2015</v>
      </c>
      <c r="E1" s="217">
        <v>2020</v>
      </c>
      <c r="F1" s="217">
        <v>2025</v>
      </c>
      <c r="G1" s="217">
        <v>2030</v>
      </c>
      <c r="H1" s="217">
        <v>2035</v>
      </c>
    </row>
    <row r="2" spans="1:10" ht="15.75" thickBot="1" x14ac:dyDescent="0.3">
      <c r="B2" s="218"/>
      <c r="C2" s="219"/>
      <c r="D2" s="219"/>
      <c r="E2" s="219"/>
      <c r="F2" s="219"/>
      <c r="G2" s="219"/>
      <c r="H2" s="219"/>
    </row>
    <row r="3" spans="1:10" ht="30.75" thickBot="1" x14ac:dyDescent="0.3">
      <c r="A3" s="220"/>
      <c r="B3" s="221" t="s">
        <v>291</v>
      </c>
      <c r="C3" s="222">
        <v>17.476028076171875</v>
      </c>
      <c r="D3" s="222">
        <v>15.990984924316406</v>
      </c>
      <c r="E3" s="222">
        <v>19.165183990478518</v>
      </c>
      <c r="F3" s="222">
        <v>22.79141149139404</v>
      </c>
      <c r="G3" s="222">
        <v>26.955637084960937</v>
      </c>
      <c r="H3" s="222">
        <v>29.181617603302001</v>
      </c>
    </row>
    <row r="4" spans="1:10" ht="15" x14ac:dyDescent="0.25">
      <c r="A4" s="220" t="s">
        <v>292</v>
      </c>
      <c r="B4" s="223" t="s">
        <v>40</v>
      </c>
      <c r="C4" s="224">
        <v>5.3207465820312496</v>
      </c>
      <c r="D4" s="224">
        <v>6.1859252929687498</v>
      </c>
      <c r="E4" s="224">
        <v>4.9004506835937498</v>
      </c>
      <c r="F4" s="224">
        <v>4.3488413085937498</v>
      </c>
      <c r="G4" s="224">
        <v>3.8859541015625001</v>
      </c>
      <c r="H4" s="224">
        <v>3.4723669433593751</v>
      </c>
    </row>
    <row r="5" spans="1:10" ht="15" x14ac:dyDescent="0.25">
      <c r="A5" s="220" t="s">
        <v>293</v>
      </c>
      <c r="B5" s="225" t="s">
        <v>245</v>
      </c>
      <c r="C5" s="226">
        <v>7.5220761718749998</v>
      </c>
      <c r="D5" s="226">
        <v>6.5757275390625001</v>
      </c>
      <c r="E5" s="226">
        <v>10.7024296875</v>
      </c>
      <c r="F5" s="226">
        <v>14.7280087890625</v>
      </c>
      <c r="G5" s="226">
        <v>19.475562499999999</v>
      </c>
      <c r="H5" s="226">
        <v>22.2224453125</v>
      </c>
    </row>
    <row r="6" spans="1:10" ht="15" x14ac:dyDescent="0.25">
      <c r="A6" s="220" t="s">
        <v>294</v>
      </c>
      <c r="B6" s="223" t="s">
        <v>68</v>
      </c>
      <c r="C6" s="227">
        <v>2.2465139160156249</v>
      </c>
      <c r="D6" s="227">
        <v>0.54655938720703123</v>
      </c>
      <c r="E6" s="227">
        <v>0.4849151916503906</v>
      </c>
      <c r="F6" s="227">
        <v>0.10049864959716796</v>
      </c>
      <c r="G6" s="227">
        <v>4.3051635742187497E-2</v>
      </c>
      <c r="H6" s="227">
        <v>4.2883472442626955E-2</v>
      </c>
    </row>
    <row r="7" spans="1:10" ht="15" x14ac:dyDescent="0.25">
      <c r="A7" s="220" t="s">
        <v>295</v>
      </c>
      <c r="B7" s="225" t="s">
        <v>296</v>
      </c>
      <c r="C7" s="226">
        <v>2.3866914062500002</v>
      </c>
      <c r="D7" s="226">
        <v>2.6827727050781252</v>
      </c>
      <c r="E7" s="226">
        <v>3.077388427734375</v>
      </c>
      <c r="F7" s="226">
        <v>3.6140627441406248</v>
      </c>
      <c r="G7" s="226">
        <v>3.55106884765625</v>
      </c>
      <c r="H7" s="226">
        <v>3.443921875</v>
      </c>
    </row>
    <row r="8" spans="1:10" ht="15.75" thickBot="1" x14ac:dyDescent="0.3">
      <c r="A8" s="220"/>
      <c r="B8" s="228"/>
      <c r="C8" s="229"/>
      <c r="D8" s="229"/>
      <c r="E8" s="229"/>
      <c r="F8" s="229"/>
      <c r="G8" s="229"/>
      <c r="H8" s="229"/>
    </row>
    <row r="9" spans="1:10" ht="15.75" thickBot="1" x14ac:dyDescent="0.3">
      <c r="A9" s="220"/>
      <c r="B9" s="230" t="s">
        <v>297</v>
      </c>
      <c r="C9" s="231">
        <v>568.57309495863296</v>
      </c>
      <c r="D9" s="231">
        <v>588.40393154006244</v>
      </c>
      <c r="E9" s="231">
        <v>598.04620094924212</v>
      </c>
      <c r="F9" s="231">
        <v>600.589898153832</v>
      </c>
      <c r="G9" s="231">
        <v>604.04581484084383</v>
      </c>
      <c r="H9" s="231">
        <v>611.53782997756241</v>
      </c>
    </row>
    <row r="10" spans="1:10" ht="15" x14ac:dyDescent="0.25">
      <c r="A10" s="220" t="s">
        <v>298</v>
      </c>
      <c r="B10" s="223" t="s">
        <v>40</v>
      </c>
      <c r="C10" s="232">
        <v>26.315000000000001</v>
      </c>
      <c r="D10" s="232">
        <v>24.542857421874999</v>
      </c>
      <c r="E10" s="232">
        <v>19.4426953125</v>
      </c>
      <c r="F10" s="232">
        <v>17.25416796875</v>
      </c>
      <c r="G10" s="232">
        <v>15.4176474609375</v>
      </c>
      <c r="H10" s="232">
        <v>13.776727539062501</v>
      </c>
      <c r="J10" s="233"/>
    </row>
    <row r="11" spans="1:10" ht="15" x14ac:dyDescent="0.25">
      <c r="A11" s="220"/>
      <c r="B11" s="234" t="s">
        <v>299</v>
      </c>
      <c r="C11" s="232">
        <v>1.9999999494757504E-7</v>
      </c>
      <c r="D11" s="232">
        <v>1.9999999494757504E-7</v>
      </c>
      <c r="E11" s="232">
        <v>1.9999999494757504E-7</v>
      </c>
      <c r="F11" s="232">
        <v>1.9999999494757504E-7</v>
      </c>
      <c r="G11" s="232">
        <v>0</v>
      </c>
      <c r="H11" s="232">
        <v>0</v>
      </c>
    </row>
    <row r="12" spans="1:10" ht="15" x14ac:dyDescent="0.25">
      <c r="A12" s="220" t="s">
        <v>300</v>
      </c>
      <c r="B12" s="225" t="s">
        <v>245</v>
      </c>
      <c r="C12" s="235">
        <v>22.415256225585935</v>
      </c>
      <c r="D12" s="235">
        <v>23.758123046874999</v>
      </c>
      <c r="E12" s="235">
        <v>42.398835937500003</v>
      </c>
      <c r="F12" s="235">
        <v>61.381230468749997</v>
      </c>
      <c r="G12" s="235">
        <v>84.620703125000006</v>
      </c>
      <c r="H12" s="235">
        <v>101.00854687499999</v>
      </c>
      <c r="I12" s="376">
        <f t="shared" ref="I12:I19" si="0">H12*0.086</f>
        <v>8.6867350312499987</v>
      </c>
    </row>
    <row r="13" spans="1:10" ht="15" x14ac:dyDescent="0.25">
      <c r="A13" s="220" t="s">
        <v>301</v>
      </c>
      <c r="B13" s="236" t="s">
        <v>302</v>
      </c>
      <c r="C13" s="235">
        <v>0.99167999267578122</v>
      </c>
      <c r="D13" s="235">
        <v>0.93495532226562506</v>
      </c>
      <c r="E13" s="235">
        <v>1.6174570312500001</v>
      </c>
      <c r="F13" s="235">
        <v>2.7387807617187501</v>
      </c>
      <c r="G13" s="235">
        <v>4.4009921875</v>
      </c>
      <c r="H13" s="235">
        <v>5.5171035156250001</v>
      </c>
      <c r="I13" s="376">
        <f t="shared" si="0"/>
        <v>0.47447090234374995</v>
      </c>
    </row>
    <row r="14" spans="1:10" ht="15" x14ac:dyDescent="0.25">
      <c r="A14" s="220" t="s">
        <v>303</v>
      </c>
      <c r="B14" s="236" t="s">
        <v>304</v>
      </c>
      <c r="C14" s="235">
        <v>8.3313037109374992</v>
      </c>
      <c r="D14" s="235">
        <v>8.8033115234375003</v>
      </c>
      <c r="E14" s="235">
        <v>15.98140234375</v>
      </c>
      <c r="F14" s="235">
        <v>20.485441406250001</v>
      </c>
      <c r="G14" s="235">
        <v>23.341615234374999</v>
      </c>
      <c r="H14" s="235">
        <v>23.329970703124999</v>
      </c>
      <c r="I14" s="376">
        <f t="shared" si="0"/>
        <v>2.0063774804687498</v>
      </c>
    </row>
    <row r="15" spans="1:10" ht="15" x14ac:dyDescent="0.25">
      <c r="A15" s="220" t="s">
        <v>305</v>
      </c>
      <c r="B15" s="236" t="s">
        <v>306</v>
      </c>
      <c r="C15" s="235">
        <v>11.8520166015625</v>
      </c>
      <c r="D15" s="235">
        <v>14.01985546875</v>
      </c>
      <c r="E15" s="235">
        <v>24.799974609374999</v>
      </c>
      <c r="F15" s="235">
        <v>38.157007812499998</v>
      </c>
      <c r="G15" s="235">
        <v>56.878093749999998</v>
      </c>
      <c r="H15" s="235">
        <v>72.161476562499999</v>
      </c>
      <c r="I15" s="376">
        <f t="shared" si="0"/>
        <v>6.2058869843749997</v>
      </c>
    </row>
    <row r="16" spans="1:10" ht="15" x14ac:dyDescent="0.25">
      <c r="A16" s="220" t="s">
        <v>307</v>
      </c>
      <c r="B16" s="236" t="s">
        <v>299</v>
      </c>
      <c r="C16" s="235">
        <v>9.999999747378752E-8</v>
      </c>
      <c r="D16" s="235">
        <v>9.999999747378752E-8</v>
      </c>
      <c r="E16" s="235">
        <v>9.999999747378752E-8</v>
      </c>
      <c r="F16" s="235">
        <v>9.999999747378752E-8</v>
      </c>
      <c r="G16" s="235">
        <v>0</v>
      </c>
      <c r="H16" s="235">
        <v>0</v>
      </c>
      <c r="I16" s="376">
        <f t="shared" si="0"/>
        <v>0</v>
      </c>
    </row>
    <row r="17" spans="1:9" ht="15" x14ac:dyDescent="0.25">
      <c r="A17" s="220" t="s">
        <v>308</v>
      </c>
      <c r="B17" s="223" t="s">
        <v>68</v>
      </c>
      <c r="C17" s="232">
        <v>5.8209999999999997</v>
      </c>
      <c r="D17" s="232">
        <v>2.4941176757812502</v>
      </c>
      <c r="E17" s="232">
        <v>2.22941162109375</v>
      </c>
      <c r="F17" s="232">
        <v>0.46470587158203125</v>
      </c>
      <c r="G17" s="232">
        <v>0.2</v>
      </c>
      <c r="H17" s="232">
        <v>0.2</v>
      </c>
      <c r="I17" s="376">
        <f>H17*0.086</f>
        <v>1.72E-2</v>
      </c>
    </row>
    <row r="18" spans="1:9" ht="15" x14ac:dyDescent="0.25">
      <c r="A18" s="220"/>
      <c r="B18" s="234" t="s">
        <v>302</v>
      </c>
      <c r="C18" s="232">
        <v>4.3209999999999997</v>
      </c>
      <c r="D18" s="232">
        <v>0.99411767578125021</v>
      </c>
      <c r="E18" s="232">
        <v>0.72941162109375002</v>
      </c>
      <c r="F18" s="232">
        <v>0.46470587158203125</v>
      </c>
      <c r="G18" s="232">
        <v>0.2</v>
      </c>
      <c r="H18" s="232">
        <v>0.2</v>
      </c>
      <c r="I18" s="376">
        <f t="shared" si="0"/>
        <v>1.72E-2</v>
      </c>
    </row>
    <row r="19" spans="1:9" ht="15" x14ac:dyDescent="0.25">
      <c r="A19" s="220"/>
      <c r="B19" s="234" t="s">
        <v>309</v>
      </c>
      <c r="C19" s="232">
        <v>1.5</v>
      </c>
      <c r="D19" s="232">
        <v>1.5</v>
      </c>
      <c r="E19" s="232">
        <v>1.5</v>
      </c>
      <c r="F19" s="232">
        <v>0</v>
      </c>
      <c r="G19" s="232">
        <v>0</v>
      </c>
      <c r="H19" s="232">
        <v>0</v>
      </c>
      <c r="I19" s="376">
        <f t="shared" si="0"/>
        <v>0</v>
      </c>
    </row>
    <row r="20" spans="1:9" ht="15" x14ac:dyDescent="0.25">
      <c r="A20" s="220" t="s">
        <v>310</v>
      </c>
      <c r="B20" s="225" t="s">
        <v>160</v>
      </c>
      <c r="C20" s="235">
        <v>1.3427437744140625</v>
      </c>
      <c r="D20" s="235">
        <v>2.1725883789062501</v>
      </c>
      <c r="E20" s="235">
        <v>1.9542220458984374</v>
      </c>
      <c r="F20" s="235">
        <v>3.1442802734374999</v>
      </c>
      <c r="G20" s="235">
        <v>6.5021176757812498</v>
      </c>
      <c r="H20" s="235">
        <v>9.8990996093749999</v>
      </c>
      <c r="I20" s="376">
        <f>H20*0.086</f>
        <v>0.85132256640624993</v>
      </c>
    </row>
    <row r="21" spans="1:9" ht="15" x14ac:dyDescent="0.25">
      <c r="A21" s="220" t="s">
        <v>311</v>
      </c>
      <c r="B21" s="223" t="s">
        <v>312</v>
      </c>
      <c r="C21" s="232">
        <v>6.8</v>
      </c>
      <c r="D21" s="232">
        <v>8.8080927734374992</v>
      </c>
      <c r="E21" s="232">
        <v>10.351889648437499</v>
      </c>
      <c r="F21" s="232">
        <v>12.509245117187501</v>
      </c>
      <c r="G21" s="232">
        <v>12.451607421875</v>
      </c>
      <c r="H21" s="232">
        <v>12.18703125</v>
      </c>
      <c r="I21" s="376">
        <f>H21*0.086</f>
        <v>1.0480846875000001</v>
      </c>
    </row>
    <row r="22" spans="1:9" ht="15" x14ac:dyDescent="0.25">
      <c r="A22" s="220"/>
      <c r="B22" s="225" t="s">
        <v>24</v>
      </c>
      <c r="C22" s="235">
        <v>428.52100010000004</v>
      </c>
      <c r="D22" s="235">
        <v>430.34846874999999</v>
      </c>
      <c r="E22" s="235">
        <v>405.85162792968748</v>
      </c>
      <c r="F22" s="235">
        <v>367.87661523437504</v>
      </c>
      <c r="G22" s="235">
        <v>332.47116796875002</v>
      </c>
      <c r="H22" s="235">
        <v>309.65319531249997</v>
      </c>
      <c r="I22" s="376">
        <f>H22*0.086</f>
        <v>26.630174796874996</v>
      </c>
    </row>
    <row r="23" spans="1:9" ht="15" x14ac:dyDescent="0.25">
      <c r="A23" s="220" t="s">
        <v>313</v>
      </c>
      <c r="B23" s="237" t="s">
        <v>314</v>
      </c>
      <c r="C23" s="232">
        <v>428.52100000000002</v>
      </c>
      <c r="D23" s="232">
        <v>430.34846874999999</v>
      </c>
      <c r="E23" s="232">
        <v>394.76509375000001</v>
      </c>
      <c r="F23" s="232">
        <v>346.40915625000002</v>
      </c>
      <c r="G23" s="232">
        <v>284.42721875000001</v>
      </c>
      <c r="H23" s="232">
        <v>223.520515625</v>
      </c>
    </row>
    <row r="24" spans="1:9" ht="15" x14ac:dyDescent="0.25">
      <c r="A24" s="220" t="s">
        <v>315</v>
      </c>
      <c r="B24" s="237" t="s">
        <v>316</v>
      </c>
      <c r="C24" s="232">
        <v>9.999999747378752E-8</v>
      </c>
      <c r="D24" s="232">
        <v>0</v>
      </c>
      <c r="E24" s="232">
        <v>11.086534179687501</v>
      </c>
      <c r="F24" s="232">
        <v>21.467458984375</v>
      </c>
      <c r="G24" s="232">
        <v>48.043949218750001</v>
      </c>
      <c r="H24" s="232">
        <v>86.132679687500001</v>
      </c>
    </row>
    <row r="25" spans="1:9" ht="15" x14ac:dyDescent="0.25">
      <c r="A25" s="220" t="s">
        <v>317</v>
      </c>
      <c r="B25" s="225" t="s">
        <v>318</v>
      </c>
      <c r="C25" s="235">
        <v>66.825000000000003</v>
      </c>
      <c r="D25" s="235">
        <v>70.048632812500003</v>
      </c>
      <c r="E25" s="235">
        <v>65.406968750000004</v>
      </c>
      <c r="F25" s="235">
        <v>65.425691406249996</v>
      </c>
      <c r="G25" s="235">
        <v>65.435203125000001</v>
      </c>
      <c r="H25" s="235">
        <v>65.439953125000002</v>
      </c>
    </row>
    <row r="26" spans="1:9" ht="15" x14ac:dyDescent="0.25">
      <c r="A26" s="220" t="s">
        <v>319</v>
      </c>
      <c r="B26" s="223" t="s">
        <v>156</v>
      </c>
      <c r="C26" s="232">
        <v>0.56409484863281245</v>
      </c>
      <c r="D26" s="232">
        <v>5.6729833984375002</v>
      </c>
      <c r="E26" s="232">
        <v>12.304767578125</v>
      </c>
      <c r="F26" s="232">
        <v>17.500355468750001</v>
      </c>
      <c r="G26" s="232">
        <v>23.335550781249999</v>
      </c>
      <c r="H26" s="232">
        <v>31.663064453124999</v>
      </c>
    </row>
    <row r="27" spans="1:9" ht="15" x14ac:dyDescent="0.25">
      <c r="A27" s="220" t="s">
        <v>320</v>
      </c>
      <c r="B27" s="225" t="s">
        <v>21</v>
      </c>
      <c r="C27" s="235">
        <v>9.9689999999999994</v>
      </c>
      <c r="D27" s="235">
        <v>20.558066406249999</v>
      </c>
      <c r="E27" s="235">
        <v>38.10578125</v>
      </c>
      <c r="F27" s="235">
        <v>55.033605468749997</v>
      </c>
      <c r="G27" s="235">
        <v>63.61181640625</v>
      </c>
      <c r="H27" s="235">
        <v>67.710210937499994</v>
      </c>
    </row>
    <row r="28" spans="1:9" ht="15" x14ac:dyDescent="0.25">
      <c r="A28" s="220" t="s">
        <v>321</v>
      </c>
      <c r="B28" s="236" t="s">
        <v>322</v>
      </c>
      <c r="C28" s="235">
        <v>9.9689999999999994</v>
      </c>
      <c r="D28" s="235">
        <v>19.068753906249999</v>
      </c>
      <c r="E28" s="235">
        <v>30.697669921875001</v>
      </c>
      <c r="F28" s="235">
        <v>44.633363281249999</v>
      </c>
      <c r="G28" s="235">
        <v>52.125300781249997</v>
      </c>
      <c r="H28" s="235">
        <v>56.091875000000002</v>
      </c>
    </row>
    <row r="29" spans="1:9" ht="15" x14ac:dyDescent="0.25">
      <c r="A29" s="220" t="s">
        <v>323</v>
      </c>
      <c r="B29" s="236" t="s">
        <v>324</v>
      </c>
      <c r="C29" s="235">
        <v>2.8566928813233974E-7</v>
      </c>
      <c r="D29" s="235">
        <v>1.4893126220703126</v>
      </c>
      <c r="E29" s="235">
        <v>7.4081098632812497</v>
      </c>
      <c r="F29" s="235">
        <v>10.4002431640625</v>
      </c>
      <c r="G29" s="235">
        <v>11.486515624999999</v>
      </c>
      <c r="H29" s="235">
        <v>11.618334960937499</v>
      </c>
    </row>
    <row r="30" spans="1:9" ht="15" x14ac:dyDescent="0.25">
      <c r="A30" s="220" t="s">
        <v>325</v>
      </c>
      <c r="B30" s="223" t="s">
        <v>326</v>
      </c>
      <c r="C30" s="232">
        <v>9.9999997473787516E-9</v>
      </c>
      <c r="D30" s="232">
        <v>8.7599997641518715E-7</v>
      </c>
      <c r="E30" s="232">
        <v>8.7599997641518715E-7</v>
      </c>
      <c r="F30" s="232">
        <v>8.7599997641518715E-7</v>
      </c>
      <c r="G30" s="232">
        <v>8.7599997641518715E-7</v>
      </c>
      <c r="H30" s="232">
        <v>8.7599997641518715E-7</v>
      </c>
      <c r="I30" s="375">
        <f>SUM(H10:H30)*0.086</f>
        <v>93.749441598773515</v>
      </c>
    </row>
    <row r="31" spans="1:9" ht="15.75" thickBot="1" x14ac:dyDescent="0.3">
      <c r="A31" s="220"/>
      <c r="B31" s="238"/>
      <c r="C31" s="238"/>
      <c r="D31" s="238"/>
      <c r="E31" s="238"/>
      <c r="F31" s="238"/>
      <c r="G31" s="238"/>
      <c r="H31" s="238"/>
    </row>
    <row r="32" spans="1:9" ht="15.75" thickBot="1" x14ac:dyDescent="0.3">
      <c r="A32" s="220" t="s">
        <v>327</v>
      </c>
      <c r="B32" s="239" t="s">
        <v>328</v>
      </c>
      <c r="C32" s="240">
        <v>35.414000000000001</v>
      </c>
      <c r="D32" s="240">
        <v>36.086800781249998</v>
      </c>
      <c r="E32" s="240">
        <v>37.553777343749999</v>
      </c>
      <c r="F32" s="240">
        <v>38.722984375000003</v>
      </c>
      <c r="G32" s="240">
        <v>39.3173125</v>
      </c>
      <c r="H32" s="240">
        <v>39.83516796875</v>
      </c>
      <c r="I32" s="123">
        <f>H32*0.086</f>
        <v>3.4258244453124997</v>
      </c>
    </row>
    <row r="33" spans="1:9" ht="15.75" thickBot="1" x14ac:dyDescent="0.3">
      <c r="A33" s="220"/>
      <c r="B33" s="241"/>
      <c r="C33" s="242"/>
      <c r="D33" s="242"/>
      <c r="E33" s="242"/>
      <c r="F33" s="242"/>
      <c r="G33" s="242"/>
      <c r="H33" s="242"/>
      <c r="I33" s="123">
        <f t="shared" ref="I33:I37" si="1">H33*0.086</f>
        <v>0</v>
      </c>
    </row>
    <row r="34" spans="1:9" ht="15.75" thickBot="1" x14ac:dyDescent="0.3">
      <c r="A34" s="220" t="s">
        <v>329</v>
      </c>
      <c r="B34" s="239" t="s">
        <v>330</v>
      </c>
      <c r="C34" s="240">
        <v>58.044360220260785</v>
      </c>
      <c r="D34" s="240">
        <v>60.068846134574699</v>
      </c>
      <c r="E34" s="240">
        <v>61.053203931117899</v>
      </c>
      <c r="F34" s="240">
        <v>61.31288431019955</v>
      </c>
      <c r="G34" s="240">
        <v>61.665691143394355</v>
      </c>
      <c r="H34" s="240">
        <v>62.430534273023937</v>
      </c>
      <c r="I34" s="123">
        <f t="shared" si="1"/>
        <v>5.3690259474800586</v>
      </c>
    </row>
    <row r="35" spans="1:9" ht="15.75" thickBot="1" x14ac:dyDescent="0.3">
      <c r="A35" s="220"/>
      <c r="B35" s="243"/>
      <c r="C35" s="244"/>
      <c r="D35" s="244"/>
      <c r="E35" s="244"/>
      <c r="F35" s="244"/>
      <c r="G35" s="244"/>
      <c r="H35" s="244"/>
      <c r="I35" s="123">
        <f t="shared" si="1"/>
        <v>0</v>
      </c>
    </row>
    <row r="36" spans="1:9" ht="15.75" thickBot="1" x14ac:dyDescent="0.3">
      <c r="A36" s="220" t="s">
        <v>331</v>
      </c>
      <c r="B36" s="239" t="s">
        <v>332</v>
      </c>
      <c r="C36" s="240">
        <v>30.749000726744189</v>
      </c>
      <c r="D36" s="240">
        <v>41.275066996729656</v>
      </c>
      <c r="E36" s="240">
        <v>34.183380836664249</v>
      </c>
      <c r="F36" s="240">
        <v>27.091688998909884</v>
      </c>
      <c r="G36" s="240">
        <v>20</v>
      </c>
      <c r="H36" s="240">
        <v>20</v>
      </c>
      <c r="I36" s="123">
        <f t="shared" si="1"/>
        <v>1.7199999999999998</v>
      </c>
    </row>
    <row r="37" spans="1:9" ht="15.75" thickBot="1" x14ac:dyDescent="0.3">
      <c r="A37" s="220" t="s">
        <v>333</v>
      </c>
      <c r="B37" s="243"/>
      <c r="C37" s="244"/>
      <c r="D37" s="244"/>
      <c r="E37" s="244"/>
      <c r="F37" s="244"/>
      <c r="G37" s="245"/>
      <c r="H37" s="244"/>
      <c r="I37" s="123">
        <f t="shared" si="1"/>
        <v>0</v>
      </c>
    </row>
    <row r="38" spans="1:9" ht="15.75" thickBot="1" x14ac:dyDescent="0.3">
      <c r="A38" s="220" t="s">
        <v>334</v>
      </c>
      <c r="B38" s="246" t="s">
        <v>335</v>
      </c>
      <c r="C38" s="240">
        <v>444.36573401162798</v>
      </c>
      <c r="D38" s="240">
        <v>450.97321762750812</v>
      </c>
      <c r="E38" s="240">
        <v>465.25583883771003</v>
      </c>
      <c r="F38" s="240">
        <v>473.46234046972256</v>
      </c>
      <c r="G38" s="240">
        <v>483.06281119744949</v>
      </c>
      <c r="H38" s="240">
        <v>489.27212773578856</v>
      </c>
      <c r="I38" s="376">
        <f>H38*0.086</f>
        <v>42.077402985277814</v>
      </c>
    </row>
    <row r="39" spans="1:9" ht="15.75" thickBot="1" x14ac:dyDescent="0.3">
      <c r="A39" s="220"/>
      <c r="B39" s="247"/>
      <c r="C39" s="248"/>
      <c r="D39" s="248"/>
      <c r="E39" s="248"/>
      <c r="F39" s="248"/>
      <c r="G39" s="249"/>
      <c r="H39" s="248"/>
    </row>
    <row r="40" spans="1:9" ht="15.75" thickBot="1" x14ac:dyDescent="0.3">
      <c r="A40" s="220" t="s">
        <v>336</v>
      </c>
      <c r="B40" s="230" t="s">
        <v>337</v>
      </c>
      <c r="C40" s="231">
        <v>125.26963092885742</v>
      </c>
      <c r="D40" s="231">
        <v>133.32250955176377</v>
      </c>
      <c r="E40" s="231">
        <v>142.28837939429306</v>
      </c>
      <c r="F40" s="231">
        <v>149.13827923560163</v>
      </c>
      <c r="G40" s="231">
        <v>149.8934470212462</v>
      </c>
      <c r="H40" s="231">
        <v>154.92040368628523</v>
      </c>
    </row>
    <row r="41" spans="1:9" ht="15" x14ac:dyDescent="0.25">
      <c r="A41" s="220" t="s">
        <v>338</v>
      </c>
      <c r="B41" s="223" t="s">
        <v>40</v>
      </c>
      <c r="C41" s="232">
        <v>7.2575004882812504</v>
      </c>
      <c r="D41" s="232">
        <v>4.06639306640625</v>
      </c>
      <c r="E41" s="232">
        <v>2.7423869628906248</v>
      </c>
      <c r="F41" s="232">
        <v>2.4509880371093749</v>
      </c>
      <c r="G41" s="232">
        <v>2.1905288085937502</v>
      </c>
      <c r="H41" s="232">
        <v>1.9577241210937499</v>
      </c>
    </row>
    <row r="42" spans="1:9" ht="15" x14ac:dyDescent="0.25">
      <c r="A42" s="220"/>
      <c r="B42" s="234" t="s">
        <v>299</v>
      </c>
      <c r="C42" s="232">
        <v>1.9999999494757504E-7</v>
      </c>
      <c r="D42" s="232">
        <v>1.9999999494757504E-7</v>
      </c>
      <c r="E42" s="232">
        <v>1.9999999494757504E-7</v>
      </c>
      <c r="F42" s="232">
        <v>1.9999999494757504E-7</v>
      </c>
      <c r="G42" s="232">
        <v>2.352941082790494E-7</v>
      </c>
      <c r="H42" s="232">
        <v>2.6612450019456446E-6</v>
      </c>
    </row>
    <row r="43" spans="1:9" ht="15" x14ac:dyDescent="0.25">
      <c r="A43" s="220" t="s">
        <v>339</v>
      </c>
      <c r="B43" s="225" t="s">
        <v>245</v>
      </c>
      <c r="C43" s="235">
        <v>7.0598715820312501</v>
      </c>
      <c r="D43" s="235">
        <v>13.1746494140625</v>
      </c>
      <c r="E43" s="235">
        <v>17.195492187500001</v>
      </c>
      <c r="F43" s="235">
        <v>19.263175781249998</v>
      </c>
      <c r="G43" s="235">
        <v>19.624958984374999</v>
      </c>
      <c r="H43" s="235">
        <v>19.152705078124999</v>
      </c>
    </row>
    <row r="44" spans="1:9" ht="15" x14ac:dyDescent="0.25">
      <c r="A44" s="220" t="s">
        <v>340</v>
      </c>
      <c r="B44" s="236" t="s">
        <v>302</v>
      </c>
      <c r="C44" s="235">
        <v>0.4277622985839844</v>
      </c>
      <c r="D44" s="235">
        <v>0.85628405761718751</v>
      </c>
      <c r="E44" s="235">
        <v>1.1700203857421876</v>
      </c>
      <c r="F44" s="235">
        <v>1.2596667480468751</v>
      </c>
      <c r="G44" s="235">
        <v>1.1878613281249999</v>
      </c>
      <c r="H44" s="235">
        <v>1.048565673828125</v>
      </c>
    </row>
    <row r="45" spans="1:9" ht="15" x14ac:dyDescent="0.25">
      <c r="A45" s="220" t="s">
        <v>341</v>
      </c>
      <c r="B45" s="236" t="s">
        <v>304</v>
      </c>
      <c r="C45" s="235">
        <v>3.3302497558593749</v>
      </c>
      <c r="D45" s="235">
        <v>4.4717045898437497</v>
      </c>
      <c r="E45" s="235">
        <v>4.3626279296875001</v>
      </c>
      <c r="F45" s="235">
        <v>4.1791567382812502</v>
      </c>
      <c r="G45" s="235">
        <v>3.8123457031250001</v>
      </c>
      <c r="H45" s="235">
        <v>3.496313720703125</v>
      </c>
    </row>
    <row r="46" spans="1:9" ht="15" x14ac:dyDescent="0.25">
      <c r="A46" s="220" t="s">
        <v>342</v>
      </c>
      <c r="B46" s="236" t="s">
        <v>306</v>
      </c>
      <c r="C46" s="235">
        <v>3.3018596191406249</v>
      </c>
      <c r="D46" s="235">
        <v>7.8466606445312497</v>
      </c>
      <c r="E46" s="235">
        <v>11.66284375</v>
      </c>
      <c r="F46" s="235">
        <v>13.824352539062501</v>
      </c>
      <c r="G46" s="235">
        <v>14.624750976562501</v>
      </c>
      <c r="H46" s="235">
        <v>14.607826171875001</v>
      </c>
    </row>
    <row r="47" spans="1:9" ht="15" x14ac:dyDescent="0.25">
      <c r="A47" s="220" t="s">
        <v>343</v>
      </c>
      <c r="B47" s="236" t="s">
        <v>299</v>
      </c>
      <c r="C47" s="235">
        <v>9.999999747378752E-8</v>
      </c>
      <c r="D47" s="235">
        <v>9.999999747378752E-8</v>
      </c>
      <c r="E47" s="235">
        <v>9.999999747378752E-8</v>
      </c>
      <c r="F47" s="235">
        <v>9.999999747378752E-8</v>
      </c>
      <c r="G47" s="235">
        <v>1.1111111234640703E-7</v>
      </c>
      <c r="H47" s="235">
        <v>1.1111111234640703E-7</v>
      </c>
    </row>
    <row r="48" spans="1:9" ht="15" x14ac:dyDescent="0.25">
      <c r="A48" s="220" t="s">
        <v>344</v>
      </c>
      <c r="B48" s="223" t="s">
        <v>68</v>
      </c>
      <c r="C48" s="232">
        <v>13.244166015625</v>
      </c>
      <c r="D48" s="232">
        <v>10.049530273437499</v>
      </c>
      <c r="E48" s="232">
        <v>6.4621162109375003</v>
      </c>
      <c r="F48" s="232">
        <v>5.4448466796875001</v>
      </c>
      <c r="G48" s="232">
        <v>2.3433515625000001</v>
      </c>
      <c r="H48" s="232">
        <v>2.3433515625000001</v>
      </c>
    </row>
    <row r="49" spans="1:8" ht="15" x14ac:dyDescent="0.25">
      <c r="A49" s="220"/>
      <c r="B49" s="234" t="s">
        <v>302</v>
      </c>
      <c r="C49" s="232">
        <v>12.994166015625</v>
      </c>
      <c r="D49" s="232">
        <v>9.7995302734374992</v>
      </c>
      <c r="E49" s="232">
        <v>6.2121162109375003</v>
      </c>
      <c r="F49" s="232">
        <v>5.4448466796875001</v>
      </c>
      <c r="G49" s="232">
        <v>2.3433515625000001</v>
      </c>
      <c r="H49" s="232">
        <v>2.3433515625000001</v>
      </c>
    </row>
    <row r="50" spans="1:8" ht="15" x14ac:dyDescent="0.25">
      <c r="A50" s="220"/>
      <c r="B50" s="234" t="s">
        <v>309</v>
      </c>
      <c r="C50" s="232">
        <v>0.25</v>
      </c>
      <c r="D50" s="232">
        <v>0.25</v>
      </c>
      <c r="E50" s="232">
        <v>0.25</v>
      </c>
      <c r="F50" s="232">
        <v>0</v>
      </c>
      <c r="G50" s="232">
        <v>0</v>
      </c>
      <c r="H50" s="232">
        <v>0</v>
      </c>
    </row>
    <row r="51" spans="1:8" ht="15" x14ac:dyDescent="0.25">
      <c r="A51" s="220" t="s">
        <v>345</v>
      </c>
      <c r="B51" s="225" t="s">
        <v>160</v>
      </c>
      <c r="C51" s="235">
        <v>0.41679244995117187</v>
      </c>
      <c r="D51" s="235">
        <v>0.45566665649414062</v>
      </c>
      <c r="E51" s="235">
        <v>0.39504138183593751</v>
      </c>
      <c r="F51" s="235">
        <v>0.61234979248046872</v>
      </c>
      <c r="G51" s="235">
        <v>1.094424560546875</v>
      </c>
      <c r="H51" s="235">
        <v>1.6100062255859375</v>
      </c>
    </row>
    <row r="52" spans="1:8" ht="15" x14ac:dyDescent="0.25">
      <c r="A52" s="220" t="s">
        <v>346</v>
      </c>
      <c r="B52" s="223" t="s">
        <v>312</v>
      </c>
      <c r="C52" s="232">
        <v>1.2250002441406249</v>
      </c>
      <c r="D52" s="232">
        <v>1.6003787841796875</v>
      </c>
      <c r="E52" s="232">
        <v>1.9255836181640624</v>
      </c>
      <c r="F52" s="232">
        <v>2.1539802246093749</v>
      </c>
      <c r="G52" s="232">
        <v>2.1692902832031251</v>
      </c>
      <c r="H52" s="232">
        <v>2.1271418457031248</v>
      </c>
    </row>
    <row r="53" spans="1:8" ht="15" x14ac:dyDescent="0.25">
      <c r="A53" s="220" t="s">
        <v>347</v>
      </c>
      <c r="B53" s="225" t="s">
        <v>24</v>
      </c>
      <c r="C53" s="235">
        <v>63.13</v>
      </c>
      <c r="D53" s="235">
        <v>63.13</v>
      </c>
      <c r="E53" s="235">
        <v>59.330175781249999</v>
      </c>
      <c r="F53" s="235">
        <v>53.191433593749998</v>
      </c>
      <c r="G53" s="235">
        <v>47.839265625000003</v>
      </c>
      <c r="H53" s="235">
        <v>44.285687500000002</v>
      </c>
    </row>
    <row r="54" spans="1:8" ht="15" x14ac:dyDescent="0.25">
      <c r="A54" s="220" t="s">
        <v>348</v>
      </c>
      <c r="B54" s="234" t="s">
        <v>349</v>
      </c>
      <c r="C54" s="232">
        <v>63.13</v>
      </c>
      <c r="D54" s="232">
        <v>63.13</v>
      </c>
      <c r="E54" s="232">
        <v>57.730175781249997</v>
      </c>
      <c r="F54" s="232">
        <v>50.173953124999997</v>
      </c>
      <c r="G54" s="232">
        <v>41.128285156250001</v>
      </c>
      <c r="H54" s="232">
        <v>32.291550781250002</v>
      </c>
    </row>
    <row r="55" spans="1:8" ht="15" x14ac:dyDescent="0.25">
      <c r="A55" s="220" t="s">
        <v>350</v>
      </c>
      <c r="B55" s="234" t="s">
        <v>316</v>
      </c>
      <c r="C55" s="232">
        <v>9.999999747378752E-8</v>
      </c>
      <c r="D55" s="232">
        <v>9.999999747378752E-8</v>
      </c>
      <c r="E55" s="232">
        <v>1.6</v>
      </c>
      <c r="F55" s="232">
        <v>3.0174792480468748</v>
      </c>
      <c r="G55" s="232">
        <v>6.71098095703125</v>
      </c>
      <c r="H55" s="232">
        <v>11.994136718749999</v>
      </c>
    </row>
    <row r="56" spans="1:8" ht="15" x14ac:dyDescent="0.25">
      <c r="A56" s="220" t="s">
        <v>351</v>
      </c>
      <c r="B56" s="225" t="s">
        <v>318</v>
      </c>
      <c r="C56" s="235">
        <v>25.658000000000001</v>
      </c>
      <c r="D56" s="235">
        <v>25.487261718749998</v>
      </c>
      <c r="E56" s="235">
        <v>25.672373046874998</v>
      </c>
      <c r="F56" s="235">
        <v>25.578158203125</v>
      </c>
      <c r="G56" s="235">
        <v>25.582191406250001</v>
      </c>
      <c r="H56" s="235">
        <v>25.583998046874999</v>
      </c>
    </row>
    <row r="57" spans="1:8" ht="15" x14ac:dyDescent="0.25">
      <c r="A57" s="220" t="s">
        <v>352</v>
      </c>
      <c r="B57" s="223" t="s">
        <v>156</v>
      </c>
      <c r="C57" s="232">
        <v>1.198300048828125</v>
      </c>
      <c r="D57" s="232">
        <v>5.3994223632812499</v>
      </c>
      <c r="E57" s="232">
        <v>11.370608398437501</v>
      </c>
      <c r="F57" s="232">
        <v>15.878063476562501</v>
      </c>
      <c r="G57" s="232">
        <v>20.850351562499998</v>
      </c>
      <c r="H57" s="232">
        <v>27.985666015625</v>
      </c>
    </row>
    <row r="58" spans="1:8" ht="15" x14ac:dyDescent="0.25">
      <c r="A58" s="220" t="s">
        <v>353</v>
      </c>
      <c r="B58" s="225" t="s">
        <v>21</v>
      </c>
      <c r="C58" s="235">
        <v>6.08</v>
      </c>
      <c r="D58" s="235">
        <v>9.9592070312499992</v>
      </c>
      <c r="E58" s="235">
        <v>17.194601562500001</v>
      </c>
      <c r="F58" s="235">
        <v>24.565283203124999</v>
      </c>
      <c r="G58" s="235">
        <v>28.199083984375001</v>
      </c>
      <c r="H58" s="235">
        <v>29.874123046874999</v>
      </c>
    </row>
    <row r="59" spans="1:8" ht="15" x14ac:dyDescent="0.25">
      <c r="A59" s="220" t="s">
        <v>354</v>
      </c>
      <c r="B59" s="234" t="s">
        <v>355</v>
      </c>
      <c r="C59" s="232">
        <v>6.08</v>
      </c>
      <c r="D59" s="232">
        <v>9.5422001953124997</v>
      </c>
      <c r="E59" s="232">
        <v>15.179439453124999</v>
      </c>
      <c r="F59" s="232">
        <v>21.805228515625</v>
      </c>
      <c r="G59" s="232">
        <v>25.211107421874999</v>
      </c>
      <c r="H59" s="232">
        <v>26.901707031250002</v>
      </c>
    </row>
    <row r="60" spans="1:8" ht="15" x14ac:dyDescent="0.25">
      <c r="A60" s="220" t="s">
        <v>356</v>
      </c>
      <c r="B60" s="234" t="s">
        <v>357</v>
      </c>
      <c r="C60" s="232">
        <v>9.999999747378752E-8</v>
      </c>
      <c r="D60" s="232">
        <v>0.41700680541992186</v>
      </c>
      <c r="E60" s="232">
        <v>2.0151629638671875</v>
      </c>
      <c r="F60" s="232">
        <v>2.7600551757812499</v>
      </c>
      <c r="G60" s="232">
        <v>2.987975830078125</v>
      </c>
      <c r="H60" s="232">
        <v>2.97241650390625</v>
      </c>
    </row>
    <row r="61" spans="1:8" ht="15" x14ac:dyDescent="0.25">
      <c r="A61" s="220" t="s">
        <v>358</v>
      </c>
      <c r="B61" s="225" t="s">
        <v>326</v>
      </c>
      <c r="C61" s="235">
        <v>9.999999747378752E-8</v>
      </c>
      <c r="D61" s="235">
        <v>2.4390242469962689E-7</v>
      </c>
      <c r="E61" s="235">
        <v>2.4390242469962689E-7</v>
      </c>
      <c r="F61" s="235">
        <v>2.4390242469962689E-7</v>
      </c>
      <c r="G61" s="235">
        <v>2.4390242469962689E-7</v>
      </c>
      <c r="H61" s="235">
        <v>2.4390242469962689E-7</v>
      </c>
    </row>
    <row r="62" spans="1:8" ht="15.75" thickBot="1" x14ac:dyDescent="0.3">
      <c r="A62" s="220"/>
      <c r="B62" s="228"/>
      <c r="C62" s="250"/>
      <c r="D62" s="250"/>
      <c r="E62" s="250"/>
      <c r="F62" s="250"/>
      <c r="G62" s="250"/>
      <c r="H62" s="250"/>
    </row>
    <row r="63" spans="1:8" ht="15.75" thickBot="1" x14ac:dyDescent="0.3">
      <c r="A63" s="220" t="s">
        <v>359</v>
      </c>
      <c r="B63" s="230" t="s">
        <v>360</v>
      </c>
      <c r="C63" s="231">
        <v>4538.39599609375</v>
      </c>
      <c r="D63" s="231">
        <v>4412.4619140625</v>
      </c>
      <c r="E63" s="231">
        <v>4202.84326171875</v>
      </c>
      <c r="F63" s="231">
        <v>4026.89306640625</v>
      </c>
      <c r="G63" s="231">
        <v>4030.0771484375</v>
      </c>
      <c r="H63" s="231">
        <v>3948.40478515625</v>
      </c>
    </row>
    <row r="64" spans="1:8" ht="15" x14ac:dyDescent="0.25">
      <c r="A64" s="220" t="s">
        <v>361</v>
      </c>
      <c r="B64" s="223" t="s">
        <v>40</v>
      </c>
      <c r="C64" s="251">
        <v>3625.903993047064</v>
      </c>
      <c r="D64" s="251">
        <v>6035.534937493193</v>
      </c>
      <c r="E64" s="251">
        <v>7089.6979804798739</v>
      </c>
      <c r="F64" s="251">
        <v>7039.6785735025751</v>
      </c>
      <c r="G64" s="251">
        <v>7038.3221624166354</v>
      </c>
      <c r="H64" s="251">
        <v>7037.113856147238</v>
      </c>
    </row>
    <row r="65" spans="1:8" ht="15" x14ac:dyDescent="0.25">
      <c r="A65" s="220" t="s">
        <v>362</v>
      </c>
      <c r="B65" s="225" t="s">
        <v>245</v>
      </c>
      <c r="C65" s="252">
        <v>3175.023223175494</v>
      </c>
      <c r="D65" s="252">
        <v>1803.3210827998046</v>
      </c>
      <c r="E65" s="252">
        <v>2465.6948155471341</v>
      </c>
      <c r="F65" s="252">
        <v>3186.4543606821062</v>
      </c>
      <c r="G65" s="252">
        <v>4311.8919735003437</v>
      </c>
      <c r="H65" s="252">
        <v>5273.8527776092333</v>
      </c>
    </row>
    <row r="66" spans="1:8" ht="15" x14ac:dyDescent="0.25">
      <c r="A66" s="220" t="s">
        <v>363</v>
      </c>
      <c r="B66" s="223" t="s">
        <v>68</v>
      </c>
      <c r="C66" s="251">
        <v>439.51427316243161</v>
      </c>
      <c r="D66" s="251">
        <v>248.18251280595655</v>
      </c>
      <c r="E66" s="251">
        <v>344.99714154325227</v>
      </c>
      <c r="F66" s="251">
        <v>85.347834185241453</v>
      </c>
      <c r="G66" s="251">
        <v>85.347842466552649</v>
      </c>
      <c r="H66" s="253">
        <v>85.347842466552649</v>
      </c>
    </row>
    <row r="67" spans="1:8" ht="15" x14ac:dyDescent="0.25">
      <c r="A67" s="220"/>
      <c r="B67" s="234" t="s">
        <v>302</v>
      </c>
      <c r="C67" s="251">
        <v>332.53384594318391</v>
      </c>
      <c r="D67" s="251">
        <v>101.44544157140825</v>
      </c>
      <c r="E67" s="251">
        <v>117.41757499795243</v>
      </c>
      <c r="F67" s="251">
        <v>85.347834185241453</v>
      </c>
      <c r="G67" s="251">
        <v>85.347842466552649</v>
      </c>
      <c r="H67" s="251">
        <v>85.347842466552649</v>
      </c>
    </row>
    <row r="68" spans="1:8" ht="15" x14ac:dyDescent="0.25">
      <c r="A68" s="220"/>
      <c r="B68" s="234" t="s">
        <v>309</v>
      </c>
      <c r="C68" s="251">
        <v>6000</v>
      </c>
      <c r="D68" s="251">
        <v>6000</v>
      </c>
      <c r="E68" s="251">
        <v>6000</v>
      </c>
      <c r="F68" s="251" t="s">
        <v>364</v>
      </c>
      <c r="G68" s="251" t="s">
        <v>364</v>
      </c>
      <c r="H68" s="251" t="s">
        <v>364</v>
      </c>
    </row>
    <row r="69" spans="1:8" ht="15" x14ac:dyDescent="0.25">
      <c r="A69" s="220" t="s">
        <v>365</v>
      </c>
      <c r="B69" s="225" t="s">
        <v>160</v>
      </c>
      <c r="C69" s="252">
        <v>3221.6125185841724</v>
      </c>
      <c r="D69" s="252">
        <v>4767.9336373259239</v>
      </c>
      <c r="E69" s="252">
        <v>4946.879328986437</v>
      </c>
      <c r="F69" s="252">
        <v>5134.7780501416419</v>
      </c>
      <c r="G69" s="252">
        <v>5941.1291652045848</v>
      </c>
      <c r="H69" s="252">
        <v>6148.4852990381278</v>
      </c>
    </row>
    <row r="70" spans="1:8" ht="15" x14ac:dyDescent="0.25">
      <c r="A70" s="220" t="s">
        <v>366</v>
      </c>
      <c r="B70" s="223" t="s">
        <v>312</v>
      </c>
      <c r="C70" s="253">
        <v>5551.0193018536147</v>
      </c>
      <c r="D70" s="251">
        <v>5503.755023816002</v>
      </c>
      <c r="E70" s="251">
        <v>5375.9751333507156</v>
      </c>
      <c r="F70" s="251">
        <v>5807.5023039991265</v>
      </c>
      <c r="G70" s="251">
        <v>5739.9452338343754</v>
      </c>
      <c r="H70" s="251">
        <v>5729.2988122151246</v>
      </c>
    </row>
    <row r="71" spans="1:8" ht="15" x14ac:dyDescent="0.25">
      <c r="A71" s="220" t="s">
        <v>367</v>
      </c>
      <c r="B71" s="225" t="s">
        <v>24</v>
      </c>
      <c r="C71" s="252">
        <v>6787.9138301916682</v>
      </c>
      <c r="D71" s="252">
        <v>6816.8615357199424</v>
      </c>
      <c r="E71" s="252">
        <v>6840.560011587695</v>
      </c>
      <c r="F71" s="252">
        <v>6916.0876174918621</v>
      </c>
      <c r="G71" s="252">
        <v>6949.7548431221339</v>
      </c>
      <c r="H71" s="252">
        <v>6992.1731555482784</v>
      </c>
    </row>
    <row r="72" spans="1:8" ht="15" x14ac:dyDescent="0.25">
      <c r="A72" s="220" t="s">
        <v>368</v>
      </c>
      <c r="B72" s="223" t="s">
        <v>318</v>
      </c>
      <c r="C72" s="251">
        <v>2604.4508535349601</v>
      </c>
      <c r="D72" s="251">
        <v>2748.3781343590913</v>
      </c>
      <c r="E72" s="251">
        <v>2547.7570238861008</v>
      </c>
      <c r="F72" s="251">
        <v>2557.8734358698525</v>
      </c>
      <c r="G72" s="251">
        <v>2557.8419802227531</v>
      </c>
      <c r="H72" s="251">
        <v>2557.8470184801035</v>
      </c>
    </row>
    <row r="73" spans="1:8" ht="15" x14ac:dyDescent="0.25">
      <c r="A73" s="220"/>
      <c r="B73" s="225" t="s">
        <v>156</v>
      </c>
      <c r="C73" s="254">
        <v>470.74591141381313</v>
      </c>
      <c r="D73" s="252">
        <v>1050.6648705640441</v>
      </c>
      <c r="E73" s="252">
        <v>1082.155602141383</v>
      </c>
      <c r="F73" s="252">
        <v>1102.1719049418184</v>
      </c>
      <c r="G73" s="252">
        <v>1119.1921973737703</v>
      </c>
      <c r="H73" s="252">
        <v>1131.4029273216806</v>
      </c>
    </row>
    <row r="74" spans="1:8" ht="15" x14ac:dyDescent="0.25">
      <c r="A74" s="220" t="s">
        <v>369</v>
      </c>
      <c r="B74" s="223" t="s">
        <v>21</v>
      </c>
      <c r="C74" s="251">
        <v>1639.6381578947369</v>
      </c>
      <c r="D74" s="251">
        <v>2064.2272363394895</v>
      </c>
      <c r="E74" s="251">
        <v>2216.1479643183793</v>
      </c>
      <c r="F74" s="251">
        <v>2240.3000614195671</v>
      </c>
      <c r="G74" s="251">
        <v>2255.8114455596165</v>
      </c>
      <c r="H74" s="251">
        <v>2266.5171068371446</v>
      </c>
    </row>
    <row r="75" spans="1:8" ht="15.75" thickBot="1" x14ac:dyDescent="0.3">
      <c r="A75" s="220"/>
      <c r="B75" s="228"/>
      <c r="C75" s="250"/>
      <c r="D75" s="250"/>
      <c r="E75" s="250"/>
      <c r="F75" s="250"/>
      <c r="G75" s="250"/>
      <c r="H75" s="250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8"/>
  <sheetViews>
    <sheetView topLeftCell="A105" workbookViewId="0">
      <selection activeCell="O123" sqref="O123"/>
    </sheetView>
  </sheetViews>
  <sheetFormatPr baseColWidth="10" defaultColWidth="10.28515625" defaultRowHeight="12.75" x14ac:dyDescent="0.2"/>
  <cols>
    <col min="1" max="1" width="27.7109375" style="255" customWidth="1"/>
    <col min="2" max="6" width="8.7109375" style="257" customWidth="1"/>
    <col min="7" max="14" width="8.7109375" style="258" customWidth="1"/>
    <col min="15" max="256" width="10.28515625" style="255"/>
    <col min="257" max="257" width="35.85546875" style="255" customWidth="1"/>
    <col min="258" max="270" width="8.7109375" style="255" customWidth="1"/>
    <col min="271" max="512" width="10.28515625" style="255"/>
    <col min="513" max="513" width="35.85546875" style="255" customWidth="1"/>
    <col min="514" max="526" width="8.7109375" style="255" customWidth="1"/>
    <col min="527" max="768" width="10.28515625" style="255"/>
    <col min="769" max="769" width="35.85546875" style="255" customWidth="1"/>
    <col min="770" max="782" width="8.7109375" style="255" customWidth="1"/>
    <col min="783" max="1024" width="10.28515625" style="255"/>
    <col min="1025" max="1025" width="35.85546875" style="255" customWidth="1"/>
    <col min="1026" max="1038" width="8.7109375" style="255" customWidth="1"/>
    <col min="1039" max="1280" width="10.28515625" style="255"/>
    <col min="1281" max="1281" width="35.85546875" style="255" customWidth="1"/>
    <col min="1282" max="1294" width="8.7109375" style="255" customWidth="1"/>
    <col min="1295" max="1536" width="10.28515625" style="255"/>
    <col min="1537" max="1537" width="35.85546875" style="255" customWidth="1"/>
    <col min="1538" max="1550" width="8.7109375" style="255" customWidth="1"/>
    <col min="1551" max="1792" width="10.28515625" style="255"/>
    <col min="1793" max="1793" width="35.85546875" style="255" customWidth="1"/>
    <col min="1794" max="1806" width="8.7109375" style="255" customWidth="1"/>
    <col min="1807" max="2048" width="10.28515625" style="255"/>
    <col min="2049" max="2049" width="35.85546875" style="255" customWidth="1"/>
    <col min="2050" max="2062" width="8.7109375" style="255" customWidth="1"/>
    <col min="2063" max="2304" width="10.28515625" style="255"/>
    <col min="2305" max="2305" width="35.85546875" style="255" customWidth="1"/>
    <col min="2306" max="2318" width="8.7109375" style="255" customWidth="1"/>
    <col min="2319" max="2560" width="10.28515625" style="255"/>
    <col min="2561" max="2561" width="35.85546875" style="255" customWidth="1"/>
    <col min="2562" max="2574" width="8.7109375" style="255" customWidth="1"/>
    <col min="2575" max="2816" width="10.28515625" style="255"/>
    <col min="2817" max="2817" width="35.85546875" style="255" customWidth="1"/>
    <col min="2818" max="2830" width="8.7109375" style="255" customWidth="1"/>
    <col min="2831" max="3072" width="10.28515625" style="255"/>
    <col min="3073" max="3073" width="35.85546875" style="255" customWidth="1"/>
    <col min="3074" max="3086" width="8.7109375" style="255" customWidth="1"/>
    <col min="3087" max="3328" width="10.28515625" style="255"/>
    <col min="3329" max="3329" width="35.85546875" style="255" customWidth="1"/>
    <col min="3330" max="3342" width="8.7109375" style="255" customWidth="1"/>
    <col min="3343" max="3584" width="10.28515625" style="255"/>
    <col min="3585" max="3585" width="35.85546875" style="255" customWidth="1"/>
    <col min="3586" max="3598" width="8.7109375" style="255" customWidth="1"/>
    <col min="3599" max="3840" width="10.28515625" style="255"/>
    <col min="3841" max="3841" width="35.85546875" style="255" customWidth="1"/>
    <col min="3842" max="3854" width="8.7109375" style="255" customWidth="1"/>
    <col min="3855" max="4096" width="10.28515625" style="255"/>
    <col min="4097" max="4097" width="35.85546875" style="255" customWidth="1"/>
    <col min="4098" max="4110" width="8.7109375" style="255" customWidth="1"/>
    <col min="4111" max="4352" width="10.28515625" style="255"/>
    <col min="4353" max="4353" width="35.85546875" style="255" customWidth="1"/>
    <col min="4354" max="4366" width="8.7109375" style="255" customWidth="1"/>
    <col min="4367" max="4608" width="10.28515625" style="255"/>
    <col min="4609" max="4609" width="35.85546875" style="255" customWidth="1"/>
    <col min="4610" max="4622" width="8.7109375" style="255" customWidth="1"/>
    <col min="4623" max="4864" width="10.28515625" style="255"/>
    <col min="4865" max="4865" width="35.85546875" style="255" customWidth="1"/>
    <col min="4866" max="4878" width="8.7109375" style="255" customWidth="1"/>
    <col min="4879" max="5120" width="10.28515625" style="255"/>
    <col min="5121" max="5121" width="35.85546875" style="255" customWidth="1"/>
    <col min="5122" max="5134" width="8.7109375" style="255" customWidth="1"/>
    <col min="5135" max="5376" width="10.28515625" style="255"/>
    <col min="5377" max="5377" width="35.85546875" style="255" customWidth="1"/>
    <col min="5378" max="5390" width="8.7109375" style="255" customWidth="1"/>
    <col min="5391" max="5632" width="10.28515625" style="255"/>
    <col min="5633" max="5633" width="35.85546875" style="255" customWidth="1"/>
    <col min="5634" max="5646" width="8.7109375" style="255" customWidth="1"/>
    <col min="5647" max="5888" width="10.28515625" style="255"/>
    <col min="5889" max="5889" width="35.85546875" style="255" customWidth="1"/>
    <col min="5890" max="5902" width="8.7109375" style="255" customWidth="1"/>
    <col min="5903" max="6144" width="10.28515625" style="255"/>
    <col min="6145" max="6145" width="35.85546875" style="255" customWidth="1"/>
    <col min="6146" max="6158" width="8.7109375" style="255" customWidth="1"/>
    <col min="6159" max="6400" width="10.28515625" style="255"/>
    <col min="6401" max="6401" width="35.85546875" style="255" customWidth="1"/>
    <col min="6402" max="6414" width="8.7109375" style="255" customWidth="1"/>
    <col min="6415" max="6656" width="10.28515625" style="255"/>
    <col min="6657" max="6657" width="35.85546875" style="255" customWidth="1"/>
    <col min="6658" max="6670" width="8.7109375" style="255" customWidth="1"/>
    <col min="6671" max="6912" width="10.28515625" style="255"/>
    <col min="6913" max="6913" width="35.85546875" style="255" customWidth="1"/>
    <col min="6914" max="6926" width="8.7109375" style="255" customWidth="1"/>
    <col min="6927" max="7168" width="10.28515625" style="255"/>
    <col min="7169" max="7169" width="35.85546875" style="255" customWidth="1"/>
    <col min="7170" max="7182" width="8.7109375" style="255" customWidth="1"/>
    <col min="7183" max="7424" width="10.28515625" style="255"/>
    <col min="7425" max="7425" width="35.85546875" style="255" customWidth="1"/>
    <col min="7426" max="7438" width="8.7109375" style="255" customWidth="1"/>
    <col min="7439" max="7680" width="10.28515625" style="255"/>
    <col min="7681" max="7681" width="35.85546875" style="255" customWidth="1"/>
    <col min="7682" max="7694" width="8.7109375" style="255" customWidth="1"/>
    <col min="7695" max="7936" width="10.28515625" style="255"/>
    <col min="7937" max="7937" width="35.85546875" style="255" customWidth="1"/>
    <col min="7938" max="7950" width="8.7109375" style="255" customWidth="1"/>
    <col min="7951" max="8192" width="10.28515625" style="255"/>
    <col min="8193" max="8193" width="35.85546875" style="255" customWidth="1"/>
    <col min="8194" max="8206" width="8.7109375" style="255" customWidth="1"/>
    <col min="8207" max="8448" width="10.28515625" style="255"/>
    <col min="8449" max="8449" width="35.85546875" style="255" customWidth="1"/>
    <col min="8450" max="8462" width="8.7109375" style="255" customWidth="1"/>
    <col min="8463" max="8704" width="10.28515625" style="255"/>
    <col min="8705" max="8705" width="35.85546875" style="255" customWidth="1"/>
    <col min="8706" max="8718" width="8.7109375" style="255" customWidth="1"/>
    <col min="8719" max="8960" width="10.28515625" style="255"/>
    <col min="8961" max="8961" width="35.85546875" style="255" customWidth="1"/>
    <col min="8962" max="8974" width="8.7109375" style="255" customWidth="1"/>
    <col min="8975" max="9216" width="10.28515625" style="255"/>
    <col min="9217" max="9217" width="35.85546875" style="255" customWidth="1"/>
    <col min="9218" max="9230" width="8.7109375" style="255" customWidth="1"/>
    <col min="9231" max="9472" width="10.28515625" style="255"/>
    <col min="9473" max="9473" width="35.85546875" style="255" customWidth="1"/>
    <col min="9474" max="9486" width="8.7109375" style="255" customWidth="1"/>
    <col min="9487" max="9728" width="10.28515625" style="255"/>
    <col min="9729" max="9729" width="35.85546875" style="255" customWidth="1"/>
    <col min="9730" max="9742" width="8.7109375" style="255" customWidth="1"/>
    <col min="9743" max="9984" width="10.28515625" style="255"/>
    <col min="9985" max="9985" width="35.85546875" style="255" customWidth="1"/>
    <col min="9986" max="9998" width="8.7109375" style="255" customWidth="1"/>
    <col min="9999" max="10240" width="10.28515625" style="255"/>
    <col min="10241" max="10241" width="35.85546875" style="255" customWidth="1"/>
    <col min="10242" max="10254" width="8.7109375" style="255" customWidth="1"/>
    <col min="10255" max="10496" width="10.28515625" style="255"/>
    <col min="10497" max="10497" width="35.85546875" style="255" customWidth="1"/>
    <col min="10498" max="10510" width="8.7109375" style="255" customWidth="1"/>
    <col min="10511" max="10752" width="10.28515625" style="255"/>
    <col min="10753" max="10753" width="35.85546875" style="255" customWidth="1"/>
    <col min="10754" max="10766" width="8.7109375" style="255" customWidth="1"/>
    <col min="10767" max="11008" width="10.28515625" style="255"/>
    <col min="11009" max="11009" width="35.85546875" style="255" customWidth="1"/>
    <col min="11010" max="11022" width="8.7109375" style="255" customWidth="1"/>
    <col min="11023" max="11264" width="10.28515625" style="255"/>
    <col min="11265" max="11265" width="35.85546875" style="255" customWidth="1"/>
    <col min="11266" max="11278" width="8.7109375" style="255" customWidth="1"/>
    <col min="11279" max="11520" width="10.28515625" style="255"/>
    <col min="11521" max="11521" width="35.85546875" style="255" customWidth="1"/>
    <col min="11522" max="11534" width="8.7109375" style="255" customWidth="1"/>
    <col min="11535" max="11776" width="10.28515625" style="255"/>
    <col min="11777" max="11777" width="35.85546875" style="255" customWidth="1"/>
    <col min="11778" max="11790" width="8.7109375" style="255" customWidth="1"/>
    <col min="11791" max="12032" width="10.28515625" style="255"/>
    <col min="12033" max="12033" width="35.85546875" style="255" customWidth="1"/>
    <col min="12034" max="12046" width="8.7109375" style="255" customWidth="1"/>
    <col min="12047" max="12288" width="10.28515625" style="255"/>
    <col min="12289" max="12289" width="35.85546875" style="255" customWidth="1"/>
    <col min="12290" max="12302" width="8.7109375" style="255" customWidth="1"/>
    <col min="12303" max="12544" width="10.28515625" style="255"/>
    <col min="12545" max="12545" width="35.85546875" style="255" customWidth="1"/>
    <col min="12546" max="12558" width="8.7109375" style="255" customWidth="1"/>
    <col min="12559" max="12800" width="10.28515625" style="255"/>
    <col min="12801" max="12801" width="35.85546875" style="255" customWidth="1"/>
    <col min="12802" max="12814" width="8.7109375" style="255" customWidth="1"/>
    <col min="12815" max="13056" width="10.28515625" style="255"/>
    <col min="13057" max="13057" width="35.85546875" style="255" customWidth="1"/>
    <col min="13058" max="13070" width="8.7109375" style="255" customWidth="1"/>
    <col min="13071" max="13312" width="10.28515625" style="255"/>
    <col min="13313" max="13313" width="35.85546875" style="255" customWidth="1"/>
    <col min="13314" max="13326" width="8.7109375" style="255" customWidth="1"/>
    <col min="13327" max="13568" width="10.28515625" style="255"/>
    <col min="13569" max="13569" width="35.85546875" style="255" customWidth="1"/>
    <col min="13570" max="13582" width="8.7109375" style="255" customWidth="1"/>
    <col min="13583" max="13824" width="10.28515625" style="255"/>
    <col min="13825" max="13825" width="35.85546875" style="255" customWidth="1"/>
    <col min="13826" max="13838" width="8.7109375" style="255" customWidth="1"/>
    <col min="13839" max="14080" width="10.28515625" style="255"/>
    <col min="14081" max="14081" width="35.85546875" style="255" customWidth="1"/>
    <col min="14082" max="14094" width="8.7109375" style="255" customWidth="1"/>
    <col min="14095" max="14336" width="10.28515625" style="255"/>
    <col min="14337" max="14337" width="35.85546875" style="255" customWidth="1"/>
    <col min="14338" max="14350" width="8.7109375" style="255" customWidth="1"/>
    <col min="14351" max="14592" width="10.28515625" style="255"/>
    <col min="14593" max="14593" width="35.85546875" style="255" customWidth="1"/>
    <col min="14594" max="14606" width="8.7109375" style="255" customWidth="1"/>
    <col min="14607" max="14848" width="10.28515625" style="255"/>
    <col min="14849" max="14849" width="35.85546875" style="255" customWidth="1"/>
    <col min="14850" max="14862" width="8.7109375" style="255" customWidth="1"/>
    <col min="14863" max="15104" width="10.28515625" style="255"/>
    <col min="15105" max="15105" width="35.85546875" style="255" customWidth="1"/>
    <col min="15106" max="15118" width="8.7109375" style="255" customWidth="1"/>
    <col min="15119" max="15360" width="10.28515625" style="255"/>
    <col min="15361" max="15361" width="35.85546875" style="255" customWidth="1"/>
    <col min="15362" max="15374" width="8.7109375" style="255" customWidth="1"/>
    <col min="15375" max="15616" width="10.28515625" style="255"/>
    <col min="15617" max="15617" width="35.85546875" style="255" customWidth="1"/>
    <col min="15618" max="15630" width="8.7109375" style="255" customWidth="1"/>
    <col min="15631" max="15872" width="10.28515625" style="255"/>
    <col min="15873" max="15873" width="35.85546875" style="255" customWidth="1"/>
    <col min="15874" max="15886" width="8.7109375" style="255" customWidth="1"/>
    <col min="15887" max="16128" width="10.28515625" style="255"/>
    <col min="16129" max="16129" width="35.85546875" style="255" customWidth="1"/>
    <col min="16130" max="16142" width="8.7109375" style="255" customWidth="1"/>
    <col min="16143" max="16384" width="10.28515625" style="255"/>
  </cols>
  <sheetData>
    <row r="1" spans="1:20" ht="28.5" x14ac:dyDescent="0.45">
      <c r="A1" s="116" t="s">
        <v>238</v>
      </c>
      <c r="B1" s="117"/>
      <c r="C1" s="117"/>
      <c r="D1" s="117"/>
      <c r="E1" s="117"/>
      <c r="F1" s="118"/>
      <c r="G1" s="119" t="s">
        <v>239</v>
      </c>
      <c r="H1" s="120" t="s">
        <v>240</v>
      </c>
      <c r="I1" s="120"/>
      <c r="J1" s="119" t="s">
        <v>241</v>
      </c>
      <c r="K1" s="120">
        <v>4</v>
      </c>
      <c r="L1" s="119" t="s">
        <v>242</v>
      </c>
      <c r="M1" s="121">
        <v>42012</v>
      </c>
      <c r="N1" s="122"/>
    </row>
    <row r="2" spans="1:20" ht="11.25" customHeight="1" x14ac:dyDescent="0.4">
      <c r="B2" s="256"/>
    </row>
    <row r="3" spans="1:20" ht="21" x14ac:dyDescent="0.35">
      <c r="A3" s="259"/>
      <c r="B3" s="260"/>
      <c r="C3" s="255"/>
      <c r="D3" s="261"/>
      <c r="E3" s="260"/>
      <c r="F3" s="259"/>
      <c r="G3" s="262"/>
    </row>
    <row r="4" spans="1:20" ht="10.5" customHeight="1" x14ac:dyDescent="0.2">
      <c r="B4" s="255"/>
    </row>
    <row r="5" spans="1:20" ht="21" x14ac:dyDescent="0.35">
      <c r="A5" s="124" t="s">
        <v>370</v>
      </c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</row>
    <row r="6" spans="1:20" x14ac:dyDescent="0.2">
      <c r="B6" s="258"/>
      <c r="C6" s="258"/>
      <c r="D6" s="258"/>
      <c r="E6" s="258"/>
      <c r="F6" s="258"/>
    </row>
    <row r="7" spans="1:20" ht="16.5" thickBot="1" x14ac:dyDescent="0.3">
      <c r="A7" s="125" t="s">
        <v>371</v>
      </c>
      <c r="B7" s="127"/>
      <c r="C7" s="127"/>
      <c r="D7" s="127"/>
      <c r="E7" s="127"/>
      <c r="F7" s="127"/>
      <c r="G7" s="126"/>
      <c r="H7" s="126"/>
      <c r="I7" s="126"/>
      <c r="J7" s="126"/>
      <c r="K7" s="126"/>
      <c r="L7" s="126"/>
      <c r="M7" s="126"/>
      <c r="N7" s="126"/>
    </row>
    <row r="8" spans="1:20" ht="13.5" thickBot="1" x14ac:dyDescent="0.25">
      <c r="A8" s="264" t="s">
        <v>64</v>
      </c>
      <c r="B8" s="265">
        <v>2000</v>
      </c>
      <c r="C8" s="265">
        <v>2010</v>
      </c>
      <c r="D8" s="265">
        <v>2015</v>
      </c>
      <c r="E8" s="265">
        <v>2020</v>
      </c>
      <c r="F8" s="265">
        <v>2025</v>
      </c>
      <c r="G8" s="265">
        <v>2030</v>
      </c>
      <c r="H8" s="265">
        <v>2035</v>
      </c>
      <c r="I8" s="266" t="s">
        <v>372</v>
      </c>
      <c r="J8" s="265" t="s">
        <v>373</v>
      </c>
      <c r="K8" s="265" t="s">
        <v>374</v>
      </c>
      <c r="L8" s="265" t="s">
        <v>375</v>
      </c>
      <c r="M8" s="265" t="s">
        <v>376</v>
      </c>
      <c r="N8" s="267" t="s">
        <v>377</v>
      </c>
    </row>
    <row r="9" spans="1:20" x14ac:dyDescent="0.2">
      <c r="A9" s="268" t="s">
        <v>51</v>
      </c>
      <c r="B9" s="269">
        <v>7.0701246683357635</v>
      </c>
      <c r="C9" s="269">
        <v>5.0139595080576385</v>
      </c>
      <c r="D9" s="269">
        <v>4.2096819550828624</v>
      </c>
      <c r="E9" s="269">
        <v>3.5491803318559478</v>
      </c>
      <c r="F9" s="269">
        <v>3.1790440741924453</v>
      </c>
      <c r="G9" s="269">
        <v>2.8089078165289432</v>
      </c>
      <c r="H9" s="269">
        <v>2.6503894611270384</v>
      </c>
      <c r="I9" s="270">
        <v>-3.3781441113562183E-2</v>
      </c>
      <c r="J9" s="271">
        <v>-3.4363456795179825E-2</v>
      </c>
      <c r="K9" s="271">
        <v>-3.3558087546450843E-2</v>
      </c>
      <c r="L9" s="271">
        <v>-2.1786399796569267E-2</v>
      </c>
      <c r="M9" s="271">
        <v>-2.4453022887416576E-2</v>
      </c>
      <c r="N9" s="272">
        <v>-1.1550600589071092E-2</v>
      </c>
    </row>
    <row r="10" spans="1:20" x14ac:dyDescent="0.2">
      <c r="A10" s="268" t="s">
        <v>245</v>
      </c>
      <c r="B10" s="269">
        <v>11.571449204860542</v>
      </c>
      <c r="C10" s="269">
        <v>9.9084416236880752</v>
      </c>
      <c r="D10" s="269">
        <v>10.211121524124621</v>
      </c>
      <c r="E10" s="269">
        <v>10.526304227281699</v>
      </c>
      <c r="F10" s="269">
        <v>10.737366493055923</v>
      </c>
      <c r="G10" s="269">
        <v>10.948428758830149</v>
      </c>
      <c r="H10" s="269">
        <v>11.105446644159358</v>
      </c>
      <c r="I10" s="273">
        <v>-1.5395627293298797E-2</v>
      </c>
      <c r="J10" s="274">
        <v>6.0362227567198889E-3</v>
      </c>
      <c r="K10" s="274">
        <v>6.0984839283086956E-3</v>
      </c>
      <c r="L10" s="274">
        <v>3.9784058396359345E-3</v>
      </c>
      <c r="M10" s="274">
        <v>3.9008084451794822E-3</v>
      </c>
      <c r="N10" s="275">
        <v>2.8520038489689981E-3</v>
      </c>
    </row>
    <row r="11" spans="1:20" x14ac:dyDescent="0.2">
      <c r="A11" s="268" t="s">
        <v>40</v>
      </c>
      <c r="B11" s="269">
        <v>6.7234161396414596</v>
      </c>
      <c r="C11" s="269">
        <v>5.0358409971484122</v>
      </c>
      <c r="D11" s="269">
        <v>5.254994270195982</v>
      </c>
      <c r="E11" s="269">
        <v>5.4013254478950614</v>
      </c>
      <c r="F11" s="269">
        <v>5.2145384501209158</v>
      </c>
      <c r="G11" s="269">
        <v>5.027751452346771</v>
      </c>
      <c r="H11" s="269">
        <v>5.0392458987085433</v>
      </c>
      <c r="I11" s="273">
        <v>-2.8487927618429554E-2</v>
      </c>
      <c r="J11" s="274">
        <v>8.5560700185580707E-3</v>
      </c>
      <c r="K11" s="274">
        <v>5.5082072537027127E-3</v>
      </c>
      <c r="L11" s="274">
        <v>-7.0140452572713397E-3</v>
      </c>
      <c r="M11" s="274">
        <v>-7.2689968027114249E-3</v>
      </c>
      <c r="N11" s="275">
        <v>4.5682247518108454E-4</v>
      </c>
    </row>
    <row r="12" spans="1:20" x14ac:dyDescent="0.2">
      <c r="A12" s="268" t="s">
        <v>378</v>
      </c>
      <c r="B12" s="269">
        <v>11.364979417529158</v>
      </c>
      <c r="C12" s="269">
        <v>10.378846275490286</v>
      </c>
      <c r="D12" s="269">
        <v>10.44282011956099</v>
      </c>
      <c r="E12" s="269">
        <v>10.946602933937289</v>
      </c>
      <c r="F12" s="269">
        <v>11.252218839042644</v>
      </c>
      <c r="G12" s="269">
        <v>11.557834744148</v>
      </c>
      <c r="H12" s="269">
        <v>11.67769799911019</v>
      </c>
      <c r="I12" s="273">
        <v>-9.0356235281949804E-3</v>
      </c>
      <c r="J12" s="274">
        <v>1.2297454392093954E-3</v>
      </c>
      <c r="K12" s="274">
        <v>9.4674355817718769E-3</v>
      </c>
      <c r="L12" s="274">
        <v>5.5224257961490331E-3</v>
      </c>
      <c r="M12" s="274">
        <v>5.3740286634491596E-3</v>
      </c>
      <c r="N12" s="275">
        <v>2.0655962161453267E-3</v>
      </c>
    </row>
    <row r="13" spans="1:20" x14ac:dyDescent="0.2">
      <c r="A13" s="268" t="s">
        <v>55</v>
      </c>
      <c r="B13" s="269">
        <v>1.1102234242608253</v>
      </c>
      <c r="C13" s="269">
        <v>1.933271988609286</v>
      </c>
      <c r="D13" s="269">
        <v>1.8883852523743254</v>
      </c>
      <c r="E13" s="269">
        <v>1.8059752500370991</v>
      </c>
      <c r="F13" s="269">
        <v>1.7949981639739583</v>
      </c>
      <c r="G13" s="269">
        <v>1.7840210779108174</v>
      </c>
      <c r="H13" s="269">
        <v>1.7937353456999456</v>
      </c>
      <c r="I13" s="273">
        <v>5.7032297264012488E-2</v>
      </c>
      <c r="J13" s="274">
        <v>-4.6873396296124303E-3</v>
      </c>
      <c r="K13" s="274">
        <v>-8.8845667921121363E-3</v>
      </c>
      <c r="L13" s="274">
        <v>-1.2186071981861168E-3</v>
      </c>
      <c r="M13" s="274">
        <v>-1.2260777564346848E-3</v>
      </c>
      <c r="N13" s="275">
        <v>1.0866663519688569E-3</v>
      </c>
      <c r="Q13" s="276"/>
      <c r="R13" s="276"/>
      <c r="S13" s="276"/>
      <c r="T13" s="276"/>
    </row>
    <row r="14" spans="1:20" x14ac:dyDescent="0.2">
      <c r="A14" s="268" t="s">
        <v>379</v>
      </c>
      <c r="B14" s="269">
        <v>1.6139532103368055</v>
      </c>
      <c r="C14" s="269">
        <v>1.7442324790239052</v>
      </c>
      <c r="D14" s="269">
        <v>2.4310626504091801</v>
      </c>
      <c r="E14" s="269">
        <v>3.0603088268478418</v>
      </c>
      <c r="F14" s="269">
        <v>3.1979393143343273</v>
      </c>
      <c r="G14" s="269">
        <v>3.3355698018208133</v>
      </c>
      <c r="H14" s="269">
        <v>3.3147478579268954</v>
      </c>
      <c r="I14" s="273">
        <v>7.7930126044090109E-3</v>
      </c>
      <c r="J14" s="274">
        <v>6.865705299869429E-2</v>
      </c>
      <c r="K14" s="274">
        <v>4.7113649385968293E-2</v>
      </c>
      <c r="L14" s="274">
        <v>8.8369782578432421E-3</v>
      </c>
      <c r="M14" s="274">
        <v>8.4629866578671553E-3</v>
      </c>
      <c r="N14" s="275">
        <v>-1.2516081052736938E-3</v>
      </c>
    </row>
    <row r="15" spans="1:20" x14ac:dyDescent="0.2">
      <c r="A15" s="268"/>
      <c r="B15" s="269"/>
      <c r="C15" s="269"/>
      <c r="D15" s="269"/>
      <c r="E15" s="269"/>
      <c r="F15" s="269"/>
      <c r="G15" s="269"/>
      <c r="H15" s="269"/>
      <c r="I15" s="273"/>
      <c r="J15" s="274"/>
      <c r="K15" s="274"/>
      <c r="L15" s="274"/>
      <c r="M15" s="274"/>
      <c r="N15" s="275"/>
      <c r="Q15" s="276"/>
      <c r="R15" s="276"/>
      <c r="S15" s="276"/>
    </row>
    <row r="16" spans="1:20" ht="13.5" thickBot="1" x14ac:dyDescent="0.25">
      <c r="A16" s="277" t="s">
        <v>9</v>
      </c>
      <c r="B16" s="278">
        <v>39.454146064964554</v>
      </c>
      <c r="C16" s="278">
        <v>34.014592872017602</v>
      </c>
      <c r="D16" s="278">
        <v>34.438065771747965</v>
      </c>
      <c r="E16" s="278">
        <v>35.289697017854934</v>
      </c>
      <c r="F16" s="278">
        <v>35.376105334720215</v>
      </c>
      <c r="G16" s="278">
        <v>35.462513651585496</v>
      </c>
      <c r="H16" s="278">
        <v>35.581263206731975</v>
      </c>
      <c r="I16" s="279">
        <v>-1.4725454628973789E-2</v>
      </c>
      <c r="J16" s="280">
        <v>2.4776405044875105E-3</v>
      </c>
      <c r="K16" s="280">
        <v>4.8976618152343221E-3</v>
      </c>
      <c r="L16" s="280">
        <v>4.8922954012398101E-4</v>
      </c>
      <c r="M16" s="280">
        <v>4.8803573207045758E-4</v>
      </c>
      <c r="N16" s="281">
        <v>6.6882352178398996E-4</v>
      </c>
    </row>
    <row r="17" spans="1:21" x14ac:dyDescent="0.2">
      <c r="A17" s="282"/>
      <c r="E17" s="283"/>
      <c r="F17" s="283"/>
      <c r="G17" s="283"/>
      <c r="H17" s="283"/>
    </row>
    <row r="18" spans="1:21" x14ac:dyDescent="0.2">
      <c r="G18" s="257"/>
    </row>
    <row r="19" spans="1:21" ht="16.5" thickBot="1" x14ac:dyDescent="0.3">
      <c r="A19" s="125" t="s">
        <v>380</v>
      </c>
      <c r="B19" s="127"/>
      <c r="C19" s="127"/>
      <c r="D19" s="127"/>
      <c r="E19" s="127"/>
      <c r="F19" s="127"/>
      <c r="G19" s="127"/>
      <c r="H19" s="126"/>
      <c r="I19" s="126"/>
      <c r="J19" s="126"/>
      <c r="K19" s="126"/>
      <c r="L19" s="126"/>
      <c r="M19" s="126"/>
      <c r="N19" s="126"/>
    </row>
    <row r="20" spans="1:21" ht="13.5" thickBot="1" x14ac:dyDescent="0.25">
      <c r="A20" s="264" t="s">
        <v>64</v>
      </c>
      <c r="B20" s="265">
        <v>2000</v>
      </c>
      <c r="C20" s="265">
        <v>2010</v>
      </c>
      <c r="D20" s="265">
        <v>2015</v>
      </c>
      <c r="E20" s="265">
        <v>2020</v>
      </c>
      <c r="F20" s="265">
        <v>2025</v>
      </c>
      <c r="G20" s="265">
        <v>2030</v>
      </c>
      <c r="H20" s="265">
        <v>2035</v>
      </c>
      <c r="I20" s="284" t="s">
        <v>372</v>
      </c>
      <c r="J20" s="285" t="s">
        <v>373</v>
      </c>
      <c r="K20" s="285" t="s">
        <v>374</v>
      </c>
      <c r="L20" s="285" t="s">
        <v>375</v>
      </c>
      <c r="M20" s="285" t="s">
        <v>376</v>
      </c>
      <c r="N20" s="286" t="s">
        <v>377</v>
      </c>
    </row>
    <row r="21" spans="1:21" x14ac:dyDescent="0.2">
      <c r="A21" s="268" t="s">
        <v>51</v>
      </c>
      <c r="B21" s="269">
        <v>14.909000000000001</v>
      </c>
      <c r="C21" s="287">
        <v>10.798999999999999</v>
      </c>
      <c r="D21" s="269">
        <v>11.144633021332247</v>
      </c>
      <c r="E21" s="269">
        <v>11.714343009096154</v>
      </c>
      <c r="F21" s="288">
        <v>12.33774608125403</v>
      </c>
      <c r="G21" s="269">
        <v>12.961149153411906</v>
      </c>
      <c r="H21" s="269">
        <v>13.47979378973306</v>
      </c>
      <c r="I21" s="289">
        <v>-3.1736629762001645E-2</v>
      </c>
      <c r="J21" s="290">
        <v>6.320792709152423E-3</v>
      </c>
      <c r="K21" s="290">
        <v>1.0021068073664541E-2</v>
      </c>
      <c r="L21" s="290">
        <v>1.042382568836131E-2</v>
      </c>
      <c r="M21" s="290">
        <v>9.9073572754997397E-3</v>
      </c>
      <c r="N21" s="291">
        <v>7.8779594310074419E-3</v>
      </c>
      <c r="T21" s="292"/>
      <c r="U21" s="293"/>
    </row>
    <row r="22" spans="1:21" x14ac:dyDescent="0.2">
      <c r="A22" s="268" t="s">
        <v>245</v>
      </c>
      <c r="B22" s="269">
        <v>2.31</v>
      </c>
      <c r="C22" s="269">
        <v>1.327673954</v>
      </c>
      <c r="D22" s="269">
        <v>1.5089908688723002</v>
      </c>
      <c r="E22" s="269">
        <v>1.5540152218446721</v>
      </c>
      <c r="F22" s="288">
        <v>1.6032829555473309</v>
      </c>
      <c r="G22" s="269">
        <v>1.6525506892499897</v>
      </c>
      <c r="H22" s="269">
        <v>1.6935393320234915</v>
      </c>
      <c r="I22" s="294">
        <v>-5.3876247622216544E-2</v>
      </c>
      <c r="J22" s="295">
        <v>2.5933084526932104E-2</v>
      </c>
      <c r="K22" s="295">
        <v>5.8975059178869582E-3</v>
      </c>
      <c r="L22" s="295">
        <v>6.2617889684082328E-3</v>
      </c>
      <c r="M22" s="295">
        <v>6.0716768074886573E-3</v>
      </c>
      <c r="N22" s="296">
        <v>4.9121556201532357E-3</v>
      </c>
    </row>
    <row r="23" spans="1:21" x14ac:dyDescent="0.2">
      <c r="A23" s="268" t="s">
        <v>40</v>
      </c>
      <c r="B23" s="269"/>
      <c r="C23" s="269"/>
      <c r="D23" s="269"/>
      <c r="E23" s="269"/>
      <c r="G23" s="269"/>
      <c r="H23" s="297"/>
      <c r="I23" s="294"/>
      <c r="J23" s="295"/>
      <c r="K23" s="295"/>
      <c r="L23" s="295"/>
      <c r="M23" s="295"/>
      <c r="N23" s="296"/>
    </row>
    <row r="24" spans="1:21" ht="13.5" thickBot="1" x14ac:dyDescent="0.25">
      <c r="A24" s="277" t="s">
        <v>9</v>
      </c>
      <c r="B24" s="278">
        <v>17.219000000000001</v>
      </c>
      <c r="C24" s="278">
        <v>12.126673953999999</v>
      </c>
      <c r="D24" s="278">
        <v>12.653623890204546</v>
      </c>
      <c r="E24" s="278">
        <v>13.268358230940827</v>
      </c>
      <c r="F24" s="278">
        <v>13.941029036801361</v>
      </c>
      <c r="G24" s="278">
        <v>14.613699842661896</v>
      </c>
      <c r="H24" s="278">
        <v>15.173333121756551</v>
      </c>
      <c r="I24" s="298">
        <v>-3.4453091859345975E-2</v>
      </c>
      <c r="J24" s="299">
        <v>8.5435218014875414E-3</v>
      </c>
      <c r="K24" s="299">
        <v>9.5328453847411954E-3</v>
      </c>
      <c r="L24" s="299">
        <v>9.9398960821908133E-3</v>
      </c>
      <c r="M24" s="299">
        <v>9.4691943002815915E-3</v>
      </c>
      <c r="N24" s="300">
        <v>7.5443267196499963E-3</v>
      </c>
      <c r="U24" s="293"/>
    </row>
    <row r="25" spans="1:21" x14ac:dyDescent="0.2">
      <c r="A25" s="282"/>
      <c r="G25" s="257"/>
    </row>
    <row r="26" spans="1:21" x14ac:dyDescent="0.2">
      <c r="A26" s="282"/>
      <c r="G26" s="257"/>
    </row>
    <row r="27" spans="1:21" ht="16.5" thickBot="1" x14ac:dyDescent="0.3">
      <c r="A27" s="125" t="s">
        <v>381</v>
      </c>
      <c r="B27" s="127"/>
      <c r="C27" s="127"/>
      <c r="D27" s="127"/>
      <c r="E27" s="127"/>
      <c r="F27" s="127"/>
      <c r="G27" s="127"/>
      <c r="H27" s="126"/>
      <c r="I27" s="126"/>
      <c r="J27" s="126"/>
      <c r="K27" s="126"/>
      <c r="L27" s="126"/>
      <c r="M27" s="126"/>
      <c r="N27" s="126"/>
      <c r="T27" s="293"/>
      <c r="U27" s="293"/>
    </row>
    <row r="28" spans="1:21" ht="13.5" thickBot="1" x14ac:dyDescent="0.25">
      <c r="A28" s="264" t="s">
        <v>64</v>
      </c>
      <c r="B28" s="265">
        <v>2000</v>
      </c>
      <c r="C28" s="265">
        <v>2010</v>
      </c>
      <c r="D28" s="265">
        <v>2015</v>
      </c>
      <c r="E28" s="265">
        <v>2020</v>
      </c>
      <c r="F28" s="265">
        <v>2025</v>
      </c>
      <c r="G28" s="265">
        <v>2030</v>
      </c>
      <c r="H28" s="265">
        <v>2035</v>
      </c>
      <c r="I28" s="284" t="s">
        <v>372</v>
      </c>
      <c r="J28" s="285" t="s">
        <v>373</v>
      </c>
      <c r="K28" s="285" t="s">
        <v>374</v>
      </c>
      <c r="L28" s="285" t="s">
        <v>375</v>
      </c>
      <c r="M28" s="285" t="s">
        <v>376</v>
      </c>
      <c r="N28" s="286" t="s">
        <v>377</v>
      </c>
    </row>
    <row r="29" spans="1:21" x14ac:dyDescent="0.2">
      <c r="A29" s="301" t="s">
        <v>382</v>
      </c>
      <c r="B29" s="302">
        <v>8.1803259004370812</v>
      </c>
      <c r="C29" s="302">
        <v>6.4021289082833972</v>
      </c>
      <c r="D29" s="302">
        <v>6.8753121943768072</v>
      </c>
      <c r="E29" s="302">
        <v>7.4978978763870892</v>
      </c>
      <c r="F29" s="302">
        <v>7.3566063435107996</v>
      </c>
      <c r="G29" s="302">
        <v>7.2153148106345109</v>
      </c>
      <c r="H29" s="302">
        <v>7.2539144865287479</v>
      </c>
      <c r="I29" s="289">
        <v>-2.421220698398785E-2</v>
      </c>
      <c r="J29" s="290">
        <v>1.4363472547192613E-2</v>
      </c>
      <c r="K29" s="290">
        <v>1.7488289420034553E-2</v>
      </c>
      <c r="L29" s="290">
        <v>-3.7975642123432296E-3</v>
      </c>
      <c r="M29" s="290">
        <v>-3.8710695578525467E-3</v>
      </c>
      <c r="N29" s="291">
        <v>1.0676551908836984E-3</v>
      </c>
      <c r="P29" s="303"/>
      <c r="Q29" s="304"/>
    </row>
    <row r="30" spans="1:21" x14ac:dyDescent="0.2">
      <c r="A30" s="305" t="s">
        <v>383</v>
      </c>
      <c r="B30" s="306">
        <v>6.7675630057365286</v>
      </c>
      <c r="C30" s="306">
        <v>5.4300283160620744</v>
      </c>
      <c r="D30" s="306">
        <v>5.8301096772562673</v>
      </c>
      <c r="E30" s="306">
        <v>6.3618918442936199</v>
      </c>
      <c r="F30" s="306">
        <v>6.1719691419242189</v>
      </c>
      <c r="G30" s="306">
        <v>5.9820464395548187</v>
      </c>
      <c r="H30" s="306">
        <v>5.9820464395548187</v>
      </c>
      <c r="I30" s="294">
        <v>-2.1779007119860139E-2</v>
      </c>
      <c r="J30" s="295">
        <v>1.4319853509161762E-2</v>
      </c>
      <c r="K30" s="295">
        <v>1.7611277542197712E-2</v>
      </c>
      <c r="L30" s="295">
        <v>-6.0432373610592727E-3</v>
      </c>
      <c r="M30" s="295">
        <v>-6.231545163543184E-3</v>
      </c>
      <c r="N30" s="296">
        <v>0</v>
      </c>
      <c r="P30" s="303"/>
      <c r="Q30" s="304"/>
    </row>
    <row r="31" spans="1:21" x14ac:dyDescent="0.2">
      <c r="A31" s="305" t="s">
        <v>384</v>
      </c>
      <c r="B31" s="306">
        <v>0.77559051401547718</v>
      </c>
      <c r="C31" s="306">
        <v>0.60790550779449692</v>
      </c>
      <c r="D31" s="306">
        <v>0.65711687841788469</v>
      </c>
      <c r="E31" s="306">
        <v>0.70643116122098015</v>
      </c>
      <c r="F31" s="306">
        <v>0.70643116122098015</v>
      </c>
      <c r="G31" s="306">
        <v>0.70643116122098015</v>
      </c>
      <c r="H31" s="306">
        <v>0.70643116122098015</v>
      </c>
      <c r="I31" s="294">
        <v>-2.4066201007456156E-2</v>
      </c>
      <c r="J31" s="295">
        <v>1.5690309233259425E-2</v>
      </c>
      <c r="K31" s="295">
        <v>1.4578009895349187E-2</v>
      </c>
      <c r="L31" s="295">
        <v>0</v>
      </c>
      <c r="M31" s="295">
        <v>0</v>
      </c>
      <c r="N31" s="296">
        <v>0</v>
      </c>
      <c r="P31" s="303"/>
      <c r="Q31" s="304"/>
    </row>
    <row r="32" spans="1:21" x14ac:dyDescent="0.2">
      <c r="A32" s="301" t="s">
        <v>385</v>
      </c>
      <c r="B32" s="269">
        <v>11.068099999999998</v>
      </c>
      <c r="C32" s="269">
        <v>9.1669684865099637</v>
      </c>
      <c r="D32" s="269">
        <v>9.0830679883011367</v>
      </c>
      <c r="E32" s="269">
        <v>9.0945943394201763</v>
      </c>
      <c r="F32" s="269">
        <v>9.0864850343558778</v>
      </c>
      <c r="G32" s="269">
        <v>9.0783757292915812</v>
      </c>
      <c r="H32" s="269">
        <v>9.1364464486360504</v>
      </c>
      <c r="I32" s="294">
        <v>-1.8669569216901216E-2</v>
      </c>
      <c r="J32" s="295">
        <v>-1.8372345238724108E-3</v>
      </c>
      <c r="K32" s="295">
        <v>2.5366990185204941E-4</v>
      </c>
      <c r="L32" s="295">
        <v>-1.7839605844682804E-4</v>
      </c>
      <c r="M32" s="295">
        <v>-1.7855532628896498E-4</v>
      </c>
      <c r="N32" s="296">
        <v>1.2760587745028751E-3</v>
      </c>
      <c r="P32" s="303"/>
      <c r="Q32" s="304"/>
    </row>
    <row r="33" spans="1:17" x14ac:dyDescent="0.2">
      <c r="A33" s="305" t="s">
        <v>386</v>
      </c>
      <c r="B33" s="306">
        <v>0.68757786398448273</v>
      </c>
      <c r="C33" s="306">
        <v>0.38393569088535984</v>
      </c>
      <c r="D33" s="306">
        <v>0.37017050225306636</v>
      </c>
      <c r="E33" s="306">
        <v>0.35636885579450317</v>
      </c>
      <c r="F33" s="306">
        <v>0.34625011528664978</v>
      </c>
      <c r="G33" s="306">
        <v>0.3361313747787964</v>
      </c>
      <c r="H33" s="306">
        <v>0.3361313747787964</v>
      </c>
      <c r="I33" s="294">
        <v>-5.660480487514763E-2</v>
      </c>
      <c r="J33" s="295">
        <v>-7.2756733070683532E-3</v>
      </c>
      <c r="K33" s="295">
        <v>-7.5706789761688098E-3</v>
      </c>
      <c r="L33" s="295">
        <v>-5.7444205138373894E-3</v>
      </c>
      <c r="M33" s="295">
        <v>-5.9143033517836674E-3</v>
      </c>
      <c r="N33" s="296">
        <v>0</v>
      </c>
      <c r="P33" s="303"/>
      <c r="Q33" s="304"/>
    </row>
    <row r="34" spans="1:17" x14ac:dyDescent="0.2">
      <c r="A34" s="305" t="s">
        <v>387</v>
      </c>
      <c r="B34" s="306">
        <v>5.789753398388287</v>
      </c>
      <c r="C34" s="306">
        <v>4.6927085983978092</v>
      </c>
      <c r="D34" s="306">
        <v>4.5241989088002619</v>
      </c>
      <c r="E34" s="306">
        <v>4.3556892192027172</v>
      </c>
      <c r="F34" s="306">
        <v>4.2084886403282873</v>
      </c>
      <c r="G34" s="306">
        <v>4.0612880614538565</v>
      </c>
      <c r="H34" s="306">
        <v>4.0612880614538565</v>
      </c>
      <c r="I34" s="294">
        <v>-2.0788845420823487E-2</v>
      </c>
      <c r="J34" s="295">
        <v>-7.2872021050994773E-3</v>
      </c>
      <c r="K34" s="295">
        <v>-7.5627906251811705E-3</v>
      </c>
      <c r="L34" s="295">
        <v>-6.8522687315715203E-3</v>
      </c>
      <c r="M34" s="295">
        <v>-7.0953901368381311E-3</v>
      </c>
      <c r="N34" s="296">
        <v>0</v>
      </c>
      <c r="P34" s="303"/>
      <c r="Q34" s="304"/>
    </row>
    <row r="35" spans="1:17" x14ac:dyDescent="0.2">
      <c r="A35" s="305" t="s">
        <v>388</v>
      </c>
      <c r="B35" s="306">
        <v>0.54880121578115937</v>
      </c>
      <c r="C35" s="306">
        <v>0.37367998572287053</v>
      </c>
      <c r="D35" s="306">
        <v>0.31979018212811922</v>
      </c>
      <c r="E35" s="306">
        <v>0.30947436980140569</v>
      </c>
      <c r="F35" s="306">
        <v>0.30087785952914436</v>
      </c>
      <c r="G35" s="306">
        <v>0.29228134925688309</v>
      </c>
      <c r="H35" s="306">
        <v>0.29228134925688309</v>
      </c>
      <c r="I35" s="294">
        <v>-3.7704450393279854E-2</v>
      </c>
      <c r="J35" s="295">
        <v>-3.0666866952506977E-2</v>
      </c>
      <c r="K35" s="295">
        <v>-6.5365080443043899E-3</v>
      </c>
      <c r="L35" s="295">
        <v>-5.6183331936989767E-3</v>
      </c>
      <c r="M35" s="295">
        <v>-5.7807342585131094E-3</v>
      </c>
      <c r="N35" s="296">
        <v>0</v>
      </c>
      <c r="P35" s="303"/>
      <c r="Q35" s="304"/>
    </row>
    <row r="36" spans="1:17" x14ac:dyDescent="0.2">
      <c r="A36" s="301" t="s">
        <v>389</v>
      </c>
      <c r="B36" s="269">
        <v>4.9113662193223995</v>
      </c>
      <c r="C36" s="269">
        <v>4.5484370584578286</v>
      </c>
      <c r="D36" s="269">
        <v>4.6327521952352031</v>
      </c>
      <c r="E36" s="269">
        <v>4.7579824126140746</v>
      </c>
      <c r="F36" s="269">
        <v>5.10120716068276</v>
      </c>
      <c r="G36" s="269">
        <v>5.4444319087514454</v>
      </c>
      <c r="H36" s="269">
        <v>5.7159731380004208</v>
      </c>
      <c r="I36" s="294">
        <v>-7.6474567777695679E-3</v>
      </c>
      <c r="J36" s="295">
        <v>3.6802450917579055E-3</v>
      </c>
      <c r="K36" s="295">
        <v>5.3487733593322595E-3</v>
      </c>
      <c r="L36" s="295">
        <v>1.4028183215211376E-2</v>
      </c>
      <c r="M36" s="295">
        <v>1.3108413428291499E-2</v>
      </c>
      <c r="N36" s="296">
        <v>9.781760168652287E-3</v>
      </c>
      <c r="P36" s="303"/>
      <c r="Q36" s="304"/>
    </row>
    <row r="37" spans="1:17" x14ac:dyDescent="0.2">
      <c r="A37" s="305" t="s">
        <v>390</v>
      </c>
      <c r="B37" s="306">
        <v>1.706829036364901</v>
      </c>
      <c r="C37" s="306">
        <v>1.631768569958151</v>
      </c>
      <c r="D37" s="306">
        <v>1.6163709030378499</v>
      </c>
      <c r="E37" s="306">
        <v>1.5976300631046476</v>
      </c>
      <c r="F37" s="306">
        <v>1.636209997091381</v>
      </c>
      <c r="G37" s="306">
        <v>1.6747899310781147</v>
      </c>
      <c r="H37" s="306">
        <v>1.7171945349469817</v>
      </c>
      <c r="I37" s="294">
        <v>-4.487186907876195E-3</v>
      </c>
      <c r="J37" s="295">
        <v>-1.894400532426177E-3</v>
      </c>
      <c r="K37" s="295">
        <v>-2.3297084790930844E-3</v>
      </c>
      <c r="L37" s="295">
        <v>4.7836592222194607E-3</v>
      </c>
      <c r="M37" s="295">
        <v>4.6719101212600034E-3</v>
      </c>
      <c r="N37" s="296">
        <v>5.0133513409154062E-3</v>
      </c>
      <c r="P37" s="303"/>
      <c r="Q37" s="304"/>
    </row>
    <row r="38" spans="1:17" x14ac:dyDescent="0.2">
      <c r="A38" s="305" t="s">
        <v>391</v>
      </c>
      <c r="B38" s="306">
        <v>1.4500461716890958</v>
      </c>
      <c r="C38" s="306">
        <v>1.2427746584136752</v>
      </c>
      <c r="D38" s="306">
        <v>1.2582531257663219</v>
      </c>
      <c r="E38" s="306">
        <v>1.1733643851904221</v>
      </c>
      <c r="F38" s="306">
        <v>1.1733643851904221</v>
      </c>
      <c r="G38" s="306">
        <v>1.1733643851904221</v>
      </c>
      <c r="H38" s="306">
        <v>1.1733643851904221</v>
      </c>
      <c r="I38" s="294">
        <v>-1.5306534799710114E-2</v>
      </c>
      <c r="J38" s="295">
        <v>2.4786354060557514E-3</v>
      </c>
      <c r="K38" s="295">
        <v>-1.3872711755700928E-2</v>
      </c>
      <c r="L38" s="295">
        <v>0</v>
      </c>
      <c r="M38" s="295">
        <v>0</v>
      </c>
      <c r="N38" s="296">
        <v>0</v>
      </c>
      <c r="P38" s="303"/>
      <c r="Q38" s="304"/>
    </row>
    <row r="39" spans="1:17" x14ac:dyDescent="0.2">
      <c r="A39" s="301" t="s">
        <v>392</v>
      </c>
      <c r="B39" s="269">
        <v>5.0991999999999997</v>
      </c>
      <c r="C39" s="269">
        <v>5.361821500930664</v>
      </c>
      <c r="D39" s="269">
        <v>5.2586404431879448</v>
      </c>
      <c r="E39" s="269">
        <v>5.1703095119957769</v>
      </c>
      <c r="F39" s="269">
        <v>4.8070956842286501</v>
      </c>
      <c r="G39" s="269">
        <v>4.4438818564615232</v>
      </c>
      <c r="H39" s="269">
        <v>4.0697152891869468</v>
      </c>
      <c r="I39" s="294">
        <v>5.0346399143419429E-3</v>
      </c>
      <c r="J39" s="295">
        <v>-3.8787037515034539E-3</v>
      </c>
      <c r="K39" s="295">
        <v>-3.3822609874256671E-3</v>
      </c>
      <c r="L39" s="295">
        <v>-1.4462293616176347E-2</v>
      </c>
      <c r="M39" s="295">
        <v>-1.5590156955684775E-2</v>
      </c>
      <c r="N39" s="296">
        <v>-1.7437229368135854E-2</v>
      </c>
      <c r="P39" s="303"/>
      <c r="Q39" s="304"/>
    </row>
    <row r="40" spans="1:17" x14ac:dyDescent="0.2">
      <c r="A40" s="305" t="s">
        <v>393</v>
      </c>
      <c r="B40" s="306">
        <v>0.86338443280209554</v>
      </c>
      <c r="C40" s="306">
        <v>0.82892396317459438</v>
      </c>
      <c r="D40" s="306">
        <v>1.0373477800148481</v>
      </c>
      <c r="E40" s="306">
        <v>1.1031938728311477</v>
      </c>
      <c r="F40" s="306">
        <v>1.0652586413496661</v>
      </c>
      <c r="G40" s="306">
        <v>1.0273234098681845</v>
      </c>
      <c r="H40" s="306">
        <v>1.0273234098681845</v>
      </c>
      <c r="I40" s="294">
        <v>-4.0648782316429211E-3</v>
      </c>
      <c r="J40" s="295">
        <v>4.5880190758773143E-2</v>
      </c>
      <c r="K40" s="295">
        <v>1.2384510548401284E-2</v>
      </c>
      <c r="L40" s="295">
        <v>-6.9739420265874097E-3</v>
      </c>
      <c r="M40" s="295">
        <v>-7.2259338216777991E-3</v>
      </c>
      <c r="N40" s="296">
        <v>0</v>
      </c>
      <c r="P40" s="303"/>
    </row>
    <row r="41" spans="1:17" x14ac:dyDescent="0.2">
      <c r="A41" s="301" t="s">
        <v>394</v>
      </c>
      <c r="B41" s="269">
        <v>4.5672999999999995</v>
      </c>
      <c r="C41" s="269">
        <v>4.0633678599223586</v>
      </c>
      <c r="D41" s="269">
        <v>4.178181167833241</v>
      </c>
      <c r="E41" s="269">
        <v>4.4306868716864116</v>
      </c>
      <c r="F41" s="269">
        <v>4.6910483533041516</v>
      </c>
      <c r="G41" s="269">
        <v>4.9514098349218916</v>
      </c>
      <c r="H41" s="269">
        <v>5.0835409219898944</v>
      </c>
      <c r="I41" s="294">
        <v>-1.1622932601219604E-2</v>
      </c>
      <c r="J41" s="295">
        <v>5.5883313187050643E-3</v>
      </c>
      <c r="K41" s="295">
        <v>1.1804853246514035E-2</v>
      </c>
      <c r="L41" s="295">
        <v>1.1485753478862382E-2</v>
      </c>
      <c r="M41" s="295">
        <v>1.0861818685668601E-2</v>
      </c>
      <c r="N41" s="296">
        <v>5.2810356676471493E-3</v>
      </c>
      <c r="P41" s="303"/>
    </row>
    <row r="42" spans="1:17" x14ac:dyDescent="0.2">
      <c r="A42" s="301" t="s">
        <v>395</v>
      </c>
      <c r="B42" s="269">
        <v>5.6278539452050786</v>
      </c>
      <c r="C42" s="269">
        <v>4.4718690579133877</v>
      </c>
      <c r="D42" s="269">
        <v>4.4101117828136269</v>
      </c>
      <c r="E42" s="269">
        <v>4.3382260057514097</v>
      </c>
      <c r="F42" s="269">
        <v>4.3336627586379759</v>
      </c>
      <c r="G42" s="269">
        <v>4.329099511524543</v>
      </c>
      <c r="H42" s="269">
        <v>4.3216729223899115</v>
      </c>
      <c r="I42" s="294">
        <v>-2.2729867404322479E-2</v>
      </c>
      <c r="J42" s="295">
        <v>-2.7774194697099963E-3</v>
      </c>
      <c r="K42" s="295">
        <v>-3.2815093603321133E-3</v>
      </c>
      <c r="L42" s="295">
        <v>-2.104624469072558E-4</v>
      </c>
      <c r="M42" s="295">
        <v>-2.106841524380787E-4</v>
      </c>
      <c r="N42" s="296">
        <v>-3.4333655325191614E-4</v>
      </c>
      <c r="P42" s="303"/>
    </row>
    <row r="43" spans="1:17" x14ac:dyDescent="0.2">
      <c r="A43" s="305" t="s">
        <v>396</v>
      </c>
      <c r="B43" s="306">
        <v>3.7454704732988979</v>
      </c>
      <c r="C43" s="306">
        <v>3.2384298717516438</v>
      </c>
      <c r="D43" s="306">
        <v>3.2724806810488056</v>
      </c>
      <c r="E43" s="306">
        <v>3.2610283600211467</v>
      </c>
      <c r="F43" s="306">
        <v>3.3761019905182565</v>
      </c>
      <c r="G43" s="306">
        <v>3.4911756210153664</v>
      </c>
      <c r="H43" s="306">
        <v>3.6060044495658596</v>
      </c>
      <c r="I43" s="294">
        <v>-1.4440583140648888E-2</v>
      </c>
      <c r="J43" s="295">
        <v>2.0941317378035951E-3</v>
      </c>
      <c r="K43" s="295">
        <v>-7.0089862912514622E-4</v>
      </c>
      <c r="L43" s="295">
        <v>6.9599472833781206E-3</v>
      </c>
      <c r="M43" s="295">
        <v>6.7258671154739602E-3</v>
      </c>
      <c r="N43" s="296">
        <v>6.4933560298634507E-3</v>
      </c>
      <c r="P43" s="303"/>
    </row>
    <row r="44" spans="1:17" x14ac:dyDescent="0.2">
      <c r="A44" s="268"/>
      <c r="B44" s="269"/>
      <c r="C44" s="269"/>
      <c r="D44" s="269"/>
      <c r="E44" s="269"/>
      <c r="F44" s="269"/>
      <c r="G44" s="269"/>
      <c r="H44" s="269"/>
      <c r="I44" s="294"/>
      <c r="J44" s="295"/>
      <c r="K44" s="295"/>
      <c r="L44" s="295"/>
      <c r="M44" s="295"/>
      <c r="N44" s="296"/>
    </row>
    <row r="45" spans="1:17" x14ac:dyDescent="0.2">
      <c r="A45" s="268"/>
      <c r="B45" s="269"/>
      <c r="C45" s="269"/>
      <c r="D45" s="269"/>
      <c r="E45" s="269"/>
      <c r="F45" s="269"/>
      <c r="G45" s="269"/>
      <c r="H45" s="269"/>
      <c r="I45" s="294"/>
      <c r="J45" s="295"/>
      <c r="K45" s="295"/>
      <c r="L45" s="295"/>
      <c r="M45" s="295"/>
      <c r="N45" s="296"/>
    </row>
    <row r="46" spans="1:17" ht="13.5" thickBot="1" x14ac:dyDescent="0.25">
      <c r="A46" s="277" t="s">
        <v>9</v>
      </c>
      <c r="B46" s="278">
        <v>39.454146064964554</v>
      </c>
      <c r="C46" s="278">
        <v>34.014592872017595</v>
      </c>
      <c r="D46" s="278">
        <v>34.438065771747958</v>
      </c>
      <c r="E46" s="278">
        <v>35.289697017854934</v>
      </c>
      <c r="F46" s="278">
        <v>35.376105334720215</v>
      </c>
      <c r="G46" s="278">
        <v>35.462513651585496</v>
      </c>
      <c r="H46" s="278">
        <v>35.581263206731968</v>
      </c>
      <c r="I46" s="298">
        <v>-1.4725454628973789E-2</v>
      </c>
      <c r="J46" s="299">
        <v>2.4776405044875105E-3</v>
      </c>
      <c r="K46" s="299">
        <v>4.8976618152343221E-3</v>
      </c>
      <c r="L46" s="299">
        <v>4.8922954012398101E-4</v>
      </c>
      <c r="M46" s="299">
        <v>4.8803573207045758E-4</v>
      </c>
      <c r="N46" s="300">
        <v>6.6882352178398996E-4</v>
      </c>
    </row>
    <row r="47" spans="1:17" ht="13.5" thickBot="1" x14ac:dyDescent="0.25">
      <c r="A47" s="282"/>
      <c r="G47" s="257"/>
    </row>
    <row r="48" spans="1:17" ht="13.5" thickBot="1" x14ac:dyDescent="0.25">
      <c r="A48" s="307" t="s">
        <v>397</v>
      </c>
      <c r="B48" s="308">
        <v>22.335016112060927</v>
      </c>
      <c r="C48" s="308">
        <v>18.430155162160677</v>
      </c>
      <c r="D48" s="308">
        <v>18.885838638723421</v>
      </c>
      <c r="E48" s="308">
        <v>19.225072131460589</v>
      </c>
      <c r="F48" s="308">
        <v>18.984951932439003</v>
      </c>
      <c r="G48" s="308">
        <v>18.744831733417424</v>
      </c>
      <c r="H48" s="308">
        <v>18.902065165836785</v>
      </c>
      <c r="I48" s="309">
        <v>-1.9033283918945099E-2</v>
      </c>
      <c r="J48" s="310">
        <v>4.8967846933731796E-3</v>
      </c>
      <c r="K48" s="310">
        <v>3.5669272991030176E-3</v>
      </c>
      <c r="L48" s="310">
        <v>-2.5105643559405477E-3</v>
      </c>
      <c r="M48" s="310">
        <v>-2.5424800635246436E-3</v>
      </c>
      <c r="N48" s="311">
        <v>1.6720183853455861E-3</v>
      </c>
    </row>
    <row r="49" spans="1:16" x14ac:dyDescent="0.2">
      <c r="A49" s="312"/>
      <c r="B49" s="313"/>
      <c r="C49" s="313"/>
      <c r="D49" s="313"/>
      <c r="E49" s="313"/>
      <c r="F49" s="313"/>
      <c r="G49" s="313"/>
      <c r="H49" s="313"/>
      <c r="I49" s="295"/>
      <c r="J49" s="295"/>
      <c r="K49" s="295"/>
      <c r="L49" s="295"/>
      <c r="M49" s="295"/>
      <c r="N49" s="295"/>
    </row>
    <row r="50" spans="1:16" x14ac:dyDescent="0.2">
      <c r="B50" s="314"/>
      <c r="C50" s="314"/>
      <c r="E50" s="258"/>
    </row>
    <row r="51" spans="1:16" ht="16.5" thickBot="1" x14ac:dyDescent="0.3">
      <c r="A51" s="125" t="s">
        <v>398</v>
      </c>
      <c r="B51" s="127"/>
      <c r="C51" s="127"/>
      <c r="D51" s="127"/>
      <c r="E51" s="126"/>
      <c r="F51" s="127"/>
      <c r="G51" s="126"/>
      <c r="H51" s="126"/>
      <c r="I51" s="126"/>
      <c r="J51" s="126"/>
      <c r="K51" s="126"/>
      <c r="L51" s="126"/>
      <c r="M51" s="126"/>
      <c r="N51" s="126"/>
    </row>
    <row r="52" spans="1:16" ht="13.5" thickBot="1" x14ac:dyDescent="0.25">
      <c r="A52" s="315" t="s">
        <v>399</v>
      </c>
      <c r="B52" s="265">
        <v>2000</v>
      </c>
      <c r="C52" s="265">
        <v>2010</v>
      </c>
      <c r="D52" s="265">
        <v>2015</v>
      </c>
      <c r="E52" s="265">
        <v>2020</v>
      </c>
      <c r="F52" s="265">
        <v>2025</v>
      </c>
      <c r="G52" s="265">
        <v>2030</v>
      </c>
      <c r="H52" s="265">
        <v>2035</v>
      </c>
      <c r="I52" s="284" t="s">
        <v>372</v>
      </c>
      <c r="J52" s="285" t="s">
        <v>373</v>
      </c>
      <c r="K52" s="285" t="s">
        <v>374</v>
      </c>
      <c r="L52" s="285" t="s">
        <v>375</v>
      </c>
      <c r="M52" s="285" t="s">
        <v>376</v>
      </c>
      <c r="N52" s="286" t="s">
        <v>377</v>
      </c>
    </row>
    <row r="53" spans="1:16" x14ac:dyDescent="0.2">
      <c r="A53" s="301" t="s">
        <v>382</v>
      </c>
      <c r="B53" s="269">
        <v>21.062772196372091</v>
      </c>
      <c r="C53" s="269">
        <v>17.913730242111459</v>
      </c>
      <c r="D53" s="269">
        <v>17.635909314674684</v>
      </c>
      <c r="E53" s="269">
        <v>19.873105818002376</v>
      </c>
      <c r="F53" s="269">
        <v>20.203573654769976</v>
      </c>
      <c r="G53" s="269">
        <v>20.534041491537575</v>
      </c>
      <c r="H53" s="269">
        <v>20.7886368566543</v>
      </c>
      <c r="I53" s="289">
        <v>-1.6063548658574844E-2</v>
      </c>
      <c r="J53" s="290">
        <v>-3.1211881369955785E-3</v>
      </c>
      <c r="K53" s="290">
        <v>2.4173601705537839E-2</v>
      </c>
      <c r="L53" s="290">
        <v>3.3038760305130754E-3</v>
      </c>
      <c r="M53" s="290">
        <v>3.2501838584568787E-3</v>
      </c>
      <c r="N53" s="291">
        <v>2.4675319499614101E-3</v>
      </c>
      <c r="P53" s="303"/>
    </row>
    <row r="54" spans="1:16" x14ac:dyDescent="0.2">
      <c r="A54" s="305" t="s">
        <v>383</v>
      </c>
      <c r="B54" s="306">
        <v>11.143006708</v>
      </c>
      <c r="C54" s="306">
        <v>10.251366302999999</v>
      </c>
      <c r="D54" s="306">
        <v>9.387048601</v>
      </c>
      <c r="E54" s="306">
        <v>10.913003</v>
      </c>
      <c r="F54" s="306">
        <v>10.913003</v>
      </c>
      <c r="G54" s="306">
        <v>10.913003</v>
      </c>
      <c r="H54" s="306">
        <v>10.913003</v>
      </c>
      <c r="I54" s="294">
        <v>-8.3054283131074325E-3</v>
      </c>
      <c r="J54" s="295">
        <v>-1.7461757907407116E-2</v>
      </c>
      <c r="K54" s="295">
        <v>3.0583159855639863E-2</v>
      </c>
      <c r="L54" s="295">
        <v>0</v>
      </c>
      <c r="M54" s="295">
        <v>0</v>
      </c>
      <c r="N54" s="296">
        <v>0</v>
      </c>
      <c r="P54" s="303"/>
    </row>
    <row r="55" spans="1:16" x14ac:dyDescent="0.2">
      <c r="A55" s="305" t="s">
        <v>384</v>
      </c>
      <c r="B55" s="306">
        <v>6.4558120000000008</v>
      </c>
      <c r="C55" s="306">
        <v>5.0361650999999998</v>
      </c>
      <c r="D55" s="306">
        <v>5.4625839999999997</v>
      </c>
      <c r="E55" s="306">
        <v>5.8898700000000002</v>
      </c>
      <c r="F55" s="306">
        <v>5.8898700000000002</v>
      </c>
      <c r="G55" s="306">
        <v>5.8898700000000002</v>
      </c>
      <c r="H55" s="306">
        <v>5.8898700000000002</v>
      </c>
      <c r="I55" s="294">
        <v>-2.4527774192334872E-2</v>
      </c>
      <c r="J55" s="295">
        <v>1.638824559676122E-2</v>
      </c>
      <c r="K55" s="295">
        <v>1.5176407258539637E-2</v>
      </c>
      <c r="L55" s="295">
        <v>0</v>
      </c>
      <c r="M55" s="295">
        <v>0</v>
      </c>
      <c r="N55" s="296">
        <v>0</v>
      </c>
      <c r="P55" s="303"/>
    </row>
    <row r="56" spans="1:16" x14ac:dyDescent="0.2">
      <c r="A56" s="301" t="s">
        <v>385</v>
      </c>
      <c r="B56" s="269">
        <v>34.569767441860463</v>
      </c>
      <c r="C56" s="269">
        <v>30.521575420820632</v>
      </c>
      <c r="D56" s="269">
        <v>29.931500833422611</v>
      </c>
      <c r="E56" s="269">
        <v>30.03412943597872</v>
      </c>
      <c r="F56" s="269">
        <v>29.846517776097304</v>
      </c>
      <c r="G56" s="269">
        <v>29.658906116215888</v>
      </c>
      <c r="H56" s="269">
        <v>29.063401430816569</v>
      </c>
      <c r="I56" s="294">
        <v>-1.2377333061334816E-2</v>
      </c>
      <c r="J56" s="295">
        <v>-3.8968592577282024E-3</v>
      </c>
      <c r="K56" s="295">
        <v>6.8481788166740998E-4</v>
      </c>
      <c r="L56" s="295">
        <v>-1.2524564770290958E-3</v>
      </c>
      <c r="M56" s="295">
        <v>-1.2603491643491394E-3</v>
      </c>
      <c r="N56" s="296">
        <v>-4.0483343936567051E-3</v>
      </c>
      <c r="P56" s="303"/>
    </row>
    <row r="57" spans="1:16" x14ac:dyDescent="0.2">
      <c r="A57" s="305" t="s">
        <v>386</v>
      </c>
      <c r="B57" s="306">
        <v>1.4302325581395348</v>
      </c>
      <c r="C57" s="306">
        <v>0.76518546359430162</v>
      </c>
      <c r="D57" s="306">
        <v>0.68343423170583217</v>
      </c>
      <c r="E57" s="306">
        <v>0.60160716379520274</v>
      </c>
      <c r="F57" s="306">
        <v>0.60160716379520274</v>
      </c>
      <c r="G57" s="306">
        <v>0.60160716379520274</v>
      </c>
      <c r="H57" s="306">
        <v>0.60160716379520274</v>
      </c>
      <c r="I57" s="294">
        <v>-6.0631473477360087E-2</v>
      </c>
      <c r="J57" s="295">
        <v>-2.2344149870811791E-2</v>
      </c>
      <c r="K57" s="295">
        <v>-2.5182641015422891E-2</v>
      </c>
      <c r="L57" s="295">
        <v>0</v>
      </c>
      <c r="M57" s="295">
        <v>0</v>
      </c>
      <c r="N57" s="296">
        <v>0</v>
      </c>
      <c r="P57" s="303"/>
    </row>
    <row r="58" spans="1:16" x14ac:dyDescent="0.2">
      <c r="A58" s="305" t="s">
        <v>387</v>
      </c>
      <c r="B58" s="306">
        <v>9.4720930232558125</v>
      </c>
      <c r="C58" s="306">
        <v>7.6804124248384804</v>
      </c>
      <c r="D58" s="306">
        <v>7.4325874671286574</v>
      </c>
      <c r="E58" s="306">
        <v>7.1847625094188317</v>
      </c>
      <c r="F58" s="306">
        <v>7.1847625094188317</v>
      </c>
      <c r="G58" s="306">
        <v>7.1847625094188317</v>
      </c>
      <c r="H58" s="306">
        <v>7.1847625094188317</v>
      </c>
      <c r="I58" s="294">
        <v>-2.0749372078285533E-2</v>
      </c>
      <c r="J58" s="295">
        <v>-6.5383717854532453E-3</v>
      </c>
      <c r="K58" s="295">
        <v>-6.7593677457942203E-3</v>
      </c>
      <c r="L58" s="295">
        <v>0</v>
      </c>
      <c r="M58" s="295">
        <v>0</v>
      </c>
      <c r="N58" s="296">
        <v>0</v>
      </c>
      <c r="P58" s="303"/>
    </row>
    <row r="59" spans="1:16" x14ac:dyDescent="0.2">
      <c r="A59" s="305" t="s">
        <v>388</v>
      </c>
      <c r="B59" s="306">
        <v>6.3825581395348845</v>
      </c>
      <c r="C59" s="306">
        <v>4.3458982339569845</v>
      </c>
      <c r="D59" s="306">
        <v>3.7191598181500267</v>
      </c>
      <c r="E59" s="306">
        <v>3.5991869207903484</v>
      </c>
      <c r="F59" s="306">
        <v>3.4992095063239494</v>
      </c>
      <c r="G59" s="306">
        <v>3.3992320918575509</v>
      </c>
      <c r="H59" s="306">
        <v>3.3992320918575509</v>
      </c>
      <c r="I59" s="294">
        <v>-3.7704450393279854E-2</v>
      </c>
      <c r="J59" s="295">
        <v>-3.0666866952506977E-2</v>
      </c>
      <c r="K59" s="295">
        <v>-6.5365080443043899E-3</v>
      </c>
      <c r="L59" s="295">
        <v>-5.6183331936989767E-3</v>
      </c>
      <c r="M59" s="295">
        <v>-5.7807342585131094E-3</v>
      </c>
      <c r="N59" s="296">
        <v>0</v>
      </c>
      <c r="P59" s="303"/>
    </row>
    <row r="60" spans="1:16" x14ac:dyDescent="0.2">
      <c r="A60" s="301" t="s">
        <v>389</v>
      </c>
      <c r="B60" s="269">
        <v>10.205920570493024</v>
      </c>
      <c r="C60" s="269">
        <v>9.5977379899154371</v>
      </c>
      <c r="D60" s="269">
        <v>9.9644052112843671</v>
      </c>
      <c r="E60" s="269">
        <v>10.461513989987601</v>
      </c>
      <c r="F60" s="269">
        <v>11.660187981379865</v>
      </c>
      <c r="G60" s="269">
        <v>12.858861972772129</v>
      </c>
      <c r="H60" s="269">
        <v>13.590022424816461</v>
      </c>
      <c r="I60" s="294">
        <v>-6.1252194196393939E-3</v>
      </c>
      <c r="J60" s="295">
        <v>7.5265470180090333E-3</v>
      </c>
      <c r="K60" s="295">
        <v>9.7843417105036856E-3</v>
      </c>
      <c r="L60" s="295">
        <v>2.1932479652766457E-2</v>
      </c>
      <c r="M60" s="295">
        <v>1.976334301796201E-2</v>
      </c>
      <c r="N60" s="296">
        <v>1.1121925203595451E-2</v>
      </c>
      <c r="P60" s="303"/>
    </row>
    <row r="61" spans="1:16" x14ac:dyDescent="0.2">
      <c r="A61" s="305" t="s">
        <v>390</v>
      </c>
      <c r="B61" s="306">
        <v>2.4024321984000006</v>
      </c>
      <c r="C61" s="306">
        <v>2.2753838920800002</v>
      </c>
      <c r="D61" s="306">
        <v>2.2939378481310722</v>
      </c>
      <c r="E61" s="306">
        <v>2.310227300998656</v>
      </c>
      <c r="F61" s="306">
        <v>2.3249872863160324</v>
      </c>
      <c r="G61" s="306">
        <v>2.3397472716334082</v>
      </c>
      <c r="H61" s="306">
        <v>2.3989881676800002</v>
      </c>
      <c r="I61" s="294">
        <v>-5.4185522241878559E-3</v>
      </c>
      <c r="J61" s="295">
        <v>1.625548408117572E-3</v>
      </c>
      <c r="K61" s="295">
        <v>1.4162005228026686E-3</v>
      </c>
      <c r="L61" s="295">
        <v>1.2745420151099029E-3</v>
      </c>
      <c r="M61" s="295">
        <v>1.2664711357204261E-3</v>
      </c>
      <c r="N61" s="296">
        <v>5.0133513409154062E-3</v>
      </c>
      <c r="P61" s="303"/>
    </row>
    <row r="62" spans="1:16" x14ac:dyDescent="0.2">
      <c r="A62" s="305" t="s">
        <v>391</v>
      </c>
      <c r="B62" s="306">
        <v>3.4779069767441859</v>
      </c>
      <c r="C62" s="306">
        <v>3.224695661341296</v>
      </c>
      <c r="D62" s="306">
        <v>3.1969364224842529</v>
      </c>
      <c r="E62" s="306">
        <v>2.9084689740851331</v>
      </c>
      <c r="F62" s="306">
        <v>2.9084689740851331</v>
      </c>
      <c r="G62" s="306">
        <v>2.9084689740851331</v>
      </c>
      <c r="H62" s="306">
        <v>2.9084689740851331</v>
      </c>
      <c r="I62" s="294">
        <v>-7.5307102495079103E-3</v>
      </c>
      <c r="J62" s="295">
        <v>-1.7276247265277656E-3</v>
      </c>
      <c r="K62" s="295">
        <v>-1.873550032434057E-2</v>
      </c>
      <c r="L62" s="295">
        <v>0</v>
      </c>
      <c r="M62" s="295">
        <v>0</v>
      </c>
      <c r="N62" s="296">
        <v>0</v>
      </c>
      <c r="P62" s="303"/>
    </row>
    <row r="63" spans="1:16" x14ac:dyDescent="0.2">
      <c r="A63" s="301" t="s">
        <v>392</v>
      </c>
      <c r="B63" s="269">
        <v>16.847674418604655</v>
      </c>
      <c r="C63" s="269">
        <v>20.174996894709341</v>
      </c>
      <c r="D63" s="269">
        <v>19.430692956100788</v>
      </c>
      <c r="E63" s="269">
        <v>19.217765529921277</v>
      </c>
      <c r="F63" s="269">
        <v>18.329136645980888</v>
      </c>
      <c r="G63" s="269">
        <v>17.440507762040504</v>
      </c>
      <c r="H63" s="269">
        <v>16.237319211103781</v>
      </c>
      <c r="I63" s="294">
        <v>1.8186539974120564E-2</v>
      </c>
      <c r="J63" s="295">
        <v>-7.4898369752761651E-3</v>
      </c>
      <c r="K63" s="295">
        <v>-2.2013310598739677E-3</v>
      </c>
      <c r="L63" s="295">
        <v>-9.4239494376123778E-3</v>
      </c>
      <c r="M63" s="295">
        <v>-9.8900540034542184E-3</v>
      </c>
      <c r="N63" s="296">
        <v>-1.419494508047725E-2</v>
      </c>
      <c r="P63" s="303"/>
    </row>
    <row r="64" spans="1:16" x14ac:dyDescent="0.2">
      <c r="A64" s="305" t="s">
        <v>393</v>
      </c>
      <c r="B64" s="306">
        <v>1.0058139534883719</v>
      </c>
      <c r="C64" s="306">
        <v>1.0150786833105334</v>
      </c>
      <c r="D64" s="306">
        <v>1.3124886000911991</v>
      </c>
      <c r="E64" s="306">
        <v>1.443737460100319</v>
      </c>
      <c r="F64" s="306">
        <v>1.443737460100319</v>
      </c>
      <c r="G64" s="306">
        <v>1.443737460100319</v>
      </c>
      <c r="H64" s="306">
        <v>1.443737460100319</v>
      </c>
      <c r="I64" s="294">
        <v>9.1732171322278511E-4</v>
      </c>
      <c r="J64" s="295">
        <v>5.2735253078000977E-2</v>
      </c>
      <c r="K64" s="295">
        <v>1.9244876491456564E-2</v>
      </c>
      <c r="L64" s="295">
        <v>0</v>
      </c>
      <c r="M64" s="295">
        <v>0</v>
      </c>
      <c r="N64" s="296">
        <v>0</v>
      </c>
      <c r="P64" s="303"/>
    </row>
    <row r="65" spans="1:16" x14ac:dyDescent="0.2">
      <c r="A65" s="301" t="s">
        <v>394</v>
      </c>
      <c r="B65" s="269">
        <v>27.20930232558139</v>
      </c>
      <c r="C65" s="269">
        <v>23.636729416842481</v>
      </c>
      <c r="D65" s="269">
        <v>25.209981932673347</v>
      </c>
      <c r="E65" s="269">
        <v>27.766876865545001</v>
      </c>
      <c r="F65" s="269">
        <v>30.906159099962466</v>
      </c>
      <c r="G65" s="269">
        <v>34.04544133437993</v>
      </c>
      <c r="H65" s="269">
        <v>36.41314170487103</v>
      </c>
      <c r="I65" s="294">
        <v>-1.3977108253224402E-2</v>
      </c>
      <c r="J65" s="295">
        <v>1.2971041736007605E-2</v>
      </c>
      <c r="K65" s="295">
        <v>1.950861501026413E-2</v>
      </c>
      <c r="L65" s="295">
        <v>2.1653436863871001E-2</v>
      </c>
      <c r="M65" s="295">
        <v>1.9536518999270225E-2</v>
      </c>
      <c r="N65" s="296">
        <v>1.3537534383789351E-2</v>
      </c>
      <c r="P65" s="303"/>
    </row>
    <row r="66" spans="1:16" x14ac:dyDescent="0.2">
      <c r="A66" s="301" t="s">
        <v>395</v>
      </c>
      <c r="B66" s="269">
        <v>22.255486506729753</v>
      </c>
      <c r="C66" s="269">
        <v>18.839489052929522</v>
      </c>
      <c r="D66" s="269">
        <v>19.255650676971996</v>
      </c>
      <c r="E66" s="269">
        <v>19.9326889877428</v>
      </c>
      <c r="F66" s="269">
        <v>19.894178784165838</v>
      </c>
      <c r="G66" s="269">
        <v>19.855668580588873</v>
      </c>
      <c r="H66" s="269">
        <v>19.694664407902884</v>
      </c>
      <c r="I66" s="294">
        <v>-1.6525275901517533E-2</v>
      </c>
      <c r="J66" s="295">
        <v>4.3794440325253259E-3</v>
      </c>
      <c r="K66" s="295">
        <v>6.9352356158534079E-3</v>
      </c>
      <c r="L66" s="295">
        <v>-3.8670145331365369E-4</v>
      </c>
      <c r="M66" s="295">
        <v>-3.8745059207345722E-4</v>
      </c>
      <c r="N66" s="296">
        <v>-1.6270310185719783E-3</v>
      </c>
      <c r="P66" s="303"/>
    </row>
    <row r="67" spans="1:16" x14ac:dyDescent="0.2">
      <c r="A67" s="305" t="s">
        <v>396</v>
      </c>
      <c r="B67" s="306">
        <v>11.854323716032082</v>
      </c>
      <c r="C67" s="306">
        <v>10.574457529824958</v>
      </c>
      <c r="D67" s="306">
        <v>11.448899987992789</v>
      </c>
      <c r="E67" s="306">
        <v>12.322358442639631</v>
      </c>
      <c r="F67" s="306">
        <v>12.819606360063439</v>
      </c>
      <c r="G67" s="306">
        <v>13.316854277487245</v>
      </c>
      <c r="H67" s="306">
        <v>13.813434500507956</v>
      </c>
      <c r="I67" s="294">
        <v>-1.1360105654776409E-2</v>
      </c>
      <c r="J67" s="295">
        <v>1.6017370189543412E-2</v>
      </c>
      <c r="K67" s="295">
        <v>1.481298417194421E-2</v>
      </c>
      <c r="L67" s="295">
        <v>7.9434579901624947E-3</v>
      </c>
      <c r="M67" s="295">
        <v>7.6399820604762247E-3</v>
      </c>
      <c r="N67" s="296">
        <v>7.349105346441398E-3</v>
      </c>
      <c r="P67" s="303"/>
    </row>
    <row r="68" spans="1:16" x14ac:dyDescent="0.2">
      <c r="A68" s="268"/>
      <c r="B68" s="269"/>
      <c r="C68" s="269"/>
      <c r="D68" s="269"/>
      <c r="E68" s="269"/>
      <c r="F68" s="269"/>
      <c r="G68" s="269"/>
      <c r="H68" s="269"/>
      <c r="I68" s="294"/>
      <c r="J68" s="295"/>
      <c r="K68" s="295"/>
      <c r="L68" s="295"/>
      <c r="M68" s="295"/>
      <c r="N68" s="296"/>
    </row>
    <row r="69" spans="1:16" x14ac:dyDescent="0.2">
      <c r="A69" s="268"/>
      <c r="B69" s="269"/>
      <c r="C69" s="269"/>
      <c r="D69" s="269"/>
      <c r="E69" s="269"/>
      <c r="F69" s="269"/>
      <c r="G69" s="269"/>
      <c r="H69" s="269"/>
      <c r="I69" s="294"/>
      <c r="J69" s="295"/>
      <c r="K69" s="295"/>
      <c r="L69" s="295"/>
      <c r="M69" s="295"/>
      <c r="N69" s="296"/>
    </row>
    <row r="70" spans="1:16" ht="13.5" thickBot="1" x14ac:dyDescent="0.25">
      <c r="A70" s="277" t="s">
        <v>9</v>
      </c>
      <c r="B70" s="278">
        <v>132.15092345964138</v>
      </c>
      <c r="C70" s="278">
        <v>120.68425901732886</v>
      </c>
      <c r="D70" s="278">
        <v>121.42814092512779</v>
      </c>
      <c r="E70" s="278">
        <v>127.28608062717775</v>
      </c>
      <c r="F70" s="278">
        <v>130.83975394235634</v>
      </c>
      <c r="G70" s="278">
        <v>134.39342725753491</v>
      </c>
      <c r="H70" s="278">
        <v>135.78718603616502</v>
      </c>
      <c r="I70" s="298">
        <v>-9.0356235281949804E-3</v>
      </c>
      <c r="J70" s="299">
        <v>1.2297454392093954E-3</v>
      </c>
      <c r="K70" s="299">
        <v>9.4674355817718769E-3</v>
      </c>
      <c r="L70" s="299">
        <v>5.5224257961492551E-3</v>
      </c>
      <c r="M70" s="299">
        <v>5.3740286634491596E-3</v>
      </c>
      <c r="N70" s="300">
        <v>2.0655962161453267E-3</v>
      </c>
    </row>
    <row r="71" spans="1:16" ht="13.5" thickBot="1" x14ac:dyDescent="0.25">
      <c r="A71" s="282"/>
      <c r="E71" s="258"/>
      <c r="F71" s="258"/>
    </row>
    <row r="72" spans="1:16" ht="13.5" thickBot="1" x14ac:dyDescent="0.25">
      <c r="A72" s="307" t="s">
        <v>397</v>
      </c>
      <c r="B72" s="308">
        <v>53.624179273594883</v>
      </c>
      <c r="C72" s="308">
        <v>45.168643291946552</v>
      </c>
      <c r="D72" s="308">
        <v>44.937076976683827</v>
      </c>
      <c r="E72" s="308">
        <v>47.173221771828125</v>
      </c>
      <c r="F72" s="308">
        <v>47.585252260102905</v>
      </c>
      <c r="G72" s="308">
        <v>47.9972827483777</v>
      </c>
      <c r="H72" s="308">
        <v>48.553103867444989</v>
      </c>
      <c r="I72" s="309">
        <v>-1.7013306804981032E-2</v>
      </c>
      <c r="J72" s="310">
        <v>-1.0274501654594648E-3</v>
      </c>
      <c r="K72" s="310">
        <v>9.7599555988234776E-3</v>
      </c>
      <c r="L72" s="310">
        <v>1.7408115581705186E-3</v>
      </c>
      <c r="M72" s="310">
        <v>1.7257900913796309E-3</v>
      </c>
      <c r="N72" s="311">
        <v>2.305398184229146E-3</v>
      </c>
    </row>
    <row r="73" spans="1:16" x14ac:dyDescent="0.2">
      <c r="A73" s="312"/>
      <c r="B73" s="313"/>
      <c r="C73" s="313"/>
      <c r="D73" s="313"/>
      <c r="E73" s="313"/>
      <c r="F73" s="313"/>
      <c r="G73" s="313"/>
      <c r="H73" s="313"/>
      <c r="I73" s="295"/>
      <c r="J73" s="295"/>
      <c r="K73" s="295"/>
      <c r="L73" s="295"/>
      <c r="M73" s="295"/>
      <c r="N73" s="295"/>
    </row>
    <row r="74" spans="1:16" x14ac:dyDescent="0.2">
      <c r="E74" s="258"/>
      <c r="F74" s="258"/>
    </row>
    <row r="75" spans="1:16" ht="16.5" thickBot="1" x14ac:dyDescent="0.3">
      <c r="A75" s="125" t="s">
        <v>400</v>
      </c>
      <c r="B75" s="127"/>
      <c r="C75" s="127"/>
      <c r="D75" s="127"/>
      <c r="E75" s="126"/>
      <c r="F75" s="126"/>
      <c r="G75" s="126"/>
      <c r="H75" s="126"/>
      <c r="I75" s="126"/>
      <c r="J75" s="126"/>
      <c r="K75" s="126"/>
      <c r="L75" s="126"/>
      <c r="M75" s="126"/>
      <c r="N75" s="126"/>
    </row>
    <row r="76" spans="1:16" ht="13.5" thickBot="1" x14ac:dyDescent="0.25">
      <c r="A76" s="315" t="s">
        <v>64</v>
      </c>
      <c r="B76" s="265">
        <v>2000</v>
      </c>
      <c r="C76" s="265">
        <v>2010</v>
      </c>
      <c r="D76" s="265">
        <v>2015</v>
      </c>
      <c r="E76" s="265">
        <v>2020</v>
      </c>
      <c r="F76" s="265">
        <v>2025</v>
      </c>
      <c r="G76" s="265">
        <v>2030</v>
      </c>
      <c r="H76" s="265">
        <v>2035</v>
      </c>
      <c r="I76" s="284" t="s">
        <v>372</v>
      </c>
      <c r="J76" s="285" t="s">
        <v>373</v>
      </c>
      <c r="K76" s="285" t="s">
        <v>374</v>
      </c>
      <c r="L76" s="285" t="s">
        <v>375</v>
      </c>
      <c r="M76" s="285" t="s">
        <v>376</v>
      </c>
      <c r="N76" s="286" t="s">
        <v>377</v>
      </c>
    </row>
    <row r="77" spans="1:16" x14ac:dyDescent="0.2">
      <c r="A77" s="301" t="s">
        <v>382</v>
      </c>
      <c r="B77" s="269">
        <v>6.3689274915490817</v>
      </c>
      <c r="C77" s="269">
        <v>4.8615481074618119</v>
      </c>
      <c r="D77" s="269">
        <v>5.3586239933147848</v>
      </c>
      <c r="E77" s="269">
        <v>5.7888107760388854</v>
      </c>
      <c r="F77" s="269">
        <v>5.6190990092005819</v>
      </c>
      <c r="G77" s="269">
        <v>5.4493872423622793</v>
      </c>
      <c r="H77" s="269">
        <v>5.4660917168564778</v>
      </c>
      <c r="I77" s="289">
        <v>-2.6645976790328763E-2</v>
      </c>
      <c r="J77" s="290">
        <v>1.966083707311439E-2</v>
      </c>
      <c r="K77" s="290">
        <v>1.5563804467572107E-2</v>
      </c>
      <c r="L77" s="290">
        <v>-5.9334362941252383E-3</v>
      </c>
      <c r="M77" s="290">
        <v>-6.1148602055636214E-3</v>
      </c>
      <c r="N77" s="291">
        <v>6.1232682058798282E-4</v>
      </c>
    </row>
    <row r="78" spans="1:16" x14ac:dyDescent="0.2">
      <c r="A78" s="305" t="s">
        <v>383</v>
      </c>
      <c r="B78" s="306">
        <v>5.8094368915490824</v>
      </c>
      <c r="C78" s="306">
        <v>4.5485694765951781</v>
      </c>
      <c r="D78" s="306">
        <v>5.0229687829312457</v>
      </c>
      <c r="E78" s="306">
        <v>5.4235424891775406</v>
      </c>
      <c r="F78" s="306">
        <v>5.2336197868081396</v>
      </c>
      <c r="G78" s="306">
        <v>5.0436970844387394</v>
      </c>
      <c r="H78" s="306">
        <v>5.0436970844387394</v>
      </c>
      <c r="I78" s="294">
        <v>-2.4170193423756037E-2</v>
      </c>
      <c r="J78" s="295">
        <v>2.0039827832578627E-2</v>
      </c>
      <c r="K78" s="295">
        <v>1.5463958031354474E-2</v>
      </c>
      <c r="L78" s="295">
        <v>-7.1038553251526748E-3</v>
      </c>
      <c r="M78" s="295">
        <v>-7.3655001400735332E-3</v>
      </c>
      <c r="N78" s="296">
        <v>0</v>
      </c>
    </row>
    <row r="79" spans="1:16" x14ac:dyDescent="0.2">
      <c r="A79" s="305" t="s">
        <v>384</v>
      </c>
      <c r="B79" s="306">
        <v>0.22049059999999998</v>
      </c>
      <c r="C79" s="306">
        <v>0.17487325499999998</v>
      </c>
      <c r="D79" s="306">
        <v>0.18741920000000001</v>
      </c>
      <c r="E79" s="306">
        <v>0.19999349999999996</v>
      </c>
      <c r="F79" s="306">
        <v>0.19999349999999996</v>
      </c>
      <c r="G79" s="306">
        <v>0.19999349999999996</v>
      </c>
      <c r="H79" s="306">
        <v>0.19999349999999996</v>
      </c>
      <c r="I79" s="294">
        <v>-2.2912783207667542E-2</v>
      </c>
      <c r="J79" s="295">
        <v>1.3953729999631292E-2</v>
      </c>
      <c r="K79" s="295">
        <v>1.3072112057553209E-2</v>
      </c>
      <c r="L79" s="295">
        <v>0</v>
      </c>
      <c r="M79" s="295">
        <v>0</v>
      </c>
      <c r="N79" s="296">
        <v>0</v>
      </c>
    </row>
    <row r="80" spans="1:16" x14ac:dyDescent="0.2">
      <c r="A80" s="301" t="s">
        <v>385</v>
      </c>
      <c r="B80" s="269">
        <v>8.0950999999999986</v>
      </c>
      <c r="C80" s="269">
        <v>6.5421130003193895</v>
      </c>
      <c r="D80" s="269">
        <v>6.5089589166267929</v>
      </c>
      <c r="E80" s="269">
        <v>6.5116592079260069</v>
      </c>
      <c r="F80" s="269">
        <v>6.5196845056115116</v>
      </c>
      <c r="G80" s="269">
        <v>6.5277098032970153</v>
      </c>
      <c r="H80" s="269">
        <v>6.6369939255858252</v>
      </c>
      <c r="I80" s="294">
        <v>-2.1074633552058075E-2</v>
      </c>
      <c r="J80" s="295">
        <v>-1.0156197548463197E-3</v>
      </c>
      <c r="K80" s="295">
        <v>8.2957761777802119E-5</v>
      </c>
      <c r="L80" s="295">
        <v>2.4636867623284431E-4</v>
      </c>
      <c r="M80" s="295">
        <v>2.4606556196227203E-4</v>
      </c>
      <c r="N80" s="296">
        <v>3.3261145652354607E-3</v>
      </c>
    </row>
    <row r="81" spans="1:14" x14ac:dyDescent="0.2">
      <c r="A81" s="305" t="s">
        <v>386</v>
      </c>
      <c r="B81" s="306">
        <v>0.56459999999999999</v>
      </c>
      <c r="C81" s="306">
        <v>0.3181415839554973</v>
      </c>
      <c r="D81" s="306">
        <v>0.31140573598429316</v>
      </c>
      <c r="E81" s="306">
        <v>0.30463995091099477</v>
      </c>
      <c r="F81" s="306">
        <v>0.29452121040314139</v>
      </c>
      <c r="G81" s="306">
        <v>0.284402469895288</v>
      </c>
      <c r="H81" s="306">
        <v>0.284402469895288</v>
      </c>
      <c r="I81" s="294">
        <v>-5.5747906186158103E-2</v>
      </c>
      <c r="J81" s="295">
        <v>-4.2708214002863398E-3</v>
      </c>
      <c r="K81" s="295">
        <v>-4.3835816857955567E-3</v>
      </c>
      <c r="L81" s="295">
        <v>-6.7331437663016303E-3</v>
      </c>
      <c r="M81" s="295">
        <v>-6.9677399012377794E-3</v>
      </c>
      <c r="N81" s="296">
        <v>0</v>
      </c>
    </row>
    <row r="82" spans="1:14" x14ac:dyDescent="0.2">
      <c r="A82" s="305" t="s">
        <v>387</v>
      </c>
      <c r="B82" s="306">
        <v>4.9752999999999972</v>
      </c>
      <c r="C82" s="306">
        <v>4.0323120012491867</v>
      </c>
      <c r="D82" s="306">
        <v>3.885111422374754</v>
      </c>
      <c r="E82" s="306">
        <v>3.7379108435003241</v>
      </c>
      <c r="F82" s="306">
        <v>3.5907102646258937</v>
      </c>
      <c r="G82" s="306">
        <v>3.4435096857514633</v>
      </c>
      <c r="H82" s="306">
        <v>3.4435096857514638</v>
      </c>
      <c r="I82" s="294">
        <v>-2.0795308545774605E-2</v>
      </c>
      <c r="J82" s="295">
        <v>-7.4100582303040508E-3</v>
      </c>
      <c r="K82" s="295">
        <v>-7.6952004096616511E-3</v>
      </c>
      <c r="L82" s="295">
        <v>-8.0031685700128197E-3</v>
      </c>
      <c r="M82" s="295">
        <v>-8.3368182652630018E-3</v>
      </c>
      <c r="N82" s="296">
        <v>0</v>
      </c>
    </row>
    <row r="83" spans="1:14" x14ac:dyDescent="0.2">
      <c r="A83" s="305" t="s">
        <v>388</v>
      </c>
      <c r="B83" s="306">
        <v>0</v>
      </c>
      <c r="C83" s="306">
        <v>0</v>
      </c>
      <c r="D83" s="306">
        <v>0</v>
      </c>
      <c r="E83" s="306">
        <v>0</v>
      </c>
      <c r="F83" s="306">
        <v>0</v>
      </c>
      <c r="G83" s="306">
        <v>0</v>
      </c>
      <c r="H83" s="306">
        <v>0</v>
      </c>
      <c r="I83" s="294"/>
      <c r="J83" s="295"/>
      <c r="K83" s="295"/>
      <c r="L83" s="295"/>
      <c r="M83" s="295"/>
      <c r="N83" s="296"/>
    </row>
    <row r="84" spans="1:14" x14ac:dyDescent="0.2">
      <c r="A84" s="301" t="s">
        <v>389</v>
      </c>
      <c r="B84" s="269">
        <v>4.0336570502599995</v>
      </c>
      <c r="C84" s="269">
        <v>3.7230315913251006</v>
      </c>
      <c r="D84" s="269">
        <v>3.7758133470647475</v>
      </c>
      <c r="E84" s="269">
        <v>3.8582922094751408</v>
      </c>
      <c r="F84" s="269">
        <v>4.098430994284092</v>
      </c>
      <c r="G84" s="269">
        <v>4.3385697790930422</v>
      </c>
      <c r="H84" s="269">
        <v>4.5472312094662053</v>
      </c>
      <c r="I84" s="294">
        <v>-7.9814914715837793E-3</v>
      </c>
      <c r="J84" s="295">
        <v>2.8194743357639052E-3</v>
      </c>
      <c r="K84" s="295">
        <v>4.3311197300717197E-3</v>
      </c>
      <c r="L84" s="295">
        <v>1.2149120892178011E-2</v>
      </c>
      <c r="M84" s="295">
        <v>1.1453198075066284E-2</v>
      </c>
      <c r="N84" s="296">
        <v>9.4390237365855612E-3</v>
      </c>
    </row>
    <row r="85" spans="1:14" x14ac:dyDescent="0.2">
      <c r="A85" s="305" t="s">
        <v>390</v>
      </c>
      <c r="B85" s="306">
        <v>1.5002570502599999</v>
      </c>
      <c r="C85" s="306">
        <v>1.4361207718429316</v>
      </c>
      <c r="D85" s="306">
        <v>1.4191277518657888</v>
      </c>
      <c r="E85" s="306">
        <v>1.3989862711013239</v>
      </c>
      <c r="F85" s="306">
        <v>1.4362970747942159</v>
      </c>
      <c r="G85" s="306">
        <v>1.4736078784871081</v>
      </c>
      <c r="H85" s="306">
        <v>1.5109186821799998</v>
      </c>
      <c r="I85" s="294">
        <v>-4.3595584378285368E-3</v>
      </c>
      <c r="J85" s="295">
        <v>-2.3777978324410753E-3</v>
      </c>
      <c r="K85" s="295">
        <v>-2.8548254853981714E-3</v>
      </c>
      <c r="L85" s="295">
        <v>5.2779683705226343E-3</v>
      </c>
      <c r="M85" s="295">
        <v>5.14225767557841E-3</v>
      </c>
      <c r="N85" s="296">
        <v>5.0133513409154062E-3</v>
      </c>
    </row>
    <row r="86" spans="1:14" x14ac:dyDescent="0.2">
      <c r="A86" s="305" t="s">
        <v>391</v>
      </c>
      <c r="B86" s="306">
        <v>1.1509999999999998</v>
      </c>
      <c r="C86" s="306">
        <v>0.96550074084348636</v>
      </c>
      <c r="D86" s="306">
        <v>0.98336607310215574</v>
      </c>
      <c r="E86" s="306">
        <v>0.9232810684161199</v>
      </c>
      <c r="F86" s="306">
        <v>0.9232810684161199</v>
      </c>
      <c r="G86" s="306">
        <v>0.92328106841612001</v>
      </c>
      <c r="H86" s="306">
        <v>0.92328106841612001</v>
      </c>
      <c r="I86" s="294">
        <v>-1.7420432665849139E-2</v>
      </c>
      <c r="J86" s="295">
        <v>3.6736484873598485E-3</v>
      </c>
      <c r="K86" s="295">
        <v>-1.2530382823898734E-2</v>
      </c>
      <c r="L86" s="295">
        <v>0</v>
      </c>
      <c r="M86" s="295">
        <v>0</v>
      </c>
      <c r="N86" s="296">
        <v>0</v>
      </c>
    </row>
    <row r="87" spans="1:14" x14ac:dyDescent="0.2">
      <c r="A87" s="301" t="s">
        <v>392</v>
      </c>
      <c r="B87" s="269">
        <v>3.6502999999999992</v>
      </c>
      <c r="C87" s="269">
        <v>3.6267717679856606</v>
      </c>
      <c r="D87" s="269">
        <v>3.5876008489632767</v>
      </c>
      <c r="E87" s="269">
        <v>3.5175816764225476</v>
      </c>
      <c r="F87" s="269">
        <v>3.2307899326742939</v>
      </c>
      <c r="G87" s="269">
        <v>2.9439981889260398</v>
      </c>
      <c r="H87" s="269">
        <v>2.6733058370320215</v>
      </c>
      <c r="I87" s="294">
        <v>-6.464333233712205E-4</v>
      </c>
      <c r="J87" s="295">
        <v>-2.1694913609543454E-3</v>
      </c>
      <c r="K87" s="295">
        <v>-3.9342329755871486E-3</v>
      </c>
      <c r="L87" s="295">
        <v>-1.6865568910502504E-2</v>
      </c>
      <c r="M87" s="295">
        <v>-1.8419858531990685E-2</v>
      </c>
      <c r="N87" s="296">
        <v>-1.910567564255905E-2</v>
      </c>
    </row>
    <row r="88" spans="1:14" x14ac:dyDescent="0.2">
      <c r="A88" s="305" t="s">
        <v>393</v>
      </c>
      <c r="B88" s="306">
        <v>0.77689999999999992</v>
      </c>
      <c r="C88" s="306">
        <v>0.74164290699999991</v>
      </c>
      <c r="D88" s="306">
        <v>0.92449407407407436</v>
      </c>
      <c r="E88" s="306">
        <v>0.97905479629629644</v>
      </c>
      <c r="F88" s="306">
        <v>0.94111956481481496</v>
      </c>
      <c r="G88" s="306">
        <v>0.90318433333333337</v>
      </c>
      <c r="H88" s="306">
        <v>0.90318433333333337</v>
      </c>
      <c r="I88" s="294">
        <v>-4.633608761836161E-3</v>
      </c>
      <c r="J88" s="295">
        <v>4.5061519693839758E-2</v>
      </c>
      <c r="K88" s="295">
        <v>1.1534206191141427E-2</v>
      </c>
      <c r="L88" s="295">
        <v>-7.8723335329288213E-3</v>
      </c>
      <c r="M88" s="295">
        <v>-8.1949420781968207E-3</v>
      </c>
      <c r="N88" s="296">
        <v>0</v>
      </c>
    </row>
    <row r="89" spans="1:14" x14ac:dyDescent="0.2">
      <c r="A89" s="301" t="s">
        <v>394</v>
      </c>
      <c r="B89" s="269">
        <v>2.2272999999999996</v>
      </c>
      <c r="C89" s="269">
        <v>2.0306091300739046</v>
      </c>
      <c r="D89" s="269">
        <v>2.0101227216233331</v>
      </c>
      <c r="E89" s="269">
        <v>2.0427354612495412</v>
      </c>
      <c r="F89" s="269">
        <v>2.0331186707073794</v>
      </c>
      <c r="G89" s="269">
        <v>2.0235018801652171</v>
      </c>
      <c r="H89" s="269">
        <v>1.9520107353709859</v>
      </c>
      <c r="I89" s="294">
        <v>-9.2028201879711391E-3</v>
      </c>
      <c r="J89" s="295">
        <v>-2.0259522583009337E-3</v>
      </c>
      <c r="K89" s="295">
        <v>3.2239951835972835E-3</v>
      </c>
      <c r="L89" s="295">
        <v>-9.4333814823133189E-4</v>
      </c>
      <c r="M89" s="295">
        <v>-9.4780867664268076E-4</v>
      </c>
      <c r="N89" s="296">
        <v>-7.1681110270818138E-3</v>
      </c>
    </row>
    <row r="90" spans="1:14" x14ac:dyDescent="0.2">
      <c r="A90" s="301" t="s">
        <v>395</v>
      </c>
      <c r="B90" s="269">
        <v>3.71388210562632</v>
      </c>
      <c r="C90" s="269">
        <v>2.8516729993614494</v>
      </c>
      <c r="D90" s="269">
        <v>2.7541258245940354</v>
      </c>
      <c r="E90" s="269">
        <v>2.6240147528055289</v>
      </c>
      <c r="F90" s="269">
        <v>2.6227633831997146</v>
      </c>
      <c r="G90" s="269">
        <v>2.6215120135938998</v>
      </c>
      <c r="H90" s="269">
        <v>2.627931783310264</v>
      </c>
      <c r="I90" s="294">
        <v>-2.6071306503286928E-2</v>
      </c>
      <c r="J90" s="295">
        <v>-6.9369777482735095E-3</v>
      </c>
      <c r="K90" s="295">
        <v>-9.632228799486886E-3</v>
      </c>
      <c r="L90" s="295">
        <v>-9.539644391665103E-5</v>
      </c>
      <c r="M90" s="295">
        <v>-9.5441968039233771E-5</v>
      </c>
      <c r="N90" s="296">
        <v>4.8929704747147085E-4</v>
      </c>
    </row>
    <row r="91" spans="1:14" x14ac:dyDescent="0.2">
      <c r="A91" s="305" t="s">
        <v>396</v>
      </c>
      <c r="B91" s="306">
        <v>2.7261821056263202</v>
      </c>
      <c r="C91" s="306">
        <v>2.3291901873298935</v>
      </c>
      <c r="D91" s="306">
        <v>2.2880524791577663</v>
      </c>
      <c r="E91" s="306">
        <v>2.2014962497339905</v>
      </c>
      <c r="F91" s="306">
        <v>2.2738142553451324</v>
      </c>
      <c r="G91" s="306">
        <v>2.3461322609562743</v>
      </c>
      <c r="H91" s="306">
        <v>2.4182628760054161</v>
      </c>
      <c r="I91" s="294">
        <v>-1.5614951106192709E-2</v>
      </c>
      <c r="J91" s="295">
        <v>-3.5575843737528645E-3</v>
      </c>
      <c r="K91" s="295">
        <v>-7.6830864858421499E-3</v>
      </c>
      <c r="L91" s="295">
        <v>6.4852321143076264E-3</v>
      </c>
      <c r="M91" s="295">
        <v>6.2815297321940911E-3</v>
      </c>
      <c r="N91" s="296">
        <v>6.0746436092815603E-3</v>
      </c>
    </row>
    <row r="92" spans="1:14" x14ac:dyDescent="0.2">
      <c r="A92" s="268"/>
      <c r="B92" s="269"/>
      <c r="C92" s="269"/>
      <c r="D92" s="269"/>
      <c r="E92" s="269"/>
      <c r="F92" s="269"/>
      <c r="G92" s="269"/>
      <c r="H92" s="269"/>
      <c r="I92" s="294"/>
      <c r="J92" s="295"/>
      <c r="K92" s="295"/>
      <c r="L92" s="295"/>
      <c r="M92" s="295"/>
      <c r="N92" s="296"/>
    </row>
    <row r="93" spans="1:14" x14ac:dyDescent="0.2">
      <c r="A93" s="268"/>
      <c r="B93" s="269"/>
      <c r="C93" s="269"/>
      <c r="D93" s="269"/>
      <c r="E93" s="269"/>
      <c r="F93" s="269"/>
      <c r="G93" s="269"/>
      <c r="H93" s="269"/>
      <c r="I93" s="294"/>
      <c r="J93" s="295"/>
      <c r="K93" s="295"/>
      <c r="L93" s="295"/>
      <c r="M93" s="295"/>
      <c r="N93" s="296"/>
    </row>
    <row r="94" spans="1:14" ht="13.5" thickBot="1" x14ac:dyDescent="0.25">
      <c r="A94" s="277" t="s">
        <v>9</v>
      </c>
      <c r="B94" s="278">
        <v>28.089166647435398</v>
      </c>
      <c r="C94" s="278">
        <v>23.635746596527316</v>
      </c>
      <c r="D94" s="278">
        <v>23.995245652186973</v>
      </c>
      <c r="E94" s="278">
        <v>24.343094083917649</v>
      </c>
      <c r="F94" s="278">
        <v>24.123886495677574</v>
      </c>
      <c r="G94" s="278">
        <v>23.904678907437493</v>
      </c>
      <c r="H94" s="278">
        <v>23.903565207621778</v>
      </c>
      <c r="I94" s="298">
        <v>-1.7114231011505443E-2</v>
      </c>
      <c r="J94" s="299">
        <v>3.0236541592270072E-3</v>
      </c>
      <c r="K94" s="299">
        <v>2.8826440286187083E-3</v>
      </c>
      <c r="L94" s="299">
        <v>-1.8075061389924985E-3</v>
      </c>
      <c r="M94" s="299">
        <v>-1.8239906190916644E-3</v>
      </c>
      <c r="N94" s="300">
        <v>-9.3180132237913327E-6</v>
      </c>
    </row>
    <row r="95" spans="1:14" ht="13.5" thickBot="1" x14ac:dyDescent="0.25">
      <c r="A95" s="282"/>
      <c r="E95" s="258"/>
      <c r="F95" s="258"/>
    </row>
    <row r="96" spans="1:14" ht="13.5" thickBot="1" x14ac:dyDescent="0.25">
      <c r="A96" s="307" t="s">
        <v>397</v>
      </c>
      <c r="B96" s="308">
        <v>17.7241666474354</v>
      </c>
      <c r="C96" s="308">
        <v>14.546350923816174</v>
      </c>
      <c r="D96" s="308">
        <v>15.021945519490078</v>
      </c>
      <c r="E96" s="308">
        <v>15.168905169136588</v>
      </c>
      <c r="F96" s="308">
        <v>14.893356725207457</v>
      </c>
      <c r="G96" s="308">
        <v>14.617808281278325</v>
      </c>
      <c r="H96" s="308">
        <v>14.727249700020359</v>
      </c>
      <c r="I96" s="309">
        <v>-1.9564961429141214E-2</v>
      </c>
      <c r="J96" s="310">
        <v>6.4551452208392313E-3</v>
      </c>
      <c r="K96" s="310">
        <v>1.9489874969464971E-3</v>
      </c>
      <c r="L96" s="310">
        <v>-3.6597594576744941E-3</v>
      </c>
      <c r="M96" s="310">
        <v>-3.7279788554170912E-3</v>
      </c>
      <c r="N96" s="311">
        <v>1.4929069039442133E-3</v>
      </c>
    </row>
    <row r="97" spans="1:14" x14ac:dyDescent="0.2">
      <c r="A97" s="312"/>
      <c r="B97" s="313"/>
      <c r="C97" s="313"/>
      <c r="D97" s="313"/>
      <c r="E97" s="313"/>
      <c r="F97" s="313"/>
      <c r="G97" s="313"/>
      <c r="H97" s="313"/>
      <c r="I97" s="295"/>
      <c r="J97" s="295"/>
      <c r="K97" s="295"/>
      <c r="L97" s="295"/>
      <c r="M97" s="295"/>
      <c r="N97" s="295"/>
    </row>
    <row r="98" spans="1:14" x14ac:dyDescent="0.2">
      <c r="G98" s="257"/>
    </row>
    <row r="99" spans="1:14" ht="16.5" thickBot="1" x14ac:dyDescent="0.3">
      <c r="A99" s="125" t="s">
        <v>401</v>
      </c>
      <c r="B99" s="127"/>
      <c r="C99" s="127"/>
      <c r="D99" s="127"/>
      <c r="E99" s="127"/>
      <c r="F99" s="127"/>
      <c r="G99" s="127"/>
      <c r="H99" s="126"/>
      <c r="I99" s="126"/>
      <c r="J99" s="126"/>
      <c r="K99" s="126"/>
      <c r="L99" s="126"/>
      <c r="M99" s="126"/>
      <c r="N99" s="126"/>
    </row>
    <row r="100" spans="1:14" ht="13.5" thickBot="1" x14ac:dyDescent="0.25">
      <c r="A100" s="264"/>
      <c r="B100" s="265">
        <v>2000</v>
      </c>
      <c r="C100" s="265">
        <v>2010</v>
      </c>
      <c r="D100" s="265">
        <v>2015</v>
      </c>
      <c r="E100" s="265">
        <v>2020</v>
      </c>
      <c r="F100" s="265">
        <v>2025</v>
      </c>
      <c r="G100" s="265">
        <v>2030</v>
      </c>
      <c r="H100" s="265">
        <v>2035</v>
      </c>
      <c r="I100" s="284" t="s">
        <v>372</v>
      </c>
      <c r="J100" s="285" t="s">
        <v>373</v>
      </c>
      <c r="K100" s="285" t="s">
        <v>374</v>
      </c>
      <c r="L100" s="285" t="s">
        <v>375</v>
      </c>
      <c r="M100" s="285" t="s">
        <v>376</v>
      </c>
      <c r="N100" s="286" t="s">
        <v>377</v>
      </c>
    </row>
    <row r="101" spans="1:14" x14ac:dyDescent="0.2">
      <c r="A101" s="268" t="s">
        <v>402</v>
      </c>
      <c r="B101" s="316">
        <v>5.6026175267773849E-2</v>
      </c>
      <c r="C101" s="316">
        <v>6.9655638218207971E-2</v>
      </c>
      <c r="D101" s="316">
        <v>7.5740223248268068E-2</v>
      </c>
      <c r="E101" s="316">
        <v>7.2501354307536195E-2</v>
      </c>
      <c r="F101" s="316">
        <v>6.8350505187840416E-2</v>
      </c>
      <c r="G101" s="316">
        <v>6.4199656068144637E-2</v>
      </c>
      <c r="H101" s="316">
        <v>6.2239300982541164E-2</v>
      </c>
      <c r="I101" s="294">
        <v>2.2013258781831579E-2</v>
      </c>
      <c r="J101" s="295">
        <v>1.689019779791967E-2</v>
      </c>
      <c r="K101" s="295">
        <v>-8.7027356915428955E-3</v>
      </c>
      <c r="L101" s="295">
        <v>-1.1722013041792767E-2</v>
      </c>
      <c r="M101" s="295">
        <v>-1.2452043823226178E-2</v>
      </c>
      <c r="N101" s="296">
        <v>-6.1830467426822189E-3</v>
      </c>
    </row>
    <row r="102" spans="1:14" ht="13.5" thickBot="1" x14ac:dyDescent="0.25">
      <c r="A102" s="277" t="s">
        <v>403</v>
      </c>
      <c r="B102" s="317">
        <v>0.15910236005465264</v>
      </c>
      <c r="C102" s="317">
        <v>0.14688976548988059</v>
      </c>
      <c r="D102" s="317">
        <v>0.14103119660960936</v>
      </c>
      <c r="E102" s="317">
        <v>0.13167901819694722</v>
      </c>
      <c r="F102" s="317">
        <v>0.12123124408513727</v>
      </c>
      <c r="G102" s="317">
        <v>0.11078346997332734</v>
      </c>
      <c r="H102" s="317">
        <v>0.10410494790642862</v>
      </c>
      <c r="I102" s="298">
        <v>-7.9547281742589071E-3</v>
      </c>
      <c r="J102" s="299">
        <v>-8.107216290982211E-3</v>
      </c>
      <c r="K102" s="299">
        <v>-1.3629039557816247E-2</v>
      </c>
      <c r="L102" s="299">
        <v>-1.6397562209082062E-2</v>
      </c>
      <c r="M102" s="299">
        <v>-1.7862982104134062E-2</v>
      </c>
      <c r="N102" s="300">
        <v>-1.2358611354717497E-2</v>
      </c>
    </row>
    <row r="103" spans="1:14" x14ac:dyDescent="0.2">
      <c r="A103" s="318"/>
      <c r="G103" s="257"/>
    </row>
    <row r="104" spans="1:14" x14ac:dyDescent="0.2">
      <c r="G104" s="257"/>
    </row>
    <row r="105" spans="1:14" ht="21" x14ac:dyDescent="0.35">
      <c r="A105" s="124" t="s">
        <v>404</v>
      </c>
      <c r="B105" s="319"/>
      <c r="C105" s="319"/>
      <c r="D105" s="319"/>
      <c r="E105" s="319"/>
      <c r="F105" s="319"/>
      <c r="G105" s="319"/>
      <c r="H105" s="320"/>
      <c r="I105" s="320"/>
      <c r="J105" s="320"/>
      <c r="K105" s="320"/>
      <c r="L105" s="320"/>
      <c r="M105" s="320"/>
      <c r="N105" s="320"/>
    </row>
    <row r="106" spans="1:14" x14ac:dyDescent="0.2">
      <c r="G106" s="257"/>
    </row>
    <row r="107" spans="1:14" ht="16.5" thickBot="1" x14ac:dyDescent="0.3">
      <c r="A107" s="125" t="s">
        <v>405</v>
      </c>
      <c r="B107" s="127"/>
      <c r="C107" s="127"/>
      <c r="D107" s="127"/>
      <c r="E107" s="127"/>
      <c r="F107" s="127"/>
      <c r="G107" s="127"/>
      <c r="H107" s="126"/>
      <c r="I107" s="126"/>
      <c r="J107" s="126"/>
      <c r="K107" s="126"/>
      <c r="L107" s="126"/>
      <c r="M107" s="126"/>
      <c r="N107" s="126"/>
    </row>
    <row r="108" spans="1:14" ht="13.5" thickBot="1" x14ac:dyDescent="0.25">
      <c r="A108" s="264" t="s">
        <v>64</v>
      </c>
      <c r="B108" s="265">
        <v>2000</v>
      </c>
      <c r="C108" s="265">
        <v>2010</v>
      </c>
      <c r="D108" s="265">
        <v>2015</v>
      </c>
      <c r="E108" s="265">
        <v>2020</v>
      </c>
      <c r="F108" s="265">
        <v>2025</v>
      </c>
      <c r="G108" s="265">
        <v>2030</v>
      </c>
      <c r="H108" s="265">
        <v>2035</v>
      </c>
      <c r="I108" s="284" t="s">
        <v>372</v>
      </c>
      <c r="J108" s="285" t="s">
        <v>373</v>
      </c>
      <c r="K108" s="285" t="s">
        <v>374</v>
      </c>
      <c r="L108" s="285" t="s">
        <v>375</v>
      </c>
      <c r="M108" s="285" t="s">
        <v>376</v>
      </c>
      <c r="N108" s="286" t="s">
        <v>377</v>
      </c>
    </row>
    <row r="109" spans="1:14" x14ac:dyDescent="0.2">
      <c r="A109" s="268" t="s">
        <v>68</v>
      </c>
      <c r="B109" s="269">
        <v>8.7309185971473457</v>
      </c>
      <c r="C109" s="269">
        <v>6.1069677194810854</v>
      </c>
      <c r="D109" s="269">
        <v>4.2019126231433148</v>
      </c>
      <c r="E109" s="269">
        <v>3.0929382686380857</v>
      </c>
      <c r="F109" s="269">
        <v>2.6290391035747853</v>
      </c>
      <c r="G109" s="269">
        <v>2.1651399385114849</v>
      </c>
      <c r="H109" s="269">
        <v>1.8350380902314285</v>
      </c>
      <c r="I109" s="289">
        <v>-3.5112748116163384E-2</v>
      </c>
      <c r="J109" s="290">
        <v>-7.2050635742074709E-2</v>
      </c>
      <c r="K109" s="290">
        <v>-5.9443591218264147E-2</v>
      </c>
      <c r="L109" s="290">
        <v>-3.197815334752041E-2</v>
      </c>
      <c r="M109" s="290">
        <v>-3.8082590291749874E-2</v>
      </c>
      <c r="N109" s="291">
        <v>-3.2542663253198212E-2</v>
      </c>
    </row>
    <row r="110" spans="1:14" x14ac:dyDescent="0.2">
      <c r="A110" s="268" t="s">
        <v>245</v>
      </c>
      <c r="B110" s="269">
        <v>12.517664854057456</v>
      </c>
      <c r="C110" s="269">
        <v>13.72609474989631</v>
      </c>
      <c r="D110" s="269">
        <v>12.664672993434166</v>
      </c>
      <c r="E110" s="269">
        <v>11.610298435465051</v>
      </c>
      <c r="F110" s="269">
        <v>10.949470406782083</v>
      </c>
      <c r="G110" s="269">
        <v>10.288642378099114</v>
      </c>
      <c r="H110" s="269">
        <v>9.7293223230879633</v>
      </c>
      <c r="I110" s="294">
        <v>9.2583873950500273E-3</v>
      </c>
      <c r="J110" s="295">
        <v>-1.596760113839768E-2</v>
      </c>
      <c r="K110" s="295">
        <v>-1.7234549004248034E-2</v>
      </c>
      <c r="L110" s="295">
        <v>-1.1651867036598151E-2</v>
      </c>
      <c r="M110" s="295">
        <v>-1.2372915244369009E-2</v>
      </c>
      <c r="N110" s="296">
        <v>-1.1117016050894768E-2</v>
      </c>
    </row>
    <row r="111" spans="1:14" x14ac:dyDescent="0.2">
      <c r="A111" s="268" t="s">
        <v>40</v>
      </c>
      <c r="B111" s="269">
        <v>0.49109997507097003</v>
      </c>
      <c r="C111" s="269">
        <v>0.19111626916827879</v>
      </c>
      <c r="D111" s="269">
        <v>1.1380057874857458E-2</v>
      </c>
      <c r="E111" s="269">
        <v>9.9861847006010619E-3</v>
      </c>
      <c r="F111" s="269">
        <v>8.0134230494401087E-3</v>
      </c>
      <c r="G111" s="269">
        <v>6.0406613982791554E-3</v>
      </c>
      <c r="H111" s="269">
        <v>5.4923161280794382E-3</v>
      </c>
      <c r="I111" s="294">
        <v>-9.0059962076729061E-2</v>
      </c>
      <c r="J111" s="295">
        <v>-0.43118719788868809</v>
      </c>
      <c r="K111" s="295">
        <v>-2.5793495914956166E-2</v>
      </c>
      <c r="L111" s="295">
        <v>-4.3062232342224394E-2</v>
      </c>
      <c r="M111" s="295">
        <v>-5.4953268664469035E-2</v>
      </c>
      <c r="N111" s="296">
        <v>-1.8852714178252072E-2</v>
      </c>
    </row>
    <row r="112" spans="1:14" x14ac:dyDescent="0.2">
      <c r="A112" s="268" t="s">
        <v>53</v>
      </c>
      <c r="B112" s="269">
        <v>1.6183101287282695</v>
      </c>
      <c r="C112" s="269">
        <v>1.0290261829726015</v>
      </c>
      <c r="D112" s="269">
        <v>1.0394779913733183</v>
      </c>
      <c r="E112" s="269">
        <v>0.93555117023573486</v>
      </c>
      <c r="F112" s="269">
        <v>0.90162665432896638</v>
      </c>
      <c r="G112" s="269">
        <v>0.86770213842219779</v>
      </c>
      <c r="H112" s="269">
        <v>0.77752984472435938</v>
      </c>
      <c r="I112" s="294">
        <v>-4.4267251967159527E-2</v>
      </c>
      <c r="J112" s="295">
        <v>2.0231947377025161E-3</v>
      </c>
      <c r="K112" s="295">
        <v>-2.0847246462760927E-2</v>
      </c>
      <c r="L112" s="295">
        <v>-7.3598460752806183E-3</v>
      </c>
      <c r="M112" s="295">
        <v>-7.6410631861091316E-3</v>
      </c>
      <c r="N112" s="296">
        <v>-2.1706247572158444E-2</v>
      </c>
    </row>
    <row r="113" spans="1:15" x14ac:dyDescent="0.2">
      <c r="A113" s="268" t="s">
        <v>54</v>
      </c>
      <c r="B113" s="269">
        <v>10.409311072316866</v>
      </c>
      <c r="C113" s="269">
        <v>12.955978398574407</v>
      </c>
      <c r="D113" s="269">
        <v>13.094858163635916</v>
      </c>
      <c r="E113" s="269">
        <v>13.296885090416801</v>
      </c>
      <c r="F113" s="269">
        <v>13.170200276400287</v>
      </c>
      <c r="G113" s="269">
        <v>13.043515462383773</v>
      </c>
      <c r="H113" s="269">
        <v>12.839029802457777</v>
      </c>
      <c r="I113" s="294">
        <v>2.212691117028065E-2</v>
      </c>
      <c r="J113" s="295">
        <v>2.1347378246554527E-3</v>
      </c>
      <c r="K113" s="295">
        <v>3.0667243082997953E-3</v>
      </c>
      <c r="L113" s="295">
        <v>-1.9127845742658023E-3</v>
      </c>
      <c r="M113" s="295">
        <v>-1.9312550856750432E-3</v>
      </c>
      <c r="N113" s="296">
        <v>-3.1552867843105403E-3</v>
      </c>
    </row>
    <row r="114" spans="1:15" x14ac:dyDescent="0.2">
      <c r="A114" s="268" t="s">
        <v>55</v>
      </c>
      <c r="B114" s="269">
        <v>1.8195989444434046</v>
      </c>
      <c r="C114" s="269">
        <v>1.4185456086851329</v>
      </c>
      <c r="D114" s="269">
        <v>1.5367350151687527</v>
      </c>
      <c r="E114" s="269">
        <v>1.5950484876803115</v>
      </c>
      <c r="F114" s="269">
        <v>1.5513286247993086</v>
      </c>
      <c r="G114" s="269">
        <v>1.5076087619183054</v>
      </c>
      <c r="H114" s="269">
        <v>1.4836428821971821</v>
      </c>
      <c r="I114" s="294">
        <v>-2.4590990387731826E-2</v>
      </c>
      <c r="J114" s="295">
        <v>1.6134359131459997E-2</v>
      </c>
      <c r="K114" s="295">
        <v>7.4766294168111536E-3</v>
      </c>
      <c r="L114" s="295">
        <v>-5.5430591434897369E-3</v>
      </c>
      <c r="M114" s="295">
        <v>-5.7010761994368275E-3</v>
      </c>
      <c r="N114" s="296">
        <v>-3.1997346748748878E-3</v>
      </c>
    </row>
    <row r="115" spans="1:15" x14ac:dyDescent="0.2">
      <c r="A115" s="268" t="s">
        <v>406</v>
      </c>
      <c r="B115" s="269">
        <v>6.9335999999999984</v>
      </c>
      <c r="C115" s="269">
        <v>6.1965326108492249</v>
      </c>
      <c r="D115" s="269">
        <v>7.6861741160029453</v>
      </c>
      <c r="E115" s="269">
        <v>8.0890502236189938</v>
      </c>
      <c r="F115" s="269">
        <v>7.7537740323562101</v>
      </c>
      <c r="G115" s="269">
        <v>7.4184978410934264</v>
      </c>
      <c r="H115" s="269">
        <v>7.0402842891105664</v>
      </c>
      <c r="I115" s="294">
        <v>-1.1176007145011435E-2</v>
      </c>
      <c r="J115" s="295">
        <v>4.4028359381085957E-2</v>
      </c>
      <c r="K115" s="295">
        <v>1.0270013749898332E-2</v>
      </c>
      <c r="L115" s="295">
        <v>-8.4305868263819805E-3</v>
      </c>
      <c r="M115" s="295">
        <v>-8.8016580822831703E-3</v>
      </c>
      <c r="N115" s="296">
        <v>-1.0411033689966986E-2</v>
      </c>
    </row>
    <row r="116" spans="1:15" x14ac:dyDescent="0.2">
      <c r="A116" s="268"/>
      <c r="B116" s="269"/>
      <c r="C116" s="269"/>
      <c r="D116" s="269"/>
      <c r="E116" s="269"/>
      <c r="F116" s="269"/>
      <c r="G116" s="269"/>
      <c r="H116" s="269"/>
      <c r="I116" s="294"/>
      <c r="J116" s="295"/>
      <c r="K116" s="295"/>
      <c r="L116" s="295"/>
      <c r="M116" s="295"/>
      <c r="N116" s="296"/>
    </row>
    <row r="117" spans="1:15" ht="13.5" thickBot="1" x14ac:dyDescent="0.25">
      <c r="A117" s="321" t="s">
        <v>9</v>
      </c>
      <c r="B117" s="322">
        <v>42.520503571764309</v>
      </c>
      <c r="C117" s="323">
        <v>41.624261539627042</v>
      </c>
      <c r="D117" s="322">
        <v>40.235210960633268</v>
      </c>
      <c r="E117" s="322">
        <v>38.629757860755582</v>
      </c>
      <c r="F117" s="322">
        <v>36.963452521291082</v>
      </c>
      <c r="G117" s="322">
        <v>35.297147181826581</v>
      </c>
      <c r="H117" s="322">
        <v>33.710339547937352</v>
      </c>
      <c r="I117" s="298">
        <v>-2.128051403535336E-3</v>
      </c>
      <c r="J117" s="299">
        <v>-6.7651527316122673E-3</v>
      </c>
      <c r="K117" s="299">
        <v>-8.1108477861168149E-3</v>
      </c>
      <c r="L117" s="299">
        <v>-8.7798804922156748E-3</v>
      </c>
      <c r="M117" s="299">
        <v>-9.1830777156005627E-3</v>
      </c>
      <c r="N117" s="300">
        <v>-9.1573224807213194E-3</v>
      </c>
    </row>
    <row r="118" spans="1:15" x14ac:dyDescent="0.2">
      <c r="A118" s="282"/>
      <c r="B118" s="258"/>
      <c r="C118" s="258"/>
      <c r="D118" s="258"/>
      <c r="E118" s="258"/>
      <c r="F118" s="258"/>
    </row>
    <row r="119" spans="1:15" x14ac:dyDescent="0.2">
      <c r="B119" s="258"/>
      <c r="C119" s="258"/>
      <c r="D119" s="258"/>
      <c r="E119" s="258"/>
      <c r="F119" s="258"/>
    </row>
    <row r="120" spans="1:15" ht="16.5" thickBot="1" x14ac:dyDescent="0.3">
      <c r="A120" s="125" t="s">
        <v>407</v>
      </c>
      <c r="B120" s="126"/>
      <c r="C120" s="126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</row>
    <row r="121" spans="1:15" ht="13.5" thickBot="1" x14ac:dyDescent="0.25">
      <c r="A121" s="264" t="s">
        <v>64</v>
      </c>
      <c r="B121" s="265">
        <v>2000</v>
      </c>
      <c r="C121" s="265">
        <v>2010</v>
      </c>
      <c r="D121" s="265">
        <v>2015</v>
      </c>
      <c r="E121" s="265">
        <v>2020</v>
      </c>
      <c r="F121" s="265">
        <v>2025</v>
      </c>
      <c r="G121" s="265">
        <v>2030</v>
      </c>
      <c r="H121" s="265">
        <v>2035</v>
      </c>
      <c r="I121" s="284" t="s">
        <v>372</v>
      </c>
      <c r="J121" s="285" t="s">
        <v>373</v>
      </c>
      <c r="K121" s="285" t="s">
        <v>374</v>
      </c>
      <c r="L121" s="285" t="s">
        <v>375</v>
      </c>
      <c r="M121" s="285" t="s">
        <v>376</v>
      </c>
      <c r="N121" s="286" t="s">
        <v>377</v>
      </c>
    </row>
    <row r="122" spans="1:15" x14ac:dyDescent="0.2">
      <c r="A122" s="268" t="s">
        <v>408</v>
      </c>
      <c r="B122" s="269">
        <v>31.113699999999991</v>
      </c>
      <c r="C122" s="269">
        <v>28.365257844469831</v>
      </c>
      <c r="D122" s="269">
        <v>26.735263509271469</v>
      </c>
      <c r="E122" s="269">
        <v>24.837814858300451</v>
      </c>
      <c r="F122" s="269">
        <v>23.161611398672637</v>
      </c>
      <c r="G122" s="269">
        <v>21.485407939044823</v>
      </c>
      <c r="H122" s="269">
        <v>19.98155812017125</v>
      </c>
      <c r="I122" s="289">
        <v>-9.205681430726087E-3</v>
      </c>
      <c r="J122" s="290">
        <v>-1.1766557446695525E-2</v>
      </c>
      <c r="K122" s="290">
        <v>-1.4615371293005164E-2</v>
      </c>
      <c r="L122" s="290">
        <v>-1.3877025421783595E-2</v>
      </c>
      <c r="M122" s="290">
        <v>-1.4912140746523583E-2</v>
      </c>
      <c r="N122" s="291">
        <v>-1.4408046211558778E-2</v>
      </c>
      <c r="O122" s="622">
        <f>H122/C122-1</f>
        <v>-0.2955622603632736</v>
      </c>
    </row>
    <row r="123" spans="1:15" x14ac:dyDescent="0.2">
      <c r="A123" s="268" t="s">
        <v>409</v>
      </c>
      <c r="B123" s="269">
        <v>4.1635857815741222</v>
      </c>
      <c r="C123" s="269">
        <v>4.2965436283653231</v>
      </c>
      <c r="D123" s="269">
        <v>4.3987379311771333</v>
      </c>
      <c r="E123" s="269">
        <v>4.5134803884903434</v>
      </c>
      <c r="F123" s="269">
        <v>4.626807728945634</v>
      </c>
      <c r="G123" s="269">
        <v>4.7401350694009246</v>
      </c>
      <c r="H123" s="269">
        <v>4.8502280812336176</v>
      </c>
      <c r="I123" s="294">
        <v>3.1483679723585123E-3</v>
      </c>
      <c r="J123" s="295">
        <v>4.7124234754798433E-3</v>
      </c>
      <c r="K123" s="295">
        <v>5.163463910925703E-3</v>
      </c>
      <c r="L123" s="295">
        <v>4.9720386131009153E-3</v>
      </c>
      <c r="M123" s="295">
        <v>4.8514254496656584E-3</v>
      </c>
      <c r="N123" s="296">
        <v>4.6025794701074485E-3</v>
      </c>
    </row>
    <row r="124" spans="1:15" x14ac:dyDescent="0.2">
      <c r="A124" s="268" t="s">
        <v>410</v>
      </c>
      <c r="B124" s="269">
        <v>2.3686796274396418</v>
      </c>
      <c r="C124" s="269">
        <v>2.5272258737164752</v>
      </c>
      <c r="D124" s="269">
        <v>2.5974931473491276</v>
      </c>
      <c r="E124" s="269">
        <v>2.6564649792874411</v>
      </c>
      <c r="F124" s="269">
        <v>2.7078096420115445</v>
      </c>
      <c r="G124" s="269">
        <v>2.7591543047356475</v>
      </c>
      <c r="H124" s="269">
        <v>2.8063798765509862</v>
      </c>
      <c r="I124" s="294">
        <v>6.4999866032497966E-3</v>
      </c>
      <c r="J124" s="295">
        <v>5.4999891634910369E-3</v>
      </c>
      <c r="K124" s="295">
        <v>4.4999902792708379E-3</v>
      </c>
      <c r="L124" s="295">
        <v>3.8360938665440436E-3</v>
      </c>
      <c r="M124" s="295">
        <v>3.7638984508556739E-3</v>
      </c>
      <c r="N124" s="296">
        <v>3.3999931419326224E-3</v>
      </c>
    </row>
    <row r="125" spans="1:15" x14ac:dyDescent="0.2">
      <c r="A125" s="268" t="s">
        <v>411</v>
      </c>
      <c r="B125" s="269">
        <v>0.96693834760930275</v>
      </c>
      <c r="C125" s="269">
        <v>0.84781134964300175</v>
      </c>
      <c r="D125" s="269">
        <v>0.82335082304373619</v>
      </c>
      <c r="E125" s="269">
        <v>0.79346216760793342</v>
      </c>
      <c r="F125" s="269">
        <v>0.74713188772598693</v>
      </c>
      <c r="G125" s="269">
        <v>0.70080160784404055</v>
      </c>
      <c r="H125" s="269">
        <v>0.66273350850563306</v>
      </c>
      <c r="I125" s="294">
        <v>-1.3061606181475227E-2</v>
      </c>
      <c r="J125" s="295">
        <v>-5.8380445421690741E-3</v>
      </c>
      <c r="K125" s="295">
        <v>-7.3680264872284518E-3</v>
      </c>
      <c r="L125" s="295">
        <v>-1.1960722012311908E-2</v>
      </c>
      <c r="M125" s="295">
        <v>-1.2721763867417746E-2</v>
      </c>
      <c r="N125" s="296">
        <v>-1.1108217518922103E-2</v>
      </c>
    </row>
    <row r="126" spans="1:15" x14ac:dyDescent="0.2">
      <c r="A126" s="268" t="s">
        <v>412</v>
      </c>
      <c r="B126" s="269">
        <v>3.9075998151412508</v>
      </c>
      <c r="C126" s="269">
        <v>5.5874228434324102</v>
      </c>
      <c r="D126" s="269">
        <v>5.6803655497918042</v>
      </c>
      <c r="E126" s="269">
        <v>5.8285354670694129</v>
      </c>
      <c r="F126" s="269">
        <v>5.7200918639352807</v>
      </c>
      <c r="G126" s="269">
        <v>5.6116482608011493</v>
      </c>
      <c r="H126" s="269">
        <v>5.4094399614758633</v>
      </c>
      <c r="I126" s="294">
        <v>3.6406542452699586E-2</v>
      </c>
      <c r="J126" s="295">
        <v>3.3049366916244605E-3</v>
      </c>
      <c r="K126" s="295">
        <v>5.1633191146942536E-3</v>
      </c>
      <c r="L126" s="295">
        <v>-3.7491337981808703E-3</v>
      </c>
      <c r="M126" s="295">
        <v>-3.820758532668056E-3</v>
      </c>
      <c r="N126" s="296">
        <v>-7.3129127023970897E-3</v>
      </c>
    </row>
    <row r="127" spans="1:15" x14ac:dyDescent="0.2">
      <c r="A127" s="268" t="s">
        <v>413</v>
      </c>
      <c r="B127" s="269">
        <v>0</v>
      </c>
      <c r="C127" s="269">
        <v>0</v>
      </c>
      <c r="D127" s="269">
        <v>0</v>
      </c>
      <c r="E127" s="269">
        <v>0</v>
      </c>
      <c r="F127" s="269">
        <v>0</v>
      </c>
      <c r="G127" s="269">
        <v>0</v>
      </c>
      <c r="H127" s="269">
        <v>0</v>
      </c>
      <c r="I127" s="294"/>
      <c r="J127" s="295"/>
      <c r="K127" s="295"/>
      <c r="L127" s="295"/>
      <c r="M127" s="295"/>
      <c r="N127" s="296"/>
    </row>
    <row r="128" spans="1:15" x14ac:dyDescent="0.2">
      <c r="A128" s="268"/>
      <c r="B128" s="269"/>
      <c r="C128" s="269"/>
      <c r="D128" s="269"/>
      <c r="E128" s="269"/>
      <c r="F128" s="269"/>
      <c r="G128" s="269"/>
      <c r="H128" s="269"/>
      <c r="I128" s="294"/>
      <c r="J128" s="295"/>
      <c r="K128" s="295"/>
      <c r="L128" s="295"/>
      <c r="M128" s="295"/>
      <c r="N128" s="296"/>
    </row>
    <row r="129" spans="1:14" ht="13.5" thickBot="1" x14ac:dyDescent="0.25">
      <c r="A129" s="321" t="s">
        <v>9</v>
      </c>
      <c r="B129" s="322">
        <v>42.520503571764309</v>
      </c>
      <c r="C129" s="322">
        <v>41.624261539627042</v>
      </c>
      <c r="D129" s="322">
        <v>40.235210960633268</v>
      </c>
      <c r="E129" s="322">
        <v>38.629757860755582</v>
      </c>
      <c r="F129" s="322">
        <v>36.963452521291082</v>
      </c>
      <c r="G129" s="322">
        <v>35.297147181826581</v>
      </c>
      <c r="H129" s="322">
        <v>33.710339547937352</v>
      </c>
      <c r="I129" s="298">
        <v>-2.128051403535336E-3</v>
      </c>
      <c r="J129" s="299">
        <v>-6.7651527316122673E-3</v>
      </c>
      <c r="K129" s="299">
        <v>-8.1108477861168149E-3</v>
      </c>
      <c r="L129" s="299">
        <v>-8.7798804922156748E-3</v>
      </c>
      <c r="M129" s="299">
        <v>-9.1830777156005627E-3</v>
      </c>
      <c r="N129" s="300">
        <v>-9.1573224807213194E-3</v>
      </c>
    </row>
    <row r="130" spans="1:14" x14ac:dyDescent="0.2">
      <c r="A130" s="282"/>
      <c r="B130" s="258"/>
      <c r="C130" s="258"/>
      <c r="D130" s="258"/>
      <c r="E130" s="258"/>
      <c r="F130" s="258"/>
    </row>
    <row r="131" spans="1:14" x14ac:dyDescent="0.2">
      <c r="B131" s="258"/>
      <c r="C131" s="258"/>
      <c r="D131" s="258"/>
      <c r="E131" s="258"/>
      <c r="F131" s="258"/>
    </row>
    <row r="132" spans="1:14" ht="16.5" thickBot="1" x14ac:dyDescent="0.3">
      <c r="A132" s="125" t="s">
        <v>414</v>
      </c>
      <c r="B132" s="126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</row>
    <row r="133" spans="1:14" ht="13.5" thickBot="1" x14ac:dyDescent="0.25">
      <c r="A133" s="264" t="s">
        <v>64</v>
      </c>
      <c r="B133" s="265">
        <v>2000</v>
      </c>
      <c r="C133" s="265">
        <v>2010</v>
      </c>
      <c r="D133" s="265">
        <v>2015</v>
      </c>
      <c r="E133" s="265">
        <v>2020</v>
      </c>
      <c r="F133" s="265">
        <v>2025</v>
      </c>
      <c r="G133" s="265">
        <v>2030</v>
      </c>
      <c r="H133" s="265">
        <v>2035</v>
      </c>
      <c r="I133" s="284" t="s">
        <v>372</v>
      </c>
      <c r="J133" s="285" t="s">
        <v>373</v>
      </c>
      <c r="K133" s="285" t="s">
        <v>374</v>
      </c>
      <c r="L133" s="285" t="s">
        <v>375</v>
      </c>
      <c r="M133" s="285" t="s">
        <v>376</v>
      </c>
      <c r="N133" s="286" t="s">
        <v>377</v>
      </c>
    </row>
    <row r="134" spans="1:14" x14ac:dyDescent="0.2">
      <c r="A134" s="268" t="s">
        <v>68</v>
      </c>
      <c r="B134" s="269">
        <v>8.7309185971473457</v>
      </c>
      <c r="C134" s="269">
        <v>6.1069677194810854</v>
      </c>
      <c r="D134" s="269">
        <v>4.2019126231433148</v>
      </c>
      <c r="E134" s="269">
        <v>3.0929382686380857</v>
      </c>
      <c r="F134" s="269">
        <v>2.6290391035747853</v>
      </c>
      <c r="G134" s="269">
        <v>2.1651399385114849</v>
      </c>
      <c r="H134" s="269">
        <v>1.8350380902314285</v>
      </c>
      <c r="I134" s="289">
        <v>-3.5112748116163384E-2</v>
      </c>
      <c r="J134" s="290">
        <v>-7.2050635742074709E-2</v>
      </c>
      <c r="K134" s="290">
        <v>-5.9443591218264147E-2</v>
      </c>
      <c r="L134" s="290">
        <v>-3.197815334752041E-2</v>
      </c>
      <c r="M134" s="290">
        <v>-3.8082590291749874E-2</v>
      </c>
      <c r="N134" s="291">
        <v>-3.2542663253198212E-2</v>
      </c>
    </row>
    <row r="135" spans="1:14" x14ac:dyDescent="0.2">
      <c r="A135" s="268" t="s">
        <v>245</v>
      </c>
      <c r="B135" s="269">
        <v>12.517664854057456</v>
      </c>
      <c r="C135" s="269">
        <v>13.72609474989631</v>
      </c>
      <c r="D135" s="269">
        <v>12.664672993434166</v>
      </c>
      <c r="E135" s="269">
        <v>11.610298435465051</v>
      </c>
      <c r="F135" s="269">
        <v>10.949470406782083</v>
      </c>
      <c r="G135" s="269">
        <v>10.288642378099114</v>
      </c>
      <c r="H135" s="269">
        <v>9.7293223230879633</v>
      </c>
      <c r="I135" s="294">
        <v>9.2583873950500273E-3</v>
      </c>
      <c r="J135" s="295">
        <v>-1.596760113839768E-2</v>
      </c>
      <c r="K135" s="295">
        <v>-1.7234549004248034E-2</v>
      </c>
      <c r="L135" s="295">
        <v>-1.1651867036598151E-2</v>
      </c>
      <c r="M135" s="295">
        <v>-1.2372915244369009E-2</v>
      </c>
      <c r="N135" s="296">
        <v>-1.1117016050894768E-2</v>
      </c>
    </row>
    <row r="136" spans="1:14" x14ac:dyDescent="0.2">
      <c r="A136" s="268" t="s">
        <v>40</v>
      </c>
      <c r="B136" s="269">
        <v>0.49109997507097003</v>
      </c>
      <c r="C136" s="269">
        <v>0.19111626916827879</v>
      </c>
      <c r="D136" s="269">
        <v>1.1380057874857458E-2</v>
      </c>
      <c r="E136" s="269">
        <v>9.9861847006010619E-3</v>
      </c>
      <c r="F136" s="269">
        <v>8.0134230494401087E-3</v>
      </c>
      <c r="G136" s="269">
        <v>6.0406613982791554E-3</v>
      </c>
      <c r="H136" s="269">
        <v>5.4923161280794382E-3</v>
      </c>
      <c r="I136" s="294">
        <v>-9.0059962076729061E-2</v>
      </c>
      <c r="J136" s="295">
        <v>-0.43118719788868809</v>
      </c>
      <c r="K136" s="295">
        <v>-2.5793495914956166E-2</v>
      </c>
      <c r="L136" s="295">
        <v>-4.3062232342224394E-2</v>
      </c>
      <c r="M136" s="295">
        <v>-5.4953268664469035E-2</v>
      </c>
      <c r="N136" s="296">
        <v>-1.8852714178252072E-2</v>
      </c>
    </row>
    <row r="137" spans="1:14" x14ac:dyDescent="0.2">
      <c r="A137" s="268" t="s">
        <v>53</v>
      </c>
      <c r="B137" s="269">
        <v>1.6183101287282695</v>
      </c>
      <c r="C137" s="269">
        <v>1.0290261829726015</v>
      </c>
      <c r="D137" s="269">
        <v>1.0394779913733183</v>
      </c>
      <c r="E137" s="269">
        <v>0.93555117023573486</v>
      </c>
      <c r="F137" s="269">
        <v>0.90162665432896638</v>
      </c>
      <c r="G137" s="269">
        <v>0.86770213842219779</v>
      </c>
      <c r="H137" s="269">
        <v>0.77752984472435938</v>
      </c>
      <c r="I137" s="294">
        <v>-4.4267251967159527E-2</v>
      </c>
      <c r="J137" s="295">
        <v>2.0231947377025161E-3</v>
      </c>
      <c r="K137" s="295">
        <v>-2.0847246462760927E-2</v>
      </c>
      <c r="L137" s="295">
        <v>-7.3598460752806183E-3</v>
      </c>
      <c r="M137" s="295">
        <v>-7.6410631861091316E-3</v>
      </c>
      <c r="N137" s="296">
        <v>-2.1706247572158444E-2</v>
      </c>
    </row>
    <row r="138" spans="1:14" x14ac:dyDescent="0.2">
      <c r="A138" s="268" t="s">
        <v>54</v>
      </c>
      <c r="B138" s="269">
        <v>5.5347729095663132</v>
      </c>
      <c r="C138" s="269">
        <v>6.5207442054989961</v>
      </c>
      <c r="D138" s="269">
        <v>6.5911417908003758</v>
      </c>
      <c r="E138" s="269">
        <v>6.6748874557394551</v>
      </c>
      <c r="F138" s="269">
        <v>6.7029765247390198</v>
      </c>
      <c r="G138" s="269">
        <v>6.7310655937385837</v>
      </c>
      <c r="H138" s="269">
        <v>6.76685633247628</v>
      </c>
      <c r="I138" s="294">
        <v>1.6528913053386329E-2</v>
      </c>
      <c r="J138" s="295">
        <v>2.1499244317904065E-3</v>
      </c>
      <c r="K138" s="295">
        <v>2.5283406662564012E-3</v>
      </c>
      <c r="L138" s="295">
        <v>8.4022110550319162E-4</v>
      </c>
      <c r="M138" s="295">
        <v>8.3670601032004299E-4</v>
      </c>
      <c r="N138" s="296">
        <v>1.0611947519947318E-3</v>
      </c>
    </row>
    <row r="139" spans="1:14" x14ac:dyDescent="0.2">
      <c r="A139" s="268" t="s">
        <v>55</v>
      </c>
      <c r="B139" s="269">
        <v>1.8195989444434046</v>
      </c>
      <c r="C139" s="269">
        <v>1.4185456086851329</v>
      </c>
      <c r="D139" s="269">
        <v>1.5367350151687527</v>
      </c>
      <c r="E139" s="269">
        <v>1.5950484876803115</v>
      </c>
      <c r="F139" s="269">
        <v>1.5513286247993086</v>
      </c>
      <c r="G139" s="269">
        <v>1.5076087619183054</v>
      </c>
      <c r="H139" s="269">
        <v>1.4836428821971821</v>
      </c>
      <c r="I139" s="294">
        <v>-2.4590990387731826E-2</v>
      </c>
      <c r="J139" s="295">
        <v>1.6134359131459997E-2</v>
      </c>
      <c r="K139" s="295">
        <v>7.4766294168111536E-3</v>
      </c>
      <c r="L139" s="295">
        <v>-5.5430591434897369E-3</v>
      </c>
      <c r="M139" s="295">
        <v>-5.7010761994368275E-3</v>
      </c>
      <c r="N139" s="296">
        <v>-3.1997346748748878E-3</v>
      </c>
    </row>
    <row r="140" spans="1:14" x14ac:dyDescent="0.2">
      <c r="A140" s="268" t="s">
        <v>406</v>
      </c>
      <c r="B140" s="269">
        <v>6.9335999999999984</v>
      </c>
      <c r="C140" s="269">
        <v>6.1965326108492249</v>
      </c>
      <c r="D140" s="269">
        <v>7.6861741160029453</v>
      </c>
      <c r="E140" s="269">
        <v>8.0890502236189938</v>
      </c>
      <c r="F140" s="269">
        <v>7.7537740323562101</v>
      </c>
      <c r="G140" s="269">
        <v>7.4184978410934264</v>
      </c>
      <c r="H140" s="269">
        <v>7.0402842891105664</v>
      </c>
      <c r="I140" s="294">
        <v>-1.1176007145011435E-2</v>
      </c>
      <c r="J140" s="295">
        <v>4.4028359381085957E-2</v>
      </c>
      <c r="K140" s="295">
        <v>1.0270013749898332E-2</v>
      </c>
      <c r="L140" s="295">
        <v>-8.4305868263819805E-3</v>
      </c>
      <c r="M140" s="295">
        <v>-8.8016580822831703E-3</v>
      </c>
      <c r="N140" s="296">
        <v>-1.0411033689966986E-2</v>
      </c>
    </row>
    <row r="141" spans="1:14" x14ac:dyDescent="0.2">
      <c r="A141" s="268"/>
      <c r="B141" s="269"/>
      <c r="C141" s="269"/>
      <c r="D141" s="269"/>
      <c r="E141" s="269"/>
      <c r="F141" s="269"/>
      <c r="G141" s="269"/>
      <c r="H141" s="297"/>
      <c r="I141" s="294"/>
      <c r="J141" s="295"/>
      <c r="K141" s="295"/>
      <c r="L141" s="295"/>
      <c r="M141" s="295"/>
      <c r="N141" s="296"/>
    </row>
    <row r="142" spans="1:14" ht="13.5" thickBot="1" x14ac:dyDescent="0.25">
      <c r="A142" s="321" t="s">
        <v>9</v>
      </c>
      <c r="B142" s="322">
        <v>37.645965409013755</v>
      </c>
      <c r="C142" s="322">
        <v>35.189027346551626</v>
      </c>
      <c r="D142" s="322">
        <v>33.731494587797727</v>
      </c>
      <c r="E142" s="322">
        <v>32.007760226078233</v>
      </c>
      <c r="F142" s="322">
        <v>30.496228769629809</v>
      </c>
      <c r="G142" s="322">
        <v>28.984697313181393</v>
      </c>
      <c r="H142" s="322">
        <v>27.638166077955859</v>
      </c>
      <c r="I142" s="298">
        <v>-6.7264233699870779E-3</v>
      </c>
      <c r="J142" s="299">
        <v>-8.4247814324294179E-3</v>
      </c>
      <c r="K142" s="299">
        <v>-1.0435879959336036E-2</v>
      </c>
      <c r="L142" s="299">
        <v>-9.628417364223707E-3</v>
      </c>
      <c r="M142" s="299">
        <v>-1.0115494175644946E-2</v>
      </c>
      <c r="N142" s="300">
        <v>-9.4689574880970628E-3</v>
      </c>
    </row>
    <row r="143" spans="1:14" x14ac:dyDescent="0.2">
      <c r="B143" s="258"/>
      <c r="C143" s="258"/>
      <c r="D143" s="258"/>
      <c r="E143" s="258"/>
      <c r="F143" s="258"/>
    </row>
    <row r="144" spans="1:14" x14ac:dyDescent="0.2">
      <c r="B144" s="258"/>
      <c r="C144" s="258"/>
      <c r="D144" s="258"/>
      <c r="E144" s="258"/>
      <c r="F144" s="258"/>
    </row>
    <row r="145" spans="1:14" ht="16.5" thickBot="1" x14ac:dyDescent="0.3">
      <c r="A145" s="125" t="s">
        <v>415</v>
      </c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</row>
    <row r="146" spans="1:14" ht="13.5" thickBot="1" x14ac:dyDescent="0.25">
      <c r="A146" s="264" t="s">
        <v>64</v>
      </c>
      <c r="B146" s="265">
        <v>2000</v>
      </c>
      <c r="C146" s="265">
        <v>2010</v>
      </c>
      <c r="D146" s="265">
        <v>2015</v>
      </c>
      <c r="E146" s="265">
        <v>2020</v>
      </c>
      <c r="F146" s="265">
        <v>2025</v>
      </c>
      <c r="G146" s="265">
        <v>2030</v>
      </c>
      <c r="H146" s="265">
        <v>2035</v>
      </c>
      <c r="I146" s="284" t="s">
        <v>372</v>
      </c>
      <c r="J146" s="285" t="s">
        <v>373</v>
      </c>
      <c r="K146" s="285" t="s">
        <v>374</v>
      </c>
      <c r="L146" s="285" t="s">
        <v>375</v>
      </c>
      <c r="M146" s="285" t="s">
        <v>376</v>
      </c>
      <c r="N146" s="286" t="s">
        <v>377</v>
      </c>
    </row>
    <row r="147" spans="1:14" x14ac:dyDescent="0.2">
      <c r="A147" s="268" t="s">
        <v>68</v>
      </c>
      <c r="B147" s="269">
        <v>7.7859999999999978</v>
      </c>
      <c r="C147" s="269">
        <v>5.4701850343794698</v>
      </c>
      <c r="D147" s="269">
        <v>3.7757973777802745</v>
      </c>
      <c r="E147" s="269">
        <v>2.7420547443598293</v>
      </c>
      <c r="F147" s="269">
        <v>2.3101779323052689</v>
      </c>
      <c r="G147" s="269">
        <v>1.8783011202507081</v>
      </c>
      <c r="H147" s="269">
        <v>1.5727489005822595</v>
      </c>
      <c r="I147" s="289">
        <v>-3.4685651184244937E-2</v>
      </c>
      <c r="J147" s="290">
        <v>-7.1458470189720402E-2</v>
      </c>
      <c r="K147" s="290">
        <v>-6.1976998149010587E-2</v>
      </c>
      <c r="L147" s="290">
        <v>-3.3695811590142899E-2</v>
      </c>
      <c r="M147" s="290">
        <v>-4.0546442900252444E-2</v>
      </c>
      <c r="N147" s="291">
        <v>-3.4885513370267351E-2</v>
      </c>
    </row>
    <row r="148" spans="1:14" x14ac:dyDescent="0.2">
      <c r="A148" s="268" t="s">
        <v>245</v>
      </c>
      <c r="B148" s="269">
        <v>10.534199999999998</v>
      </c>
      <c r="C148" s="269">
        <v>11.204431086104901</v>
      </c>
      <c r="D148" s="269">
        <v>10.099922873561896</v>
      </c>
      <c r="E148" s="269">
        <v>9.0737446942033504</v>
      </c>
      <c r="F148" s="269">
        <v>8.3892863564376992</v>
      </c>
      <c r="G148" s="269">
        <v>7.7048280186720479</v>
      </c>
      <c r="H148" s="269">
        <v>7.0843104364620215</v>
      </c>
      <c r="I148" s="294">
        <v>6.1872852315316695E-3</v>
      </c>
      <c r="J148" s="295">
        <v>-2.0542379545004041E-2</v>
      </c>
      <c r="K148" s="295">
        <v>-2.1200588374815088E-2</v>
      </c>
      <c r="L148" s="295">
        <v>-1.5563534099966025E-2</v>
      </c>
      <c r="M148" s="295">
        <v>-1.6877612042943135E-2</v>
      </c>
      <c r="N148" s="296">
        <v>-1.6652706191634503E-2</v>
      </c>
    </row>
    <row r="149" spans="1:14" x14ac:dyDescent="0.2">
      <c r="A149" s="268" t="s">
        <v>40</v>
      </c>
      <c r="B149" s="269">
        <v>0.48379999999999995</v>
      </c>
      <c r="C149" s="269">
        <v>0.1861966865656311</v>
      </c>
      <c r="D149" s="269">
        <v>8.0880256056753315E-3</v>
      </c>
      <c r="E149" s="269">
        <v>7.27536902991499E-3</v>
      </c>
      <c r="F149" s="269">
        <v>5.5500019993104969E-3</v>
      </c>
      <c r="G149" s="269">
        <v>3.8246349687060034E-3</v>
      </c>
      <c r="H149" s="269">
        <v>3.4659524023529769E-3</v>
      </c>
      <c r="I149" s="294">
        <v>-9.1069643137050571E-2</v>
      </c>
      <c r="J149" s="295">
        <v>-0.46595959837578693</v>
      </c>
      <c r="K149" s="295">
        <v>-2.0955342446133396E-2</v>
      </c>
      <c r="L149" s="295">
        <v>-5.269981414633651E-2</v>
      </c>
      <c r="M149" s="295">
        <v>-7.1761942539502854E-2</v>
      </c>
      <c r="N149" s="296">
        <v>-1.9502432521401047E-2</v>
      </c>
    </row>
    <row r="150" spans="1:14" x14ac:dyDescent="0.2">
      <c r="A150" s="268" t="s">
        <v>53</v>
      </c>
      <c r="B150" s="269">
        <v>0.68369999999999986</v>
      </c>
      <c r="C150" s="269">
        <v>0.37712868904298924</v>
      </c>
      <c r="D150" s="269">
        <v>0.40659523344183968</v>
      </c>
      <c r="E150" s="269">
        <v>0.30359973425225589</v>
      </c>
      <c r="F150" s="269">
        <v>0.26033523488833965</v>
      </c>
      <c r="G150" s="269">
        <v>0.21707073552442344</v>
      </c>
      <c r="H150" s="269">
        <v>0.18656245371390054</v>
      </c>
      <c r="I150" s="294">
        <v>-5.7758129426836002E-2</v>
      </c>
      <c r="J150" s="295">
        <v>1.5160105783397215E-2</v>
      </c>
      <c r="K150" s="295">
        <v>-5.6747813029204841E-2</v>
      </c>
      <c r="L150" s="295">
        <v>-3.0280089214572592E-2</v>
      </c>
      <c r="M150" s="295">
        <v>-3.569667268523824E-2</v>
      </c>
      <c r="N150" s="296">
        <v>-2.9837254817247749E-2</v>
      </c>
    </row>
    <row r="151" spans="1:14" x14ac:dyDescent="0.2">
      <c r="A151" s="268" t="s">
        <v>54</v>
      </c>
      <c r="B151" s="269">
        <v>3.1818999999999997</v>
      </c>
      <c r="C151" s="269">
        <v>3.787768292902721</v>
      </c>
      <c r="D151" s="269">
        <v>3.5802825644537988</v>
      </c>
      <c r="E151" s="269">
        <v>3.4420558567363124</v>
      </c>
      <c r="F151" s="269">
        <v>3.3399051617811777</v>
      </c>
      <c r="G151" s="269">
        <v>3.2377544668260434</v>
      </c>
      <c r="H151" s="269">
        <v>3.1298614947769376</v>
      </c>
      <c r="I151" s="294">
        <v>1.758263643772584E-2</v>
      </c>
      <c r="J151" s="295">
        <v>-1.12038202069491E-2</v>
      </c>
      <c r="K151" s="295">
        <v>-7.8436369279137885E-3</v>
      </c>
      <c r="L151" s="295">
        <v>-6.007187013316706E-3</v>
      </c>
      <c r="M151" s="295">
        <v>-6.1932200965579831E-3</v>
      </c>
      <c r="N151" s="296">
        <v>-6.7553336564475375E-3</v>
      </c>
    </row>
    <row r="152" spans="1:14" x14ac:dyDescent="0.2">
      <c r="A152" s="268" t="s">
        <v>55</v>
      </c>
      <c r="B152" s="269">
        <v>1.5104999999999997</v>
      </c>
      <c r="C152" s="269">
        <v>1.2001027032086993</v>
      </c>
      <c r="D152" s="269">
        <v>1.2485733391173355</v>
      </c>
      <c r="E152" s="269">
        <v>1.2734515582192616</v>
      </c>
      <c r="F152" s="269">
        <v>1.2196256285552334</v>
      </c>
      <c r="G152" s="269">
        <v>1.1657996988912049</v>
      </c>
      <c r="H152" s="269">
        <v>1.1302595144735981</v>
      </c>
      <c r="I152" s="294">
        <v>-2.2740798133046525E-2</v>
      </c>
      <c r="J152" s="295">
        <v>7.9503236399074417E-3</v>
      </c>
      <c r="K152" s="295">
        <v>3.9536763611656145E-3</v>
      </c>
      <c r="L152" s="295">
        <v>-8.6002101009656773E-3</v>
      </c>
      <c r="M152" s="295">
        <v>-8.9867082638003248E-3</v>
      </c>
      <c r="N152" s="296">
        <v>-6.1728736782554749E-3</v>
      </c>
    </row>
    <row r="153" spans="1:14" x14ac:dyDescent="0.2">
      <c r="A153" s="268" t="s">
        <v>416</v>
      </c>
      <c r="B153" s="269">
        <v>6.9335999999999984</v>
      </c>
      <c r="C153" s="269">
        <v>6.1394453522654171</v>
      </c>
      <c r="D153" s="269">
        <v>7.6160040953106503</v>
      </c>
      <c r="E153" s="269">
        <v>7.9956329014995289</v>
      </c>
      <c r="F153" s="269">
        <v>7.6367310827056087</v>
      </c>
      <c r="G153" s="269">
        <v>7.2778292639116886</v>
      </c>
      <c r="H153" s="269">
        <v>6.8743493677601828</v>
      </c>
      <c r="I153" s="294">
        <v>-1.2090787290598426E-2</v>
      </c>
      <c r="J153" s="295">
        <v>4.4045933531809078E-2</v>
      </c>
      <c r="K153" s="295">
        <v>9.7762119953825888E-3</v>
      </c>
      <c r="L153" s="295">
        <v>-9.1431176531419078E-3</v>
      </c>
      <c r="M153" s="295">
        <v>-9.5812055735362556E-3</v>
      </c>
      <c r="N153" s="296">
        <v>-1.1342313014000016E-2</v>
      </c>
    </row>
    <row r="154" spans="1:14" x14ac:dyDescent="0.2">
      <c r="A154" s="268"/>
      <c r="B154" s="269"/>
      <c r="C154" s="269"/>
      <c r="D154" s="269"/>
      <c r="E154" s="269"/>
      <c r="F154" s="269"/>
      <c r="G154" s="269"/>
      <c r="H154" s="297"/>
      <c r="I154" s="294"/>
      <c r="J154" s="295"/>
      <c r="K154" s="295"/>
      <c r="L154" s="295"/>
      <c r="M154" s="295"/>
      <c r="N154" s="296"/>
    </row>
    <row r="155" spans="1:14" ht="13.5" thickBot="1" x14ac:dyDescent="0.25">
      <c r="A155" s="321" t="s">
        <v>9</v>
      </c>
      <c r="B155" s="322">
        <v>31.113699999999991</v>
      </c>
      <c r="C155" s="322">
        <v>28.365257844469831</v>
      </c>
      <c r="D155" s="322">
        <v>26.735263509271469</v>
      </c>
      <c r="E155" s="322">
        <v>24.837814858300451</v>
      </c>
      <c r="F155" s="322">
        <v>23.16161139867264</v>
      </c>
      <c r="G155" s="322">
        <v>21.485407939044823</v>
      </c>
      <c r="H155" s="322">
        <v>19.981558120171254</v>
      </c>
      <c r="I155" s="298">
        <v>-9.205681430726087E-3</v>
      </c>
      <c r="J155" s="299">
        <v>-1.1766557446695525E-2</v>
      </c>
      <c r="K155" s="299">
        <v>-1.4615371293005164E-2</v>
      </c>
      <c r="L155" s="299">
        <v>-1.3877025421783595E-2</v>
      </c>
      <c r="M155" s="299">
        <v>-1.4912140746523694E-2</v>
      </c>
      <c r="N155" s="300">
        <v>-1.4408046211558778E-2</v>
      </c>
    </row>
    <row r="156" spans="1:14" x14ac:dyDescent="0.2">
      <c r="A156" s="282"/>
      <c r="B156" s="258"/>
      <c r="C156" s="258"/>
      <c r="D156" s="258"/>
      <c r="E156" s="258"/>
      <c r="F156" s="258"/>
    </row>
    <row r="157" spans="1:14" x14ac:dyDescent="0.2">
      <c r="A157" s="282"/>
      <c r="B157" s="258"/>
      <c r="C157" s="258"/>
      <c r="D157" s="258"/>
      <c r="E157" s="258"/>
      <c r="F157" s="258"/>
    </row>
    <row r="158" spans="1:14" ht="16.5" thickBot="1" x14ac:dyDescent="0.3">
      <c r="A158" s="125" t="s">
        <v>417</v>
      </c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</row>
    <row r="159" spans="1:14" ht="13.5" thickBot="1" x14ac:dyDescent="0.25">
      <c r="A159" s="324" t="s">
        <v>64</v>
      </c>
      <c r="B159" s="265">
        <v>2000</v>
      </c>
      <c r="C159" s="265">
        <v>2010</v>
      </c>
      <c r="D159" s="265">
        <v>2015</v>
      </c>
      <c r="E159" s="265">
        <v>2020</v>
      </c>
      <c r="F159" s="265">
        <v>2025</v>
      </c>
      <c r="G159" s="265">
        <v>2030</v>
      </c>
      <c r="H159" s="265">
        <v>2035</v>
      </c>
      <c r="I159" s="284" t="s">
        <v>372</v>
      </c>
      <c r="J159" s="285" t="s">
        <v>373</v>
      </c>
      <c r="K159" s="285" t="s">
        <v>374</v>
      </c>
      <c r="L159" s="285" t="s">
        <v>375</v>
      </c>
      <c r="M159" s="285" t="s">
        <v>376</v>
      </c>
      <c r="N159" s="286" t="s">
        <v>377</v>
      </c>
    </row>
    <row r="160" spans="1:14" x14ac:dyDescent="0.2">
      <c r="A160" s="268" t="s">
        <v>68</v>
      </c>
      <c r="B160" s="269">
        <v>0.94489677322734855</v>
      </c>
      <c r="C160" s="269">
        <v>0.63678268510161529</v>
      </c>
      <c r="D160" s="269">
        <v>0.42611524536303996</v>
      </c>
      <c r="E160" s="269">
        <v>0.35088352427825625</v>
      </c>
      <c r="F160" s="269">
        <v>0.31886117126951657</v>
      </c>
      <c r="G160" s="269">
        <v>0.2868388182607769</v>
      </c>
      <c r="H160" s="269">
        <v>0.26228918964916903</v>
      </c>
      <c r="I160" s="289">
        <v>-3.8696135956916677E-2</v>
      </c>
      <c r="J160" s="290">
        <v>-7.7200893558336481E-2</v>
      </c>
      <c r="K160" s="290">
        <v>-3.8106077429401863E-2</v>
      </c>
      <c r="L160" s="290">
        <v>-1.895770295378485E-2</v>
      </c>
      <c r="M160" s="290">
        <v>-2.0944621664323648E-2</v>
      </c>
      <c r="N160" s="291">
        <v>-1.7735398568273775E-2</v>
      </c>
    </row>
    <row r="161" spans="1:14" x14ac:dyDescent="0.2">
      <c r="A161" s="268" t="s">
        <v>245</v>
      </c>
      <c r="B161" s="269">
        <v>1.2009958986623404</v>
      </c>
      <c r="C161" s="269">
        <v>1.5622082139400408</v>
      </c>
      <c r="D161" s="269">
        <v>1.6435762642212846</v>
      </c>
      <c r="E161" s="269">
        <v>1.6531331875913371</v>
      </c>
      <c r="F161" s="269">
        <v>1.6919610240502259</v>
      </c>
      <c r="G161" s="269">
        <v>1.7307888605091144</v>
      </c>
      <c r="H161" s="269">
        <v>1.7565856965419859</v>
      </c>
      <c r="I161" s="294">
        <v>2.6643683017474773E-2</v>
      </c>
      <c r="J161" s="295">
        <v>1.0206570203982412E-2</v>
      </c>
      <c r="K161" s="295">
        <v>1.1602470185942959E-3</v>
      </c>
      <c r="L161" s="295">
        <v>4.6539635322513373E-3</v>
      </c>
      <c r="M161" s="295">
        <v>4.548125032168393E-3</v>
      </c>
      <c r="N161" s="296">
        <v>2.9633192680269538E-3</v>
      </c>
    </row>
    <row r="162" spans="1:14" x14ac:dyDescent="0.2">
      <c r="A162" s="268" t="s">
        <v>40</v>
      </c>
      <c r="B162" s="269">
        <v>7.2999750709700946E-3</v>
      </c>
      <c r="C162" s="269">
        <v>4.9195826026476779E-3</v>
      </c>
      <c r="D162" s="269">
        <v>3.2920322691821265E-3</v>
      </c>
      <c r="E162" s="269">
        <v>2.7108156706860728E-3</v>
      </c>
      <c r="F162" s="269">
        <v>2.4634210501296122E-3</v>
      </c>
      <c r="G162" s="269">
        <v>2.2160264295731516E-3</v>
      </c>
      <c r="H162" s="269">
        <v>2.0263637257264618E-3</v>
      </c>
      <c r="I162" s="294">
        <v>-3.8696135956916677E-2</v>
      </c>
      <c r="J162" s="295">
        <v>-7.7200893558336481E-2</v>
      </c>
      <c r="K162" s="295">
        <v>-3.8106077429401863E-2</v>
      </c>
      <c r="L162" s="295">
        <v>-1.895770295378485E-2</v>
      </c>
      <c r="M162" s="295">
        <v>-2.0944621664323648E-2</v>
      </c>
      <c r="N162" s="296">
        <v>-1.7735398568273775E-2</v>
      </c>
    </row>
    <row r="163" spans="1:14" x14ac:dyDescent="0.2">
      <c r="A163" s="268" t="s">
        <v>53</v>
      </c>
      <c r="B163" s="269">
        <v>0.1590994566837455</v>
      </c>
      <c r="C163" s="269">
        <v>0.10721994412071859</v>
      </c>
      <c r="D163" s="269">
        <v>7.390071288324418E-2</v>
      </c>
      <c r="E163" s="269">
        <v>6.2034974228282455E-2</v>
      </c>
      <c r="F163" s="269">
        <v>5.709799323336695E-2</v>
      </c>
      <c r="G163" s="269">
        <v>5.2161012238451446E-2</v>
      </c>
      <c r="H163" s="269">
        <v>4.8138352185172227E-2</v>
      </c>
      <c r="I163" s="294">
        <v>-3.8696135956916677E-2</v>
      </c>
      <c r="J163" s="295">
        <v>-7.1729369063398885E-2</v>
      </c>
      <c r="K163" s="295">
        <v>-3.4399247227686724E-2</v>
      </c>
      <c r="L163" s="295">
        <v>-1.6449082773240198E-2</v>
      </c>
      <c r="M163" s="295">
        <v>-1.7924146268928576E-2</v>
      </c>
      <c r="N163" s="296">
        <v>-1.5923089928437384E-2</v>
      </c>
    </row>
    <row r="164" spans="1:14" x14ac:dyDescent="0.2">
      <c r="A164" s="268" t="s">
        <v>54</v>
      </c>
      <c r="B164" s="269">
        <v>1.5421947334863124</v>
      </c>
      <c r="C164" s="269">
        <v>1.7098830385400619</v>
      </c>
      <c r="D164" s="269">
        <v>1.8935219796966698</v>
      </c>
      <c r="E164" s="269">
        <v>2.0297036351412587</v>
      </c>
      <c r="F164" s="269">
        <v>2.1076781734477135</v>
      </c>
      <c r="G164" s="269">
        <v>2.1856527117541682</v>
      </c>
      <c r="H164" s="269">
        <v>2.2618701900576004</v>
      </c>
      <c r="I164" s="294">
        <v>1.0375295581884547E-2</v>
      </c>
      <c r="J164" s="295">
        <v>2.0612279599511618E-2</v>
      </c>
      <c r="K164" s="295">
        <v>1.3987160355836359E-2</v>
      </c>
      <c r="L164" s="295">
        <v>7.5679250850919644E-3</v>
      </c>
      <c r="M164" s="295">
        <v>7.2919694615671826E-3</v>
      </c>
      <c r="N164" s="296">
        <v>6.8790488953476281E-3</v>
      </c>
    </row>
    <row r="165" spans="1:14" x14ac:dyDescent="0.2">
      <c r="A165" s="268" t="s">
        <v>55</v>
      </c>
      <c r="B165" s="269">
        <v>0.30909894444340497</v>
      </c>
      <c r="C165" s="269">
        <v>0.21844290547643369</v>
      </c>
      <c r="D165" s="269">
        <v>0.28816167605141729</v>
      </c>
      <c r="E165" s="269">
        <v>0.32159692946105001</v>
      </c>
      <c r="F165" s="269">
        <v>0.33170299624407529</v>
      </c>
      <c r="G165" s="269">
        <v>0.34180906302710051</v>
      </c>
      <c r="H165" s="269">
        <v>0.35338336772358414</v>
      </c>
      <c r="I165" s="294">
        <v>-3.411806776370041E-2</v>
      </c>
      <c r="J165" s="295">
        <v>5.6962685417034198E-2</v>
      </c>
      <c r="K165" s="295">
        <v>2.2198253061877171E-2</v>
      </c>
      <c r="L165" s="295">
        <v>6.2073843210568302E-3</v>
      </c>
      <c r="M165" s="295">
        <v>6.0205122717744697E-3</v>
      </c>
      <c r="N165" s="296">
        <v>6.6824705853798516E-3</v>
      </c>
    </row>
    <row r="166" spans="1:14" x14ac:dyDescent="0.2">
      <c r="A166" s="268" t="s">
        <v>156</v>
      </c>
      <c r="B166" s="269">
        <v>0</v>
      </c>
      <c r="C166" s="287">
        <v>5.7087258583804541E-2</v>
      </c>
      <c r="D166" s="287">
        <v>7.0170020692295706E-2</v>
      </c>
      <c r="E166" s="287">
        <v>9.3417322119472179E-2</v>
      </c>
      <c r="F166" s="287">
        <v>0.11704294965060615</v>
      </c>
      <c r="G166" s="287">
        <v>0.14066857718174011</v>
      </c>
      <c r="H166" s="287">
        <v>0.16593492135037952</v>
      </c>
      <c r="I166" s="294"/>
      <c r="J166" s="295">
        <v>4.2131404041830578E-2</v>
      </c>
      <c r="K166" s="295">
        <v>5.8900520614648011E-2</v>
      </c>
      <c r="L166" s="295">
        <v>4.612497110794278E-2</v>
      </c>
      <c r="M166" s="295">
        <v>3.7457625849405041E-2</v>
      </c>
      <c r="N166" s="296">
        <v>3.3589621480894838E-2</v>
      </c>
    </row>
    <row r="167" spans="1:14" x14ac:dyDescent="0.2">
      <c r="A167" s="268" t="s">
        <v>416</v>
      </c>
      <c r="B167" s="269">
        <v>0</v>
      </c>
      <c r="C167" s="269">
        <v>0</v>
      </c>
      <c r="D167" s="269">
        <v>0</v>
      </c>
      <c r="E167" s="269">
        <v>0</v>
      </c>
      <c r="F167" s="269">
        <v>0</v>
      </c>
      <c r="G167" s="269">
        <v>0</v>
      </c>
      <c r="H167" s="269">
        <v>0</v>
      </c>
      <c r="I167" s="294"/>
      <c r="J167" s="295"/>
      <c r="K167" s="295"/>
      <c r="L167" s="295"/>
      <c r="M167" s="295"/>
      <c r="N167" s="296"/>
    </row>
    <row r="168" spans="1:14" x14ac:dyDescent="0.2">
      <c r="A168" s="268"/>
      <c r="B168" s="269"/>
      <c r="C168" s="269"/>
      <c r="D168" s="269"/>
      <c r="E168" s="269"/>
      <c r="F168" s="269"/>
      <c r="G168" s="269"/>
      <c r="H168" s="269"/>
      <c r="I168" s="294"/>
      <c r="J168" s="295"/>
      <c r="K168" s="295"/>
      <c r="L168" s="295"/>
      <c r="M168" s="295"/>
      <c r="N168" s="296"/>
    </row>
    <row r="169" spans="1:14" ht="13.5" thickBot="1" x14ac:dyDescent="0.25">
      <c r="A169" s="321" t="s">
        <v>9</v>
      </c>
      <c r="B169" s="322">
        <v>4.1635857815741213</v>
      </c>
      <c r="C169" s="322">
        <v>4.2965436283653222</v>
      </c>
      <c r="D169" s="322">
        <v>4.3987379311771342</v>
      </c>
      <c r="E169" s="322">
        <v>4.5134803884903425</v>
      </c>
      <c r="F169" s="322">
        <v>4.6268077289456331</v>
      </c>
      <c r="G169" s="322">
        <v>4.7401350694009254</v>
      </c>
      <c r="H169" s="322">
        <v>4.8502280812336167</v>
      </c>
      <c r="I169" s="298">
        <v>3.1483679723585123E-3</v>
      </c>
      <c r="J169" s="299">
        <v>4.7124234754800653E-3</v>
      </c>
      <c r="K169" s="299">
        <v>5.163463910925481E-3</v>
      </c>
      <c r="L169" s="299">
        <v>4.9720386131009153E-3</v>
      </c>
      <c r="M169" s="299">
        <v>4.8514254496656584E-3</v>
      </c>
      <c r="N169" s="300">
        <v>4.6025794701072265E-3</v>
      </c>
    </row>
    <row r="170" spans="1:14" x14ac:dyDescent="0.2">
      <c r="A170" s="282"/>
      <c r="B170" s="258"/>
      <c r="C170" s="258"/>
      <c r="D170" s="258"/>
      <c r="E170" s="258"/>
      <c r="F170" s="258"/>
    </row>
    <row r="171" spans="1:14" x14ac:dyDescent="0.2">
      <c r="B171" s="258"/>
      <c r="C171" s="258"/>
      <c r="D171" s="258"/>
      <c r="E171" s="258"/>
      <c r="F171" s="258"/>
    </row>
    <row r="172" spans="1:14" ht="16.5" thickBot="1" x14ac:dyDescent="0.3">
      <c r="A172" s="125" t="s">
        <v>418</v>
      </c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</row>
    <row r="173" spans="1:14" ht="13.5" thickBot="1" x14ac:dyDescent="0.25">
      <c r="A173" s="264"/>
      <c r="B173" s="265">
        <v>2000</v>
      </c>
      <c r="C173" s="265">
        <v>2010</v>
      </c>
      <c r="D173" s="265">
        <v>2015</v>
      </c>
      <c r="E173" s="265">
        <v>2020</v>
      </c>
      <c r="F173" s="265">
        <v>2025</v>
      </c>
      <c r="G173" s="265">
        <v>2030</v>
      </c>
      <c r="H173" s="265">
        <v>2035</v>
      </c>
      <c r="I173" s="284" t="s">
        <v>372</v>
      </c>
      <c r="J173" s="285" t="s">
        <v>373</v>
      </c>
      <c r="K173" s="285" t="s">
        <v>374</v>
      </c>
      <c r="L173" s="285" t="s">
        <v>375</v>
      </c>
      <c r="M173" s="285" t="s">
        <v>376</v>
      </c>
      <c r="N173" s="286" t="s">
        <v>377</v>
      </c>
    </row>
    <row r="174" spans="1:14" x14ac:dyDescent="0.2">
      <c r="A174" s="268" t="s">
        <v>419</v>
      </c>
      <c r="B174" s="325">
        <v>24.33355382834463</v>
      </c>
      <c r="C174" s="325">
        <v>27.258284432075808</v>
      </c>
      <c r="D174" s="325">
        <v>28.45213652530791</v>
      </c>
      <c r="E174" s="325">
        <v>29.633685011213821</v>
      </c>
      <c r="F174" s="325">
        <v>30.77381007286229</v>
      </c>
      <c r="G174" s="325">
        <v>31.913935134510755</v>
      </c>
      <c r="H174" s="325">
        <v>33.033724053322445</v>
      </c>
      <c r="I174" s="294">
        <v>1.1414784778171372E-2</v>
      </c>
      <c r="J174" s="295">
        <v>8.6100076287392024E-3</v>
      </c>
      <c r="K174" s="295">
        <v>8.1708942489826519E-3</v>
      </c>
      <c r="L174" s="295">
        <v>7.5790334794016978E-3</v>
      </c>
      <c r="M174" s="295">
        <v>7.3022818803716305E-3</v>
      </c>
      <c r="N174" s="296">
        <v>6.921086413608224E-3</v>
      </c>
    </row>
    <row r="175" spans="1:14" x14ac:dyDescent="0.2">
      <c r="A175" s="268" t="s">
        <v>402</v>
      </c>
      <c r="B175" s="274">
        <v>3.2106407750773072E-2</v>
      </c>
      <c r="C175" s="274">
        <v>3.2387644471581489E-2</v>
      </c>
      <c r="D175" s="274">
        <v>3.3344333750908929E-2</v>
      </c>
      <c r="E175" s="274">
        <v>3.1772425173000531E-2</v>
      </c>
      <c r="F175" s="274">
        <v>2.8949423396230183E-2</v>
      </c>
      <c r="G175" s="274">
        <v>2.6126421619459831E-2</v>
      </c>
      <c r="H175" s="274">
        <v>2.3879099831149084E-2</v>
      </c>
      <c r="I175" s="294">
        <v>8.7251822072009766E-4</v>
      </c>
      <c r="J175" s="295">
        <v>5.8391515325724175E-3</v>
      </c>
      <c r="K175" s="295">
        <v>-9.6113280237851706E-3</v>
      </c>
      <c r="L175" s="295">
        <v>-1.8437607549117829E-2</v>
      </c>
      <c r="M175" s="295">
        <v>-2.0311517006081137E-2</v>
      </c>
      <c r="N175" s="296">
        <v>-1.7827875555127326E-2</v>
      </c>
    </row>
    <row r="176" spans="1:14" x14ac:dyDescent="0.2">
      <c r="A176" s="268" t="s">
        <v>420</v>
      </c>
      <c r="B176" s="326">
        <v>0.72242521954134209</v>
      </c>
      <c r="C176" s="326">
        <v>0.66283166702806617</v>
      </c>
      <c r="D176" s="326">
        <v>0.62337964197127571</v>
      </c>
      <c r="E176" s="326">
        <v>0.58521926307610073</v>
      </c>
      <c r="F176" s="326">
        <v>0.55002491212525539</v>
      </c>
      <c r="G176" s="326">
        <v>0.51483056117441006</v>
      </c>
      <c r="H176" s="326">
        <v>0.48341192224572849</v>
      </c>
      <c r="I176" s="294">
        <v>-8.5723312504076832E-3</v>
      </c>
      <c r="J176" s="295">
        <v>-1.2198063383005886E-2</v>
      </c>
      <c r="K176" s="295">
        <v>-1.2554353196731372E-2</v>
      </c>
      <c r="L176" s="295">
        <v>-1.2327982798307935E-2</v>
      </c>
      <c r="M176" s="295">
        <v>-1.3138078575368306E-2</v>
      </c>
      <c r="N176" s="296">
        <v>-1.2514772255054152E-2</v>
      </c>
    </row>
    <row r="177" spans="1:14" x14ac:dyDescent="0.2">
      <c r="A177" s="268" t="s">
        <v>421</v>
      </c>
      <c r="B177" s="327">
        <v>2056.8195958246147</v>
      </c>
      <c r="C177" s="327">
        <v>2399.4220030217903</v>
      </c>
      <c r="D177" s="327">
        <v>2359.537293336371</v>
      </c>
      <c r="E177" s="327">
        <v>2342.7516769159397</v>
      </c>
      <c r="F177" s="327">
        <v>2277.6661014841684</v>
      </c>
      <c r="G177" s="327">
        <v>2212.5805260523971</v>
      </c>
      <c r="H177" s="327">
        <v>2141.2439642720569</v>
      </c>
      <c r="I177" s="294">
        <v>1.5525992220845275E-2</v>
      </c>
      <c r="J177" s="295">
        <v>-3.3468544757281338E-3</v>
      </c>
      <c r="K177" s="295">
        <v>-1.4268548448982399E-3</v>
      </c>
      <c r="L177" s="295">
        <v>-5.6191312552449357E-3</v>
      </c>
      <c r="M177" s="295">
        <v>-5.7815791303206243E-3</v>
      </c>
      <c r="N177" s="296">
        <v>-6.5330743315832329E-3</v>
      </c>
    </row>
    <row r="178" spans="1:14" ht="13.5" thickBot="1" x14ac:dyDescent="0.25">
      <c r="A178" s="277" t="s">
        <v>422</v>
      </c>
      <c r="B178" s="328">
        <v>4.9759384758160351E-2</v>
      </c>
      <c r="C178" s="328">
        <v>4.1303685186419928E-2</v>
      </c>
      <c r="D178" s="328">
        <v>3.8556818418415059E-2</v>
      </c>
      <c r="E178" s="328">
        <v>3.4160242138243216E-2</v>
      </c>
      <c r="F178" s="328">
        <v>3.0175281384017021E-2</v>
      </c>
      <c r="G178" s="328">
        <v>2.6190320629790827E-2</v>
      </c>
      <c r="H178" s="328">
        <v>2.3218498171431602E-2</v>
      </c>
      <c r="I178" s="298">
        <v>-1.8452367221599264E-2</v>
      </c>
      <c r="J178" s="299">
        <v>-1.3669466466347813E-2</v>
      </c>
      <c r="K178" s="299">
        <v>-2.3923290480335369E-2</v>
      </c>
      <c r="L178" s="299">
        <v>-2.4502686649208738E-2</v>
      </c>
      <c r="M178" s="299">
        <v>-2.7929200539399845E-2</v>
      </c>
      <c r="N178" s="300">
        <v>-2.3800317714996244E-2</v>
      </c>
    </row>
    <row r="179" spans="1:14" x14ac:dyDescent="0.2">
      <c r="A179" s="318"/>
      <c r="G179" s="257"/>
    </row>
    <row r="180" spans="1:14" x14ac:dyDescent="0.2">
      <c r="G180" s="257"/>
    </row>
    <row r="181" spans="1:14" ht="21" x14ac:dyDescent="0.35">
      <c r="A181" s="124" t="s">
        <v>423</v>
      </c>
      <c r="B181" s="319"/>
      <c r="C181" s="319"/>
      <c r="D181" s="319"/>
      <c r="E181" s="319"/>
      <c r="F181" s="319"/>
      <c r="G181" s="319"/>
      <c r="H181" s="320"/>
      <c r="I181" s="320"/>
      <c r="J181" s="320"/>
      <c r="K181" s="320"/>
      <c r="L181" s="320"/>
      <c r="M181" s="320"/>
      <c r="N181" s="320"/>
    </row>
    <row r="182" spans="1:14" x14ac:dyDescent="0.2">
      <c r="G182" s="257"/>
    </row>
    <row r="183" spans="1:14" ht="16.5" thickBot="1" x14ac:dyDescent="0.3">
      <c r="A183" s="125" t="s">
        <v>424</v>
      </c>
      <c r="B183" s="126"/>
      <c r="C183" s="126"/>
      <c r="D183" s="126"/>
      <c r="E183" s="126"/>
      <c r="F183" s="127"/>
      <c r="G183" s="126"/>
      <c r="H183" s="126"/>
      <c r="I183" s="126"/>
      <c r="J183" s="126"/>
      <c r="K183" s="126"/>
      <c r="L183" s="126"/>
      <c r="M183" s="126"/>
      <c r="N183" s="126"/>
    </row>
    <row r="184" spans="1:14" ht="13.5" thickBot="1" x14ac:dyDescent="0.25">
      <c r="A184" s="315" t="s">
        <v>64</v>
      </c>
      <c r="B184" s="265">
        <v>2000</v>
      </c>
      <c r="C184" s="265">
        <v>2010</v>
      </c>
      <c r="D184" s="265">
        <v>2015</v>
      </c>
      <c r="E184" s="265">
        <v>2020</v>
      </c>
      <c r="F184" s="265">
        <v>2025</v>
      </c>
      <c r="G184" s="265">
        <v>2030</v>
      </c>
      <c r="H184" s="265">
        <v>2035</v>
      </c>
      <c r="I184" s="284" t="s">
        <v>372</v>
      </c>
      <c r="J184" s="285" t="s">
        <v>373</v>
      </c>
      <c r="K184" s="285" t="s">
        <v>374</v>
      </c>
      <c r="L184" s="285" t="s">
        <v>375</v>
      </c>
      <c r="M184" s="285" t="s">
        <v>376</v>
      </c>
      <c r="N184" s="286" t="s">
        <v>377</v>
      </c>
    </row>
    <row r="185" spans="1:14" x14ac:dyDescent="0.2">
      <c r="A185" s="268" t="s">
        <v>51</v>
      </c>
      <c r="B185" s="269">
        <v>3.9252000000000011</v>
      </c>
      <c r="C185" s="269">
        <v>3.0055208628877983</v>
      </c>
      <c r="D185" s="269">
        <v>2.6327417808351044</v>
      </c>
      <c r="E185" s="269">
        <v>2.360803988364264</v>
      </c>
      <c r="F185" s="269">
        <v>2.2320945167530333</v>
      </c>
      <c r="G185" s="269">
        <v>2.1033850451418026</v>
      </c>
      <c r="H185" s="269">
        <v>2.0100917520817996</v>
      </c>
      <c r="I185" s="289">
        <v>-2.6343436794259101E-2</v>
      </c>
      <c r="J185" s="290">
        <v>-2.6137363850301965E-2</v>
      </c>
      <c r="K185" s="290">
        <v>-2.1568709930525176E-2</v>
      </c>
      <c r="L185" s="290">
        <v>-1.1149744510559167E-2</v>
      </c>
      <c r="M185" s="290">
        <v>-1.1808212650389671E-2</v>
      </c>
      <c r="N185" s="291">
        <v>-9.0324807090260695E-3</v>
      </c>
    </row>
    <row r="186" spans="1:14" x14ac:dyDescent="0.2">
      <c r="A186" s="268" t="s">
        <v>245</v>
      </c>
      <c r="B186" s="269">
        <v>5.8057999999999996</v>
      </c>
      <c r="C186" s="269">
        <v>6.3677366012280903</v>
      </c>
      <c r="D186" s="269">
        <v>6.0272664281076604</v>
      </c>
      <c r="E186" s="269">
        <v>5.7156374581256841</v>
      </c>
      <c r="F186" s="269">
        <v>5.5570414733330313</v>
      </c>
      <c r="G186" s="269">
        <v>5.3984454885403785</v>
      </c>
      <c r="H186" s="269">
        <v>5.2251679109392546</v>
      </c>
      <c r="I186" s="294">
        <v>9.2814749027030352E-3</v>
      </c>
      <c r="J186" s="295">
        <v>-1.0929930573627233E-2</v>
      </c>
      <c r="K186" s="295">
        <v>-1.0561382189476665E-2</v>
      </c>
      <c r="L186" s="295">
        <v>-5.6121874504688751E-3</v>
      </c>
      <c r="M186" s="295">
        <v>-5.7742282695126823E-3</v>
      </c>
      <c r="N186" s="296">
        <v>-6.5035808226155956E-3</v>
      </c>
    </row>
    <row r="187" spans="1:14" x14ac:dyDescent="0.2">
      <c r="A187" s="268" t="s">
        <v>40</v>
      </c>
      <c r="B187" s="269">
        <v>0.16000000000000003</v>
      </c>
      <c r="C187" s="269">
        <v>0.11972562021863667</v>
      </c>
      <c r="D187" s="269">
        <v>0.10440318161400114</v>
      </c>
      <c r="E187" s="269">
        <v>9.3431239059703408E-2</v>
      </c>
      <c r="F187" s="269">
        <v>8.8307251767389822E-2</v>
      </c>
      <c r="G187" s="269">
        <v>8.3183264475076235E-2</v>
      </c>
      <c r="H187" s="269">
        <v>7.9486371705118838E-2</v>
      </c>
      <c r="I187" s="294">
        <v>-2.8580736748191726E-2</v>
      </c>
      <c r="J187" s="295">
        <v>-2.7016831271729269E-2</v>
      </c>
      <c r="K187" s="295">
        <v>-2.1962121494005227E-2</v>
      </c>
      <c r="L187" s="295">
        <v>-1.1217316212088768E-2</v>
      </c>
      <c r="M187" s="295">
        <v>-1.1884030662088985E-2</v>
      </c>
      <c r="N187" s="296">
        <v>-9.0509111833934064E-3</v>
      </c>
    </row>
    <row r="188" spans="1:14" x14ac:dyDescent="0.2">
      <c r="A188" s="268" t="s">
        <v>378</v>
      </c>
      <c r="B188" s="269">
        <v>9.490269116536</v>
      </c>
      <c r="C188" s="269">
        <v>11.931819301298244</v>
      </c>
      <c r="D188" s="269">
        <v>12.355656206046149</v>
      </c>
      <c r="E188" s="269">
        <v>12.8644906440834</v>
      </c>
      <c r="F188" s="269">
        <v>13.230593815472593</v>
      </c>
      <c r="G188" s="269">
        <v>13.596696986861787</v>
      </c>
      <c r="H188" s="269">
        <v>13.964994696699854</v>
      </c>
      <c r="I188" s="294">
        <v>2.3158258337685478E-2</v>
      </c>
      <c r="J188" s="295">
        <v>7.0054699263353282E-3</v>
      </c>
      <c r="K188" s="295">
        <v>8.1040417965945188E-3</v>
      </c>
      <c r="L188" s="295">
        <v>5.6279796179166119E-3</v>
      </c>
      <c r="M188" s="295">
        <v>5.473934227953281E-3</v>
      </c>
      <c r="N188" s="296">
        <v>5.3596970619982365E-3</v>
      </c>
    </row>
    <row r="189" spans="1:14" x14ac:dyDescent="0.2">
      <c r="A189" s="268" t="s">
        <v>55</v>
      </c>
      <c r="B189" s="269">
        <v>0.86219999999999997</v>
      </c>
      <c r="C189" s="269">
        <v>0.85589862818256401</v>
      </c>
      <c r="D189" s="269">
        <v>0.82357687508100197</v>
      </c>
      <c r="E189" s="269">
        <v>0.7996630789297321</v>
      </c>
      <c r="F189" s="269">
        <v>0.77521738223854864</v>
      </c>
      <c r="G189" s="269">
        <v>0.75077168554736518</v>
      </c>
      <c r="H189" s="269">
        <v>0.72470363803104765</v>
      </c>
      <c r="I189" s="294">
        <v>-7.3326285174968309E-4</v>
      </c>
      <c r="J189" s="295">
        <v>-7.6694479803695037E-3</v>
      </c>
      <c r="K189" s="295">
        <v>-5.8759505345870044E-3</v>
      </c>
      <c r="L189" s="295">
        <v>-6.1901623882879564E-3</v>
      </c>
      <c r="M189" s="295">
        <v>-6.3878884577924788E-3</v>
      </c>
      <c r="N189" s="296">
        <v>-7.0428412238526805E-3</v>
      </c>
    </row>
    <row r="190" spans="1:14" x14ac:dyDescent="0.2">
      <c r="A190" s="268" t="s">
        <v>425</v>
      </c>
      <c r="B190" s="269">
        <v>0.32350000000000001</v>
      </c>
      <c r="C190" s="269">
        <v>0.32874050670152954</v>
      </c>
      <c r="D190" s="269">
        <v>0.55210573008444785</v>
      </c>
      <c r="E190" s="269">
        <v>0.77494648655068832</v>
      </c>
      <c r="F190" s="269">
        <v>0.75811009054943135</v>
      </c>
      <c r="G190" s="269">
        <v>0.74127369454817449</v>
      </c>
      <c r="H190" s="269">
        <v>0.72487691309142932</v>
      </c>
      <c r="I190" s="294">
        <v>1.6082510689103824E-3</v>
      </c>
      <c r="J190" s="295">
        <v>0.10926116031751687</v>
      </c>
      <c r="K190" s="295">
        <v>7.0162902146786443E-2</v>
      </c>
      <c r="L190" s="295">
        <v>-4.3834373843264496E-3</v>
      </c>
      <c r="M190" s="295">
        <v>-4.4816667896129259E-3</v>
      </c>
      <c r="N190" s="296">
        <v>-4.4636183258591755E-3</v>
      </c>
    </row>
    <row r="191" spans="1:14" x14ac:dyDescent="0.2">
      <c r="A191" s="268"/>
      <c r="B191" s="269"/>
      <c r="C191" s="269"/>
      <c r="D191" s="269"/>
      <c r="E191" s="269"/>
      <c r="F191" s="269"/>
      <c r="G191" s="269"/>
      <c r="H191" s="269"/>
      <c r="I191" s="294"/>
      <c r="J191" s="295"/>
      <c r="K191" s="295"/>
      <c r="L191" s="295"/>
      <c r="M191" s="295"/>
      <c r="N191" s="296"/>
    </row>
    <row r="192" spans="1:14" ht="13.5" thickBot="1" x14ac:dyDescent="0.25">
      <c r="A192" s="277" t="s">
        <v>9</v>
      </c>
      <c r="B192" s="278">
        <v>20.566969116536004</v>
      </c>
      <c r="C192" s="278">
        <v>22.60944152051686</v>
      </c>
      <c r="D192" s="278">
        <v>22.495750201768367</v>
      </c>
      <c r="E192" s="278">
        <v>22.608972895113475</v>
      </c>
      <c r="F192" s="278">
        <v>22.641364530114025</v>
      </c>
      <c r="G192" s="278">
        <v>22.673756165114582</v>
      </c>
      <c r="H192" s="278">
        <v>22.729321282548504</v>
      </c>
      <c r="I192" s="298">
        <v>9.5130882282901119E-3</v>
      </c>
      <c r="J192" s="299">
        <v>-1.0077266988319789E-3</v>
      </c>
      <c r="K192" s="299">
        <v>1.0045936246232401E-3</v>
      </c>
      <c r="L192" s="299">
        <v>2.8637380593310446E-4</v>
      </c>
      <c r="M192" s="299">
        <v>2.8596434238070678E-4</v>
      </c>
      <c r="N192" s="300">
        <v>4.8964740588997024E-4</v>
      </c>
    </row>
    <row r="193" spans="1:14" x14ac:dyDescent="0.2">
      <c r="A193" s="282"/>
      <c r="B193" s="258"/>
      <c r="C193" s="258"/>
      <c r="D193" s="258"/>
      <c r="E193" s="258"/>
      <c r="F193" s="258"/>
    </row>
    <row r="194" spans="1:14" x14ac:dyDescent="0.2">
      <c r="A194" s="282"/>
      <c r="B194" s="258"/>
      <c r="C194" s="258"/>
      <c r="D194" s="258"/>
      <c r="E194" s="258"/>
      <c r="F194" s="258"/>
    </row>
    <row r="195" spans="1:14" ht="16.5" thickBot="1" x14ac:dyDescent="0.3">
      <c r="A195" s="125" t="s">
        <v>426</v>
      </c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</row>
    <row r="196" spans="1:14" ht="13.5" thickBot="1" x14ac:dyDescent="0.25">
      <c r="A196" s="315" t="s">
        <v>64</v>
      </c>
      <c r="B196" s="265">
        <v>2000</v>
      </c>
      <c r="C196" s="265">
        <v>2010</v>
      </c>
      <c r="D196" s="265">
        <v>2015</v>
      </c>
      <c r="E196" s="265">
        <v>2020</v>
      </c>
      <c r="F196" s="265">
        <v>2025</v>
      </c>
      <c r="G196" s="265">
        <v>2030</v>
      </c>
      <c r="H196" s="265">
        <v>2035</v>
      </c>
      <c r="I196" s="284" t="s">
        <v>372</v>
      </c>
      <c r="J196" s="285" t="s">
        <v>373</v>
      </c>
      <c r="K196" s="285" t="s">
        <v>374</v>
      </c>
      <c r="L196" s="285" t="s">
        <v>375</v>
      </c>
      <c r="M196" s="285" t="s">
        <v>376</v>
      </c>
      <c r="N196" s="286" t="s">
        <v>377</v>
      </c>
    </row>
    <row r="197" spans="1:14" x14ac:dyDescent="0.2">
      <c r="A197" s="268" t="s">
        <v>408</v>
      </c>
      <c r="B197" s="269">
        <v>9.6644564868936502</v>
      </c>
      <c r="C197" s="269">
        <v>9.3310124249304245</v>
      </c>
      <c r="D197" s="269">
        <v>8.8798685800551524</v>
      </c>
      <c r="E197" s="269">
        <v>8.4890728520842895</v>
      </c>
      <c r="F197" s="269">
        <v>8.1283659238251538</v>
      </c>
      <c r="G197" s="269">
        <v>7.7676589955660162</v>
      </c>
      <c r="H197" s="269">
        <v>7.4356962177808583</v>
      </c>
      <c r="I197" s="289">
        <v>-3.5049785783176635E-3</v>
      </c>
      <c r="J197" s="290">
        <v>-9.8623973091325201E-3</v>
      </c>
      <c r="K197" s="290">
        <v>-8.9610022791234423E-3</v>
      </c>
      <c r="L197" s="290">
        <v>-8.6463791256319311E-3</v>
      </c>
      <c r="M197" s="290">
        <v>-9.0371331259879728E-3</v>
      </c>
      <c r="N197" s="291">
        <v>-8.6972809748931956E-3</v>
      </c>
    </row>
    <row r="198" spans="1:14" x14ac:dyDescent="0.2">
      <c r="A198" s="268" t="s">
        <v>427</v>
      </c>
      <c r="B198" s="269">
        <v>3.9348221416348594</v>
      </c>
      <c r="C198" s="269">
        <v>4.2320093179551366</v>
      </c>
      <c r="D198" s="269">
        <v>4.2824906307723047</v>
      </c>
      <c r="E198" s="269">
        <v>4.3993992806058824</v>
      </c>
      <c r="F198" s="269">
        <v>4.4624824944372161</v>
      </c>
      <c r="G198" s="269">
        <v>4.5255657082685508</v>
      </c>
      <c r="H198" s="269">
        <v>4.6175713721352647</v>
      </c>
      <c r="I198" s="294">
        <v>7.3076932732820676E-3</v>
      </c>
      <c r="J198" s="295">
        <v>2.3743878208413172E-3</v>
      </c>
      <c r="K198" s="295">
        <v>5.4011822841459889E-3</v>
      </c>
      <c r="L198" s="295">
        <v>2.8515017819901178E-3</v>
      </c>
      <c r="M198" s="295">
        <v>2.8114173334354842E-3</v>
      </c>
      <c r="N198" s="296">
        <v>4.0333726637911127E-3</v>
      </c>
    </row>
    <row r="199" spans="1:14" x14ac:dyDescent="0.2">
      <c r="A199" s="268" t="s">
        <v>413</v>
      </c>
      <c r="B199" s="269">
        <v>0.80612855876134304</v>
      </c>
      <c r="C199" s="269">
        <v>1.2554434821680749</v>
      </c>
      <c r="D199" s="269">
        <v>1.3623761688192026</v>
      </c>
      <c r="E199" s="269">
        <v>1.4533616773920008</v>
      </c>
      <c r="F199" s="269">
        <v>1.501774131534233</v>
      </c>
      <c r="G199" s="269">
        <v>1.5501865856764649</v>
      </c>
      <c r="H199" s="269">
        <v>1.5836927441933681</v>
      </c>
      <c r="I199" s="294">
        <v>4.5295993775432475E-2</v>
      </c>
      <c r="J199" s="295">
        <v>1.6482659738515482E-2</v>
      </c>
      <c r="K199" s="295">
        <v>1.3013733700386831E-2</v>
      </c>
      <c r="L199" s="295">
        <v>6.5751001374863005E-3</v>
      </c>
      <c r="M199" s="295">
        <v>6.3658037451308491E-3</v>
      </c>
      <c r="N199" s="296">
        <v>4.2859582413898867E-3</v>
      </c>
    </row>
    <row r="200" spans="1:14" x14ac:dyDescent="0.2">
      <c r="A200" s="268" t="s">
        <v>428</v>
      </c>
      <c r="B200" s="269">
        <v>6.1615619292461501</v>
      </c>
      <c r="C200" s="269">
        <v>7.790976295463226</v>
      </c>
      <c r="D200" s="269">
        <v>7.9710148221217052</v>
      </c>
      <c r="E200" s="269">
        <v>8.2671390850312996</v>
      </c>
      <c r="F200" s="269">
        <v>8.5487419803174252</v>
      </c>
      <c r="G200" s="269">
        <v>8.8303448756035507</v>
      </c>
      <c r="H200" s="269">
        <v>9.0923609484390138</v>
      </c>
      <c r="I200" s="294">
        <v>2.3741022938565726E-2</v>
      </c>
      <c r="J200" s="295">
        <v>4.5795816101681375E-3</v>
      </c>
      <c r="K200" s="295">
        <v>7.3220148768193827E-3</v>
      </c>
      <c r="L200" s="295">
        <v>6.7216143425743446E-3</v>
      </c>
      <c r="M200" s="295">
        <v>6.5030407027604209E-3</v>
      </c>
      <c r="N200" s="296">
        <v>5.8652402902588108E-3</v>
      </c>
    </row>
    <row r="201" spans="1:14" x14ac:dyDescent="0.2">
      <c r="A201" s="268"/>
      <c r="B201" s="269"/>
      <c r="C201" s="269"/>
      <c r="D201" s="269"/>
      <c r="E201" s="269"/>
      <c r="F201" s="269"/>
      <c r="G201" s="269"/>
      <c r="H201" s="269"/>
      <c r="I201" s="294"/>
      <c r="J201" s="295"/>
      <c r="K201" s="295"/>
      <c r="L201" s="295"/>
      <c r="M201" s="295"/>
      <c r="N201" s="296"/>
    </row>
    <row r="202" spans="1:14" ht="13.5" thickBot="1" x14ac:dyDescent="0.25">
      <c r="A202" s="277" t="s">
        <v>9</v>
      </c>
      <c r="B202" s="278">
        <v>20.566969116536001</v>
      </c>
      <c r="C202" s="278">
        <v>22.60944152051686</v>
      </c>
      <c r="D202" s="278">
        <v>22.495750201768367</v>
      </c>
      <c r="E202" s="278">
        <v>22.608972895113475</v>
      </c>
      <c r="F202" s="278">
        <v>22.641364530114028</v>
      </c>
      <c r="G202" s="278">
        <v>22.673756165114582</v>
      </c>
      <c r="H202" s="278">
        <v>22.729321282548504</v>
      </c>
      <c r="I202" s="298">
        <v>9.5130882282901119E-3</v>
      </c>
      <c r="J202" s="299">
        <v>-1.0077266988319789E-3</v>
      </c>
      <c r="K202" s="299">
        <v>1.0045936246232401E-3</v>
      </c>
      <c r="L202" s="299">
        <v>2.8637380593332651E-4</v>
      </c>
      <c r="M202" s="299">
        <v>2.8596434238070678E-4</v>
      </c>
      <c r="N202" s="300">
        <v>4.8964740588997024E-4</v>
      </c>
    </row>
    <row r="203" spans="1:14" x14ac:dyDescent="0.2">
      <c r="A203" s="282"/>
      <c r="B203" s="258"/>
      <c r="C203" s="258"/>
      <c r="D203" s="258"/>
      <c r="E203" s="288"/>
      <c r="F203" s="288"/>
      <c r="G203" s="288"/>
      <c r="H203" s="288"/>
    </row>
    <row r="204" spans="1:14" x14ac:dyDescent="0.2">
      <c r="A204" s="282"/>
      <c r="B204" s="258"/>
      <c r="C204" s="258"/>
      <c r="D204" s="258"/>
      <c r="E204" s="288"/>
      <c r="F204" s="288"/>
      <c r="G204" s="288"/>
      <c r="H204" s="288"/>
    </row>
    <row r="205" spans="1:14" ht="16.5" thickBot="1" x14ac:dyDescent="0.3">
      <c r="A205" s="125" t="s">
        <v>429</v>
      </c>
      <c r="B205" s="126"/>
      <c r="C205" s="126"/>
      <c r="D205" s="126"/>
      <c r="E205" s="329"/>
      <c r="F205" s="329"/>
      <c r="G205" s="329"/>
      <c r="H205" s="329"/>
      <c r="I205" s="126"/>
      <c r="J205" s="126"/>
      <c r="K205" s="126"/>
      <c r="L205" s="126"/>
      <c r="M205" s="126"/>
      <c r="N205" s="126"/>
    </row>
    <row r="206" spans="1:14" ht="13.5" thickBot="1" x14ac:dyDescent="0.25">
      <c r="A206" s="315" t="s">
        <v>64</v>
      </c>
      <c r="B206" s="265">
        <v>2000</v>
      </c>
      <c r="C206" s="265">
        <v>2010</v>
      </c>
      <c r="D206" s="265">
        <v>2015</v>
      </c>
      <c r="E206" s="330">
        <v>2020</v>
      </c>
      <c r="F206" s="330">
        <v>2025</v>
      </c>
      <c r="G206" s="330">
        <v>2030</v>
      </c>
      <c r="H206" s="330">
        <v>2035</v>
      </c>
      <c r="I206" s="284" t="s">
        <v>372</v>
      </c>
      <c r="J206" s="285" t="s">
        <v>373</v>
      </c>
      <c r="K206" s="285" t="s">
        <v>374</v>
      </c>
      <c r="L206" s="285" t="s">
        <v>375</v>
      </c>
      <c r="M206" s="285" t="s">
        <v>376</v>
      </c>
      <c r="N206" s="286" t="s">
        <v>377</v>
      </c>
    </row>
    <row r="207" spans="1:14" x14ac:dyDescent="0.2">
      <c r="A207" s="268" t="s">
        <v>51</v>
      </c>
      <c r="B207" s="269">
        <v>3.9252000000000011</v>
      </c>
      <c r="C207" s="269">
        <v>3.0055208628877983</v>
      </c>
      <c r="D207" s="269">
        <v>2.6327417808351044</v>
      </c>
      <c r="E207" s="269">
        <v>2.360803988364264</v>
      </c>
      <c r="F207" s="269">
        <v>2.2320945167530333</v>
      </c>
      <c r="G207" s="269">
        <v>2.1033850451418026</v>
      </c>
      <c r="H207" s="269">
        <v>2.0100917520817996</v>
      </c>
      <c r="I207" s="289">
        <v>-2.6343436794259101E-2</v>
      </c>
      <c r="J207" s="290">
        <v>-2.6137363850301965E-2</v>
      </c>
      <c r="K207" s="290">
        <v>-2.1568709930525176E-2</v>
      </c>
      <c r="L207" s="290">
        <v>-1.1149744510559167E-2</v>
      </c>
      <c r="M207" s="290">
        <v>-1.1808212650389671E-2</v>
      </c>
      <c r="N207" s="291">
        <v>-9.0324807090260695E-3</v>
      </c>
    </row>
    <row r="208" spans="1:14" x14ac:dyDescent="0.2">
      <c r="A208" s="268" t="s">
        <v>245</v>
      </c>
      <c r="B208" s="269">
        <v>5.8057999999999996</v>
      </c>
      <c r="C208" s="269">
        <v>6.3677366012280903</v>
      </c>
      <c r="D208" s="269">
        <v>6.0272664281076604</v>
      </c>
      <c r="E208" s="269">
        <v>5.7156374581256841</v>
      </c>
      <c r="F208" s="269">
        <v>5.5570414733330313</v>
      </c>
      <c r="G208" s="269">
        <v>5.3984454885403785</v>
      </c>
      <c r="H208" s="269">
        <v>5.2251679109392546</v>
      </c>
      <c r="I208" s="294">
        <v>9.2814749027030352E-3</v>
      </c>
      <c r="J208" s="295">
        <v>-1.0929930573627233E-2</v>
      </c>
      <c r="K208" s="295">
        <v>-1.0561382189476665E-2</v>
      </c>
      <c r="L208" s="295">
        <v>-5.6121874504688751E-3</v>
      </c>
      <c r="M208" s="295">
        <v>-5.7742282695126823E-3</v>
      </c>
      <c r="N208" s="296">
        <v>-6.5035808226155956E-3</v>
      </c>
    </row>
    <row r="209" spans="1:14" x14ac:dyDescent="0.2">
      <c r="A209" s="268" t="s">
        <v>40</v>
      </c>
      <c r="B209" s="269">
        <v>0.16000000000000003</v>
      </c>
      <c r="C209" s="269">
        <v>0.11972562021863667</v>
      </c>
      <c r="D209" s="269">
        <v>0.10440318161400114</v>
      </c>
      <c r="E209" s="269">
        <v>9.3431239059703408E-2</v>
      </c>
      <c r="F209" s="269">
        <v>8.8307251767389822E-2</v>
      </c>
      <c r="G209" s="269">
        <v>8.3183264475076235E-2</v>
      </c>
      <c r="H209" s="269">
        <v>7.9486371705118838E-2</v>
      </c>
      <c r="I209" s="294">
        <v>-2.8580736748191726E-2</v>
      </c>
      <c r="J209" s="295">
        <v>-2.7016831271729269E-2</v>
      </c>
      <c r="K209" s="295">
        <v>-2.1962121494005227E-2</v>
      </c>
      <c r="L209" s="295">
        <v>-1.1217316212088768E-2</v>
      </c>
      <c r="M209" s="295">
        <v>-1.1884030662088985E-2</v>
      </c>
      <c r="N209" s="296">
        <v>-9.0509111833934064E-3</v>
      </c>
    </row>
    <row r="210" spans="1:14" x14ac:dyDescent="0.2">
      <c r="A210" s="268" t="s">
        <v>378</v>
      </c>
      <c r="B210" s="269">
        <v>2.5225786285285077</v>
      </c>
      <c r="C210" s="269">
        <v>2.8853995236669423</v>
      </c>
      <c r="D210" s="269">
        <v>3.0222652151052403</v>
      </c>
      <c r="E210" s="269">
        <v>3.1439898816600991</v>
      </c>
      <c r="F210" s="269">
        <v>3.1800777036209347</v>
      </c>
      <c r="G210" s="269">
        <v>3.2161655255817703</v>
      </c>
      <c r="H210" s="269">
        <v>3.2889410040674729</v>
      </c>
      <c r="I210" s="294">
        <v>1.352887104448075E-2</v>
      </c>
      <c r="J210" s="295">
        <v>9.3117365501504956E-3</v>
      </c>
      <c r="K210" s="295">
        <v>7.928472149147936E-3</v>
      </c>
      <c r="L210" s="295">
        <v>2.2852021702339798E-3</v>
      </c>
      <c r="M210" s="295">
        <v>2.2593861337742993E-3</v>
      </c>
      <c r="N210" s="296">
        <v>4.4851905538778603E-3</v>
      </c>
    </row>
    <row r="211" spans="1:14" x14ac:dyDescent="0.2">
      <c r="A211" s="268" t="s">
        <v>55</v>
      </c>
      <c r="B211" s="269">
        <v>0.86219999999999997</v>
      </c>
      <c r="C211" s="269">
        <v>0.85589862818256401</v>
      </c>
      <c r="D211" s="269">
        <v>0.82357687508100197</v>
      </c>
      <c r="E211" s="269">
        <v>0.7996630789297321</v>
      </c>
      <c r="F211" s="269">
        <v>0.77521738223854864</v>
      </c>
      <c r="G211" s="269">
        <v>0.75077168554736518</v>
      </c>
      <c r="H211" s="269">
        <v>0.72470363803104765</v>
      </c>
      <c r="I211" s="294">
        <v>-7.3326285174968309E-4</v>
      </c>
      <c r="J211" s="295">
        <v>-7.6694479803695037E-3</v>
      </c>
      <c r="K211" s="295">
        <v>-5.8759505345870044E-3</v>
      </c>
      <c r="L211" s="295">
        <v>-6.1901623882879564E-3</v>
      </c>
      <c r="M211" s="295">
        <v>-6.3878884577924788E-3</v>
      </c>
      <c r="N211" s="296">
        <v>-7.0428412238526805E-3</v>
      </c>
    </row>
    <row r="212" spans="1:14" x14ac:dyDescent="0.2">
      <c r="A212" s="268" t="s">
        <v>425</v>
      </c>
      <c r="B212" s="269">
        <v>0.32350000000000001</v>
      </c>
      <c r="C212" s="269">
        <v>0.32874050670152954</v>
      </c>
      <c r="D212" s="269">
        <v>0.55210573008444785</v>
      </c>
      <c r="E212" s="269">
        <v>0.77494648655068832</v>
      </c>
      <c r="F212" s="269">
        <v>0.75811009054943135</v>
      </c>
      <c r="G212" s="269">
        <v>0.74127369454817449</v>
      </c>
      <c r="H212" s="269">
        <v>0.72487691309142932</v>
      </c>
      <c r="I212" s="294">
        <v>1.6082510689103824E-3</v>
      </c>
      <c r="J212" s="295">
        <v>0.10926116031751687</v>
      </c>
      <c r="K212" s="295">
        <v>7.0162902146786443E-2</v>
      </c>
      <c r="L212" s="295">
        <v>-4.3834373843264496E-3</v>
      </c>
      <c r="M212" s="295">
        <v>-4.4816667896129259E-3</v>
      </c>
      <c r="N212" s="296">
        <v>-4.4636183258591755E-3</v>
      </c>
    </row>
    <row r="213" spans="1:14" x14ac:dyDescent="0.2">
      <c r="A213" s="268"/>
      <c r="B213" s="269"/>
      <c r="C213" s="269"/>
      <c r="D213" s="269"/>
      <c r="E213" s="269"/>
      <c r="F213" s="269"/>
      <c r="G213" s="269"/>
      <c r="H213" s="269"/>
      <c r="I213" s="294"/>
      <c r="J213" s="295"/>
      <c r="K213" s="295"/>
      <c r="L213" s="295"/>
      <c r="M213" s="295"/>
      <c r="N213" s="296"/>
    </row>
    <row r="214" spans="1:14" ht="13.5" thickBot="1" x14ac:dyDescent="0.25">
      <c r="A214" s="277" t="s">
        <v>9</v>
      </c>
      <c r="B214" s="278">
        <v>13.599278628528507</v>
      </c>
      <c r="C214" s="278">
        <v>13.56302174288556</v>
      </c>
      <c r="D214" s="278">
        <v>13.162359210827455</v>
      </c>
      <c r="E214" s="278">
        <v>12.888472132690172</v>
      </c>
      <c r="F214" s="278">
        <v>12.590848418262368</v>
      </c>
      <c r="G214" s="278">
        <v>12.293224703834568</v>
      </c>
      <c r="H214" s="278">
        <v>12.053267589916123</v>
      </c>
      <c r="I214" s="298">
        <v>-2.6692929133620424E-4</v>
      </c>
      <c r="J214" s="299">
        <v>-5.9792365713976503E-3</v>
      </c>
      <c r="K214" s="299">
        <v>-4.1967494215775503E-3</v>
      </c>
      <c r="L214" s="299">
        <v>-4.6617092787896164E-3</v>
      </c>
      <c r="M214" s="299">
        <v>-4.7729651322573341E-3</v>
      </c>
      <c r="N214" s="300">
        <v>-3.9347347771092611E-3</v>
      </c>
    </row>
    <row r="215" spans="1:14" x14ac:dyDescent="0.2">
      <c r="A215" s="282"/>
      <c r="B215" s="258"/>
      <c r="C215" s="258"/>
      <c r="D215" s="258"/>
      <c r="E215" s="258"/>
      <c r="F215" s="258"/>
    </row>
    <row r="216" spans="1:14" x14ac:dyDescent="0.2">
      <c r="A216" s="282"/>
      <c r="B216" s="258"/>
      <c r="C216" s="258"/>
      <c r="D216" s="258"/>
      <c r="E216" s="258"/>
      <c r="F216" s="258"/>
    </row>
    <row r="217" spans="1:14" ht="16.5" thickBot="1" x14ac:dyDescent="0.3">
      <c r="A217" s="125" t="s">
        <v>430</v>
      </c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</row>
    <row r="218" spans="1:14" ht="13.5" thickBot="1" x14ac:dyDescent="0.25">
      <c r="A218" s="315" t="s">
        <v>64</v>
      </c>
      <c r="B218" s="265">
        <v>2000</v>
      </c>
      <c r="C218" s="265">
        <v>2010</v>
      </c>
      <c r="D218" s="265">
        <v>2015</v>
      </c>
      <c r="E218" s="265">
        <v>2020</v>
      </c>
      <c r="F218" s="265">
        <v>2025</v>
      </c>
      <c r="G218" s="265">
        <v>2030</v>
      </c>
      <c r="H218" s="265">
        <v>2035</v>
      </c>
      <c r="I218" s="284" t="s">
        <v>372</v>
      </c>
      <c r="J218" s="285" t="s">
        <v>373</v>
      </c>
      <c r="K218" s="285" t="s">
        <v>374</v>
      </c>
      <c r="L218" s="285" t="s">
        <v>375</v>
      </c>
      <c r="M218" s="285" t="s">
        <v>376</v>
      </c>
      <c r="N218" s="286" t="s">
        <v>377</v>
      </c>
    </row>
    <row r="219" spans="1:14" x14ac:dyDescent="0.2">
      <c r="A219" s="268" t="s">
        <v>51</v>
      </c>
      <c r="B219" s="269">
        <v>2.7533774210784099</v>
      </c>
      <c r="C219" s="269">
        <v>2.0200264518013036</v>
      </c>
      <c r="D219" s="269">
        <v>1.7304999718629186</v>
      </c>
      <c r="E219" s="269">
        <v>1.5108822201998284</v>
      </c>
      <c r="F219" s="269">
        <v>1.3983997139569841</v>
      </c>
      <c r="G219" s="269">
        <v>1.2859172077141401</v>
      </c>
      <c r="H219" s="269">
        <v>1.1975430676726333</v>
      </c>
      <c r="I219" s="289">
        <v>-3.0497058722751214E-2</v>
      </c>
      <c r="J219" s="290">
        <v>-3.0466302880546303E-2</v>
      </c>
      <c r="K219" s="290">
        <v>-2.6778257586189236E-2</v>
      </c>
      <c r="L219" s="290">
        <v>-1.535394964331982E-2</v>
      </c>
      <c r="M219" s="290">
        <v>-1.6631400896021775E-2</v>
      </c>
      <c r="N219" s="291">
        <v>-1.4139136048695655E-2</v>
      </c>
    </row>
    <row r="220" spans="1:14" x14ac:dyDescent="0.2">
      <c r="A220" s="268" t="s">
        <v>245</v>
      </c>
      <c r="B220" s="269">
        <v>4.1282211672254387</v>
      </c>
      <c r="C220" s="269">
        <v>4.3747603973130165</v>
      </c>
      <c r="D220" s="269">
        <v>4.0586984733877669</v>
      </c>
      <c r="E220" s="269">
        <v>3.755057717124433</v>
      </c>
      <c r="F220" s="269">
        <v>3.5774251646031594</v>
      </c>
      <c r="G220" s="269">
        <v>3.3997926120818862</v>
      </c>
      <c r="H220" s="269">
        <v>3.2111341168104146</v>
      </c>
      <c r="I220" s="294">
        <v>5.8173703510278063E-3</v>
      </c>
      <c r="J220" s="295">
        <v>-1.4885972512913459E-2</v>
      </c>
      <c r="K220" s="295">
        <v>-1.5431434829259238E-2</v>
      </c>
      <c r="L220" s="295">
        <v>-9.6452516689370382E-3</v>
      </c>
      <c r="M220" s="295">
        <v>-1.01340767769037E-2</v>
      </c>
      <c r="N220" s="296">
        <v>-1.1353111687462891E-2</v>
      </c>
    </row>
    <row r="221" spans="1:14" x14ac:dyDescent="0.2">
      <c r="A221" s="268" t="s">
        <v>40</v>
      </c>
      <c r="B221" s="269">
        <v>0.11625594700480017</v>
      </c>
      <c r="C221" s="269">
        <v>8.3255281118682051E-2</v>
      </c>
      <c r="D221" s="269">
        <v>7.1097055580833832E-2</v>
      </c>
      <c r="E221" s="269">
        <v>6.2038749702270163E-2</v>
      </c>
      <c r="F221" s="269">
        <v>5.7489064855231614E-2</v>
      </c>
      <c r="G221" s="269">
        <v>5.2939380008193065E-2</v>
      </c>
      <c r="H221" s="269">
        <v>4.9375249280006001E-2</v>
      </c>
      <c r="I221" s="294">
        <v>-3.2837027543557662E-2</v>
      </c>
      <c r="J221" s="295">
        <v>-3.1079901349901906E-2</v>
      </c>
      <c r="K221" s="295">
        <v>-2.6889218537339388E-2</v>
      </c>
      <c r="L221" s="295">
        <v>-1.5117452804365383E-2</v>
      </c>
      <c r="M221" s="295">
        <v>-1.6354246697790509E-2</v>
      </c>
      <c r="N221" s="296">
        <v>-1.3842935774599163E-2</v>
      </c>
    </row>
    <row r="222" spans="1:14" x14ac:dyDescent="0.2">
      <c r="A222" s="268" t="s">
        <v>378</v>
      </c>
      <c r="B222" s="269">
        <v>1.805090458</v>
      </c>
      <c r="C222" s="269">
        <v>2.0256127441350742</v>
      </c>
      <c r="D222" s="269">
        <v>2.0793092855461097</v>
      </c>
      <c r="E222" s="269">
        <v>2.111816258161948</v>
      </c>
      <c r="F222" s="269">
        <v>2.0927916920142273</v>
      </c>
      <c r="G222" s="269">
        <v>2.0737671258665071</v>
      </c>
      <c r="H222" s="269">
        <v>2.0711101465905326</v>
      </c>
      <c r="I222" s="294">
        <v>1.1592835933093681E-2</v>
      </c>
      <c r="J222" s="295">
        <v>5.2464184710492301E-3</v>
      </c>
      <c r="K222" s="295">
        <v>3.1073375506323053E-3</v>
      </c>
      <c r="L222" s="295">
        <v>-1.8082532574575927E-3</v>
      </c>
      <c r="M222" s="295">
        <v>-1.8247514301181766E-3</v>
      </c>
      <c r="N222" s="296">
        <v>-2.5637806430178767E-4</v>
      </c>
    </row>
    <row r="223" spans="1:14" x14ac:dyDescent="0.2">
      <c r="A223" s="268" t="s">
        <v>55</v>
      </c>
      <c r="B223" s="269">
        <v>0.62645803873100747</v>
      </c>
      <c r="C223" s="269">
        <v>0.60195575120919664</v>
      </c>
      <c r="D223" s="269">
        <v>0.5678581982164348</v>
      </c>
      <c r="E223" s="269">
        <v>0.5381320481935401</v>
      </c>
      <c r="F223" s="269">
        <v>0.51187521300462346</v>
      </c>
      <c r="G223" s="269">
        <v>0.48561837781570688</v>
      </c>
      <c r="H223" s="269">
        <v>0.45799915681938635</v>
      </c>
      <c r="I223" s="294">
        <v>-3.9818368979267493E-3</v>
      </c>
      <c r="J223" s="295">
        <v>-1.1594697964723677E-2</v>
      </c>
      <c r="K223" s="295">
        <v>-1.0695939998724979E-2</v>
      </c>
      <c r="L223" s="295">
        <v>-9.9547406766281599E-3</v>
      </c>
      <c r="M223" s="295">
        <v>-1.0476294546063469E-2</v>
      </c>
      <c r="N223" s="296">
        <v>-1.164283972139446E-2</v>
      </c>
    </row>
    <row r="224" spans="1:14" x14ac:dyDescent="0.2">
      <c r="A224" s="268" t="s">
        <v>425</v>
      </c>
      <c r="B224" s="269">
        <v>0.23505345485399309</v>
      </c>
      <c r="C224" s="269">
        <v>0.22540179935315269</v>
      </c>
      <c r="D224" s="269">
        <v>0.37240559546108865</v>
      </c>
      <c r="E224" s="269">
        <v>0.5111458587022697</v>
      </c>
      <c r="F224" s="269">
        <v>0.49038507539092641</v>
      </c>
      <c r="G224" s="269">
        <v>0.46962429207958312</v>
      </c>
      <c r="H224" s="269">
        <v>0.44853448060788592</v>
      </c>
      <c r="I224" s="294">
        <v>-4.1840594539034326E-3</v>
      </c>
      <c r="J224" s="295">
        <v>0.10563496316989451</v>
      </c>
      <c r="K224" s="295">
        <v>6.5382919441280274E-2</v>
      </c>
      <c r="L224" s="295">
        <v>-8.2585168530656672E-3</v>
      </c>
      <c r="M224" s="295">
        <v>-8.6142735116904179E-3</v>
      </c>
      <c r="N224" s="296">
        <v>-9.1473933177522726E-3</v>
      </c>
    </row>
    <row r="225" spans="1:14" x14ac:dyDescent="0.2">
      <c r="A225" s="268"/>
      <c r="B225" s="269"/>
      <c r="C225" s="269"/>
      <c r="D225" s="269"/>
      <c r="E225" s="269"/>
      <c r="F225" s="269"/>
      <c r="G225" s="269"/>
      <c r="H225" s="269"/>
      <c r="I225" s="294"/>
      <c r="J225" s="295"/>
      <c r="K225" s="295"/>
      <c r="L225" s="295"/>
      <c r="M225" s="295"/>
      <c r="N225" s="296"/>
    </row>
    <row r="226" spans="1:14" ht="13.5" thickBot="1" x14ac:dyDescent="0.25">
      <c r="A226" s="277" t="s">
        <v>9</v>
      </c>
      <c r="B226" s="278">
        <v>9.6644564868936502</v>
      </c>
      <c r="C226" s="278">
        <v>9.3310124249304263</v>
      </c>
      <c r="D226" s="278">
        <v>8.8798685800551524</v>
      </c>
      <c r="E226" s="278">
        <v>8.4890728520842895</v>
      </c>
      <c r="F226" s="278">
        <v>8.128365923825152</v>
      </c>
      <c r="G226" s="278">
        <v>7.7676589955660171</v>
      </c>
      <c r="H226" s="278">
        <v>7.4356962177808583</v>
      </c>
      <c r="I226" s="298">
        <v>-3.5049785783176635E-3</v>
      </c>
      <c r="J226" s="299">
        <v>-9.8623973091325201E-3</v>
      </c>
      <c r="K226" s="299">
        <v>-8.9610022791234423E-3</v>
      </c>
      <c r="L226" s="299">
        <v>-8.6463791256320421E-3</v>
      </c>
      <c r="M226" s="299">
        <v>-9.0371331259878618E-3</v>
      </c>
      <c r="N226" s="300">
        <v>-8.6972809748931956E-3</v>
      </c>
    </row>
    <row r="227" spans="1:14" x14ac:dyDescent="0.2">
      <c r="A227" s="282"/>
      <c r="B227" s="258"/>
      <c r="C227" s="258"/>
      <c r="D227" s="258"/>
      <c r="E227" s="258"/>
      <c r="F227" s="258"/>
    </row>
    <row r="228" spans="1:14" x14ac:dyDescent="0.2">
      <c r="A228" s="282"/>
      <c r="B228" s="258"/>
      <c r="C228" s="258"/>
      <c r="D228" s="258"/>
      <c r="E228" s="258"/>
      <c r="F228" s="258"/>
    </row>
    <row r="229" spans="1:14" ht="16.5" thickBot="1" x14ac:dyDescent="0.3">
      <c r="A229" s="125" t="s">
        <v>431</v>
      </c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</row>
    <row r="230" spans="1:14" ht="13.5" thickBot="1" x14ac:dyDescent="0.25">
      <c r="A230" s="315" t="s">
        <v>64</v>
      </c>
      <c r="B230" s="265">
        <v>2000</v>
      </c>
      <c r="C230" s="265">
        <v>2010</v>
      </c>
      <c r="D230" s="265">
        <v>2015</v>
      </c>
      <c r="E230" s="265">
        <v>2020</v>
      </c>
      <c r="F230" s="265">
        <v>2025</v>
      </c>
      <c r="G230" s="265">
        <v>2030</v>
      </c>
      <c r="H230" s="265">
        <v>2035</v>
      </c>
      <c r="I230" s="284" t="s">
        <v>372</v>
      </c>
      <c r="J230" s="285" t="s">
        <v>373</v>
      </c>
      <c r="K230" s="285" t="s">
        <v>374</v>
      </c>
      <c r="L230" s="285" t="s">
        <v>375</v>
      </c>
      <c r="M230" s="285" t="s">
        <v>376</v>
      </c>
      <c r="N230" s="286" t="s">
        <v>377</v>
      </c>
    </row>
    <row r="231" spans="1:14" x14ac:dyDescent="0.2">
      <c r="A231" s="268" t="s">
        <v>51</v>
      </c>
      <c r="B231" s="269">
        <v>1.1718225789215913</v>
      </c>
      <c r="C231" s="269">
        <v>0.98549441108649516</v>
      </c>
      <c r="D231" s="269">
        <v>0.90224180897218575</v>
      </c>
      <c r="E231" s="269">
        <v>0.84992176816443565</v>
      </c>
      <c r="F231" s="269">
        <v>0.83369480279604913</v>
      </c>
      <c r="G231" s="269">
        <v>0.81746783742766271</v>
      </c>
      <c r="H231" s="269">
        <v>0.81254868440916639</v>
      </c>
      <c r="I231" s="289">
        <v>-1.7168130888336908E-2</v>
      </c>
      <c r="J231" s="290">
        <v>-1.7497291086996603E-2</v>
      </c>
      <c r="K231" s="290">
        <v>-1.1876561660909446E-2</v>
      </c>
      <c r="L231" s="290">
        <v>-3.8479608117650832E-3</v>
      </c>
      <c r="M231" s="290">
        <v>-3.9234494995654678E-3</v>
      </c>
      <c r="N231" s="291">
        <v>-1.2064172368473347E-3</v>
      </c>
    </row>
    <row r="232" spans="1:14" x14ac:dyDescent="0.2">
      <c r="A232" s="268" t="s">
        <v>245</v>
      </c>
      <c r="B232" s="269">
        <v>1.6775788327745613</v>
      </c>
      <c r="C232" s="269">
        <v>1.992976203915074</v>
      </c>
      <c r="D232" s="269">
        <v>1.9685679547198942</v>
      </c>
      <c r="E232" s="269">
        <v>1.9605797410012518</v>
      </c>
      <c r="F232" s="269">
        <v>1.9796163087298717</v>
      </c>
      <c r="G232" s="269">
        <v>1.9986528764584917</v>
      </c>
      <c r="H232" s="269">
        <v>2.01403379412884</v>
      </c>
      <c r="I232" s="294">
        <v>1.7377005422570146E-2</v>
      </c>
      <c r="J232" s="295">
        <v>-2.4615153813170032E-3</v>
      </c>
      <c r="K232" s="295">
        <v>-8.1289664858230637E-4</v>
      </c>
      <c r="L232" s="295">
        <v>1.9344339533100552E-3</v>
      </c>
      <c r="M232" s="295">
        <v>1.9159028783202192E-3</v>
      </c>
      <c r="N232" s="296">
        <v>1.5344123915030927E-3</v>
      </c>
    </row>
    <row r="233" spans="1:14" x14ac:dyDescent="0.2">
      <c r="A233" s="268" t="s">
        <v>40</v>
      </c>
      <c r="B233" s="269">
        <v>4.3744052995199859E-2</v>
      </c>
      <c r="C233" s="269">
        <v>3.6470339099954618E-2</v>
      </c>
      <c r="D233" s="269">
        <v>3.3306126033167321E-2</v>
      </c>
      <c r="E233" s="269">
        <v>3.1392489357433245E-2</v>
      </c>
      <c r="F233" s="269">
        <v>3.0818186912158207E-2</v>
      </c>
      <c r="G233" s="269">
        <v>3.024388446688317E-2</v>
      </c>
      <c r="H233" s="269">
        <v>3.0111122425112838E-2</v>
      </c>
      <c r="I233" s="294">
        <v>-1.8021276068235004E-2</v>
      </c>
      <c r="J233" s="295">
        <v>-1.7987843680778992E-2</v>
      </c>
      <c r="K233" s="295">
        <v>-1.1764781962075643E-2</v>
      </c>
      <c r="L233" s="295">
        <v>-3.6859246393943224E-3</v>
      </c>
      <c r="M233" s="295">
        <v>-3.755132234473546E-3</v>
      </c>
      <c r="N233" s="296">
        <v>-8.7948869676068853E-4</v>
      </c>
    </row>
    <row r="234" spans="1:14" x14ac:dyDescent="0.2">
      <c r="A234" s="268" t="s">
        <v>378</v>
      </c>
      <c r="B234" s="269">
        <v>0.71748817052850766</v>
      </c>
      <c r="C234" s="269">
        <v>0.85978677953186811</v>
      </c>
      <c r="D234" s="269">
        <v>0.94295592955913055</v>
      </c>
      <c r="E234" s="269">
        <v>1.0321736234981511</v>
      </c>
      <c r="F234" s="269">
        <v>1.0872860116067073</v>
      </c>
      <c r="G234" s="269">
        <v>1.1423983997152631</v>
      </c>
      <c r="H234" s="269">
        <v>1.2178308574769403</v>
      </c>
      <c r="I234" s="294">
        <v>1.8257462968682692E-2</v>
      </c>
      <c r="J234" s="295">
        <v>1.8638593890625277E-2</v>
      </c>
      <c r="K234" s="295">
        <v>1.8244967156425984E-2</v>
      </c>
      <c r="L234" s="295">
        <v>1.0457865381368281E-2</v>
      </c>
      <c r="M234" s="295">
        <v>9.9381017933917182E-3</v>
      </c>
      <c r="N234" s="296">
        <v>1.2870395438470794E-2</v>
      </c>
    </row>
    <row r="235" spans="1:14" x14ac:dyDescent="0.2">
      <c r="A235" s="268" t="s">
        <v>55</v>
      </c>
      <c r="B235" s="269">
        <v>0.23574196126899244</v>
      </c>
      <c r="C235" s="269">
        <v>0.25394287697336737</v>
      </c>
      <c r="D235" s="269">
        <v>0.25571867686456717</v>
      </c>
      <c r="E235" s="269">
        <v>0.2615310307361921</v>
      </c>
      <c r="F235" s="269">
        <v>0.26334216923392523</v>
      </c>
      <c r="G235" s="269">
        <v>0.26515330773165835</v>
      </c>
      <c r="H235" s="269">
        <v>0.26670448121166124</v>
      </c>
      <c r="I235" s="294">
        <v>7.4648768593108539E-3</v>
      </c>
      <c r="J235" s="295">
        <v>1.3946864333027609E-3</v>
      </c>
      <c r="K235" s="295">
        <v>4.5051215076719053E-3</v>
      </c>
      <c r="L235" s="295">
        <v>1.3812068757719231E-3</v>
      </c>
      <c r="M235" s="295">
        <v>1.3717336005205638E-3</v>
      </c>
      <c r="N235" s="296">
        <v>1.1672917633092084E-3</v>
      </c>
    </row>
    <row r="236" spans="1:14" x14ac:dyDescent="0.2">
      <c r="A236" s="268" t="s">
        <v>156</v>
      </c>
      <c r="B236" s="269">
        <v>0</v>
      </c>
      <c r="C236" s="287">
        <v>8.145794780416004E-3</v>
      </c>
      <c r="D236" s="287">
        <v>7.928112236210769E-3</v>
      </c>
      <c r="E236" s="287">
        <v>7.782967123846702E-3</v>
      </c>
      <c r="F236" s="287">
        <v>7.6670496967440587E-3</v>
      </c>
      <c r="G236" s="287">
        <v>7.5511322696414154E-3</v>
      </c>
      <c r="H236" s="287">
        <v>7.5090248596425876E-3</v>
      </c>
      <c r="I236" s="294"/>
      <c r="J236" s="295"/>
      <c r="K236" s="295"/>
      <c r="L236" s="295"/>
      <c r="M236" s="295"/>
      <c r="N236" s="296"/>
    </row>
    <row r="237" spans="1:14" x14ac:dyDescent="0.2">
      <c r="A237" s="268" t="s">
        <v>425</v>
      </c>
      <c r="B237" s="269">
        <v>8.8446545146006902E-2</v>
      </c>
      <c r="C237" s="269">
        <v>9.5192912567960836E-2</v>
      </c>
      <c r="D237" s="269">
        <v>0.1717720223871485</v>
      </c>
      <c r="E237" s="269">
        <v>0.25601766072457188</v>
      </c>
      <c r="F237" s="269">
        <v>0.26005796546176091</v>
      </c>
      <c r="G237" s="269">
        <v>0.26409827019894994</v>
      </c>
      <c r="H237" s="269">
        <v>0.26883340762390079</v>
      </c>
      <c r="I237" s="294">
        <v>7.3777959437866247E-3</v>
      </c>
      <c r="J237" s="295">
        <v>0.12530322315842168</v>
      </c>
      <c r="K237" s="295">
        <v>8.3087389240996679E-2</v>
      </c>
      <c r="L237" s="295">
        <v>3.1365328468113685E-3</v>
      </c>
      <c r="M237" s="295">
        <v>3.0881022409769976E-3</v>
      </c>
      <c r="N237" s="296">
        <v>3.5604465359362347E-3</v>
      </c>
    </row>
    <row r="238" spans="1:14" x14ac:dyDescent="0.2">
      <c r="A238" s="268"/>
      <c r="B238" s="269"/>
      <c r="C238" s="269"/>
      <c r="D238" s="269"/>
      <c r="E238" s="269"/>
      <c r="F238" s="269"/>
      <c r="G238" s="269"/>
      <c r="H238" s="269"/>
      <c r="I238" s="294"/>
      <c r="J238" s="295"/>
      <c r="K238" s="295"/>
      <c r="L238" s="295"/>
      <c r="M238" s="295"/>
      <c r="N238" s="296"/>
    </row>
    <row r="239" spans="1:14" ht="13.5" thickBot="1" x14ac:dyDescent="0.25">
      <c r="A239" s="277" t="s">
        <v>9</v>
      </c>
      <c r="B239" s="278">
        <v>3.9348221416348594</v>
      </c>
      <c r="C239" s="278">
        <v>4.2320093179551366</v>
      </c>
      <c r="D239" s="278">
        <v>4.2824906307723047</v>
      </c>
      <c r="E239" s="278">
        <v>4.3993992806058824</v>
      </c>
      <c r="F239" s="278">
        <v>4.4624824944372161</v>
      </c>
      <c r="G239" s="278">
        <v>4.5255657082685508</v>
      </c>
      <c r="H239" s="278">
        <v>4.6175713721352647</v>
      </c>
      <c r="I239" s="298">
        <v>7.3076932732820676E-3</v>
      </c>
      <c r="J239" s="299">
        <v>2.3743878208413172E-3</v>
      </c>
      <c r="K239" s="299">
        <v>5.4011822841459889E-3</v>
      </c>
      <c r="L239" s="299">
        <v>2.8515017819901178E-3</v>
      </c>
      <c r="M239" s="299">
        <v>2.8114173334354842E-3</v>
      </c>
      <c r="N239" s="300">
        <v>4.0333726637911127E-3</v>
      </c>
    </row>
    <row r="240" spans="1:14" x14ac:dyDescent="0.2">
      <c r="A240" s="282"/>
      <c r="B240" s="258"/>
      <c r="C240" s="258"/>
      <c r="D240" s="258"/>
      <c r="E240" s="258"/>
      <c r="F240" s="258"/>
    </row>
    <row r="241" spans="1:14" x14ac:dyDescent="0.2">
      <c r="A241" s="282"/>
      <c r="B241" s="258"/>
      <c r="C241" s="258"/>
      <c r="D241" s="258"/>
      <c r="E241" s="258"/>
      <c r="F241" s="258"/>
    </row>
    <row r="242" spans="1:14" ht="16.5" thickBot="1" x14ac:dyDescent="0.3">
      <c r="A242" s="125" t="s">
        <v>432</v>
      </c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</row>
    <row r="243" spans="1:14" ht="13.5" thickBot="1" x14ac:dyDescent="0.25">
      <c r="A243" s="264"/>
      <c r="B243" s="265">
        <v>2000</v>
      </c>
      <c r="C243" s="265">
        <v>2010</v>
      </c>
      <c r="D243" s="265">
        <v>2015</v>
      </c>
      <c r="E243" s="265">
        <v>2020</v>
      </c>
      <c r="F243" s="265">
        <v>2025</v>
      </c>
      <c r="G243" s="265">
        <v>2030</v>
      </c>
      <c r="H243" s="265">
        <v>2035</v>
      </c>
      <c r="I243" s="284" t="s">
        <v>372</v>
      </c>
      <c r="J243" s="285" t="s">
        <v>373</v>
      </c>
      <c r="K243" s="285" t="s">
        <v>374</v>
      </c>
      <c r="L243" s="285" t="s">
        <v>375</v>
      </c>
      <c r="M243" s="285" t="s">
        <v>376</v>
      </c>
      <c r="N243" s="286" t="s">
        <v>377</v>
      </c>
    </row>
    <row r="244" spans="1:14" x14ac:dyDescent="0.2">
      <c r="A244" s="268" t="s">
        <v>402</v>
      </c>
      <c r="B244" s="274">
        <v>1.2032326867063684E-2</v>
      </c>
      <c r="C244" s="274">
        <v>1.3488078085292456E-2</v>
      </c>
      <c r="D244" s="274">
        <v>1.4668154515590679E-2</v>
      </c>
      <c r="E244" s="274">
        <v>1.5031146625264554E-2</v>
      </c>
      <c r="F244" s="274">
        <v>1.4365486377021203E-2</v>
      </c>
      <c r="G244" s="274">
        <v>1.369982612877785E-2</v>
      </c>
      <c r="H244" s="274">
        <v>1.3181434535498443E-2</v>
      </c>
      <c r="I244" s="294">
        <v>1.1486393485697688E-2</v>
      </c>
      <c r="J244" s="295">
        <v>1.6916001004800618E-2</v>
      </c>
      <c r="K244" s="295">
        <v>4.901112474633873E-3</v>
      </c>
      <c r="L244" s="295">
        <v>-9.0182771150686403E-3</v>
      </c>
      <c r="M244" s="295">
        <v>-9.444202512308153E-3</v>
      </c>
      <c r="N244" s="296">
        <v>-7.6850729408356466E-3</v>
      </c>
    </row>
    <row r="245" spans="1:14" x14ac:dyDescent="0.2">
      <c r="A245" s="268" t="s">
        <v>403</v>
      </c>
      <c r="B245" s="331">
        <v>1.6927697350611042E-2</v>
      </c>
      <c r="C245" s="331">
        <v>1.6130963120170656E-2</v>
      </c>
      <c r="D245" s="331">
        <v>1.5517364103000976E-2</v>
      </c>
      <c r="E245" s="331">
        <v>1.4457241421818022E-2</v>
      </c>
      <c r="F245" s="332">
        <v>1.3331392153795326E-2</v>
      </c>
      <c r="G245" s="331">
        <v>1.220554288577263E-2</v>
      </c>
      <c r="H245" s="331">
        <v>1.1343232498525847E-2</v>
      </c>
      <c r="I245" s="294">
        <v>-4.8094550213545473E-3</v>
      </c>
      <c r="J245" s="295">
        <v>-7.7261861153170575E-3</v>
      </c>
      <c r="K245" s="295">
        <v>-1.4053166490662794E-2</v>
      </c>
      <c r="L245" s="295">
        <v>-1.6084020066175486E-2</v>
      </c>
      <c r="M245" s="295">
        <v>-1.7491492835238653E-2</v>
      </c>
      <c r="N245" s="296">
        <v>-1.4546930571089911E-2</v>
      </c>
    </row>
    <row r="246" spans="1:14" x14ac:dyDescent="0.2">
      <c r="A246" s="268" t="s">
        <v>433</v>
      </c>
      <c r="B246" s="269">
        <v>17.813600000000001</v>
      </c>
      <c r="C246" s="269">
        <v>19.53779460902533</v>
      </c>
      <c r="D246" s="269">
        <v>19.823816514246637</v>
      </c>
      <c r="E246" s="269">
        <v>20.739528366561391</v>
      </c>
      <c r="F246" s="269">
        <v>21.611903505114512</v>
      </c>
      <c r="G246" s="269">
        <v>22.484278643667636</v>
      </c>
      <c r="H246" s="269">
        <v>23.219024945013835</v>
      </c>
      <c r="I246" s="294">
        <v>9.2816663991333037E-3</v>
      </c>
      <c r="J246" s="295">
        <v>2.9108872917702477E-3</v>
      </c>
      <c r="K246" s="295">
        <v>9.0723854913050683E-3</v>
      </c>
      <c r="L246" s="295">
        <v>8.2746046206312318E-3</v>
      </c>
      <c r="M246" s="295">
        <v>7.9458191773806863E-3</v>
      </c>
      <c r="N246" s="296">
        <v>6.4518531765969112E-3</v>
      </c>
    </row>
    <row r="247" spans="1:14" x14ac:dyDescent="0.2">
      <c r="A247" s="268" t="s">
        <v>434</v>
      </c>
      <c r="B247" s="333">
        <v>1.1545655631953116</v>
      </c>
      <c r="C247" s="333">
        <v>1.1572156414251897</v>
      </c>
      <c r="D247" s="333">
        <v>1.1347840203021204</v>
      </c>
      <c r="E247" s="333">
        <v>1.0901392016014315</v>
      </c>
      <c r="F247" s="333">
        <v>1.0476339821134166</v>
      </c>
      <c r="G247" s="333">
        <v>1.0084271114252674</v>
      </c>
      <c r="H247" s="333">
        <v>0.9789093786829971</v>
      </c>
      <c r="I247" s="294">
        <v>2.2929360243151287E-4</v>
      </c>
      <c r="J247" s="295">
        <v>-3.90724045401869E-3</v>
      </c>
      <c r="K247" s="295">
        <v>-7.9952558237470495E-3</v>
      </c>
      <c r="L247" s="295">
        <v>-7.9226738212886394E-3</v>
      </c>
      <c r="M247" s="295">
        <v>-7.5994708140674216E-3</v>
      </c>
      <c r="N247" s="296">
        <v>-5.9239850886942946E-3</v>
      </c>
    </row>
    <row r="248" spans="1:14" ht="13.5" thickBot="1" x14ac:dyDescent="0.25">
      <c r="A248" s="277" t="s">
        <v>435</v>
      </c>
      <c r="B248" s="334">
        <v>6195.9306274595629</v>
      </c>
      <c r="C248" s="334">
        <v>7102.4934620817558</v>
      </c>
      <c r="D248" s="334">
        <v>7248.6688712563282</v>
      </c>
      <c r="E248" s="334">
        <v>7213.9550883864149</v>
      </c>
      <c r="F248" s="334">
        <v>7119.7711038054613</v>
      </c>
      <c r="G248" s="334">
        <v>7032.8956718270092</v>
      </c>
      <c r="H248" s="334">
        <v>6994.8194942396431</v>
      </c>
      <c r="I248" s="298">
        <v>1.3748978506723963E-2</v>
      </c>
      <c r="J248" s="299">
        <v>4.0826983597934685E-3</v>
      </c>
      <c r="K248" s="299">
        <v>-9.5963749343819238E-4</v>
      </c>
      <c r="L248" s="299">
        <v>-2.6249049520694623E-3</v>
      </c>
      <c r="M248" s="299">
        <v>-2.452398633336017E-3</v>
      </c>
      <c r="N248" s="300">
        <v>-1.0851548548015399E-3</v>
      </c>
    </row>
    <row r="249" spans="1:14" x14ac:dyDescent="0.2">
      <c r="A249" s="318"/>
      <c r="G249" s="257"/>
    </row>
    <row r="250" spans="1:14" x14ac:dyDescent="0.2">
      <c r="G250" s="257"/>
      <c r="H250" s="295"/>
      <c r="I250" s="295"/>
      <c r="J250" s="295"/>
    </row>
    <row r="251" spans="1:14" ht="21" x14ac:dyDescent="0.35">
      <c r="A251" s="124" t="s">
        <v>436</v>
      </c>
      <c r="B251" s="319"/>
      <c r="C251" s="319"/>
      <c r="D251" s="319"/>
      <c r="E251" s="319"/>
      <c r="F251" s="319"/>
      <c r="G251" s="319"/>
      <c r="H251" s="320"/>
      <c r="I251" s="320"/>
      <c r="J251" s="320"/>
      <c r="K251" s="320"/>
      <c r="L251" s="320"/>
      <c r="M251" s="320"/>
      <c r="N251" s="320"/>
    </row>
    <row r="252" spans="1:14" ht="21" x14ac:dyDescent="0.35">
      <c r="A252" s="259"/>
      <c r="G252" s="257"/>
      <c r="H252" s="257"/>
    </row>
    <row r="253" spans="1:14" ht="16.5" thickBot="1" x14ac:dyDescent="0.3">
      <c r="A253" s="125" t="s">
        <v>437</v>
      </c>
      <c r="B253" s="127"/>
      <c r="C253" s="127"/>
      <c r="D253" s="127"/>
      <c r="E253" s="127"/>
      <c r="F253" s="127"/>
      <c r="G253" s="127"/>
      <c r="H253" s="126"/>
      <c r="I253" s="126"/>
      <c r="J253" s="126"/>
      <c r="K253" s="126"/>
      <c r="L253" s="126"/>
      <c r="M253" s="126"/>
      <c r="N253" s="126"/>
    </row>
    <row r="254" spans="1:14" ht="13.5" thickBot="1" x14ac:dyDescent="0.25">
      <c r="A254" s="264"/>
      <c r="B254" s="265">
        <v>2000</v>
      </c>
      <c r="C254" s="265">
        <v>2010</v>
      </c>
      <c r="D254" s="265">
        <v>2015</v>
      </c>
      <c r="E254" s="265">
        <v>2020</v>
      </c>
      <c r="F254" s="265">
        <v>2025</v>
      </c>
      <c r="G254" s="265">
        <v>2030</v>
      </c>
      <c r="H254" s="265">
        <v>2035</v>
      </c>
      <c r="I254" s="284" t="s">
        <v>372</v>
      </c>
      <c r="J254" s="285" t="s">
        <v>373</v>
      </c>
      <c r="K254" s="285" t="s">
        <v>374</v>
      </c>
      <c r="L254" s="285" t="s">
        <v>375</v>
      </c>
      <c r="M254" s="285" t="s">
        <v>376</v>
      </c>
      <c r="N254" s="286" t="s">
        <v>377</v>
      </c>
    </row>
    <row r="255" spans="1:14" x14ac:dyDescent="0.2">
      <c r="A255" s="335" t="s">
        <v>438</v>
      </c>
      <c r="B255" s="336"/>
      <c r="C255" s="336"/>
      <c r="D255" s="336"/>
      <c r="E255" s="336"/>
      <c r="F255" s="336"/>
      <c r="G255" s="336"/>
      <c r="H255" s="336"/>
      <c r="I255" s="337"/>
      <c r="J255" s="338"/>
      <c r="K255" s="338"/>
      <c r="L255" s="338"/>
      <c r="M255" s="338"/>
      <c r="N255" s="339"/>
    </row>
    <row r="256" spans="1:14" x14ac:dyDescent="0.2">
      <c r="A256" s="268" t="s">
        <v>439</v>
      </c>
      <c r="B256" s="340">
        <v>426.18980828452987</v>
      </c>
      <c r="C256" s="340">
        <v>495.61922409707364</v>
      </c>
      <c r="D256" s="340">
        <v>506.55323069031482</v>
      </c>
      <c r="E256" s="340">
        <v>515.10022042539231</v>
      </c>
      <c r="F256" s="340">
        <v>527.46791460135637</v>
      </c>
      <c r="G256" s="340">
        <v>539.83560877732054</v>
      </c>
      <c r="H256" s="340">
        <v>546.85106747287909</v>
      </c>
      <c r="I256" s="294">
        <v>1.5206777292118945E-2</v>
      </c>
      <c r="J256" s="295">
        <v>4.3738323579700644E-3</v>
      </c>
      <c r="K256" s="295">
        <v>3.3520197328376078E-3</v>
      </c>
      <c r="L256" s="295">
        <v>4.7565875374304678E-3</v>
      </c>
      <c r="M256" s="295">
        <v>4.6460851233476319E-3</v>
      </c>
      <c r="N256" s="296">
        <v>2.5857029381388674E-3</v>
      </c>
    </row>
    <row r="257" spans="1:17" x14ac:dyDescent="0.2">
      <c r="A257" s="268" t="s">
        <v>440</v>
      </c>
      <c r="B257" s="340">
        <v>237.50559817920745</v>
      </c>
      <c r="C257" s="340">
        <v>257.64562525256531</v>
      </c>
      <c r="D257" s="340">
        <v>264.07890360394481</v>
      </c>
      <c r="E257" s="340">
        <v>290.18856357585554</v>
      </c>
      <c r="F257" s="340">
        <v>323.71162528581397</v>
      </c>
      <c r="G257" s="340">
        <v>357.23468699577245</v>
      </c>
      <c r="H257" s="340">
        <v>386.58722455620693</v>
      </c>
      <c r="I257" s="294">
        <v>8.1726049638226606E-3</v>
      </c>
      <c r="J257" s="295">
        <v>4.9447532542363781E-3</v>
      </c>
      <c r="K257" s="295">
        <v>1.9035507454469025E-2</v>
      </c>
      <c r="L257" s="295">
        <v>2.2105206873054284E-2</v>
      </c>
      <c r="M257" s="295">
        <v>1.9903459897145037E-2</v>
      </c>
      <c r="N257" s="296">
        <v>1.5918280812480701E-2</v>
      </c>
    </row>
    <row r="258" spans="1:17" x14ac:dyDescent="0.2">
      <c r="A258" s="268" t="s">
        <v>441</v>
      </c>
      <c r="B258" s="340">
        <v>42.125490151515159</v>
      </c>
      <c r="C258" s="269">
        <v>50.008637814020872</v>
      </c>
      <c r="D258" s="340">
        <v>53.903448703306594</v>
      </c>
      <c r="E258" s="340">
        <v>58.10562393838989</v>
      </c>
      <c r="F258" s="340">
        <v>62.810133440112523</v>
      </c>
      <c r="G258" s="340">
        <v>67.514642941835149</v>
      </c>
      <c r="H258" s="340">
        <v>72.776537040787744</v>
      </c>
      <c r="I258" s="294">
        <v>1.7302251731255325E-2</v>
      </c>
      <c r="J258" s="295">
        <v>1.5112803212758319E-2</v>
      </c>
      <c r="K258" s="295">
        <v>1.5126869740538895E-2</v>
      </c>
      <c r="L258" s="295">
        <v>1.5692649287017968E-2</v>
      </c>
      <c r="M258" s="295">
        <v>1.4550459327044241E-2</v>
      </c>
      <c r="N258" s="296">
        <v>1.5123033691243792E-2</v>
      </c>
    </row>
    <row r="259" spans="1:17" x14ac:dyDescent="0.2">
      <c r="A259" s="268"/>
      <c r="B259" s="336"/>
      <c r="C259" s="336"/>
      <c r="D259" s="336"/>
      <c r="E259" s="336"/>
      <c r="F259" s="336"/>
      <c r="G259" s="336"/>
      <c r="H259" s="341"/>
      <c r="I259" s="294"/>
      <c r="J259" s="295"/>
      <c r="K259" s="295"/>
      <c r="L259" s="295"/>
      <c r="M259" s="295"/>
      <c r="N259" s="296"/>
    </row>
    <row r="260" spans="1:17" x14ac:dyDescent="0.2">
      <c r="A260" s="335" t="s">
        <v>442</v>
      </c>
      <c r="B260" s="336"/>
      <c r="C260" s="336"/>
      <c r="D260" s="336"/>
      <c r="E260" s="336"/>
      <c r="F260" s="336"/>
      <c r="G260" s="336"/>
      <c r="H260" s="341"/>
      <c r="I260" s="294"/>
      <c r="J260" s="295"/>
      <c r="K260" s="295"/>
      <c r="L260" s="295"/>
      <c r="M260" s="295"/>
      <c r="N260" s="296"/>
    </row>
    <row r="261" spans="1:17" x14ac:dyDescent="0.2">
      <c r="A261" s="268" t="s">
        <v>443</v>
      </c>
      <c r="B261" s="340">
        <v>80.924999999999997</v>
      </c>
      <c r="C261" s="340">
        <v>100.30362801659594</v>
      </c>
      <c r="D261" s="340">
        <v>106.52063976983753</v>
      </c>
      <c r="E261" s="340">
        <v>113.12299386716212</v>
      </c>
      <c r="F261" s="340">
        <v>120.35187019581579</v>
      </c>
      <c r="G261" s="340">
        <v>127.58074652446945</v>
      </c>
      <c r="H261" s="340">
        <v>135.48844653805946</v>
      </c>
      <c r="I261" s="294">
        <v>2.1700000000000053E-2</v>
      </c>
      <c r="J261" s="295">
        <v>1.21E-2</v>
      </c>
      <c r="K261" s="295">
        <v>1.21E-2</v>
      </c>
      <c r="L261" s="295">
        <v>1.2465866297504125E-2</v>
      </c>
      <c r="M261" s="295">
        <v>1.1734265912530795E-2</v>
      </c>
      <c r="N261" s="296">
        <v>1.21E-2</v>
      </c>
    </row>
    <row r="262" spans="1:17" x14ac:dyDescent="0.2">
      <c r="A262" s="268" t="s">
        <v>444</v>
      </c>
      <c r="B262" s="340">
        <v>57.725999999999999</v>
      </c>
      <c r="C262" s="340">
        <v>29.953617671292598</v>
      </c>
      <c r="D262" s="340">
        <v>36.759622909933412</v>
      </c>
      <c r="E262" s="340">
        <v>45.112075987253846</v>
      </c>
      <c r="F262" s="340">
        <v>56.526882888101795</v>
      </c>
      <c r="G262" s="340">
        <v>67.941689788949745</v>
      </c>
      <c r="H262" s="340">
        <v>83.379274046722855</v>
      </c>
      <c r="I262" s="294">
        <v>-6.3500000000000001E-2</v>
      </c>
      <c r="J262" s="295">
        <v>4.1800000000000059E-2</v>
      </c>
      <c r="K262" s="295">
        <v>4.1800000000000059E-2</v>
      </c>
      <c r="L262" s="295">
        <v>4.6146351744601244E-2</v>
      </c>
      <c r="M262" s="295">
        <v>3.7471705741769057E-2</v>
      </c>
      <c r="N262" s="296">
        <v>4.1800000000000059E-2</v>
      </c>
    </row>
    <row r="263" spans="1:17" x14ac:dyDescent="0.2">
      <c r="A263" s="268"/>
      <c r="B263" s="340"/>
      <c r="C263" s="340"/>
      <c r="D263" s="340"/>
      <c r="E263" s="340"/>
      <c r="F263" s="340"/>
      <c r="G263" s="340"/>
      <c r="H263" s="342"/>
      <c r="I263" s="294"/>
      <c r="J263" s="295"/>
      <c r="K263" s="295"/>
      <c r="L263" s="295"/>
      <c r="M263" s="295"/>
      <c r="N263" s="296"/>
    </row>
    <row r="264" spans="1:17" x14ac:dyDescent="0.2">
      <c r="A264" s="335" t="s">
        <v>445</v>
      </c>
      <c r="B264" s="340">
        <v>7.2610000000000001</v>
      </c>
      <c r="C264" s="340">
        <v>8.060456067811975</v>
      </c>
      <c r="D264" s="340">
        <v>9.1865910507933091</v>
      </c>
      <c r="E264" s="340">
        <v>10.47005956294784</v>
      </c>
      <c r="F264" s="340">
        <v>12.035026352972674</v>
      </c>
      <c r="G264" s="340">
        <v>13.599993142997507</v>
      </c>
      <c r="H264" s="340">
        <v>15.500062806275649</v>
      </c>
      <c r="I264" s="294">
        <v>1.0499999999999954E-2</v>
      </c>
      <c r="J264" s="295">
        <v>2.6499999999999968E-2</v>
      </c>
      <c r="K264" s="295">
        <v>2.6499999999999968E-2</v>
      </c>
      <c r="L264" s="295">
        <v>2.8252037274379749E-2</v>
      </c>
      <c r="M264" s="295">
        <v>2.475094801959421E-2</v>
      </c>
      <c r="N264" s="296">
        <v>2.6499999999999968E-2</v>
      </c>
    </row>
    <row r="265" spans="1:17" x14ac:dyDescent="0.2">
      <c r="A265" s="335"/>
      <c r="B265" s="340"/>
      <c r="C265" s="340"/>
      <c r="D265" s="340"/>
      <c r="E265" s="340"/>
      <c r="F265" s="340"/>
      <c r="G265" s="340"/>
      <c r="H265" s="342"/>
      <c r="I265" s="294"/>
      <c r="J265" s="295"/>
      <c r="K265" s="295"/>
      <c r="L265" s="295"/>
      <c r="M265" s="295"/>
      <c r="N265" s="296"/>
      <c r="Q265" s="343"/>
    </row>
    <row r="266" spans="1:17" x14ac:dyDescent="0.2">
      <c r="A266" s="335" t="s">
        <v>446</v>
      </c>
      <c r="B266" s="340">
        <v>30.747</v>
      </c>
      <c r="C266" s="340">
        <v>25.230988199999999</v>
      </c>
      <c r="D266" s="340">
        <v>30.826942199999998</v>
      </c>
      <c r="E266" s="340">
        <v>36.422896200000004</v>
      </c>
      <c r="F266" s="340">
        <v>42.017312850000003</v>
      </c>
      <c r="G266" s="340">
        <v>47.611729500000003</v>
      </c>
      <c r="H266" s="340">
        <v>53.207683499999995</v>
      </c>
      <c r="I266" s="294">
        <v>-1.9577766794773743E-2</v>
      </c>
      <c r="J266" s="295">
        <v>4.0876581496701814E-2</v>
      </c>
      <c r="K266" s="295">
        <v>3.3924450154996899E-2</v>
      </c>
      <c r="L266" s="295">
        <v>2.8989065168228301E-2</v>
      </c>
      <c r="M266" s="295">
        <v>2.5314588362744361E-2</v>
      </c>
      <c r="N266" s="296">
        <v>2.247354192537343E-2</v>
      </c>
    </row>
    <row r="267" spans="1:17" x14ac:dyDescent="0.2">
      <c r="A267" s="335"/>
      <c r="B267" s="340"/>
      <c r="C267" s="340"/>
      <c r="D267" s="340"/>
      <c r="E267" s="340"/>
      <c r="F267" s="340"/>
      <c r="G267" s="340"/>
      <c r="H267" s="342"/>
      <c r="I267" s="294"/>
      <c r="J267" s="295"/>
      <c r="K267" s="295"/>
      <c r="L267" s="295"/>
      <c r="M267" s="295"/>
      <c r="N267" s="296"/>
    </row>
    <row r="268" spans="1:17" ht="13.5" thickBot="1" x14ac:dyDescent="0.25">
      <c r="A268" s="321"/>
      <c r="B268" s="344"/>
      <c r="C268" s="344"/>
      <c r="D268" s="344"/>
      <c r="E268" s="344"/>
      <c r="F268" s="344"/>
      <c r="G268" s="344"/>
      <c r="H268" s="344"/>
      <c r="I268" s="298"/>
      <c r="J268" s="299"/>
      <c r="K268" s="299"/>
      <c r="L268" s="299"/>
      <c r="M268" s="299"/>
      <c r="N268" s="300"/>
    </row>
    <row r="269" spans="1:17" x14ac:dyDescent="0.2">
      <c r="A269" s="282"/>
      <c r="B269" s="345"/>
      <c r="C269" s="345"/>
      <c r="D269" s="345"/>
      <c r="E269" s="258"/>
    </row>
    <row r="270" spans="1:17" x14ac:dyDescent="0.2">
      <c r="A270" s="282"/>
      <c r="B270" s="345"/>
      <c r="C270" s="345"/>
      <c r="D270" s="345"/>
      <c r="E270" s="258"/>
    </row>
    <row r="271" spans="1:17" ht="16.5" thickBot="1" x14ac:dyDescent="0.3">
      <c r="A271" s="125" t="s">
        <v>447</v>
      </c>
      <c r="B271" s="126"/>
      <c r="C271" s="126"/>
      <c r="D271" s="126"/>
      <c r="E271" s="126"/>
      <c r="F271" s="127"/>
      <c r="G271" s="126"/>
      <c r="H271" s="126"/>
      <c r="I271" s="126"/>
      <c r="J271" s="126"/>
      <c r="K271" s="126"/>
      <c r="L271" s="126"/>
      <c r="M271" s="126"/>
      <c r="N271" s="126"/>
    </row>
    <row r="272" spans="1:17" ht="13.5" thickBot="1" x14ac:dyDescent="0.25">
      <c r="A272" s="264" t="s">
        <v>64</v>
      </c>
      <c r="B272" s="265">
        <v>2000</v>
      </c>
      <c r="C272" s="265">
        <v>2010</v>
      </c>
      <c r="D272" s="265">
        <v>2015</v>
      </c>
      <c r="E272" s="265">
        <v>2020</v>
      </c>
      <c r="F272" s="265">
        <v>2025</v>
      </c>
      <c r="G272" s="265">
        <v>2030</v>
      </c>
      <c r="H272" s="265">
        <v>2035</v>
      </c>
      <c r="I272" s="284" t="s">
        <v>372</v>
      </c>
      <c r="J272" s="285" t="s">
        <v>373</v>
      </c>
      <c r="K272" s="285" t="s">
        <v>374</v>
      </c>
      <c r="L272" s="285" t="s">
        <v>375</v>
      </c>
      <c r="M272" s="285" t="s">
        <v>376</v>
      </c>
      <c r="N272" s="286" t="s">
        <v>377</v>
      </c>
    </row>
    <row r="273" spans="1:14" x14ac:dyDescent="0.2">
      <c r="A273" s="268" t="s">
        <v>448</v>
      </c>
      <c r="B273" s="269">
        <v>14.819093535512977</v>
      </c>
      <c r="C273" s="269">
        <v>9.0070568064030976</v>
      </c>
      <c r="D273" s="269">
        <v>8.5952357034068569</v>
      </c>
      <c r="E273" s="269">
        <v>9.0248548850079349</v>
      </c>
      <c r="F273" s="269">
        <v>9.2791617923304148</v>
      </c>
      <c r="G273" s="269">
        <v>9.5334686996528948</v>
      </c>
      <c r="H273" s="269">
        <v>9.5974848513412852</v>
      </c>
      <c r="I273" s="289">
        <v>-4.8571566369015162E-2</v>
      </c>
      <c r="J273" s="290">
        <v>-9.3163905813360426E-3</v>
      </c>
      <c r="K273" s="290">
        <v>9.8026064743441665E-3</v>
      </c>
      <c r="L273" s="290">
        <v>5.5732317429628697E-3</v>
      </c>
      <c r="M273" s="290">
        <v>5.4221287603459789E-3</v>
      </c>
      <c r="N273" s="291">
        <v>1.3393844099864882E-3</v>
      </c>
    </row>
    <row r="274" spans="1:14" x14ac:dyDescent="0.2">
      <c r="A274" s="268" t="s">
        <v>449</v>
      </c>
      <c r="B274" s="269">
        <v>26.600792443472077</v>
      </c>
      <c r="C274" s="269">
        <v>32.224664428215867</v>
      </c>
      <c r="D274" s="269">
        <v>31.613142033918791</v>
      </c>
      <c r="E274" s="269">
        <v>30.514649472121036</v>
      </c>
      <c r="F274" s="269">
        <v>30.22771441966988</v>
      </c>
      <c r="G274" s="269">
        <v>29.940779367218724</v>
      </c>
      <c r="H274" s="269">
        <v>30.265512298023914</v>
      </c>
      <c r="I274" s="294">
        <v>1.9364213539353914E-2</v>
      </c>
      <c r="J274" s="295">
        <v>-3.8245106758826308E-3</v>
      </c>
      <c r="K274" s="295">
        <v>-7.0482522203376696E-3</v>
      </c>
      <c r="L274" s="295">
        <v>-1.8877518093081136E-3</v>
      </c>
      <c r="M274" s="295">
        <v>-1.9057397573540857E-3</v>
      </c>
      <c r="N274" s="296">
        <v>2.1598183861264442E-3</v>
      </c>
    </row>
    <row r="275" spans="1:14" x14ac:dyDescent="0.2">
      <c r="A275" s="268" t="s">
        <v>450</v>
      </c>
      <c r="B275" s="269">
        <v>1.7999908740000001</v>
      </c>
      <c r="C275" s="269">
        <v>1.4253749733122461</v>
      </c>
      <c r="D275" s="269">
        <v>1.3760615233327049</v>
      </c>
      <c r="E275" s="269">
        <v>1.4450388296159893</v>
      </c>
      <c r="F275" s="269">
        <v>1.5283237593592547</v>
      </c>
      <c r="G275" s="269">
        <v>1.6116086891025201</v>
      </c>
      <c r="H275" s="269">
        <v>1.7405972951269715</v>
      </c>
      <c r="I275" s="294">
        <v>-2.3064519655265792E-2</v>
      </c>
      <c r="J275" s="295">
        <v>-7.0171575713336987E-3</v>
      </c>
      <c r="K275" s="295">
        <v>9.8301501417124015E-3</v>
      </c>
      <c r="L275" s="295">
        <v>1.1270106445695482E-2</v>
      </c>
      <c r="M275" s="295">
        <v>1.0668772425808104E-2</v>
      </c>
      <c r="N275" s="296">
        <v>1.5518269267512652E-2</v>
      </c>
    </row>
    <row r="276" spans="1:14" x14ac:dyDescent="0.2">
      <c r="A276" s="268" t="s">
        <v>53</v>
      </c>
      <c r="B276" s="269">
        <v>0.23799989365256718</v>
      </c>
      <c r="C276" s="269">
        <v>0.11220698597925213</v>
      </c>
      <c r="D276" s="269">
        <v>0.13360312344389924</v>
      </c>
      <c r="E276" s="269">
        <v>0.16573617906107752</v>
      </c>
      <c r="F276" s="269">
        <v>0.19058480378924847</v>
      </c>
      <c r="G276" s="269">
        <v>0.21543342851741945</v>
      </c>
      <c r="H276" s="269">
        <v>0.22692042401745458</v>
      </c>
      <c r="I276" s="294">
        <v>-7.2435084512094905E-2</v>
      </c>
      <c r="J276" s="295">
        <v>3.5522030673479144E-2</v>
      </c>
      <c r="K276" s="295">
        <v>4.4047222052333357E-2</v>
      </c>
      <c r="L276" s="295">
        <v>2.833398631902595E-2</v>
      </c>
      <c r="M276" s="295">
        <v>2.4813799571396178E-2</v>
      </c>
      <c r="N276" s="296">
        <v>1.0443649280278189E-2</v>
      </c>
    </row>
    <row r="277" spans="1:14" x14ac:dyDescent="0.2">
      <c r="A277" s="268" t="s">
        <v>83</v>
      </c>
      <c r="B277" s="269">
        <v>0</v>
      </c>
      <c r="C277" s="269">
        <v>7.91760727960025E-2</v>
      </c>
      <c r="D277" s="269">
        <v>0.10132580181246505</v>
      </c>
      <c r="E277" s="269">
        <v>0.11763474999947128</v>
      </c>
      <c r="F277" s="269">
        <v>0.13020680018342354</v>
      </c>
      <c r="G277" s="269">
        <v>0.14277885036737581</v>
      </c>
      <c r="H277" s="269">
        <v>0.15502567203023401</v>
      </c>
      <c r="I277" s="294"/>
      <c r="J277" s="295">
        <v>5.0570540759938387E-2</v>
      </c>
      <c r="K277" s="295">
        <v>3.0298617216037993E-2</v>
      </c>
      <c r="L277" s="295">
        <v>2.051550269965885E-2</v>
      </c>
      <c r="M277" s="295">
        <v>1.860556111521583E-2</v>
      </c>
      <c r="N277" s="296">
        <v>1.6594950923750407E-2</v>
      </c>
    </row>
    <row r="278" spans="1:14" x14ac:dyDescent="0.2">
      <c r="A278" s="268" t="s">
        <v>54</v>
      </c>
      <c r="B278" s="269">
        <v>0.9</v>
      </c>
      <c r="C278" s="269">
        <v>1.0519159290588709</v>
      </c>
      <c r="D278" s="269">
        <v>1.3292791433950957</v>
      </c>
      <c r="E278" s="269">
        <v>1.6102807526200791</v>
      </c>
      <c r="F278" s="269">
        <v>1.8830654578847101</v>
      </c>
      <c r="G278" s="269">
        <v>2.1558501631493412</v>
      </c>
      <c r="H278" s="269">
        <v>2.4505968102304081</v>
      </c>
      <c r="I278" s="294">
        <v>1.5719645026857965E-2</v>
      </c>
      <c r="J278" s="295">
        <v>4.7917352231747756E-2</v>
      </c>
      <c r="K278" s="295">
        <v>3.9099371774513392E-2</v>
      </c>
      <c r="L278" s="295">
        <v>3.1793441523880972E-2</v>
      </c>
      <c r="M278" s="295">
        <v>2.7426187967108495E-2</v>
      </c>
      <c r="N278" s="296">
        <v>2.5960541648589963E-2</v>
      </c>
    </row>
    <row r="279" spans="1:14" x14ac:dyDescent="0.2">
      <c r="A279" s="268" t="s">
        <v>60</v>
      </c>
      <c r="B279" s="269">
        <v>0</v>
      </c>
      <c r="C279" s="269">
        <v>0</v>
      </c>
      <c r="D279" s="269">
        <v>0</v>
      </c>
      <c r="E279" s="269">
        <v>0</v>
      </c>
      <c r="F279" s="269">
        <v>0</v>
      </c>
      <c r="G279" s="269">
        <v>0</v>
      </c>
      <c r="H279" s="269">
        <v>0</v>
      </c>
      <c r="I279" s="294"/>
      <c r="J279" s="295"/>
      <c r="K279" s="295"/>
      <c r="L279" s="295"/>
      <c r="M279" s="295"/>
      <c r="N279" s="296"/>
    </row>
    <row r="280" spans="1:14" x14ac:dyDescent="0.2">
      <c r="A280" s="268"/>
      <c r="B280" s="269"/>
      <c r="C280" s="269"/>
      <c r="D280" s="269"/>
      <c r="E280" s="269"/>
      <c r="F280" s="269"/>
      <c r="G280" s="269"/>
      <c r="H280" s="269"/>
      <c r="I280" s="294"/>
      <c r="J280" s="295"/>
      <c r="K280" s="295"/>
      <c r="L280" s="295"/>
      <c r="M280" s="295"/>
      <c r="N280" s="296"/>
    </row>
    <row r="281" spans="1:14" ht="13.5" thickBot="1" x14ac:dyDescent="0.25">
      <c r="A281" s="277" t="s">
        <v>9</v>
      </c>
      <c r="B281" s="278">
        <v>44.357876746637615</v>
      </c>
      <c r="C281" s="278">
        <v>43.900395195765334</v>
      </c>
      <c r="D281" s="278">
        <v>43.14864732930981</v>
      </c>
      <c r="E281" s="278">
        <v>42.878194868425588</v>
      </c>
      <c r="F281" s="278">
        <v>43.23905703321693</v>
      </c>
      <c r="G281" s="278">
        <v>43.599919198008273</v>
      </c>
      <c r="H281" s="278">
        <v>44.436137350770274</v>
      </c>
      <c r="I281" s="298">
        <v>-1.0361603120053742E-3</v>
      </c>
      <c r="J281" s="299">
        <v>-3.4484909074632419E-3</v>
      </c>
      <c r="K281" s="299">
        <v>-1.2567397088854015E-3</v>
      </c>
      <c r="L281" s="299">
        <v>1.6775587698658612E-3</v>
      </c>
      <c r="M281" s="299">
        <v>1.6636047186830982E-3</v>
      </c>
      <c r="N281" s="300">
        <v>3.8067765570719558E-3</v>
      </c>
    </row>
    <row r="282" spans="1:14" x14ac:dyDescent="0.2">
      <c r="A282" s="282"/>
      <c r="B282" s="258"/>
      <c r="C282" s="258"/>
      <c r="D282" s="258"/>
      <c r="E282" s="288"/>
      <c r="G282" s="288"/>
    </row>
    <row r="283" spans="1:14" x14ac:dyDescent="0.2">
      <c r="A283" s="282"/>
      <c r="B283" s="258"/>
      <c r="C283" s="258"/>
      <c r="D283" s="258"/>
      <c r="E283" s="288"/>
      <c r="G283" s="288"/>
    </row>
    <row r="284" spans="1:14" ht="16.5" thickBot="1" x14ac:dyDescent="0.3">
      <c r="A284" s="125" t="s">
        <v>451</v>
      </c>
      <c r="B284" s="126"/>
      <c r="C284" s="126"/>
      <c r="D284" s="126"/>
      <c r="E284" s="346"/>
      <c r="F284" s="127"/>
      <c r="G284" s="346"/>
      <c r="H284" s="346"/>
      <c r="I284" s="126"/>
      <c r="J284" s="126"/>
      <c r="K284" s="126"/>
      <c r="L284" s="126"/>
      <c r="M284" s="126"/>
      <c r="N284" s="126"/>
    </row>
    <row r="285" spans="1:14" ht="13.5" thickBot="1" x14ac:dyDescent="0.25">
      <c r="A285" s="264" t="s">
        <v>64</v>
      </c>
      <c r="B285" s="265">
        <v>2000</v>
      </c>
      <c r="C285" s="265">
        <v>2010</v>
      </c>
      <c r="D285" s="265">
        <v>2015</v>
      </c>
      <c r="E285" s="265">
        <v>2020</v>
      </c>
      <c r="F285" s="265">
        <v>2025</v>
      </c>
      <c r="G285" s="265">
        <v>2030</v>
      </c>
      <c r="H285" s="265">
        <v>2035</v>
      </c>
      <c r="I285" s="284" t="s">
        <v>372</v>
      </c>
      <c r="J285" s="285" t="s">
        <v>373</v>
      </c>
      <c r="K285" s="285" t="s">
        <v>374</v>
      </c>
      <c r="L285" s="285" t="s">
        <v>375</v>
      </c>
      <c r="M285" s="285" t="s">
        <v>376</v>
      </c>
      <c r="N285" s="286" t="s">
        <v>377</v>
      </c>
    </row>
    <row r="286" spans="1:14" x14ac:dyDescent="0.2">
      <c r="A286" s="268" t="s">
        <v>438</v>
      </c>
      <c r="B286" s="269">
        <v>41.064987580637613</v>
      </c>
      <c r="C286" s="269">
        <v>40.920075866645234</v>
      </c>
      <c r="D286" s="269">
        <v>40.034223998660131</v>
      </c>
      <c r="E286" s="269">
        <v>39.482861634042216</v>
      </c>
      <c r="F286" s="269">
        <v>39.494148406460354</v>
      </c>
      <c r="G286" s="269">
        <v>39.505435178878486</v>
      </c>
      <c r="H286" s="269">
        <v>39.877556675514988</v>
      </c>
      <c r="I286" s="289">
        <v>-3.5344548892157768E-4</v>
      </c>
      <c r="J286" s="290">
        <v>-4.3676552976110727E-3</v>
      </c>
      <c r="K286" s="290">
        <v>-2.7697557676098494E-3</v>
      </c>
      <c r="L286" s="290">
        <v>5.7166484771498105E-5</v>
      </c>
      <c r="M286" s="290">
        <v>5.7150149405771344E-5</v>
      </c>
      <c r="N286" s="291">
        <v>1.8768419466890229E-3</v>
      </c>
    </row>
    <row r="287" spans="1:14" x14ac:dyDescent="0.2">
      <c r="A287" s="268" t="s">
        <v>442</v>
      </c>
      <c r="B287" s="269">
        <v>1.1620000000000001</v>
      </c>
      <c r="C287" s="269">
        <v>1.2139141589263622</v>
      </c>
      <c r="D287" s="269">
        <v>1.3496859149896867</v>
      </c>
      <c r="E287" s="269">
        <v>1.507316185659952</v>
      </c>
      <c r="F287" s="269">
        <v>1.707394398260222</v>
      </c>
      <c r="G287" s="269">
        <v>1.9074726108604922</v>
      </c>
      <c r="H287" s="269">
        <v>2.162190528454782</v>
      </c>
      <c r="I287" s="294">
        <v>4.3802978234079859E-3</v>
      </c>
      <c r="J287" s="295">
        <v>2.143079624842481E-2</v>
      </c>
      <c r="K287" s="295">
        <v>2.2337589687754678E-2</v>
      </c>
      <c r="L287" s="295">
        <v>2.524084031826157E-2</v>
      </c>
      <c r="M287" s="295">
        <v>2.2409536476594827E-2</v>
      </c>
      <c r="N287" s="296">
        <v>2.5385401299735433E-2</v>
      </c>
    </row>
    <row r="288" spans="1:14" x14ac:dyDescent="0.2">
      <c r="A288" s="268" t="s">
        <v>452</v>
      </c>
      <c r="B288" s="347">
        <v>0.33089829199999998</v>
      </c>
      <c r="C288" s="347">
        <v>0.34103019688148872</v>
      </c>
      <c r="D288" s="347">
        <v>0.38867589232729316</v>
      </c>
      <c r="E288" s="347">
        <v>0.44297821910742863</v>
      </c>
      <c r="F288" s="347">
        <v>0.50919046913710142</v>
      </c>
      <c r="G288" s="347">
        <v>0.57540271916677432</v>
      </c>
      <c r="H288" s="347">
        <v>0.65579285167353019</v>
      </c>
      <c r="I288" s="294">
        <v>3.0205500993440992E-3</v>
      </c>
      <c r="J288" s="295">
        <v>2.6499999999999968E-2</v>
      </c>
      <c r="K288" s="295">
        <v>2.6499999999999968E-2</v>
      </c>
      <c r="L288" s="295">
        <v>2.8252037274379749E-2</v>
      </c>
      <c r="M288" s="295">
        <v>2.475094801959421E-2</v>
      </c>
      <c r="N288" s="296">
        <v>2.6499999999999968E-2</v>
      </c>
    </row>
    <row r="289" spans="1:14" x14ac:dyDescent="0.2">
      <c r="A289" s="268" t="s">
        <v>453</v>
      </c>
      <c r="B289" s="269">
        <v>1.7999908740000001</v>
      </c>
      <c r="C289" s="269">
        <v>1.4253749733122461</v>
      </c>
      <c r="D289" s="269">
        <v>1.3760615233327049</v>
      </c>
      <c r="E289" s="269">
        <v>1.4450388296159893</v>
      </c>
      <c r="F289" s="269">
        <v>1.5283237593592547</v>
      </c>
      <c r="G289" s="269">
        <v>1.6116086891025201</v>
      </c>
      <c r="H289" s="269">
        <v>1.7405972951269715</v>
      </c>
      <c r="I289" s="294">
        <v>-2.3064519655265792E-2</v>
      </c>
      <c r="J289" s="295">
        <v>-7.0171575713336987E-3</v>
      </c>
      <c r="K289" s="295">
        <v>9.8301501417124015E-3</v>
      </c>
      <c r="L289" s="295">
        <v>1.1270106445695482E-2</v>
      </c>
      <c r="M289" s="295">
        <v>1.0668772425808104E-2</v>
      </c>
      <c r="N289" s="296">
        <v>1.5518269267512652E-2</v>
      </c>
    </row>
    <row r="290" spans="1:14" x14ac:dyDescent="0.2">
      <c r="A290" s="268"/>
      <c r="B290" s="269"/>
      <c r="C290" s="269"/>
      <c r="D290" s="269"/>
      <c r="E290" s="269"/>
      <c r="F290" s="269"/>
      <c r="G290" s="269"/>
      <c r="H290" s="269"/>
      <c r="I290" s="294"/>
      <c r="J290" s="295"/>
      <c r="K290" s="295"/>
      <c r="L290" s="295"/>
      <c r="M290" s="295"/>
      <c r="N290" s="296"/>
    </row>
    <row r="291" spans="1:14" ht="13.5" thickBot="1" x14ac:dyDescent="0.25">
      <c r="A291" s="321" t="s">
        <v>9</v>
      </c>
      <c r="B291" s="278">
        <v>44.357876746637615</v>
      </c>
      <c r="C291" s="278">
        <v>43.900395195765334</v>
      </c>
      <c r="D291" s="278">
        <v>43.14864732930981</v>
      </c>
      <c r="E291" s="278">
        <v>42.878194868425588</v>
      </c>
      <c r="F291" s="278">
        <v>43.23905703321693</v>
      </c>
      <c r="G291" s="278">
        <v>43.599919198008273</v>
      </c>
      <c r="H291" s="278">
        <v>44.436137350770274</v>
      </c>
      <c r="I291" s="298">
        <v>-1.0361603120053742E-3</v>
      </c>
      <c r="J291" s="299">
        <v>-3.4484909074632419E-3</v>
      </c>
      <c r="K291" s="299">
        <v>-1.2567397088854015E-3</v>
      </c>
      <c r="L291" s="299">
        <v>1.6775587698658612E-3</v>
      </c>
      <c r="M291" s="299">
        <v>1.6636047186830982E-3</v>
      </c>
      <c r="N291" s="300">
        <v>3.8067765570719558E-3</v>
      </c>
    </row>
    <row r="292" spans="1:14" x14ac:dyDescent="0.2">
      <c r="A292" s="282"/>
      <c r="B292" s="348"/>
      <c r="C292" s="258"/>
      <c r="D292" s="258"/>
      <c r="E292" s="258"/>
    </row>
    <row r="293" spans="1:14" x14ac:dyDescent="0.2">
      <c r="A293" s="282"/>
      <c r="B293" s="348"/>
      <c r="C293" s="258"/>
      <c r="D293" s="258"/>
      <c r="E293" s="258"/>
    </row>
    <row r="294" spans="1:14" ht="16.5" thickBot="1" x14ac:dyDescent="0.3">
      <c r="A294" s="125" t="s">
        <v>454</v>
      </c>
      <c r="B294" s="349"/>
      <c r="C294" s="126"/>
      <c r="D294" s="126"/>
      <c r="E294" s="126"/>
      <c r="F294" s="127"/>
      <c r="G294" s="126"/>
      <c r="H294" s="126"/>
      <c r="I294" s="126"/>
      <c r="J294" s="126"/>
      <c r="K294" s="126"/>
      <c r="L294" s="126"/>
      <c r="M294" s="126"/>
      <c r="N294" s="126"/>
    </row>
    <row r="295" spans="1:14" ht="13.5" thickBot="1" x14ac:dyDescent="0.25">
      <c r="A295" s="264" t="s">
        <v>64</v>
      </c>
      <c r="B295" s="265">
        <v>2000</v>
      </c>
      <c r="C295" s="265">
        <v>2010</v>
      </c>
      <c r="D295" s="265">
        <v>2015</v>
      </c>
      <c r="E295" s="265">
        <v>2020</v>
      </c>
      <c r="F295" s="265">
        <v>2025</v>
      </c>
      <c r="G295" s="265">
        <v>2030</v>
      </c>
      <c r="H295" s="265">
        <v>2035</v>
      </c>
      <c r="I295" s="284" t="s">
        <v>372</v>
      </c>
      <c r="J295" s="285" t="s">
        <v>373</v>
      </c>
      <c r="K295" s="285" t="s">
        <v>374</v>
      </c>
      <c r="L295" s="285" t="s">
        <v>375</v>
      </c>
      <c r="M295" s="285" t="s">
        <v>376</v>
      </c>
      <c r="N295" s="286" t="s">
        <v>377</v>
      </c>
    </row>
    <row r="296" spans="1:14" x14ac:dyDescent="0.2">
      <c r="A296" s="335" t="s">
        <v>455</v>
      </c>
      <c r="B296" s="269">
        <v>27.795787579781624</v>
      </c>
      <c r="C296" s="269">
        <v>28.174442025004922</v>
      </c>
      <c r="D296" s="269">
        <v>27.514518195258553</v>
      </c>
      <c r="E296" s="269">
        <v>26.620618526620007</v>
      </c>
      <c r="F296" s="269">
        <v>25.958735587639602</v>
      </c>
      <c r="G296" s="269">
        <v>25.29685264865919</v>
      </c>
      <c r="H296" s="269">
        <v>24.965860280293363</v>
      </c>
      <c r="I296" s="289">
        <v>1.3539930737871408E-3</v>
      </c>
      <c r="J296" s="290">
        <v>-4.7290737689438256E-3</v>
      </c>
      <c r="K296" s="290">
        <v>-6.5837816362092072E-3</v>
      </c>
      <c r="L296" s="290">
        <v>-5.0229154850058855E-3</v>
      </c>
      <c r="M296" s="290">
        <v>-5.1523205708461361E-3</v>
      </c>
      <c r="N296" s="291">
        <v>-2.630670494402132E-3</v>
      </c>
    </row>
    <row r="297" spans="1:14" x14ac:dyDescent="0.2">
      <c r="A297" s="268" t="s">
        <v>448</v>
      </c>
      <c r="B297" s="269">
        <v>14.469093534656977</v>
      </c>
      <c r="C297" s="269">
        <v>8.4705230524119344</v>
      </c>
      <c r="D297" s="269">
        <v>8.0574213928821745</v>
      </c>
      <c r="E297" s="269">
        <v>8.5200624017341653</v>
      </c>
      <c r="F297" s="269">
        <v>8.7874004943653805</v>
      </c>
      <c r="G297" s="269">
        <v>9.0547385869965957</v>
      </c>
      <c r="H297" s="269">
        <v>9.1165146770781629</v>
      </c>
      <c r="I297" s="294">
        <v>-5.2134119871125373E-2</v>
      </c>
      <c r="J297" s="295">
        <v>-9.9499051546712014E-3</v>
      </c>
      <c r="K297" s="295">
        <v>1.1228589863477412E-2</v>
      </c>
      <c r="L297" s="295">
        <v>6.1981834469191366E-3</v>
      </c>
      <c r="M297" s="295">
        <v>6.0118566926214978E-3</v>
      </c>
      <c r="N297" s="296">
        <v>1.3607944393616567E-3</v>
      </c>
    </row>
    <row r="298" spans="1:14" x14ac:dyDescent="0.2">
      <c r="A298" s="268" t="s">
        <v>449</v>
      </c>
      <c r="B298" s="269">
        <v>13.08869415147208</v>
      </c>
      <c r="C298" s="269">
        <v>19.591711986613735</v>
      </c>
      <c r="D298" s="269">
        <v>19.290068975169774</v>
      </c>
      <c r="E298" s="269">
        <v>17.816827117706652</v>
      </c>
      <c r="F298" s="269">
        <v>16.797565099281492</v>
      </c>
      <c r="G298" s="269">
        <v>15.778303080856331</v>
      </c>
      <c r="H298" s="269">
        <v>15.334018897422121</v>
      </c>
      <c r="I298" s="294">
        <v>4.1160316657132157E-2</v>
      </c>
      <c r="J298" s="295">
        <v>-3.0984331923196162E-3</v>
      </c>
      <c r="K298" s="295">
        <v>-1.5763838926604046E-2</v>
      </c>
      <c r="L298" s="295">
        <v>-1.171274801823674E-2</v>
      </c>
      <c r="M298" s="295">
        <v>-1.2441588977989637E-2</v>
      </c>
      <c r="N298" s="296">
        <v>-5.6961065252484344E-3</v>
      </c>
    </row>
    <row r="299" spans="1:14" x14ac:dyDescent="0.2">
      <c r="A299" s="268" t="s">
        <v>53</v>
      </c>
      <c r="B299" s="287">
        <v>0.23799989365256718</v>
      </c>
      <c r="C299" s="287">
        <v>0.11220698597925213</v>
      </c>
      <c r="D299" s="287">
        <v>0.13360312344389924</v>
      </c>
      <c r="E299" s="287">
        <v>0.16573617906107752</v>
      </c>
      <c r="F299" s="287">
        <v>0.19058480378924847</v>
      </c>
      <c r="G299" s="287">
        <v>0.21543342851741945</v>
      </c>
      <c r="H299" s="287">
        <v>0.22692042401745458</v>
      </c>
      <c r="I299" s="294">
        <v>-7.2435084512094905E-2</v>
      </c>
      <c r="J299" s="295">
        <v>3.5522030673479144E-2</v>
      </c>
      <c r="K299" s="295">
        <v>4.4047222052333357E-2</v>
      </c>
      <c r="L299" s="295">
        <v>2.833398631902595E-2</v>
      </c>
      <c r="M299" s="295">
        <v>2.4813799571396178E-2</v>
      </c>
      <c r="N299" s="296">
        <v>1.0443649280278189E-2</v>
      </c>
    </row>
    <row r="300" spans="1:14" x14ac:dyDescent="0.2">
      <c r="A300" s="268" t="s">
        <v>83</v>
      </c>
      <c r="B300" s="269">
        <v>0</v>
      </c>
      <c r="C300" s="269">
        <v>0</v>
      </c>
      <c r="D300" s="269">
        <v>0</v>
      </c>
      <c r="E300" s="269">
        <v>0</v>
      </c>
      <c r="F300" s="269">
        <v>0</v>
      </c>
      <c r="G300" s="269">
        <v>0</v>
      </c>
      <c r="H300" s="269">
        <v>0</v>
      </c>
      <c r="I300" s="294"/>
      <c r="J300" s="295"/>
      <c r="K300" s="295"/>
      <c r="L300" s="295"/>
      <c r="M300" s="295"/>
      <c r="N300" s="296"/>
    </row>
    <row r="301" spans="1:14" x14ac:dyDescent="0.2">
      <c r="A301" s="268" t="s">
        <v>60</v>
      </c>
      <c r="B301" s="269">
        <v>0</v>
      </c>
      <c r="C301" s="269">
        <v>0</v>
      </c>
      <c r="D301" s="269">
        <v>0</v>
      </c>
      <c r="E301" s="269">
        <v>0</v>
      </c>
      <c r="F301" s="269">
        <v>0</v>
      </c>
      <c r="G301" s="269">
        <v>0</v>
      </c>
      <c r="H301" s="269">
        <v>0</v>
      </c>
      <c r="I301" s="294"/>
      <c r="J301" s="295"/>
      <c r="K301" s="295"/>
      <c r="L301" s="295"/>
      <c r="M301" s="295"/>
      <c r="N301" s="296"/>
    </row>
    <row r="302" spans="1:14" x14ac:dyDescent="0.2">
      <c r="A302" s="268" t="s">
        <v>378</v>
      </c>
      <c r="B302" s="269">
        <v>0</v>
      </c>
      <c r="C302" s="269">
        <v>0</v>
      </c>
      <c r="D302" s="269">
        <v>3.3424703762704532E-2</v>
      </c>
      <c r="E302" s="269">
        <v>0.11799282811811318</v>
      </c>
      <c r="F302" s="269">
        <v>0.18318519020348101</v>
      </c>
      <c r="G302" s="269">
        <v>0.24837755228884881</v>
      </c>
      <c r="H302" s="269">
        <v>0.28840628177562605</v>
      </c>
      <c r="I302" s="294"/>
      <c r="J302" s="295"/>
      <c r="K302" s="295"/>
      <c r="L302" s="295"/>
      <c r="M302" s="295"/>
      <c r="N302" s="296"/>
    </row>
    <row r="303" spans="1:14" x14ac:dyDescent="0.2">
      <c r="A303" s="268"/>
      <c r="B303" s="269"/>
      <c r="C303" s="269"/>
      <c r="D303" s="269"/>
      <c r="E303" s="269"/>
      <c r="F303" s="269"/>
      <c r="G303" s="269"/>
      <c r="H303" s="297"/>
      <c r="I303" s="294"/>
      <c r="J303" s="295"/>
      <c r="K303" s="295"/>
      <c r="L303" s="295"/>
      <c r="M303" s="295"/>
      <c r="N303" s="296"/>
    </row>
    <row r="304" spans="1:14" x14ac:dyDescent="0.2">
      <c r="A304" s="335" t="s">
        <v>456</v>
      </c>
      <c r="B304" s="269">
        <v>12.2378</v>
      </c>
      <c r="C304" s="269">
        <v>11.270519790680007</v>
      </c>
      <c r="D304" s="269">
        <v>10.959088738191682</v>
      </c>
      <c r="E304" s="269">
        <v>11.267788309754094</v>
      </c>
      <c r="F304" s="269">
        <v>11.896893253937572</v>
      </c>
      <c r="G304" s="269">
        <v>12.52599819812105</v>
      </c>
      <c r="H304" s="269">
        <v>13.144476532456968</v>
      </c>
      <c r="I304" s="294">
        <v>-8.200101608518251E-3</v>
      </c>
      <c r="J304" s="295">
        <v>-5.5885883879299714E-3</v>
      </c>
      <c r="K304" s="295">
        <v>5.5712478491116713E-3</v>
      </c>
      <c r="L304" s="295">
        <v>1.0925094096380317E-2</v>
      </c>
      <c r="M304" s="295">
        <v>1.0359096814158919E-2</v>
      </c>
      <c r="N304" s="296">
        <v>9.685664267423677E-3</v>
      </c>
    </row>
    <row r="305" spans="1:14" x14ac:dyDescent="0.2">
      <c r="A305" s="268" t="s">
        <v>448</v>
      </c>
      <c r="B305" s="269">
        <v>0</v>
      </c>
      <c r="C305" s="269">
        <v>0</v>
      </c>
      <c r="D305" s="269">
        <v>0</v>
      </c>
      <c r="E305" s="269">
        <v>0</v>
      </c>
      <c r="F305" s="269">
        <v>0</v>
      </c>
      <c r="G305" s="269">
        <v>0</v>
      </c>
      <c r="H305" s="269">
        <v>0</v>
      </c>
      <c r="I305" s="294"/>
      <c r="J305" s="295"/>
      <c r="K305" s="295"/>
      <c r="L305" s="295"/>
      <c r="M305" s="295"/>
      <c r="N305" s="296"/>
    </row>
    <row r="306" spans="1:14" x14ac:dyDescent="0.2">
      <c r="A306" s="268" t="s">
        <v>449</v>
      </c>
      <c r="B306" s="269">
        <v>12.2378</v>
      </c>
      <c r="C306" s="269">
        <v>11.270519790680007</v>
      </c>
      <c r="D306" s="269">
        <v>10.959088738191682</v>
      </c>
      <c r="E306" s="269">
        <v>11.267788309754094</v>
      </c>
      <c r="F306" s="269">
        <v>11.896893253937572</v>
      </c>
      <c r="G306" s="269">
        <v>12.52599819812105</v>
      </c>
      <c r="H306" s="269">
        <v>13.144476532456968</v>
      </c>
      <c r="I306" s="294">
        <v>-8.200101608518251E-3</v>
      </c>
      <c r="J306" s="295">
        <v>-5.5885883879299714E-3</v>
      </c>
      <c r="K306" s="295">
        <v>5.5712478491116713E-3</v>
      </c>
      <c r="L306" s="295">
        <v>1.0925094096380317E-2</v>
      </c>
      <c r="M306" s="295">
        <v>1.0359096814158919E-2</v>
      </c>
      <c r="N306" s="296">
        <v>9.685664267423677E-3</v>
      </c>
    </row>
    <row r="307" spans="1:14" x14ac:dyDescent="0.2">
      <c r="A307" s="268" t="s">
        <v>53</v>
      </c>
      <c r="B307" s="269">
        <v>0</v>
      </c>
      <c r="C307" s="269">
        <v>0</v>
      </c>
      <c r="D307" s="269">
        <v>0</v>
      </c>
      <c r="E307" s="269">
        <v>0</v>
      </c>
      <c r="F307" s="269">
        <v>0</v>
      </c>
      <c r="G307" s="269">
        <v>0</v>
      </c>
      <c r="H307" s="269">
        <v>0</v>
      </c>
      <c r="I307" s="294"/>
      <c r="J307" s="295"/>
      <c r="K307" s="295"/>
      <c r="L307" s="295"/>
      <c r="M307" s="295"/>
      <c r="N307" s="296"/>
    </row>
    <row r="308" spans="1:14" x14ac:dyDescent="0.2">
      <c r="A308" s="268" t="s">
        <v>83</v>
      </c>
      <c r="B308" s="269">
        <v>0</v>
      </c>
      <c r="C308" s="269">
        <v>0</v>
      </c>
      <c r="D308" s="269">
        <v>0</v>
      </c>
      <c r="E308" s="269">
        <v>0</v>
      </c>
      <c r="F308" s="269">
        <v>0</v>
      </c>
      <c r="G308" s="269">
        <v>0</v>
      </c>
      <c r="H308" s="269">
        <v>0</v>
      </c>
      <c r="I308" s="294"/>
      <c r="J308" s="295"/>
      <c r="K308" s="295"/>
      <c r="L308" s="295"/>
      <c r="M308" s="295"/>
      <c r="N308" s="296"/>
    </row>
    <row r="309" spans="1:14" x14ac:dyDescent="0.2">
      <c r="A309" s="268" t="s">
        <v>60</v>
      </c>
      <c r="B309" s="269">
        <v>0</v>
      </c>
      <c r="C309" s="269">
        <v>0</v>
      </c>
      <c r="D309" s="269">
        <v>0</v>
      </c>
      <c r="E309" s="269">
        <v>0</v>
      </c>
      <c r="F309" s="269">
        <v>0</v>
      </c>
      <c r="G309" s="269">
        <v>0</v>
      </c>
      <c r="H309" s="269">
        <v>0</v>
      </c>
      <c r="I309" s="294"/>
      <c r="J309" s="295"/>
      <c r="K309" s="295"/>
      <c r="L309" s="295"/>
      <c r="M309" s="295"/>
      <c r="N309" s="296"/>
    </row>
    <row r="310" spans="1:14" x14ac:dyDescent="0.2">
      <c r="A310" s="268" t="s">
        <v>378</v>
      </c>
      <c r="B310" s="269">
        <v>0</v>
      </c>
      <c r="C310" s="269">
        <v>0</v>
      </c>
      <c r="D310" s="269">
        <v>0</v>
      </c>
      <c r="E310" s="269">
        <v>0</v>
      </c>
      <c r="F310" s="269">
        <v>0</v>
      </c>
      <c r="G310" s="269">
        <v>0</v>
      </c>
      <c r="H310" s="269">
        <v>0</v>
      </c>
      <c r="I310" s="294"/>
      <c r="J310" s="295"/>
      <c r="K310" s="295"/>
      <c r="L310" s="295"/>
      <c r="M310" s="295"/>
      <c r="N310" s="296"/>
    </row>
    <row r="311" spans="1:14" x14ac:dyDescent="0.2">
      <c r="A311" s="268"/>
      <c r="B311" s="269"/>
      <c r="C311" s="269"/>
      <c r="D311" s="269"/>
      <c r="E311" s="269"/>
      <c r="F311" s="269"/>
      <c r="G311" s="269"/>
      <c r="H311" s="297"/>
      <c r="I311" s="294"/>
      <c r="J311" s="295"/>
      <c r="K311" s="295"/>
      <c r="L311" s="295"/>
      <c r="M311" s="295"/>
      <c r="N311" s="296"/>
    </row>
    <row r="312" spans="1:14" x14ac:dyDescent="0.2">
      <c r="A312" s="335" t="s">
        <v>457</v>
      </c>
      <c r="B312" s="269">
        <v>0.68140000000000023</v>
      </c>
      <c r="C312" s="269">
        <v>0.93858029696915291</v>
      </c>
      <c r="D312" s="269">
        <v>1.0228027546852145</v>
      </c>
      <c r="E312" s="269">
        <v>1.0896623143943485</v>
      </c>
      <c r="F312" s="269">
        <v>1.1467582669181482</v>
      </c>
      <c r="G312" s="269">
        <v>1.2038542194419479</v>
      </c>
      <c r="H312" s="269">
        <v>1.2862496885015284</v>
      </c>
      <c r="I312" s="294">
        <v>3.2540107977880428E-2</v>
      </c>
      <c r="J312" s="295">
        <v>1.7335246271167337E-2</v>
      </c>
      <c r="K312" s="295">
        <v>1.2744768495622782E-2</v>
      </c>
      <c r="L312" s="295">
        <v>1.0266587158254126E-2</v>
      </c>
      <c r="M312" s="295">
        <v>9.7652107026631185E-3</v>
      </c>
      <c r="N312" s="296">
        <v>1.3328544915438556E-2</v>
      </c>
    </row>
    <row r="313" spans="1:14" x14ac:dyDescent="0.2">
      <c r="A313" s="268" t="s">
        <v>448</v>
      </c>
      <c r="B313" s="269">
        <v>0</v>
      </c>
      <c r="C313" s="269">
        <v>0</v>
      </c>
      <c r="D313" s="269">
        <v>0</v>
      </c>
      <c r="E313" s="269">
        <v>0</v>
      </c>
      <c r="F313" s="269">
        <v>0</v>
      </c>
      <c r="G313" s="269">
        <v>0</v>
      </c>
      <c r="H313" s="269">
        <v>0</v>
      </c>
      <c r="I313" s="294"/>
      <c r="J313" s="295"/>
      <c r="K313" s="295"/>
      <c r="L313" s="295"/>
      <c r="M313" s="295"/>
      <c r="N313" s="296"/>
    </row>
    <row r="314" spans="1:14" x14ac:dyDescent="0.2">
      <c r="A314" s="268" t="s">
        <v>449</v>
      </c>
      <c r="B314" s="287">
        <v>0.68140000000000023</v>
      </c>
      <c r="C314" s="287">
        <v>0.85940422417315043</v>
      </c>
      <c r="D314" s="269">
        <v>0.92147695287274944</v>
      </c>
      <c r="E314" s="269">
        <v>0.97202756439487714</v>
      </c>
      <c r="F314" s="269">
        <v>1.0165514667347246</v>
      </c>
      <c r="G314" s="269">
        <v>1.061075369074572</v>
      </c>
      <c r="H314" s="269">
        <v>1.1312240164712943</v>
      </c>
      <c r="I314" s="294">
        <v>2.3480412461666322E-2</v>
      </c>
      <c r="J314" s="295">
        <v>1.4045398590721847E-2</v>
      </c>
      <c r="K314" s="295">
        <v>1.0738527738431758E-2</v>
      </c>
      <c r="L314" s="295">
        <v>8.997657863084374E-3</v>
      </c>
      <c r="M314" s="295">
        <v>8.6102384654473951E-3</v>
      </c>
      <c r="N314" s="296">
        <v>1.2885786146051181E-2</v>
      </c>
    </row>
    <row r="315" spans="1:14" x14ac:dyDescent="0.2">
      <c r="A315" s="268" t="s">
        <v>53</v>
      </c>
      <c r="B315" s="269">
        <v>0</v>
      </c>
      <c r="C315" s="269">
        <v>0</v>
      </c>
      <c r="D315" s="269">
        <v>0</v>
      </c>
      <c r="E315" s="269">
        <v>0</v>
      </c>
      <c r="F315" s="269">
        <v>0</v>
      </c>
      <c r="G315" s="269">
        <v>0</v>
      </c>
      <c r="H315" s="269">
        <v>0</v>
      </c>
      <c r="I315" s="294"/>
      <c r="J315" s="295"/>
      <c r="K315" s="295"/>
      <c r="L315" s="295"/>
      <c r="M315" s="295"/>
      <c r="N315" s="296"/>
    </row>
    <row r="316" spans="1:14" x14ac:dyDescent="0.2">
      <c r="A316" s="268" t="s">
        <v>83</v>
      </c>
      <c r="B316" s="269">
        <v>0</v>
      </c>
      <c r="C316" s="287">
        <v>7.91760727960025E-2</v>
      </c>
      <c r="D316" s="287">
        <v>0.10132580181246505</v>
      </c>
      <c r="E316" s="287">
        <v>0.11763474999947128</v>
      </c>
      <c r="F316" s="287">
        <v>0.13020680018342354</v>
      </c>
      <c r="G316" s="287">
        <v>0.14277885036737581</v>
      </c>
      <c r="H316" s="287">
        <v>0.15502567203023401</v>
      </c>
      <c r="I316" s="294"/>
      <c r="J316" s="295">
        <v>5.0570540759938387E-2</v>
      </c>
      <c r="K316" s="295">
        <v>3.0298617216037993E-2</v>
      </c>
      <c r="L316" s="295">
        <v>2.051550269965885E-2</v>
      </c>
      <c r="M316" s="295">
        <v>1.860556111521583E-2</v>
      </c>
      <c r="N316" s="296">
        <v>1.6594950923750407E-2</v>
      </c>
    </row>
    <row r="317" spans="1:14" x14ac:dyDescent="0.2">
      <c r="A317" s="268" t="s">
        <v>60</v>
      </c>
      <c r="B317" s="269">
        <v>0</v>
      </c>
      <c r="C317" s="269">
        <v>0</v>
      </c>
      <c r="D317" s="269">
        <v>0</v>
      </c>
      <c r="E317" s="269">
        <v>0</v>
      </c>
      <c r="F317" s="269">
        <v>0</v>
      </c>
      <c r="G317" s="269">
        <v>0</v>
      </c>
      <c r="H317" s="269">
        <v>0</v>
      </c>
      <c r="I317" s="294"/>
      <c r="J317" s="295"/>
      <c r="K317" s="295"/>
      <c r="L317" s="295"/>
      <c r="M317" s="295"/>
      <c r="N317" s="296"/>
    </row>
    <row r="318" spans="1:14" x14ac:dyDescent="0.2">
      <c r="A318" s="268" t="s">
        <v>378</v>
      </c>
      <c r="B318" s="269">
        <v>0</v>
      </c>
      <c r="C318" s="269">
        <v>0</v>
      </c>
      <c r="D318" s="269">
        <v>0</v>
      </c>
      <c r="E318" s="269">
        <v>0</v>
      </c>
      <c r="F318" s="269">
        <v>0</v>
      </c>
      <c r="G318" s="269">
        <v>0</v>
      </c>
      <c r="H318" s="269">
        <v>0</v>
      </c>
      <c r="I318" s="294"/>
      <c r="J318" s="295"/>
      <c r="K318" s="295"/>
      <c r="L318" s="295"/>
      <c r="M318" s="295"/>
      <c r="N318" s="296"/>
    </row>
    <row r="319" spans="1:14" x14ac:dyDescent="0.2">
      <c r="A319" s="268"/>
      <c r="B319" s="269"/>
      <c r="C319" s="269"/>
      <c r="D319" s="269"/>
      <c r="E319" s="269"/>
      <c r="F319" s="269"/>
      <c r="G319" s="269"/>
      <c r="H319" s="297"/>
      <c r="I319" s="294"/>
      <c r="J319" s="295"/>
      <c r="K319" s="295"/>
      <c r="L319" s="295"/>
      <c r="M319" s="295"/>
      <c r="N319" s="296"/>
    </row>
    <row r="320" spans="1:14" x14ac:dyDescent="0.2">
      <c r="A320" s="335" t="s">
        <v>458</v>
      </c>
      <c r="B320" s="287">
        <v>0.35000000085598515</v>
      </c>
      <c r="C320" s="287">
        <v>0.53653375399115788</v>
      </c>
      <c r="D320" s="287">
        <v>0.53781431052468065</v>
      </c>
      <c r="E320" s="287">
        <v>0.5047924832737678</v>
      </c>
      <c r="F320" s="287">
        <v>0.49176129796503076</v>
      </c>
      <c r="G320" s="287">
        <v>0.47873011265629373</v>
      </c>
      <c r="H320" s="287">
        <v>0.4809701742631276</v>
      </c>
      <c r="I320" s="294">
        <v>4.3645248923532387E-2</v>
      </c>
      <c r="J320" s="295">
        <v>4.7688919445487699E-4</v>
      </c>
      <c r="K320" s="295">
        <v>-1.2593219789553189E-2</v>
      </c>
      <c r="L320" s="295">
        <v>-5.2171409178607409E-3</v>
      </c>
      <c r="M320" s="295">
        <v>-5.3568869404799768E-3</v>
      </c>
      <c r="N320" s="296">
        <v>9.3408817401940958E-4</v>
      </c>
    </row>
    <row r="321" spans="1:14" x14ac:dyDescent="0.2">
      <c r="A321" s="268"/>
      <c r="B321" s="269"/>
      <c r="C321" s="269"/>
      <c r="D321" s="269"/>
      <c r="E321" s="269"/>
      <c r="F321" s="269"/>
      <c r="G321" s="269"/>
      <c r="H321" s="297"/>
      <c r="I321" s="294"/>
      <c r="J321" s="295"/>
      <c r="K321" s="295"/>
      <c r="L321" s="295"/>
      <c r="M321" s="295"/>
      <c r="N321" s="296"/>
    </row>
    <row r="322" spans="1:14" ht="13.5" thickBot="1" x14ac:dyDescent="0.25">
      <c r="A322" s="321" t="s">
        <v>459</v>
      </c>
      <c r="B322" s="278">
        <v>41.064987580637613</v>
      </c>
      <c r="C322" s="278">
        <v>40.920075866645234</v>
      </c>
      <c r="D322" s="278">
        <v>40.034223998660131</v>
      </c>
      <c r="E322" s="278">
        <v>39.482861634042216</v>
      </c>
      <c r="F322" s="278">
        <v>39.494148406460354</v>
      </c>
      <c r="G322" s="278">
        <v>39.505435178878486</v>
      </c>
      <c r="H322" s="278">
        <v>39.877556675514988</v>
      </c>
      <c r="I322" s="298">
        <v>-3.5344548892157768E-4</v>
      </c>
      <c r="J322" s="299">
        <v>-4.3676552976110727E-3</v>
      </c>
      <c r="K322" s="299">
        <v>-2.7697557676098494E-3</v>
      </c>
      <c r="L322" s="299">
        <v>5.7166484771498105E-5</v>
      </c>
      <c r="M322" s="299">
        <v>5.7150149405771344E-5</v>
      </c>
      <c r="N322" s="300">
        <v>1.8768419466890229E-3</v>
      </c>
    </row>
    <row r="323" spans="1:14" x14ac:dyDescent="0.2">
      <c r="A323" s="282"/>
      <c r="B323" s="348"/>
      <c r="C323" s="258"/>
      <c r="D323" s="258"/>
      <c r="E323" s="258"/>
    </row>
    <row r="324" spans="1:14" x14ac:dyDescent="0.2">
      <c r="A324" s="350"/>
      <c r="B324" s="348"/>
      <c r="C324" s="258"/>
      <c r="D324" s="258"/>
      <c r="E324" s="258"/>
    </row>
    <row r="325" spans="1:14" ht="16.5" thickBot="1" x14ac:dyDescent="0.3">
      <c r="A325" s="125" t="s">
        <v>460</v>
      </c>
      <c r="B325" s="349"/>
      <c r="C325" s="126"/>
      <c r="D325" s="126"/>
      <c r="E325" s="126"/>
      <c r="F325" s="127"/>
      <c r="G325" s="126"/>
      <c r="H325" s="126"/>
      <c r="I325" s="126"/>
      <c r="J325" s="126"/>
      <c r="K325" s="126"/>
      <c r="L325" s="126"/>
      <c r="M325" s="126"/>
      <c r="N325" s="126"/>
    </row>
    <row r="326" spans="1:14" ht="13.5" thickBot="1" x14ac:dyDescent="0.25">
      <c r="A326" s="264"/>
      <c r="B326" s="265">
        <v>2000</v>
      </c>
      <c r="C326" s="265">
        <v>2010</v>
      </c>
      <c r="D326" s="265">
        <v>2015</v>
      </c>
      <c r="E326" s="265">
        <v>2020</v>
      </c>
      <c r="F326" s="265">
        <v>2025</v>
      </c>
      <c r="G326" s="265">
        <v>2030</v>
      </c>
      <c r="H326" s="265">
        <v>2035</v>
      </c>
      <c r="I326" s="284" t="s">
        <v>372</v>
      </c>
      <c r="J326" s="285" t="s">
        <v>373</v>
      </c>
      <c r="K326" s="285" t="s">
        <v>374</v>
      </c>
      <c r="L326" s="285" t="s">
        <v>375</v>
      </c>
      <c r="M326" s="285" t="s">
        <v>376</v>
      </c>
      <c r="N326" s="286" t="s">
        <v>377</v>
      </c>
    </row>
    <row r="327" spans="1:14" x14ac:dyDescent="0.2">
      <c r="A327" s="268" t="s">
        <v>461</v>
      </c>
      <c r="B327" s="269">
        <v>31.469985938009611</v>
      </c>
      <c r="C327" s="269">
        <v>36.024677531291935</v>
      </c>
      <c r="D327" s="269">
        <v>36.855947414900982</v>
      </c>
      <c r="E327" s="269">
        <v>37.51591892394184</v>
      </c>
      <c r="F327" s="269">
        <v>38.385390750884355</v>
      </c>
      <c r="G327" s="269">
        <v>39.254862577826877</v>
      </c>
      <c r="H327" s="269">
        <v>39.793607208579985</v>
      </c>
      <c r="I327" s="294">
        <v>1.3608760188503766E-2</v>
      </c>
      <c r="J327" s="295">
        <v>4.5729863867647325E-3</v>
      </c>
      <c r="K327" s="295">
        <v>3.5559768726807217E-3</v>
      </c>
      <c r="L327" s="295">
        <v>4.5928329683746494E-3</v>
      </c>
      <c r="M327" s="295">
        <v>4.4897259291296621E-3</v>
      </c>
      <c r="N327" s="296">
        <v>2.7299099567659191E-3</v>
      </c>
    </row>
    <row r="328" spans="1:14" x14ac:dyDescent="0.2">
      <c r="A328" s="268" t="s">
        <v>462</v>
      </c>
      <c r="B328" s="351">
        <v>2.7958489328899605E-2</v>
      </c>
      <c r="C328" s="351">
        <v>2.4778229875580378E-2</v>
      </c>
      <c r="D328" s="351">
        <v>2.3519153178974121E-2</v>
      </c>
      <c r="E328" s="351">
        <v>2.1567263079907598E-2</v>
      </c>
      <c r="F328" s="351">
        <v>1.9984238655009257E-2</v>
      </c>
      <c r="G328" s="351">
        <v>1.8401214230110916E-2</v>
      </c>
      <c r="H328" s="351">
        <v>1.7408721849175038E-2</v>
      </c>
      <c r="I328" s="294">
        <v>-1.2002927813278053E-2</v>
      </c>
      <c r="J328" s="295">
        <v>-1.0375859888245409E-2</v>
      </c>
      <c r="K328" s="295">
        <v>-1.7178448837714466E-2</v>
      </c>
      <c r="L328" s="295">
        <v>-1.5130894293656993E-2</v>
      </c>
      <c r="M328" s="295">
        <v>-1.6369979914716559E-2</v>
      </c>
      <c r="N328" s="296">
        <v>-1.1027806347712277E-2</v>
      </c>
    </row>
    <row r="329" spans="1:14" ht="13.5" thickBot="1" x14ac:dyDescent="0.25">
      <c r="A329" s="277" t="s">
        <v>402</v>
      </c>
      <c r="B329" s="280">
        <v>3.2337793002480977E-2</v>
      </c>
      <c r="C329" s="280">
        <v>3.0695079466261557E-2</v>
      </c>
      <c r="D329" s="280">
        <v>3.3508216367421795E-2</v>
      </c>
      <c r="E329" s="280">
        <v>3.1382596241964364E-2</v>
      </c>
      <c r="F329" s="280">
        <v>2.9298143941181184E-2</v>
      </c>
      <c r="G329" s="280">
        <v>2.7213691640398004E-2</v>
      </c>
      <c r="H329" s="280">
        <v>2.5752147676813192E-2</v>
      </c>
      <c r="I329" s="298">
        <v>-5.1998581347126871E-3</v>
      </c>
      <c r="J329" s="299">
        <v>1.7692349693638976E-2</v>
      </c>
      <c r="K329" s="299">
        <v>-1.3021910420307314E-2</v>
      </c>
      <c r="L329" s="299">
        <v>-1.3651819456015568E-2</v>
      </c>
      <c r="M329" s="299">
        <v>-1.4652383880966457E-2</v>
      </c>
      <c r="N329" s="300">
        <v>-1.0979715487598019E-2</v>
      </c>
    </row>
    <row r="330" spans="1:14" x14ac:dyDescent="0.2">
      <c r="A330" s="318"/>
      <c r="B330" s="348"/>
      <c r="C330" s="258"/>
      <c r="D330" s="258"/>
      <c r="E330" s="258"/>
      <c r="F330" s="258"/>
    </row>
    <row r="331" spans="1:14" ht="15.75" x14ac:dyDescent="0.25">
      <c r="A331" s="352"/>
    </row>
    <row r="332" spans="1:14" ht="21" x14ac:dyDescent="0.35">
      <c r="A332" s="124" t="s">
        <v>463</v>
      </c>
      <c r="B332" s="319"/>
      <c r="C332" s="319"/>
      <c r="D332" s="319"/>
      <c r="E332" s="319"/>
      <c r="F332" s="319"/>
      <c r="G332" s="319"/>
      <c r="H332" s="320"/>
      <c r="I332" s="320"/>
      <c r="J332" s="320"/>
      <c r="K332" s="320"/>
      <c r="L332" s="320"/>
      <c r="M332" s="320"/>
      <c r="N332" s="320"/>
    </row>
    <row r="333" spans="1:14" x14ac:dyDescent="0.2">
      <c r="G333" s="257"/>
    </row>
    <row r="334" spans="1:14" ht="16.5" thickBot="1" x14ac:dyDescent="0.3">
      <c r="A334" s="125" t="s">
        <v>464</v>
      </c>
      <c r="B334" s="126"/>
      <c r="C334" s="126"/>
      <c r="D334" s="126"/>
      <c r="E334" s="126"/>
      <c r="F334" s="127"/>
      <c r="G334" s="126"/>
      <c r="H334" s="126"/>
      <c r="I334" s="126"/>
      <c r="J334" s="126"/>
      <c r="K334" s="126"/>
      <c r="L334" s="126"/>
      <c r="M334" s="126"/>
      <c r="N334" s="126"/>
    </row>
    <row r="335" spans="1:14" ht="13.5" thickBot="1" x14ac:dyDescent="0.25">
      <c r="A335" s="315" t="s">
        <v>64</v>
      </c>
      <c r="B335" s="265">
        <v>2000</v>
      </c>
      <c r="C335" s="265">
        <v>2010</v>
      </c>
      <c r="D335" s="265">
        <v>2015</v>
      </c>
      <c r="E335" s="265">
        <v>2020</v>
      </c>
      <c r="F335" s="265">
        <v>2025</v>
      </c>
      <c r="G335" s="265">
        <v>2030</v>
      </c>
      <c r="H335" s="265">
        <v>2035</v>
      </c>
      <c r="I335" s="284" t="s">
        <v>372</v>
      </c>
      <c r="J335" s="285" t="s">
        <v>373</v>
      </c>
      <c r="K335" s="285" t="s">
        <v>374</v>
      </c>
      <c r="L335" s="285" t="s">
        <v>375</v>
      </c>
      <c r="M335" s="285" t="s">
        <v>376</v>
      </c>
      <c r="N335" s="286" t="s">
        <v>377</v>
      </c>
    </row>
    <row r="336" spans="1:14" x14ac:dyDescent="0.2">
      <c r="A336" s="268" t="s">
        <v>51</v>
      </c>
      <c r="B336" s="269">
        <v>3.4799999960000001</v>
      </c>
      <c r="C336" s="269">
        <v>3.4620884758665174</v>
      </c>
      <c r="D336" s="269">
        <v>3.4575657845983945</v>
      </c>
      <c r="E336" s="269">
        <v>3.4540813749218828</v>
      </c>
      <c r="F336" s="269">
        <v>3.4512904478720943</v>
      </c>
      <c r="G336" s="269">
        <v>3.4484995208223062</v>
      </c>
      <c r="H336" s="269">
        <v>3.4470437795717328</v>
      </c>
      <c r="I336" s="289">
        <v>-5.1589487267733602E-4</v>
      </c>
      <c r="J336" s="290">
        <v>-2.6140616778758119E-4</v>
      </c>
      <c r="K336" s="290">
        <v>-2.0163405866202577E-4</v>
      </c>
      <c r="L336" s="290">
        <v>-1.6165395202960564E-4</v>
      </c>
      <c r="M336" s="290">
        <v>-1.61784717731428E-4</v>
      </c>
      <c r="N336" s="291">
        <v>-8.4441776099786203E-5</v>
      </c>
    </row>
    <row r="337" spans="1:14" x14ac:dyDescent="0.2">
      <c r="A337" s="268" t="s">
        <v>245</v>
      </c>
      <c r="B337" s="269">
        <v>0.36600081465599998</v>
      </c>
      <c r="C337" s="269">
        <v>0.43520837162445652</v>
      </c>
      <c r="D337" s="269">
        <v>0.4486960433617222</v>
      </c>
      <c r="E337" s="269">
        <v>0.47774398581346622</v>
      </c>
      <c r="F337" s="269">
        <v>0.50837279581054051</v>
      </c>
      <c r="G337" s="269">
        <v>0.5390016058076148</v>
      </c>
      <c r="H337" s="269">
        <v>0.56157515703724936</v>
      </c>
      <c r="I337" s="294">
        <v>1.746977958412721E-2</v>
      </c>
      <c r="J337" s="295">
        <v>6.1228209678969581E-3</v>
      </c>
      <c r="K337" s="295">
        <v>1.2624889359598379E-2</v>
      </c>
      <c r="L337" s="295">
        <v>1.2505555398865331E-2</v>
      </c>
      <c r="M337" s="295">
        <v>1.1769425342787576E-2</v>
      </c>
      <c r="N337" s="296">
        <v>8.2391697779007345E-3</v>
      </c>
    </row>
    <row r="338" spans="1:14" x14ac:dyDescent="0.2">
      <c r="A338" s="268" t="s">
        <v>40</v>
      </c>
      <c r="B338" s="269">
        <v>0</v>
      </c>
      <c r="C338" s="269">
        <v>0</v>
      </c>
      <c r="D338" s="269">
        <v>0</v>
      </c>
      <c r="E338" s="269">
        <v>0</v>
      </c>
      <c r="F338" s="269">
        <v>0</v>
      </c>
      <c r="G338" s="269">
        <v>0</v>
      </c>
      <c r="H338" s="269">
        <v>0</v>
      </c>
      <c r="I338" s="294"/>
      <c r="J338" s="295"/>
      <c r="K338" s="295"/>
      <c r="L338" s="295"/>
      <c r="M338" s="295"/>
      <c r="N338" s="296"/>
    </row>
    <row r="339" spans="1:14" x14ac:dyDescent="0.2">
      <c r="A339" s="268" t="s">
        <v>378</v>
      </c>
      <c r="B339" s="269">
        <v>0.51181033021459199</v>
      </c>
      <c r="C339" s="269">
        <v>0.60858919290281543</v>
      </c>
      <c r="D339" s="269">
        <v>0.62745016110083474</v>
      </c>
      <c r="E339" s="269">
        <v>0.66807039040894411</v>
      </c>
      <c r="F339" s="269">
        <v>0.71090128239320483</v>
      </c>
      <c r="G339" s="269">
        <v>0.75373217437746565</v>
      </c>
      <c r="H339" s="269">
        <v>0.78529870714547101</v>
      </c>
      <c r="I339" s="294">
        <v>1.746977958412721E-2</v>
      </c>
      <c r="J339" s="295">
        <v>6.1228209678969581E-3</v>
      </c>
      <c r="K339" s="295">
        <v>1.2624889359598379E-2</v>
      </c>
      <c r="L339" s="295">
        <v>1.2505555398865331E-2</v>
      </c>
      <c r="M339" s="295">
        <v>1.1769425342787576E-2</v>
      </c>
      <c r="N339" s="296">
        <v>8.2391697779007345E-3</v>
      </c>
    </row>
    <row r="340" spans="1:14" x14ac:dyDescent="0.2">
      <c r="A340" s="268" t="s">
        <v>55</v>
      </c>
      <c r="B340" s="269">
        <v>0</v>
      </c>
      <c r="C340" s="269">
        <v>0</v>
      </c>
      <c r="D340" s="269">
        <v>0</v>
      </c>
      <c r="E340" s="269">
        <v>0</v>
      </c>
      <c r="F340" s="269">
        <v>0</v>
      </c>
      <c r="G340" s="269">
        <v>0</v>
      </c>
      <c r="H340" s="269">
        <v>0</v>
      </c>
      <c r="I340" s="294"/>
      <c r="J340" s="295"/>
      <c r="K340" s="295"/>
      <c r="L340" s="295"/>
      <c r="M340" s="295"/>
      <c r="N340" s="296"/>
    </row>
    <row r="341" spans="1:14" x14ac:dyDescent="0.2">
      <c r="A341" s="268" t="s">
        <v>379</v>
      </c>
      <c r="B341" s="269">
        <v>7.1004158043264001E-2</v>
      </c>
      <c r="C341" s="269">
        <v>8.4430424095144563E-2</v>
      </c>
      <c r="D341" s="269">
        <v>8.7047032412174111E-2</v>
      </c>
      <c r="E341" s="269">
        <v>9.2682333247812443E-2</v>
      </c>
      <c r="F341" s="269">
        <v>9.8624322387244862E-2</v>
      </c>
      <c r="G341" s="269">
        <v>0.10456631152667728</v>
      </c>
      <c r="H341" s="269">
        <v>0.10894558046522639</v>
      </c>
      <c r="I341" s="294">
        <v>1.746977958412721E-2</v>
      </c>
      <c r="J341" s="295">
        <v>6.1228209678969581E-3</v>
      </c>
      <c r="K341" s="295">
        <v>1.2624889359598379E-2</v>
      </c>
      <c r="L341" s="295">
        <v>1.2505555398865331E-2</v>
      </c>
      <c r="M341" s="295">
        <v>1.1769425342787576E-2</v>
      </c>
      <c r="N341" s="296">
        <v>8.2391697779007345E-3</v>
      </c>
    </row>
    <row r="342" spans="1:14" x14ac:dyDescent="0.2">
      <c r="A342" s="268"/>
      <c r="B342" s="269"/>
      <c r="C342" s="269"/>
      <c r="D342" s="269"/>
      <c r="E342" s="269"/>
      <c r="G342" s="269"/>
      <c r="H342" s="269"/>
      <c r="I342" s="294"/>
      <c r="J342" s="295"/>
      <c r="K342" s="295"/>
      <c r="L342" s="295"/>
      <c r="M342" s="295"/>
      <c r="N342" s="296"/>
    </row>
    <row r="343" spans="1:14" ht="13.5" thickBot="1" x14ac:dyDescent="0.25">
      <c r="A343" s="277" t="s">
        <v>9</v>
      </c>
      <c r="B343" s="278">
        <v>4.4288152989138565</v>
      </c>
      <c r="C343" s="278">
        <v>4.590316464488934</v>
      </c>
      <c r="D343" s="278">
        <v>4.620759021473126</v>
      </c>
      <c r="E343" s="278">
        <v>4.6925780843921059</v>
      </c>
      <c r="F343" s="278">
        <v>4.7691888484630844</v>
      </c>
      <c r="G343" s="278">
        <v>4.8457996125340639</v>
      </c>
      <c r="H343" s="278">
        <v>4.9028632242196801</v>
      </c>
      <c r="I343" s="298">
        <v>3.5881065770690945E-3</v>
      </c>
      <c r="J343" s="299">
        <v>1.3228769816613362E-3</v>
      </c>
      <c r="K343" s="299">
        <v>3.0893918916119478E-3</v>
      </c>
      <c r="L343" s="299">
        <v>3.2440722723430238E-3</v>
      </c>
      <c r="M343" s="299">
        <v>3.1922910882800082E-3</v>
      </c>
      <c r="N343" s="300">
        <v>2.3441623628794872E-3</v>
      </c>
    </row>
    <row r="344" spans="1:14" ht="15.75" x14ac:dyDescent="0.25">
      <c r="A344" s="352"/>
    </row>
    <row r="345" spans="1:14" ht="15.75" x14ac:dyDescent="0.25">
      <c r="A345" s="352"/>
    </row>
    <row r="346" spans="1:14" ht="21" x14ac:dyDescent="0.35">
      <c r="A346" s="124" t="s">
        <v>465</v>
      </c>
      <c r="B346" s="319"/>
      <c r="C346" s="319"/>
      <c r="D346" s="319"/>
      <c r="E346" s="319"/>
      <c r="F346" s="319"/>
      <c r="G346" s="319"/>
      <c r="H346" s="320"/>
      <c r="I346" s="320"/>
      <c r="J346" s="320"/>
      <c r="K346" s="320"/>
      <c r="L346" s="320"/>
      <c r="M346" s="320"/>
      <c r="N346" s="320"/>
    </row>
    <row r="347" spans="1:14" x14ac:dyDescent="0.2">
      <c r="G347" s="257"/>
    </row>
    <row r="348" spans="1:14" ht="16.5" thickBot="1" x14ac:dyDescent="0.3">
      <c r="A348" s="125" t="s">
        <v>466</v>
      </c>
      <c r="B348" s="126"/>
      <c r="C348" s="126"/>
      <c r="D348" s="126"/>
      <c r="E348" s="126"/>
      <c r="F348" s="127"/>
      <c r="G348" s="126"/>
      <c r="H348" s="126"/>
      <c r="I348" s="126"/>
      <c r="J348" s="126"/>
      <c r="K348" s="126"/>
      <c r="L348" s="126"/>
      <c r="M348" s="126"/>
      <c r="N348" s="126"/>
    </row>
    <row r="349" spans="1:14" ht="13.5" thickBot="1" x14ac:dyDescent="0.25">
      <c r="A349" s="315" t="s">
        <v>64</v>
      </c>
      <c r="B349" s="265">
        <v>2000</v>
      </c>
      <c r="C349" s="265">
        <v>2010</v>
      </c>
      <c r="D349" s="265">
        <v>2015</v>
      </c>
      <c r="E349" s="265">
        <v>2020</v>
      </c>
      <c r="F349" s="265">
        <v>2025</v>
      </c>
      <c r="G349" s="265">
        <v>2030</v>
      </c>
      <c r="H349" s="265">
        <v>2035</v>
      </c>
      <c r="I349" s="284" t="s">
        <v>372</v>
      </c>
      <c r="J349" s="285" t="s">
        <v>373</v>
      </c>
      <c r="K349" s="285" t="s">
        <v>374</v>
      </c>
      <c r="L349" s="285" t="s">
        <v>375</v>
      </c>
      <c r="M349" s="285" t="s">
        <v>376</v>
      </c>
      <c r="N349" s="286" t="s">
        <v>377</v>
      </c>
    </row>
    <row r="350" spans="1:14" x14ac:dyDescent="0.2">
      <c r="A350" s="268" t="s">
        <v>51</v>
      </c>
      <c r="B350" s="269">
        <v>68.282430136848987</v>
      </c>
      <c r="C350" s="269">
        <v>58.970041890974507</v>
      </c>
      <c r="D350" s="269">
        <v>54.687624881788921</v>
      </c>
      <c r="E350" s="269">
        <v>51.802437493725691</v>
      </c>
      <c r="F350" s="269">
        <v>50.669536713210789</v>
      </c>
      <c r="G350" s="269">
        <v>49.536984798568561</v>
      </c>
      <c r="H350" s="269">
        <v>49.36156802429678</v>
      </c>
      <c r="I350" s="289">
        <v>-1.455532577357499E-2</v>
      </c>
      <c r="J350" s="290">
        <v>-1.496531038249338E-2</v>
      </c>
      <c r="K350" s="290">
        <v>-1.0781507123239553E-2</v>
      </c>
      <c r="L350" s="290">
        <v>-4.4127008576672067E-3</v>
      </c>
      <c r="M350" s="290">
        <v>-4.5108589758671158E-3</v>
      </c>
      <c r="N350" s="291">
        <v>-7.0923078372020498E-4</v>
      </c>
    </row>
    <row r="351" spans="1:14" x14ac:dyDescent="0.2">
      <c r="A351" s="268" t="s">
        <v>245</v>
      </c>
      <c r="B351" s="269">
        <v>30.260914873573999</v>
      </c>
      <c r="C351" s="269">
        <v>30.516657419232935</v>
      </c>
      <c r="D351" s="269">
        <v>29.453082790840636</v>
      </c>
      <c r="E351" s="269">
        <v>28.447618856685374</v>
      </c>
      <c r="F351" s="269">
        <v>27.882457969165003</v>
      </c>
      <c r="G351" s="269">
        <v>27.317297081644632</v>
      </c>
      <c r="H351" s="269">
        <v>26.776537707254057</v>
      </c>
      <c r="I351" s="294">
        <v>8.4192799860605128E-4</v>
      </c>
      <c r="J351" s="295">
        <v>-7.0697103858090582E-3</v>
      </c>
      <c r="K351" s="295">
        <v>-6.9227510077961574E-3</v>
      </c>
      <c r="L351" s="295">
        <v>-4.0053006781284317E-3</v>
      </c>
      <c r="M351" s="295">
        <v>-4.0871547881312642E-3</v>
      </c>
      <c r="N351" s="296">
        <v>-3.9908251857805332E-3</v>
      </c>
    </row>
    <row r="352" spans="1:14" x14ac:dyDescent="0.2">
      <c r="A352" s="268" t="s">
        <v>40</v>
      </c>
      <c r="B352" s="269">
        <v>7.3745161147124296</v>
      </c>
      <c r="C352" s="269">
        <v>5.3466828865353273</v>
      </c>
      <c r="D352" s="269">
        <v>5.3707775096848405</v>
      </c>
      <c r="E352" s="269">
        <v>5.5047428716553659</v>
      </c>
      <c r="F352" s="269">
        <v>5.3108591249377461</v>
      </c>
      <c r="G352" s="269">
        <v>5.1169753782201264</v>
      </c>
      <c r="H352" s="269">
        <v>5.1242245865417413</v>
      </c>
      <c r="I352" s="294">
        <v>-3.1643906446530035E-2</v>
      </c>
      <c r="J352" s="295">
        <v>8.996721191769641E-4</v>
      </c>
      <c r="K352" s="295">
        <v>4.9396350189776506E-3</v>
      </c>
      <c r="L352" s="295">
        <v>-7.1456366632536295E-3</v>
      </c>
      <c r="M352" s="295">
        <v>-7.4104259666294414E-3</v>
      </c>
      <c r="N352" s="296">
        <v>2.8317915562148244E-4</v>
      </c>
    </row>
    <row r="353" spans="1:15" x14ac:dyDescent="0.2">
      <c r="A353" s="268" t="s">
        <v>378</v>
      </c>
      <c r="B353" s="269">
        <v>32.676369936596615</v>
      </c>
      <c r="C353" s="269">
        <v>36.927149097324623</v>
      </c>
      <c r="D353" s="269">
        <v>37.850063793738983</v>
      </c>
      <c r="E353" s="269">
        <v>39.38632981146651</v>
      </c>
      <c r="F353" s="269">
        <v>40.246979671193444</v>
      </c>
      <c r="G353" s="269">
        <v>41.107629530920363</v>
      </c>
      <c r="H353" s="269">
        <v>41.717618015643701</v>
      </c>
      <c r="I353" s="294">
        <v>1.2304570283179439E-2</v>
      </c>
      <c r="J353" s="295">
        <v>4.9493350766396382E-3</v>
      </c>
      <c r="K353" s="295">
        <v>7.9889692011061442E-3</v>
      </c>
      <c r="L353" s="295">
        <v>4.3325916181524704E-3</v>
      </c>
      <c r="M353" s="295">
        <v>4.2407216806881198E-3</v>
      </c>
      <c r="N353" s="296">
        <v>2.950302868089949E-3</v>
      </c>
    </row>
    <row r="354" spans="1:15" x14ac:dyDescent="0.2">
      <c r="A354" s="268" t="s">
        <v>55</v>
      </c>
      <c r="B354" s="269">
        <v>3.79202236870423</v>
      </c>
      <c r="C354" s="269">
        <v>4.2077162254769824</v>
      </c>
      <c r="D354" s="269">
        <v>4.2486971426240796</v>
      </c>
      <c r="E354" s="269">
        <v>4.2006868166471421</v>
      </c>
      <c r="F354" s="269">
        <v>4.1215441710118155</v>
      </c>
      <c r="G354" s="269">
        <v>4.042401525376488</v>
      </c>
      <c r="H354" s="269">
        <v>4.0020818659281758</v>
      </c>
      <c r="I354" s="294">
        <v>1.0456344750014557E-2</v>
      </c>
      <c r="J354" s="295">
        <v>1.9403490480585095E-3</v>
      </c>
      <c r="K354" s="295">
        <v>-2.2702873043970451E-3</v>
      </c>
      <c r="L354" s="295">
        <v>-3.7968033977321403E-3</v>
      </c>
      <c r="M354" s="295">
        <v>-3.8702790078386506E-3</v>
      </c>
      <c r="N354" s="296">
        <v>-2.002843653269748E-3</v>
      </c>
    </row>
    <row r="355" spans="1:15" x14ac:dyDescent="0.2">
      <c r="A355" s="268" t="s">
        <v>467</v>
      </c>
      <c r="B355" s="269">
        <v>8.9420573683800679</v>
      </c>
      <c r="C355" s="269">
        <v>10.770760072871397</v>
      </c>
      <c r="D355" s="269">
        <v>13.328187166255066</v>
      </c>
      <c r="E355" s="269">
        <v>14.757384876361591</v>
      </c>
      <c r="F355" s="269">
        <v>14.757790618286553</v>
      </c>
      <c r="G355" s="269">
        <v>14.757847494338822</v>
      </c>
      <c r="H355" s="269">
        <v>14.377894412543334</v>
      </c>
      <c r="I355" s="294">
        <v>1.8781124581995989E-2</v>
      </c>
      <c r="J355" s="295">
        <v>4.3530017524056941E-2</v>
      </c>
      <c r="K355" s="295">
        <v>2.0581435541706661E-2</v>
      </c>
      <c r="L355" s="295">
        <v>5.4987718518528794E-6</v>
      </c>
      <c r="M355" s="295">
        <v>7.7079240456967568E-7</v>
      </c>
      <c r="N355" s="296">
        <v>-5.2030287044388945E-3</v>
      </c>
    </row>
    <row r="356" spans="1:15" x14ac:dyDescent="0.2">
      <c r="A356" s="268"/>
      <c r="B356" s="269"/>
      <c r="C356" s="269"/>
      <c r="D356" s="269"/>
      <c r="E356" s="269"/>
      <c r="G356" s="269"/>
      <c r="H356" s="269"/>
      <c r="I356" s="294"/>
      <c r="J356" s="295"/>
      <c r="K356" s="295"/>
      <c r="L356" s="295"/>
      <c r="M356" s="295"/>
      <c r="N356" s="296"/>
      <c r="O356" s="353"/>
    </row>
    <row r="357" spans="1:15" ht="13.5" thickBot="1" x14ac:dyDescent="0.25">
      <c r="A357" s="277" t="s">
        <v>9</v>
      </c>
      <c r="B357" s="278">
        <v>151.32831079881635</v>
      </c>
      <c r="C357" s="278">
        <v>146.73900759241576</v>
      </c>
      <c r="D357" s="278">
        <v>144.93843328493253</v>
      </c>
      <c r="E357" s="278">
        <v>144.09920072654165</v>
      </c>
      <c r="F357" s="278">
        <v>142.98916826780535</v>
      </c>
      <c r="G357" s="278">
        <v>141.879135809069</v>
      </c>
      <c r="H357" s="278">
        <v>141.35992461220778</v>
      </c>
      <c r="I357" s="298">
        <v>-3.0748798476040173E-3</v>
      </c>
      <c r="J357" s="299">
        <v>-2.4662529907352182E-3</v>
      </c>
      <c r="K357" s="299">
        <v>-1.1607453906213872E-3</v>
      </c>
      <c r="L357" s="299">
        <v>-1.5454196712302304E-3</v>
      </c>
      <c r="M357" s="299">
        <v>-1.5574543320622247E-3</v>
      </c>
      <c r="N357" s="300">
        <v>-7.3298007480371297E-4</v>
      </c>
    </row>
    <row r="358" spans="1:15" x14ac:dyDescent="0.2">
      <c r="A358" s="354"/>
      <c r="B358" s="257">
        <v>439.95778996042577</v>
      </c>
      <c r="C358" s="257">
        <v>489.38545462005379</v>
      </c>
      <c r="D358" s="257">
        <v>500.11702085743008</v>
      </c>
      <c r="E358" s="257">
        <v>517.98057920309907</v>
      </c>
      <c r="F358" s="257">
        <v>527.98813571155165</v>
      </c>
      <c r="G358" s="257">
        <v>537.99569222000423</v>
      </c>
      <c r="H358" s="257">
        <v>545.0885815772524</v>
      </c>
      <c r="I358" s="355"/>
    </row>
    <row r="359" spans="1:15" x14ac:dyDescent="0.2">
      <c r="A359" s="356"/>
      <c r="F359" s="355"/>
      <c r="G359" s="355"/>
      <c r="H359" s="355"/>
      <c r="I359" s="355"/>
    </row>
    <row r="360" spans="1:15" ht="16.5" thickBot="1" x14ac:dyDescent="0.3">
      <c r="A360" s="125" t="s">
        <v>468</v>
      </c>
      <c r="B360" s="126"/>
      <c r="C360" s="126"/>
      <c r="D360" s="126"/>
      <c r="E360" s="126"/>
      <c r="F360" s="127"/>
      <c r="G360" s="126"/>
      <c r="H360" s="126"/>
      <c r="I360" s="126"/>
      <c r="J360" s="126"/>
      <c r="K360" s="126"/>
      <c r="L360" s="126"/>
      <c r="M360" s="126"/>
      <c r="N360" s="126"/>
    </row>
    <row r="361" spans="1:15" ht="13.5" thickBot="1" x14ac:dyDescent="0.25">
      <c r="A361" s="315" t="s">
        <v>64</v>
      </c>
      <c r="B361" s="265">
        <v>2000</v>
      </c>
      <c r="C361" s="265">
        <v>2010</v>
      </c>
      <c r="D361" s="265">
        <v>2015</v>
      </c>
      <c r="E361" s="265">
        <v>2020</v>
      </c>
      <c r="F361" s="265">
        <v>2025</v>
      </c>
      <c r="G361" s="265">
        <v>2030</v>
      </c>
      <c r="H361" s="265">
        <v>2035</v>
      </c>
      <c r="I361" s="284" t="s">
        <v>372</v>
      </c>
      <c r="J361" s="285" t="s">
        <v>373</v>
      </c>
      <c r="K361" s="285" t="s">
        <v>374</v>
      </c>
      <c r="L361" s="285" t="s">
        <v>375</v>
      </c>
      <c r="M361" s="285" t="s">
        <v>376</v>
      </c>
      <c r="N361" s="286" t="s">
        <v>377</v>
      </c>
    </row>
    <row r="362" spans="1:15" x14ac:dyDescent="0.2">
      <c r="A362" s="357" t="s">
        <v>59</v>
      </c>
      <c r="B362" s="269">
        <v>39.454146064964554</v>
      </c>
      <c r="C362" s="269">
        <v>34.014592872017602</v>
      </c>
      <c r="D362" s="269">
        <v>34.438065771747965</v>
      </c>
      <c r="E362" s="269">
        <v>35.289697017854934</v>
      </c>
      <c r="F362" s="269">
        <v>35.376105334720215</v>
      </c>
      <c r="G362" s="269">
        <v>35.462513651585496</v>
      </c>
      <c r="H362" s="269">
        <v>35.581263206731975</v>
      </c>
      <c r="I362" s="289">
        <v>-1.4725454628973789E-2</v>
      </c>
      <c r="J362" s="290">
        <v>2.4776405044875105E-3</v>
      </c>
      <c r="K362" s="290">
        <v>4.8976618152343221E-3</v>
      </c>
      <c r="L362" s="290">
        <v>4.8922954012398101E-4</v>
      </c>
      <c r="M362" s="290">
        <v>4.8803573207045758E-4</v>
      </c>
      <c r="N362" s="291">
        <v>6.6882352178398996E-4</v>
      </c>
    </row>
    <row r="363" spans="1:15" x14ac:dyDescent="0.2">
      <c r="A363" s="357" t="s">
        <v>61</v>
      </c>
      <c r="B363" s="269">
        <v>42.520503571764309</v>
      </c>
      <c r="C363" s="269">
        <v>41.624261539627042</v>
      </c>
      <c r="D363" s="269">
        <v>40.235210960633268</v>
      </c>
      <c r="E363" s="269">
        <v>38.629757860755582</v>
      </c>
      <c r="F363" s="269">
        <v>36.963452521291082</v>
      </c>
      <c r="G363" s="269">
        <v>35.297147181826581</v>
      </c>
      <c r="H363" s="269">
        <v>33.710339547937352</v>
      </c>
      <c r="I363" s="294">
        <v>-2.128051403535336E-3</v>
      </c>
      <c r="J363" s="295">
        <v>-6.7651527316122673E-3</v>
      </c>
      <c r="K363" s="295">
        <v>-8.1108477861168149E-3</v>
      </c>
      <c r="L363" s="295">
        <v>-8.7798804922156748E-3</v>
      </c>
      <c r="M363" s="295">
        <v>-9.1830777156005627E-3</v>
      </c>
      <c r="N363" s="296">
        <v>-9.1573224807213194E-3</v>
      </c>
      <c r="O363" s="255">
        <f>H363/D363-1</f>
        <v>-0.16216819191230158</v>
      </c>
    </row>
    <row r="364" spans="1:15" x14ac:dyDescent="0.2">
      <c r="A364" s="357" t="s">
        <v>56</v>
      </c>
      <c r="B364" s="269">
        <v>20.566969116536004</v>
      </c>
      <c r="C364" s="269">
        <v>22.60944152051686</v>
      </c>
      <c r="D364" s="269">
        <v>22.495750201768367</v>
      </c>
      <c r="E364" s="269">
        <v>22.608972895113475</v>
      </c>
      <c r="F364" s="269">
        <v>22.641364530114025</v>
      </c>
      <c r="G364" s="269">
        <v>22.673756165114582</v>
      </c>
      <c r="H364" s="269">
        <v>22.729321282548504</v>
      </c>
      <c r="I364" s="294">
        <v>9.5130882282901119E-3</v>
      </c>
      <c r="J364" s="295">
        <v>-1.0077266988319789E-3</v>
      </c>
      <c r="K364" s="295">
        <v>1.0045936246232401E-3</v>
      </c>
      <c r="L364" s="295">
        <v>2.8637380593310446E-4</v>
      </c>
      <c r="M364" s="295">
        <v>2.8596434238070678E-4</v>
      </c>
      <c r="N364" s="296">
        <v>4.8964740588997024E-4</v>
      </c>
    </row>
    <row r="365" spans="1:15" x14ac:dyDescent="0.2">
      <c r="A365" s="357" t="s">
        <v>58</v>
      </c>
      <c r="B365" s="269">
        <v>4.4288152989138565</v>
      </c>
      <c r="C365" s="269">
        <v>4.590316464488934</v>
      </c>
      <c r="D365" s="269">
        <v>4.620759021473126</v>
      </c>
      <c r="E365" s="269">
        <v>4.6925780843921059</v>
      </c>
      <c r="F365" s="269">
        <v>4.7691888484630844</v>
      </c>
      <c r="G365" s="269">
        <v>4.8457996125340639</v>
      </c>
      <c r="H365" s="269">
        <v>4.9028632242196801</v>
      </c>
      <c r="I365" s="294">
        <v>3.5881065770690945E-3</v>
      </c>
      <c r="J365" s="295">
        <v>1.3228769816613362E-3</v>
      </c>
      <c r="K365" s="295">
        <v>3.0893918916119478E-3</v>
      </c>
      <c r="L365" s="295">
        <v>3.2440722723430238E-3</v>
      </c>
      <c r="M365" s="295">
        <v>3.1922910882800082E-3</v>
      </c>
      <c r="N365" s="296">
        <v>2.3441623628794872E-3</v>
      </c>
    </row>
    <row r="366" spans="1:15" ht="12" customHeight="1" x14ac:dyDescent="0.2">
      <c r="A366" s="357" t="s">
        <v>469</v>
      </c>
      <c r="B366" s="269">
        <v>44.357876746637615</v>
      </c>
      <c r="C366" s="269">
        <v>43.900395195765334</v>
      </c>
      <c r="D366" s="269">
        <v>43.14864732930981</v>
      </c>
      <c r="E366" s="269">
        <v>42.878194868425588</v>
      </c>
      <c r="F366" s="269">
        <v>43.23905703321693</v>
      </c>
      <c r="G366" s="269">
        <v>43.599919198008273</v>
      </c>
      <c r="H366" s="269">
        <v>44.436137350770274</v>
      </c>
      <c r="I366" s="294">
        <v>-1.0361603120053742E-3</v>
      </c>
      <c r="J366" s="295">
        <v>-3.4484909074632419E-3</v>
      </c>
      <c r="K366" s="295">
        <v>-1.2567397088854015E-3</v>
      </c>
      <c r="L366" s="295">
        <v>1.6775587698658612E-3</v>
      </c>
      <c r="M366" s="295">
        <v>1.6636047186830982E-3</v>
      </c>
      <c r="N366" s="296">
        <v>3.8067765570719558E-3</v>
      </c>
    </row>
    <row r="367" spans="1:15" x14ac:dyDescent="0.2">
      <c r="A367" s="357"/>
      <c r="B367" s="269"/>
      <c r="C367" s="269"/>
      <c r="D367" s="269"/>
      <c r="E367" s="269"/>
      <c r="G367" s="269"/>
      <c r="H367" s="269"/>
      <c r="I367" s="294"/>
      <c r="J367" s="295"/>
      <c r="K367" s="295"/>
      <c r="L367" s="295"/>
      <c r="M367" s="295"/>
      <c r="N367" s="296"/>
    </row>
    <row r="368" spans="1:15" ht="13.5" thickBot="1" x14ac:dyDescent="0.25">
      <c r="A368" s="358" t="s">
        <v>9</v>
      </c>
      <c r="B368" s="278">
        <v>151.32831079881635</v>
      </c>
      <c r="C368" s="278">
        <v>146.73900759241579</v>
      </c>
      <c r="D368" s="278">
        <v>144.93843328493253</v>
      </c>
      <c r="E368" s="278">
        <v>144.09920072654168</v>
      </c>
      <c r="F368" s="278">
        <v>142.98916826780533</v>
      </c>
      <c r="G368" s="278">
        <v>141.879135809069</v>
      </c>
      <c r="H368" s="278">
        <v>141.35992461220781</v>
      </c>
      <c r="I368" s="298">
        <v>-3.0748798476040173E-3</v>
      </c>
      <c r="J368" s="299">
        <v>-2.4662529907352182E-3</v>
      </c>
      <c r="K368" s="299">
        <v>-1.1607453906213872E-3</v>
      </c>
      <c r="L368" s="299">
        <v>-1.5454196712303414E-3</v>
      </c>
      <c r="M368" s="299">
        <v>-1.5574543320621137E-3</v>
      </c>
      <c r="N368" s="300">
        <v>-7.3298007480371297E-4</v>
      </c>
    </row>
    <row r="369" spans="1:14" ht="15.75" x14ac:dyDescent="0.25">
      <c r="A369" s="352"/>
    </row>
    <row r="370" spans="1:14" ht="15.75" x14ac:dyDescent="0.25">
      <c r="A370" s="352"/>
    </row>
    <row r="371" spans="1:14" ht="16.5" thickBot="1" x14ac:dyDescent="0.3">
      <c r="A371" s="125" t="s">
        <v>470</v>
      </c>
      <c r="B371" s="349"/>
      <c r="C371" s="126"/>
      <c r="D371" s="126"/>
      <c r="E371" s="126"/>
      <c r="F371" s="127"/>
      <c r="G371" s="126"/>
      <c r="H371" s="126"/>
      <c r="I371" s="126"/>
      <c r="J371" s="126"/>
      <c r="K371" s="126"/>
      <c r="L371" s="126"/>
      <c r="M371" s="126"/>
      <c r="N371" s="126"/>
    </row>
    <row r="372" spans="1:14" ht="13.5" thickBot="1" x14ac:dyDescent="0.25">
      <c r="A372" s="264"/>
      <c r="B372" s="265">
        <v>2000</v>
      </c>
      <c r="C372" s="265">
        <v>2010</v>
      </c>
      <c r="D372" s="265">
        <v>2015</v>
      </c>
      <c r="E372" s="265">
        <v>2020</v>
      </c>
      <c r="F372" s="265">
        <v>2025</v>
      </c>
      <c r="G372" s="265">
        <v>2030</v>
      </c>
      <c r="H372" s="265">
        <v>2035</v>
      </c>
      <c r="I372" s="284" t="s">
        <v>372</v>
      </c>
      <c r="J372" s="285" t="s">
        <v>373</v>
      </c>
      <c r="K372" s="285" t="s">
        <v>374</v>
      </c>
      <c r="L372" s="285" t="s">
        <v>375</v>
      </c>
      <c r="M372" s="285" t="s">
        <v>376</v>
      </c>
      <c r="N372" s="286" t="s">
        <v>377</v>
      </c>
    </row>
    <row r="373" spans="1:14" x14ac:dyDescent="0.2">
      <c r="A373" s="268" t="s">
        <v>462</v>
      </c>
      <c r="B373" s="351">
        <v>9.5381277755811844E-2</v>
      </c>
      <c r="C373" s="351">
        <v>8.2822326442066677E-2</v>
      </c>
      <c r="D373" s="351">
        <v>7.9001994846622126E-2</v>
      </c>
      <c r="E373" s="351">
        <v>7.2480322019392182E-2</v>
      </c>
      <c r="F373" s="351">
        <v>6.6179991413383432E-2</v>
      </c>
      <c r="G373" s="351">
        <v>5.9879660807374696E-2</v>
      </c>
      <c r="H373" s="351">
        <v>5.5380502332334686E-2</v>
      </c>
      <c r="I373" s="294">
        <v>-1.4019265995058983E-2</v>
      </c>
      <c r="J373" s="295">
        <v>-9.4004498418421845E-3</v>
      </c>
      <c r="K373" s="295">
        <v>-1.7083984836273713E-2</v>
      </c>
      <c r="L373" s="295">
        <v>-1.8022993989795011E-2</v>
      </c>
      <c r="M373" s="295">
        <v>-1.98094187392307E-2</v>
      </c>
      <c r="N373" s="296">
        <v>-1.5500472980102153E-2</v>
      </c>
    </row>
    <row r="374" spans="1:14" x14ac:dyDescent="0.2">
      <c r="A374" s="268" t="s">
        <v>471</v>
      </c>
      <c r="B374" s="340">
        <v>239.52810061164877</v>
      </c>
      <c r="C374" s="340">
        <v>242.39705693817339</v>
      </c>
      <c r="D374" s="340">
        <v>239.93898959424666</v>
      </c>
      <c r="E374" s="340">
        <v>230.40068727825923</v>
      </c>
      <c r="F374" s="340">
        <v>216.08681913764826</v>
      </c>
      <c r="G374" s="340">
        <v>201.7729509970373</v>
      </c>
      <c r="H374" s="340">
        <v>190.07710281408674</v>
      </c>
      <c r="I374" s="294">
        <v>1.1913463388182333E-3</v>
      </c>
      <c r="J374" s="295">
        <v>-2.0364100529892681E-3</v>
      </c>
      <c r="K374" s="295">
        <v>-8.0801326499643222E-3</v>
      </c>
      <c r="L374" s="295">
        <v>-1.2746001696365972E-2</v>
      </c>
      <c r="M374" s="295">
        <v>-1.3613922237619813E-2</v>
      </c>
      <c r="N374" s="296">
        <v>-1.1871622790059155E-2</v>
      </c>
    </row>
    <row r="375" spans="1:14" x14ac:dyDescent="0.2">
      <c r="A375" s="268" t="s">
        <v>420</v>
      </c>
      <c r="B375" s="287">
        <v>2.5710746338444452</v>
      </c>
      <c r="C375" s="287">
        <v>2.3366963742510753</v>
      </c>
      <c r="D375" s="287">
        <v>2.245587049051148</v>
      </c>
      <c r="E375" s="287">
        <v>2.1830224347513516</v>
      </c>
      <c r="F375" s="287">
        <v>2.1262083662876323</v>
      </c>
      <c r="G375" s="287">
        <v>2.069394297823913</v>
      </c>
      <c r="H375" s="287">
        <v>2.0271250245973826</v>
      </c>
      <c r="I375" s="294">
        <v>-9.5130450547481482E-3</v>
      </c>
      <c r="J375" s="295">
        <v>-7.9226782603035728E-3</v>
      </c>
      <c r="K375" s="295">
        <v>-5.6353861529331306E-3</v>
      </c>
      <c r="L375" s="295">
        <v>-5.2601309694453313E-3</v>
      </c>
      <c r="M375" s="295">
        <v>-5.4022210387479896E-3</v>
      </c>
      <c r="N375" s="296">
        <v>-4.1189755579068565E-3</v>
      </c>
    </row>
    <row r="376" spans="1:14" ht="13.5" thickBot="1" x14ac:dyDescent="0.25">
      <c r="A376" s="277" t="s">
        <v>421</v>
      </c>
      <c r="B376" s="359">
        <v>6456.661496527553</v>
      </c>
      <c r="C376" s="359">
        <v>6838.8361980239442</v>
      </c>
      <c r="D376" s="359">
        <v>6820.1301579955734</v>
      </c>
      <c r="E376" s="359">
        <v>6939.3989333546306</v>
      </c>
      <c r="F376" s="359">
        <v>6956.2572445475962</v>
      </c>
      <c r="G376" s="359">
        <v>6973.1155557405609</v>
      </c>
      <c r="H376" s="359">
        <v>6957.5037330861496</v>
      </c>
      <c r="I376" s="298">
        <v>5.7670842356476459E-3</v>
      </c>
      <c r="J376" s="299">
        <v>-5.4765283278002119E-4</v>
      </c>
      <c r="K376" s="299">
        <v>3.473339174819623E-3</v>
      </c>
      <c r="L376" s="299">
        <v>4.8540091778681571E-4</v>
      </c>
      <c r="M376" s="299">
        <v>4.8422569924055914E-4</v>
      </c>
      <c r="N376" s="300">
        <v>-4.4817334254554364E-4</v>
      </c>
    </row>
    <row r="377" spans="1:14" ht="15.75" x14ac:dyDescent="0.25">
      <c r="A377" s="352"/>
    </row>
    <row r="378" spans="1:14" ht="15.75" x14ac:dyDescent="0.25">
      <c r="A378" s="352"/>
    </row>
    <row r="403" spans="2:16" x14ac:dyDescent="0.2">
      <c r="B403" s="255"/>
      <c r="C403" s="255"/>
      <c r="D403" s="255"/>
      <c r="E403" s="255"/>
      <c r="F403" s="255"/>
      <c r="G403" s="255"/>
      <c r="H403" s="255"/>
      <c r="I403" s="255"/>
      <c r="J403" s="255"/>
      <c r="K403" s="255"/>
      <c r="L403" s="255"/>
      <c r="M403" s="255"/>
      <c r="N403" s="255"/>
      <c r="P403" s="360"/>
    </row>
    <row r="404" spans="2:16" x14ac:dyDescent="0.2">
      <c r="B404" s="255"/>
      <c r="C404" s="255"/>
      <c r="D404" s="255"/>
      <c r="E404" s="255"/>
      <c r="F404" s="255"/>
      <c r="G404" s="255"/>
      <c r="H404" s="255"/>
      <c r="I404" s="255"/>
      <c r="J404" s="255"/>
      <c r="K404" s="255"/>
      <c r="L404" s="255"/>
      <c r="M404" s="255"/>
      <c r="N404" s="255"/>
      <c r="P404" s="293"/>
    </row>
    <row r="405" spans="2:16" x14ac:dyDescent="0.2">
      <c r="B405" s="255"/>
      <c r="C405" s="255"/>
      <c r="D405" s="255"/>
      <c r="E405" s="255"/>
      <c r="F405" s="255"/>
      <c r="G405" s="255"/>
      <c r="H405" s="255"/>
      <c r="I405" s="255"/>
      <c r="J405" s="255"/>
      <c r="K405" s="255"/>
      <c r="L405" s="255"/>
      <c r="M405" s="255"/>
      <c r="N405" s="255"/>
      <c r="P405" s="292"/>
    </row>
    <row r="517" spans="2:14" x14ac:dyDescent="0.2">
      <c r="B517" s="255"/>
      <c r="C517" s="255"/>
      <c r="D517" s="255"/>
      <c r="E517" s="255"/>
      <c r="F517" s="255"/>
      <c r="G517" s="255"/>
      <c r="H517" s="255"/>
      <c r="I517" s="255"/>
      <c r="J517" s="255"/>
      <c r="K517" s="255"/>
      <c r="L517" s="255"/>
      <c r="M517" s="255"/>
      <c r="N517" s="255"/>
    </row>
    <row r="518" spans="2:14" x14ac:dyDescent="0.2">
      <c r="B518" s="255"/>
      <c r="C518" s="255"/>
      <c r="D518" s="255"/>
      <c r="E518" s="255"/>
      <c r="F518" s="255"/>
      <c r="G518" s="255"/>
      <c r="H518" s="255"/>
      <c r="I518" s="255"/>
      <c r="J518" s="255"/>
      <c r="K518" s="255"/>
      <c r="L518" s="255"/>
      <c r="M518" s="255"/>
      <c r="N518" s="255"/>
    </row>
    <row r="519" spans="2:14" x14ac:dyDescent="0.2">
      <c r="B519" s="255"/>
      <c r="C519" s="255"/>
      <c r="D519" s="255"/>
      <c r="E519" s="255"/>
      <c r="F519" s="255"/>
      <c r="G519" s="255"/>
      <c r="H519" s="255"/>
      <c r="I519" s="255"/>
      <c r="J519" s="255"/>
      <c r="K519" s="255"/>
      <c r="L519" s="255"/>
      <c r="M519" s="255"/>
      <c r="N519" s="255"/>
    </row>
    <row r="520" spans="2:14" x14ac:dyDescent="0.2">
      <c r="B520" s="255"/>
      <c r="C520" s="255"/>
      <c r="D520" s="255"/>
      <c r="E520" s="255"/>
      <c r="F520" s="255"/>
      <c r="G520" s="255"/>
      <c r="H520" s="255"/>
      <c r="I520" s="255"/>
      <c r="J520" s="255"/>
      <c r="K520" s="255"/>
      <c r="L520" s="255"/>
      <c r="M520" s="255"/>
      <c r="N520" s="255"/>
    </row>
    <row r="521" spans="2:14" x14ac:dyDescent="0.2">
      <c r="B521" s="255"/>
      <c r="C521" s="255"/>
      <c r="D521" s="255"/>
      <c r="E521" s="255"/>
      <c r="F521" s="255"/>
      <c r="G521" s="255"/>
      <c r="H521" s="255"/>
      <c r="I521" s="255"/>
      <c r="J521" s="255"/>
      <c r="K521" s="255"/>
      <c r="L521" s="255"/>
      <c r="M521" s="255"/>
      <c r="N521" s="255"/>
    </row>
    <row r="522" spans="2:14" x14ac:dyDescent="0.2">
      <c r="B522" s="255"/>
      <c r="C522" s="255"/>
      <c r="D522" s="255"/>
      <c r="E522" s="255"/>
      <c r="F522" s="255"/>
      <c r="G522" s="255"/>
      <c r="H522" s="255"/>
      <c r="I522" s="255"/>
      <c r="J522" s="255"/>
      <c r="K522" s="255"/>
      <c r="L522" s="255"/>
      <c r="M522" s="255"/>
      <c r="N522" s="255"/>
    </row>
    <row r="523" spans="2:14" x14ac:dyDescent="0.2">
      <c r="B523" s="255"/>
      <c r="C523" s="255"/>
      <c r="D523" s="255"/>
      <c r="E523" s="255"/>
      <c r="F523" s="255"/>
      <c r="G523" s="255"/>
      <c r="H523" s="255"/>
      <c r="I523" s="255"/>
      <c r="J523" s="255"/>
      <c r="K523" s="255"/>
      <c r="L523" s="255"/>
      <c r="M523" s="255"/>
      <c r="N523" s="255"/>
    </row>
    <row r="524" spans="2:14" x14ac:dyDescent="0.2">
      <c r="B524" s="255"/>
      <c r="C524" s="255"/>
      <c r="D524" s="255"/>
      <c r="E524" s="255"/>
      <c r="F524" s="255"/>
      <c r="G524" s="255"/>
      <c r="H524" s="255"/>
      <c r="I524" s="255"/>
      <c r="J524" s="255"/>
      <c r="K524" s="255"/>
      <c r="L524" s="255"/>
      <c r="M524" s="255"/>
      <c r="N524" s="255"/>
    </row>
    <row r="525" spans="2:14" x14ac:dyDescent="0.2">
      <c r="B525" s="255"/>
      <c r="C525" s="255"/>
      <c r="D525" s="255"/>
      <c r="E525" s="255"/>
      <c r="F525" s="255"/>
      <c r="G525" s="255"/>
      <c r="H525" s="255"/>
      <c r="I525" s="255"/>
      <c r="J525" s="255"/>
      <c r="K525" s="255"/>
      <c r="L525" s="255"/>
      <c r="M525" s="255"/>
      <c r="N525" s="255"/>
    </row>
    <row r="526" spans="2:14" x14ac:dyDescent="0.2">
      <c r="B526" s="255"/>
      <c r="C526" s="255"/>
      <c r="D526" s="255"/>
      <c r="E526" s="255"/>
      <c r="F526" s="255"/>
      <c r="G526" s="255"/>
      <c r="H526" s="255"/>
      <c r="I526" s="255"/>
      <c r="J526" s="255"/>
      <c r="K526" s="255"/>
      <c r="L526" s="255"/>
      <c r="M526" s="255"/>
      <c r="N526" s="255"/>
    </row>
    <row r="527" spans="2:14" x14ac:dyDescent="0.2">
      <c r="B527" s="255"/>
      <c r="C527" s="255"/>
      <c r="D527" s="255"/>
      <c r="E527" s="255"/>
      <c r="F527" s="255"/>
      <c r="G527" s="255"/>
      <c r="H527" s="255"/>
      <c r="I527" s="255"/>
      <c r="J527" s="255"/>
      <c r="K527" s="255"/>
      <c r="L527" s="255"/>
      <c r="M527" s="255"/>
      <c r="N527" s="255"/>
    </row>
    <row r="528" spans="2:14" x14ac:dyDescent="0.2">
      <c r="B528" s="255"/>
      <c r="C528" s="255"/>
      <c r="D528" s="255"/>
      <c r="E528" s="255"/>
      <c r="F528" s="255"/>
      <c r="G528" s="255"/>
      <c r="H528" s="255"/>
      <c r="I528" s="255"/>
      <c r="J528" s="255"/>
      <c r="K528" s="255"/>
      <c r="L528" s="255"/>
      <c r="M528" s="255"/>
      <c r="N528" s="255"/>
    </row>
    <row r="529" spans="2:14" x14ac:dyDescent="0.2">
      <c r="B529" s="255"/>
      <c r="C529" s="255"/>
      <c r="D529" s="255"/>
      <c r="E529" s="255"/>
      <c r="F529" s="255"/>
      <c r="G529" s="255"/>
      <c r="H529" s="255"/>
      <c r="I529" s="255"/>
      <c r="J529" s="255"/>
      <c r="K529" s="255"/>
      <c r="L529" s="255"/>
      <c r="M529" s="255"/>
      <c r="N529" s="255"/>
    </row>
    <row r="530" spans="2:14" x14ac:dyDescent="0.2">
      <c r="B530" s="255"/>
      <c r="C530" s="255"/>
      <c r="D530" s="255"/>
      <c r="E530" s="255"/>
      <c r="F530" s="255"/>
      <c r="G530" s="255"/>
      <c r="H530" s="255"/>
      <c r="I530" s="255"/>
      <c r="J530" s="255"/>
      <c r="K530" s="255"/>
      <c r="L530" s="255"/>
      <c r="M530" s="255"/>
      <c r="N530" s="255"/>
    </row>
    <row r="531" spans="2:14" x14ac:dyDescent="0.2">
      <c r="B531" s="255"/>
      <c r="C531" s="255"/>
      <c r="D531" s="255"/>
      <c r="E531" s="255"/>
      <c r="F531" s="255"/>
      <c r="G531" s="255"/>
      <c r="H531" s="255"/>
      <c r="I531" s="255"/>
      <c r="J531" s="255"/>
      <c r="K531" s="255"/>
      <c r="L531" s="255"/>
      <c r="M531" s="255"/>
      <c r="N531" s="255"/>
    </row>
    <row r="532" spans="2:14" x14ac:dyDescent="0.2">
      <c r="B532" s="255"/>
      <c r="C532" s="255"/>
      <c r="D532" s="255"/>
      <c r="E532" s="255"/>
      <c r="F532" s="255"/>
      <c r="G532" s="255"/>
      <c r="H532" s="255"/>
      <c r="I532" s="255"/>
      <c r="J532" s="255"/>
      <c r="K532" s="255"/>
      <c r="L532" s="255"/>
      <c r="M532" s="255"/>
      <c r="N532" s="255"/>
    </row>
    <row r="533" spans="2:14" x14ac:dyDescent="0.2">
      <c r="B533" s="255"/>
      <c r="C533" s="255"/>
      <c r="D533" s="255"/>
      <c r="E533" s="255"/>
      <c r="F533" s="255"/>
      <c r="G533" s="255"/>
      <c r="H533" s="255"/>
      <c r="I533" s="255"/>
      <c r="J533" s="255"/>
      <c r="K533" s="255"/>
      <c r="L533" s="255"/>
      <c r="M533" s="255"/>
      <c r="N533" s="255"/>
    </row>
    <row r="534" spans="2:14" x14ac:dyDescent="0.2">
      <c r="B534" s="255"/>
      <c r="C534" s="255"/>
      <c r="D534" s="255"/>
      <c r="E534" s="255"/>
      <c r="F534" s="255"/>
      <c r="G534" s="255"/>
      <c r="H534" s="255"/>
      <c r="I534" s="255"/>
      <c r="J534" s="255"/>
      <c r="K534" s="255"/>
      <c r="L534" s="255"/>
      <c r="M534" s="255"/>
      <c r="N534" s="255"/>
    </row>
    <row r="535" spans="2:14" x14ac:dyDescent="0.2">
      <c r="B535" s="255"/>
      <c r="C535" s="255"/>
      <c r="D535" s="255"/>
      <c r="E535" s="255"/>
      <c r="F535" s="255"/>
      <c r="G535" s="255"/>
      <c r="H535" s="255"/>
      <c r="I535" s="255"/>
      <c r="J535" s="255"/>
      <c r="K535" s="255"/>
      <c r="L535" s="255"/>
      <c r="M535" s="255"/>
      <c r="N535" s="255"/>
    </row>
    <row r="536" spans="2:14" x14ac:dyDescent="0.2">
      <c r="B536" s="255"/>
      <c r="C536" s="255"/>
      <c r="D536" s="255"/>
      <c r="E536" s="255"/>
      <c r="F536" s="255"/>
      <c r="G536" s="255"/>
      <c r="H536" s="255"/>
      <c r="I536" s="255"/>
      <c r="J536" s="255"/>
      <c r="K536" s="255"/>
      <c r="L536" s="255"/>
      <c r="M536" s="255"/>
      <c r="N536" s="255"/>
    </row>
    <row r="537" spans="2:14" x14ac:dyDescent="0.2">
      <c r="B537" s="255"/>
      <c r="C537" s="255"/>
      <c r="D537" s="255"/>
      <c r="E537" s="255"/>
      <c r="F537" s="255"/>
      <c r="G537" s="255"/>
      <c r="H537" s="255"/>
      <c r="I537" s="255"/>
      <c r="J537" s="255"/>
      <c r="K537" s="255"/>
      <c r="L537" s="255"/>
      <c r="M537" s="255"/>
      <c r="N537" s="255"/>
    </row>
    <row r="538" spans="2:14" x14ac:dyDescent="0.2">
      <c r="B538" s="255"/>
      <c r="C538" s="255"/>
      <c r="D538" s="255"/>
      <c r="E538" s="255"/>
      <c r="F538" s="255"/>
      <c r="G538" s="255"/>
      <c r="H538" s="255"/>
      <c r="I538" s="255"/>
      <c r="J538" s="255"/>
      <c r="K538" s="255"/>
      <c r="L538" s="255"/>
      <c r="M538" s="255"/>
      <c r="N538" s="255"/>
    </row>
    <row r="539" spans="2:14" x14ac:dyDescent="0.2">
      <c r="B539" s="255"/>
      <c r="C539" s="255"/>
      <c r="D539" s="255"/>
      <c r="E539" s="255"/>
      <c r="F539" s="255"/>
      <c r="G539" s="255"/>
      <c r="H539" s="255"/>
      <c r="I539" s="255"/>
      <c r="J539" s="255"/>
      <c r="K539" s="255"/>
      <c r="L539" s="255"/>
      <c r="M539" s="255"/>
      <c r="N539" s="255"/>
    </row>
    <row r="540" spans="2:14" s="258" customFormat="1" x14ac:dyDescent="0.2"/>
    <row r="541" spans="2:14" s="258" customFormat="1" x14ac:dyDescent="0.2"/>
    <row r="542" spans="2:14" s="258" customFormat="1" x14ac:dyDescent="0.2"/>
    <row r="543" spans="2:14" s="258" customFormat="1" x14ac:dyDescent="0.2"/>
    <row r="544" spans="2:14" x14ac:dyDescent="0.2">
      <c r="B544" s="255"/>
      <c r="C544" s="255"/>
      <c r="D544" s="255"/>
      <c r="E544" s="255"/>
      <c r="F544" s="255"/>
      <c r="G544" s="255"/>
      <c r="H544" s="255"/>
      <c r="I544" s="255"/>
      <c r="J544" s="255"/>
      <c r="K544" s="255"/>
      <c r="L544" s="255"/>
      <c r="M544" s="255"/>
      <c r="N544" s="255"/>
    </row>
    <row r="545" spans="2:14" s="258" customFormat="1" x14ac:dyDescent="0.2"/>
    <row r="546" spans="2:14" s="258" customFormat="1" x14ac:dyDescent="0.2"/>
    <row r="547" spans="2:14" s="258" customFormat="1" x14ac:dyDescent="0.2"/>
    <row r="548" spans="2:14" s="258" customFormat="1" x14ac:dyDescent="0.2"/>
    <row r="549" spans="2:14" s="258" customFormat="1" x14ac:dyDescent="0.2"/>
    <row r="550" spans="2:14" s="258" customFormat="1" x14ac:dyDescent="0.2"/>
    <row r="551" spans="2:14" s="258" customFormat="1" x14ac:dyDescent="0.2"/>
    <row r="552" spans="2:14" s="258" customFormat="1" x14ac:dyDescent="0.2"/>
    <row r="553" spans="2:14" s="258" customFormat="1" x14ac:dyDescent="0.2"/>
    <row r="554" spans="2:14" s="258" customFormat="1" x14ac:dyDescent="0.2"/>
    <row r="555" spans="2:14" x14ac:dyDescent="0.2">
      <c r="B555" s="255"/>
      <c r="C555" s="255"/>
      <c r="D555" s="255"/>
      <c r="E555" s="255"/>
      <c r="F555" s="255"/>
      <c r="G555" s="255"/>
      <c r="H555" s="255"/>
      <c r="I555" s="255"/>
      <c r="J555" s="255"/>
      <c r="K555" s="255"/>
      <c r="L555" s="255"/>
      <c r="M555" s="255"/>
      <c r="N555" s="255"/>
    </row>
    <row r="556" spans="2:14" x14ac:dyDescent="0.2">
      <c r="B556" s="255"/>
      <c r="C556" s="255"/>
      <c r="D556" s="255"/>
      <c r="E556" s="255"/>
      <c r="F556" s="255"/>
      <c r="G556" s="255"/>
      <c r="H556" s="255"/>
      <c r="I556" s="255"/>
      <c r="J556" s="255"/>
      <c r="K556" s="255"/>
      <c r="L556" s="255"/>
      <c r="M556" s="255"/>
      <c r="N556" s="255"/>
    </row>
    <row r="557" spans="2:14" s="258" customFormat="1" x14ac:dyDescent="0.2"/>
    <row r="558" spans="2:14" s="258" customFormat="1" x14ac:dyDescent="0.2"/>
    <row r="559" spans="2:14" s="258" customFormat="1" x14ac:dyDescent="0.2"/>
    <row r="560" spans="2:14" s="258" customFormat="1" x14ac:dyDescent="0.2"/>
    <row r="561" spans="2:14" s="258" customFormat="1" x14ac:dyDescent="0.2"/>
    <row r="562" spans="2:14" s="258" customFormat="1" x14ac:dyDescent="0.2"/>
    <row r="563" spans="2:14" s="258" customFormat="1" x14ac:dyDescent="0.2"/>
    <row r="564" spans="2:14" s="258" customFormat="1" x14ac:dyDescent="0.2"/>
    <row r="565" spans="2:14" s="258" customFormat="1" x14ac:dyDescent="0.2"/>
    <row r="566" spans="2:14" s="258" customFormat="1" x14ac:dyDescent="0.2"/>
    <row r="567" spans="2:14" x14ac:dyDescent="0.2">
      <c r="B567" s="255"/>
      <c r="C567" s="255"/>
      <c r="D567" s="255"/>
      <c r="E567" s="255"/>
      <c r="F567" s="255"/>
      <c r="G567" s="255"/>
      <c r="H567" s="255"/>
      <c r="I567" s="255"/>
      <c r="J567" s="255"/>
      <c r="K567" s="255"/>
      <c r="L567" s="255"/>
      <c r="M567" s="255"/>
      <c r="N567" s="255"/>
    </row>
    <row r="568" spans="2:14" x14ac:dyDescent="0.2">
      <c r="B568" s="255"/>
      <c r="C568" s="255"/>
      <c r="D568" s="255"/>
      <c r="E568" s="255"/>
      <c r="F568" s="255"/>
      <c r="G568" s="255"/>
      <c r="H568" s="255"/>
      <c r="I568" s="255"/>
      <c r="J568" s="255"/>
      <c r="K568" s="255"/>
      <c r="L568" s="255"/>
      <c r="M568" s="255"/>
      <c r="N568" s="255"/>
    </row>
    <row r="569" spans="2:14" s="258" customFormat="1" x14ac:dyDescent="0.2"/>
    <row r="570" spans="2:14" s="258" customFormat="1" x14ac:dyDescent="0.2"/>
    <row r="571" spans="2:14" s="258" customFormat="1" x14ac:dyDescent="0.2"/>
    <row r="572" spans="2:14" x14ac:dyDescent="0.2">
      <c r="B572" s="255"/>
      <c r="C572" s="255"/>
      <c r="D572" s="255"/>
      <c r="E572" s="255"/>
      <c r="F572" s="255"/>
      <c r="G572" s="255"/>
      <c r="H572" s="255"/>
      <c r="I572" s="255"/>
      <c r="J572" s="255"/>
      <c r="K572" s="255"/>
      <c r="L572" s="255"/>
      <c r="M572" s="255"/>
      <c r="N572" s="255"/>
    </row>
    <row r="573" spans="2:14" x14ac:dyDescent="0.2">
      <c r="B573" s="255"/>
      <c r="C573" s="255"/>
      <c r="D573" s="255"/>
      <c r="E573" s="255"/>
      <c r="F573" s="255"/>
      <c r="G573" s="255"/>
      <c r="H573" s="255"/>
      <c r="I573" s="255"/>
      <c r="J573" s="255"/>
      <c r="K573" s="255"/>
      <c r="L573" s="255"/>
      <c r="M573" s="255"/>
      <c r="N573" s="255"/>
    </row>
    <row r="574" spans="2:14" x14ac:dyDescent="0.2">
      <c r="B574" s="255"/>
      <c r="C574" s="255"/>
      <c r="D574" s="255"/>
      <c r="E574" s="255"/>
      <c r="F574" s="255"/>
      <c r="G574" s="255"/>
      <c r="H574" s="255"/>
      <c r="I574" s="255"/>
      <c r="J574" s="255"/>
      <c r="K574" s="255"/>
      <c r="L574" s="255"/>
      <c r="M574" s="255"/>
      <c r="N574" s="255"/>
    </row>
    <row r="575" spans="2:14" x14ac:dyDescent="0.2">
      <c r="B575" s="255"/>
      <c r="C575" s="255"/>
      <c r="D575" s="255"/>
      <c r="E575" s="255"/>
      <c r="F575" s="255"/>
      <c r="G575" s="255"/>
      <c r="H575" s="255"/>
      <c r="I575" s="255"/>
      <c r="J575" s="255"/>
      <c r="K575" s="255"/>
      <c r="L575" s="255"/>
      <c r="M575" s="255"/>
      <c r="N575" s="255"/>
    </row>
    <row r="576" spans="2:14" x14ac:dyDescent="0.2">
      <c r="B576" s="255"/>
      <c r="C576" s="255"/>
      <c r="D576" s="255"/>
      <c r="E576" s="255"/>
      <c r="F576" s="255"/>
      <c r="G576" s="255"/>
      <c r="H576" s="255"/>
      <c r="I576" s="255"/>
      <c r="J576" s="255"/>
      <c r="K576" s="255"/>
      <c r="L576" s="255"/>
      <c r="M576" s="255"/>
      <c r="N576" s="255"/>
    </row>
    <row r="577" spans="2:14" x14ac:dyDescent="0.2">
      <c r="B577" s="255"/>
      <c r="C577" s="255"/>
      <c r="D577" s="255"/>
      <c r="E577" s="255"/>
      <c r="F577" s="255"/>
      <c r="G577" s="255"/>
      <c r="H577" s="255"/>
      <c r="I577" s="255"/>
      <c r="J577" s="255"/>
      <c r="K577" s="255"/>
      <c r="L577" s="255"/>
      <c r="M577" s="255"/>
      <c r="N577" s="255"/>
    </row>
    <row r="578" spans="2:14" x14ac:dyDescent="0.2">
      <c r="B578" s="255"/>
      <c r="C578" s="255"/>
      <c r="D578" s="255"/>
      <c r="E578" s="255"/>
      <c r="F578" s="255"/>
      <c r="G578" s="255"/>
      <c r="H578" s="255"/>
      <c r="I578" s="255"/>
      <c r="J578" s="255"/>
      <c r="K578" s="255"/>
      <c r="L578" s="255"/>
      <c r="M578" s="255"/>
      <c r="N578" s="255"/>
    </row>
    <row r="579" spans="2:14" x14ac:dyDescent="0.2">
      <c r="B579" s="255"/>
      <c r="C579" s="255"/>
      <c r="D579" s="255"/>
      <c r="E579" s="255"/>
      <c r="F579" s="255"/>
      <c r="G579" s="255"/>
      <c r="H579" s="255"/>
      <c r="I579" s="255"/>
      <c r="J579" s="255"/>
      <c r="K579" s="255"/>
      <c r="L579" s="255"/>
      <c r="M579" s="255"/>
      <c r="N579" s="255"/>
    </row>
    <row r="580" spans="2:14" x14ac:dyDescent="0.2">
      <c r="B580" s="255"/>
      <c r="C580" s="255"/>
      <c r="D580" s="255"/>
      <c r="E580" s="255"/>
      <c r="F580" s="255"/>
      <c r="G580" s="255"/>
      <c r="H580" s="255"/>
      <c r="I580" s="255"/>
      <c r="J580" s="255"/>
      <c r="K580" s="255"/>
      <c r="L580" s="255"/>
      <c r="M580" s="255"/>
      <c r="N580" s="255"/>
    </row>
    <row r="581" spans="2:14" x14ac:dyDescent="0.2">
      <c r="B581" s="255"/>
      <c r="C581" s="255"/>
      <c r="D581" s="255"/>
      <c r="E581" s="255"/>
      <c r="F581" s="255"/>
      <c r="G581" s="255"/>
      <c r="H581" s="255"/>
      <c r="I581" s="255"/>
      <c r="J581" s="255"/>
      <c r="K581" s="255"/>
      <c r="L581" s="255"/>
      <c r="M581" s="255"/>
      <c r="N581" s="255"/>
    </row>
    <row r="582" spans="2:14" x14ac:dyDescent="0.2">
      <c r="B582" s="255"/>
      <c r="C582" s="255"/>
      <c r="D582" s="255"/>
      <c r="E582" s="255"/>
      <c r="F582" s="255"/>
      <c r="G582" s="255"/>
      <c r="H582" s="255"/>
      <c r="I582" s="255"/>
      <c r="J582" s="255"/>
      <c r="K582" s="255"/>
      <c r="L582" s="255"/>
      <c r="M582" s="255"/>
      <c r="N582" s="255"/>
    </row>
    <row r="583" spans="2:14" x14ac:dyDescent="0.2">
      <c r="B583" s="255"/>
      <c r="C583" s="255"/>
      <c r="D583" s="255"/>
      <c r="E583" s="255"/>
      <c r="F583" s="255"/>
      <c r="G583" s="255"/>
      <c r="H583" s="255"/>
      <c r="I583" s="255"/>
      <c r="J583" s="255"/>
      <c r="K583" s="255"/>
      <c r="L583" s="255"/>
      <c r="M583" s="255"/>
      <c r="N583" s="255"/>
    </row>
    <row r="584" spans="2:14" x14ac:dyDescent="0.2">
      <c r="B584" s="255"/>
      <c r="C584" s="255"/>
      <c r="D584" s="255"/>
      <c r="E584" s="255"/>
      <c r="F584" s="255"/>
      <c r="G584" s="255"/>
      <c r="H584" s="255"/>
      <c r="I584" s="255"/>
      <c r="J584" s="255"/>
      <c r="K584" s="255"/>
      <c r="L584" s="255"/>
      <c r="M584" s="255"/>
      <c r="N584" s="255"/>
    </row>
    <row r="585" spans="2:14" x14ac:dyDescent="0.2">
      <c r="B585" s="255"/>
      <c r="C585" s="255"/>
      <c r="D585" s="255"/>
      <c r="E585" s="255"/>
      <c r="F585" s="255"/>
      <c r="G585" s="255"/>
      <c r="H585" s="255"/>
      <c r="I585" s="255"/>
      <c r="J585" s="255"/>
      <c r="K585" s="255"/>
      <c r="L585" s="255"/>
      <c r="M585" s="255"/>
      <c r="N585" s="255"/>
    </row>
    <row r="586" spans="2:14" x14ac:dyDescent="0.2">
      <c r="B586" s="255"/>
      <c r="C586" s="255"/>
      <c r="D586" s="255"/>
      <c r="E586" s="255"/>
      <c r="F586" s="255"/>
      <c r="G586" s="255"/>
      <c r="H586" s="255"/>
      <c r="I586" s="255"/>
      <c r="J586" s="255"/>
      <c r="K586" s="255"/>
      <c r="L586" s="255"/>
      <c r="M586" s="255"/>
      <c r="N586" s="255"/>
    </row>
    <row r="587" spans="2:14" x14ac:dyDescent="0.2">
      <c r="B587" s="255"/>
      <c r="C587" s="255"/>
      <c r="D587" s="255"/>
      <c r="E587" s="255"/>
      <c r="F587" s="255"/>
      <c r="G587" s="255"/>
      <c r="H587" s="255"/>
      <c r="I587" s="255"/>
      <c r="J587" s="255"/>
      <c r="K587" s="255"/>
      <c r="L587" s="255"/>
      <c r="M587" s="255"/>
      <c r="N587" s="255"/>
    </row>
    <row r="588" spans="2:14" x14ac:dyDescent="0.2">
      <c r="B588" s="255"/>
      <c r="C588" s="255"/>
      <c r="D588" s="255"/>
      <c r="E588" s="255"/>
      <c r="F588" s="255"/>
      <c r="G588" s="255"/>
      <c r="H588" s="255"/>
      <c r="I588" s="255"/>
      <c r="J588" s="255"/>
      <c r="K588" s="255"/>
      <c r="L588" s="255"/>
      <c r="M588" s="255"/>
      <c r="N588" s="255"/>
    </row>
    <row r="589" spans="2:14" x14ac:dyDescent="0.2">
      <c r="B589" s="255"/>
      <c r="C589" s="255"/>
      <c r="D589" s="255"/>
      <c r="E589" s="255"/>
      <c r="F589" s="255"/>
      <c r="G589" s="255"/>
      <c r="H589" s="255"/>
      <c r="I589" s="255"/>
      <c r="J589" s="255"/>
      <c r="K589" s="255"/>
      <c r="L589" s="255"/>
      <c r="M589" s="255"/>
      <c r="N589" s="255"/>
    </row>
    <row r="590" spans="2:14" x14ac:dyDescent="0.2">
      <c r="B590" s="255"/>
      <c r="C590" s="255"/>
      <c r="D590" s="255"/>
      <c r="E590" s="255"/>
      <c r="F590" s="255"/>
      <c r="G590" s="255"/>
      <c r="H590" s="255"/>
      <c r="I590" s="255"/>
      <c r="J590" s="255"/>
      <c r="K590" s="255"/>
      <c r="L590" s="255"/>
      <c r="M590" s="255"/>
      <c r="N590" s="255"/>
    </row>
    <row r="591" spans="2:14" x14ac:dyDescent="0.2">
      <c r="B591" s="255"/>
      <c r="C591" s="255"/>
      <c r="D591" s="255"/>
      <c r="E591" s="255"/>
      <c r="F591" s="255"/>
      <c r="G591" s="255"/>
      <c r="H591" s="255"/>
      <c r="I591" s="255"/>
      <c r="J591" s="255"/>
      <c r="K591" s="255"/>
      <c r="L591" s="255"/>
      <c r="M591" s="255"/>
      <c r="N591" s="255"/>
    </row>
    <row r="592" spans="2:14" x14ac:dyDescent="0.2">
      <c r="B592" s="255"/>
      <c r="C592" s="255"/>
      <c r="D592" s="255"/>
      <c r="E592" s="255"/>
      <c r="F592" s="255"/>
      <c r="G592" s="255"/>
      <c r="H592" s="255"/>
      <c r="I592" s="255"/>
      <c r="J592" s="255"/>
      <c r="K592" s="255"/>
      <c r="L592" s="255"/>
      <c r="M592" s="255"/>
      <c r="N592" s="255"/>
    </row>
    <row r="593" spans="2:14" x14ac:dyDescent="0.2">
      <c r="B593" s="255"/>
      <c r="C593" s="255"/>
      <c r="D593" s="255"/>
      <c r="E593" s="255"/>
      <c r="F593" s="255"/>
      <c r="G593" s="255"/>
      <c r="H593" s="255"/>
      <c r="I593" s="255"/>
      <c r="J593" s="255"/>
      <c r="K593" s="255"/>
      <c r="L593" s="255"/>
      <c r="M593" s="255"/>
      <c r="N593" s="255"/>
    </row>
    <row r="594" spans="2:14" x14ac:dyDescent="0.2">
      <c r="B594" s="255"/>
      <c r="C594" s="255"/>
      <c r="D594" s="255"/>
      <c r="E594" s="255"/>
      <c r="F594" s="255"/>
      <c r="G594" s="255"/>
      <c r="H594" s="255"/>
      <c r="I594" s="255"/>
      <c r="J594" s="255"/>
      <c r="K594" s="255"/>
      <c r="L594" s="255"/>
      <c r="M594" s="255"/>
      <c r="N594" s="255"/>
    </row>
    <row r="595" spans="2:14" x14ac:dyDescent="0.2">
      <c r="B595" s="255"/>
      <c r="C595" s="255"/>
      <c r="D595" s="255"/>
      <c r="E595" s="255"/>
      <c r="F595" s="255"/>
      <c r="G595" s="255"/>
      <c r="H595" s="255"/>
      <c r="I595" s="255"/>
      <c r="J595" s="255"/>
      <c r="K595" s="255"/>
      <c r="L595" s="255"/>
      <c r="M595" s="255"/>
      <c r="N595" s="255"/>
    </row>
    <row r="596" spans="2:14" x14ac:dyDescent="0.2">
      <c r="B596" s="255"/>
      <c r="C596" s="255"/>
      <c r="D596" s="255"/>
      <c r="E596" s="255"/>
      <c r="F596" s="255"/>
      <c r="G596" s="255"/>
      <c r="H596" s="255"/>
      <c r="I596" s="255"/>
      <c r="J596" s="255"/>
      <c r="K596" s="255"/>
      <c r="L596" s="255"/>
      <c r="M596" s="255"/>
      <c r="N596" s="255"/>
    </row>
    <row r="597" spans="2:14" x14ac:dyDescent="0.2">
      <c r="B597" s="255"/>
      <c r="C597" s="255"/>
      <c r="D597" s="255"/>
      <c r="E597" s="255"/>
      <c r="F597" s="255"/>
      <c r="G597" s="255"/>
      <c r="H597" s="255"/>
      <c r="I597" s="255"/>
      <c r="J597" s="255"/>
      <c r="K597" s="255"/>
      <c r="L597" s="255"/>
      <c r="M597" s="255"/>
      <c r="N597" s="255"/>
    </row>
    <row r="598" spans="2:14" x14ac:dyDescent="0.2">
      <c r="B598" s="255"/>
      <c r="C598" s="255"/>
      <c r="D598" s="255"/>
      <c r="E598" s="255"/>
      <c r="F598" s="255"/>
      <c r="G598" s="255"/>
      <c r="H598" s="255"/>
      <c r="I598" s="255"/>
      <c r="J598" s="255"/>
      <c r="K598" s="255"/>
      <c r="L598" s="255"/>
      <c r="M598" s="255"/>
      <c r="N598" s="255"/>
    </row>
    <row r="599" spans="2:14" x14ac:dyDescent="0.2">
      <c r="B599" s="255"/>
      <c r="C599" s="255"/>
      <c r="D599" s="255"/>
      <c r="E599" s="255"/>
      <c r="F599" s="255"/>
      <c r="G599" s="255"/>
      <c r="H599" s="255"/>
      <c r="I599" s="255"/>
      <c r="J599" s="255"/>
      <c r="K599" s="255"/>
      <c r="L599" s="255"/>
      <c r="M599" s="255"/>
      <c r="N599" s="255"/>
    </row>
    <row r="600" spans="2:14" x14ac:dyDescent="0.2">
      <c r="B600" s="255"/>
      <c r="C600" s="255"/>
      <c r="D600" s="255"/>
      <c r="E600" s="255"/>
      <c r="F600" s="255"/>
      <c r="G600" s="255"/>
      <c r="H600" s="255"/>
      <c r="I600" s="255"/>
      <c r="J600" s="255"/>
      <c r="K600" s="255"/>
      <c r="L600" s="255"/>
      <c r="M600" s="255"/>
      <c r="N600" s="255"/>
    </row>
    <row r="601" spans="2:14" x14ac:dyDescent="0.2">
      <c r="B601" s="255"/>
      <c r="C601" s="255"/>
      <c r="D601" s="255"/>
      <c r="E601" s="255"/>
      <c r="F601" s="255"/>
      <c r="G601" s="255"/>
      <c r="H601" s="255"/>
      <c r="I601" s="255"/>
      <c r="J601" s="255"/>
      <c r="K601" s="255"/>
      <c r="L601" s="255"/>
      <c r="M601" s="255"/>
      <c r="N601" s="255"/>
    </row>
    <row r="602" spans="2:14" x14ac:dyDescent="0.2">
      <c r="B602" s="255"/>
      <c r="C602" s="255"/>
      <c r="D602" s="255"/>
      <c r="E602" s="255"/>
      <c r="F602" s="255"/>
      <c r="G602" s="255"/>
      <c r="H602" s="255"/>
      <c r="I602" s="255"/>
      <c r="J602" s="255"/>
      <c r="K602" s="255"/>
      <c r="L602" s="255"/>
      <c r="M602" s="255"/>
      <c r="N602" s="255"/>
    </row>
    <row r="603" spans="2:14" x14ac:dyDescent="0.2">
      <c r="B603" s="255"/>
      <c r="C603" s="255"/>
      <c r="D603" s="255"/>
      <c r="E603" s="255"/>
      <c r="F603" s="255"/>
      <c r="G603" s="255"/>
      <c r="H603" s="255"/>
      <c r="I603" s="255"/>
      <c r="J603" s="255"/>
      <c r="K603" s="255"/>
      <c r="L603" s="255"/>
      <c r="M603" s="255"/>
      <c r="N603" s="255"/>
    </row>
    <row r="604" spans="2:14" s="258" customFormat="1" x14ac:dyDescent="0.2"/>
    <row r="605" spans="2:14" s="258" customFormat="1" x14ac:dyDescent="0.2"/>
    <row r="606" spans="2:14" s="258" customFormat="1" x14ac:dyDescent="0.2"/>
    <row r="607" spans="2:14" s="258" customFormat="1" x14ac:dyDescent="0.2"/>
    <row r="608" spans="2:14" s="258" customFormat="1" x14ac:dyDescent="0.2"/>
    <row r="609" spans="2:14" s="258" customFormat="1" x14ac:dyDescent="0.2"/>
    <row r="610" spans="2:14" s="258" customFormat="1" x14ac:dyDescent="0.2"/>
    <row r="611" spans="2:14" x14ac:dyDescent="0.2">
      <c r="B611" s="255"/>
      <c r="C611" s="255"/>
      <c r="D611" s="255"/>
      <c r="E611" s="255"/>
      <c r="F611" s="255"/>
      <c r="G611" s="255"/>
      <c r="H611" s="255"/>
      <c r="I611" s="255"/>
      <c r="J611" s="255"/>
      <c r="K611" s="255"/>
      <c r="L611" s="255"/>
      <c r="M611" s="255"/>
      <c r="N611" s="255"/>
    </row>
    <row r="612" spans="2:14" s="258" customFormat="1" x14ac:dyDescent="0.2"/>
    <row r="613" spans="2:14" x14ac:dyDescent="0.2">
      <c r="B613" s="255"/>
      <c r="C613" s="255"/>
      <c r="D613" s="255"/>
      <c r="E613" s="255"/>
      <c r="F613" s="255"/>
      <c r="G613" s="255"/>
      <c r="H613" s="255"/>
      <c r="I613" s="255"/>
      <c r="J613" s="255"/>
      <c r="K613" s="255"/>
      <c r="L613" s="255"/>
      <c r="M613" s="255"/>
      <c r="N613" s="255"/>
    </row>
    <row r="614" spans="2:14" x14ac:dyDescent="0.2">
      <c r="B614" s="255"/>
      <c r="C614" s="255"/>
      <c r="D614" s="255"/>
      <c r="E614" s="255"/>
      <c r="F614" s="255"/>
      <c r="G614" s="255"/>
      <c r="H614" s="255"/>
      <c r="I614" s="255"/>
      <c r="J614" s="255"/>
      <c r="K614" s="255"/>
      <c r="L614" s="255"/>
      <c r="M614" s="255"/>
      <c r="N614" s="255"/>
    </row>
    <row r="615" spans="2:14" x14ac:dyDescent="0.2">
      <c r="B615" s="255"/>
      <c r="C615" s="255"/>
      <c r="D615" s="255"/>
      <c r="E615" s="255"/>
      <c r="F615" s="255"/>
      <c r="G615" s="255"/>
      <c r="H615" s="255"/>
      <c r="I615" s="255"/>
      <c r="J615" s="255"/>
      <c r="K615" s="255"/>
      <c r="L615" s="255"/>
      <c r="M615" s="255"/>
      <c r="N615" s="255"/>
    </row>
    <row r="616" spans="2:14" x14ac:dyDescent="0.2">
      <c r="B616" s="255"/>
      <c r="C616" s="255"/>
      <c r="D616" s="255"/>
      <c r="E616" s="255"/>
      <c r="F616" s="255"/>
      <c r="G616" s="255"/>
      <c r="H616" s="255"/>
      <c r="I616" s="255"/>
      <c r="J616" s="255"/>
      <c r="K616" s="255"/>
      <c r="L616" s="255"/>
      <c r="M616" s="255"/>
      <c r="N616" s="255"/>
    </row>
    <row r="617" spans="2:14" x14ac:dyDescent="0.2">
      <c r="B617" s="255"/>
      <c r="C617" s="255"/>
      <c r="D617" s="255"/>
      <c r="E617" s="255"/>
      <c r="F617" s="255"/>
      <c r="G617" s="255"/>
      <c r="H617" s="255"/>
      <c r="I617" s="255"/>
      <c r="J617" s="255"/>
      <c r="K617" s="255"/>
      <c r="L617" s="255"/>
      <c r="M617" s="255"/>
      <c r="N617" s="255"/>
    </row>
    <row r="618" spans="2:14" x14ac:dyDescent="0.2">
      <c r="B618" s="255"/>
      <c r="C618" s="255"/>
      <c r="D618" s="255"/>
      <c r="E618" s="255"/>
      <c r="F618" s="255"/>
      <c r="G618" s="255"/>
      <c r="H618" s="255"/>
      <c r="I618" s="255"/>
      <c r="J618" s="255"/>
      <c r="K618" s="255"/>
      <c r="L618" s="255"/>
      <c r="M618" s="255"/>
      <c r="N618" s="255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opLeftCell="A43" workbookViewId="0">
      <selection activeCell="H74" sqref="H74"/>
    </sheetView>
  </sheetViews>
  <sheetFormatPr baseColWidth="10" defaultRowHeight="12.75" x14ac:dyDescent="0.2"/>
  <cols>
    <col min="1" max="1" width="47.85546875" style="398" customWidth="1"/>
    <col min="2" max="8" width="12" style="398" customWidth="1"/>
    <col min="9" max="10" width="11.42578125" style="398"/>
    <col min="11" max="11" width="11.5703125" style="398" bestFit="1" customWidth="1"/>
    <col min="12" max="12" width="11.42578125" style="398"/>
    <col min="13" max="13" width="15.42578125" style="398" bestFit="1" customWidth="1"/>
    <col min="14" max="256" width="11.42578125" style="398"/>
    <col min="257" max="257" width="47.85546875" style="398" customWidth="1"/>
    <col min="258" max="264" width="12" style="398" customWidth="1"/>
    <col min="265" max="266" width="11.42578125" style="398"/>
    <col min="267" max="267" width="11.5703125" style="398" bestFit="1" customWidth="1"/>
    <col min="268" max="268" width="11.42578125" style="398"/>
    <col min="269" max="269" width="15.42578125" style="398" bestFit="1" customWidth="1"/>
    <col min="270" max="512" width="11.42578125" style="398"/>
    <col min="513" max="513" width="47.85546875" style="398" customWidth="1"/>
    <col min="514" max="520" width="12" style="398" customWidth="1"/>
    <col min="521" max="522" width="11.42578125" style="398"/>
    <col min="523" max="523" width="11.5703125" style="398" bestFit="1" customWidth="1"/>
    <col min="524" max="524" width="11.42578125" style="398"/>
    <col min="525" max="525" width="15.42578125" style="398" bestFit="1" customWidth="1"/>
    <col min="526" max="768" width="11.42578125" style="398"/>
    <col min="769" max="769" width="47.85546875" style="398" customWidth="1"/>
    <col min="770" max="776" width="12" style="398" customWidth="1"/>
    <col min="777" max="778" width="11.42578125" style="398"/>
    <col min="779" max="779" width="11.5703125" style="398" bestFit="1" customWidth="1"/>
    <col min="780" max="780" width="11.42578125" style="398"/>
    <col min="781" max="781" width="15.42578125" style="398" bestFit="1" customWidth="1"/>
    <col min="782" max="1024" width="11.42578125" style="398"/>
    <col min="1025" max="1025" width="47.85546875" style="398" customWidth="1"/>
    <col min="1026" max="1032" width="12" style="398" customWidth="1"/>
    <col min="1033" max="1034" width="11.42578125" style="398"/>
    <col min="1035" max="1035" width="11.5703125" style="398" bestFit="1" customWidth="1"/>
    <col min="1036" max="1036" width="11.42578125" style="398"/>
    <col min="1037" max="1037" width="15.42578125" style="398" bestFit="1" customWidth="1"/>
    <col min="1038" max="1280" width="11.42578125" style="398"/>
    <col min="1281" max="1281" width="47.85546875" style="398" customWidth="1"/>
    <col min="1282" max="1288" width="12" style="398" customWidth="1"/>
    <col min="1289" max="1290" width="11.42578125" style="398"/>
    <col min="1291" max="1291" width="11.5703125" style="398" bestFit="1" customWidth="1"/>
    <col min="1292" max="1292" width="11.42578125" style="398"/>
    <col min="1293" max="1293" width="15.42578125" style="398" bestFit="1" customWidth="1"/>
    <col min="1294" max="1536" width="11.42578125" style="398"/>
    <col min="1537" max="1537" width="47.85546875" style="398" customWidth="1"/>
    <col min="1538" max="1544" width="12" style="398" customWidth="1"/>
    <col min="1545" max="1546" width="11.42578125" style="398"/>
    <col min="1547" max="1547" width="11.5703125" style="398" bestFit="1" customWidth="1"/>
    <col min="1548" max="1548" width="11.42578125" style="398"/>
    <col min="1549" max="1549" width="15.42578125" style="398" bestFit="1" customWidth="1"/>
    <col min="1550" max="1792" width="11.42578125" style="398"/>
    <col min="1793" max="1793" width="47.85546875" style="398" customWidth="1"/>
    <col min="1794" max="1800" width="12" style="398" customWidth="1"/>
    <col min="1801" max="1802" width="11.42578125" style="398"/>
    <col min="1803" max="1803" width="11.5703125" style="398" bestFit="1" customWidth="1"/>
    <col min="1804" max="1804" width="11.42578125" style="398"/>
    <col min="1805" max="1805" width="15.42578125" style="398" bestFit="1" customWidth="1"/>
    <col min="1806" max="2048" width="11.42578125" style="398"/>
    <col min="2049" max="2049" width="47.85546875" style="398" customWidth="1"/>
    <col min="2050" max="2056" width="12" style="398" customWidth="1"/>
    <col min="2057" max="2058" width="11.42578125" style="398"/>
    <col min="2059" max="2059" width="11.5703125" style="398" bestFit="1" customWidth="1"/>
    <col min="2060" max="2060" width="11.42578125" style="398"/>
    <col min="2061" max="2061" width="15.42578125" style="398" bestFit="1" customWidth="1"/>
    <col min="2062" max="2304" width="11.42578125" style="398"/>
    <col min="2305" max="2305" width="47.85546875" style="398" customWidth="1"/>
    <col min="2306" max="2312" width="12" style="398" customWidth="1"/>
    <col min="2313" max="2314" width="11.42578125" style="398"/>
    <col min="2315" max="2315" width="11.5703125" style="398" bestFit="1" customWidth="1"/>
    <col min="2316" max="2316" width="11.42578125" style="398"/>
    <col min="2317" max="2317" width="15.42578125" style="398" bestFit="1" customWidth="1"/>
    <col min="2318" max="2560" width="11.42578125" style="398"/>
    <col min="2561" max="2561" width="47.85546875" style="398" customWidth="1"/>
    <col min="2562" max="2568" width="12" style="398" customWidth="1"/>
    <col min="2569" max="2570" width="11.42578125" style="398"/>
    <col min="2571" max="2571" width="11.5703125" style="398" bestFit="1" customWidth="1"/>
    <col min="2572" max="2572" width="11.42578125" style="398"/>
    <col min="2573" max="2573" width="15.42578125" style="398" bestFit="1" customWidth="1"/>
    <col min="2574" max="2816" width="11.42578125" style="398"/>
    <col min="2817" max="2817" width="47.85546875" style="398" customWidth="1"/>
    <col min="2818" max="2824" width="12" style="398" customWidth="1"/>
    <col min="2825" max="2826" width="11.42578125" style="398"/>
    <col min="2827" max="2827" width="11.5703125" style="398" bestFit="1" customWidth="1"/>
    <col min="2828" max="2828" width="11.42578125" style="398"/>
    <col min="2829" max="2829" width="15.42578125" style="398" bestFit="1" customWidth="1"/>
    <col min="2830" max="3072" width="11.42578125" style="398"/>
    <col min="3073" max="3073" width="47.85546875" style="398" customWidth="1"/>
    <col min="3074" max="3080" width="12" style="398" customWidth="1"/>
    <col min="3081" max="3082" width="11.42578125" style="398"/>
    <col min="3083" max="3083" width="11.5703125" style="398" bestFit="1" customWidth="1"/>
    <col min="3084" max="3084" width="11.42578125" style="398"/>
    <col min="3085" max="3085" width="15.42578125" style="398" bestFit="1" customWidth="1"/>
    <col min="3086" max="3328" width="11.42578125" style="398"/>
    <col min="3329" max="3329" width="47.85546875" style="398" customWidth="1"/>
    <col min="3330" max="3336" width="12" style="398" customWidth="1"/>
    <col min="3337" max="3338" width="11.42578125" style="398"/>
    <col min="3339" max="3339" width="11.5703125" style="398" bestFit="1" customWidth="1"/>
    <col min="3340" max="3340" width="11.42578125" style="398"/>
    <col min="3341" max="3341" width="15.42578125" style="398" bestFit="1" customWidth="1"/>
    <col min="3342" max="3584" width="11.42578125" style="398"/>
    <col min="3585" max="3585" width="47.85546875" style="398" customWidth="1"/>
    <col min="3586" max="3592" width="12" style="398" customWidth="1"/>
    <col min="3593" max="3594" width="11.42578125" style="398"/>
    <col min="3595" max="3595" width="11.5703125" style="398" bestFit="1" customWidth="1"/>
    <col min="3596" max="3596" width="11.42578125" style="398"/>
    <col min="3597" max="3597" width="15.42578125" style="398" bestFit="1" customWidth="1"/>
    <col min="3598" max="3840" width="11.42578125" style="398"/>
    <col min="3841" max="3841" width="47.85546875" style="398" customWidth="1"/>
    <col min="3842" max="3848" width="12" style="398" customWidth="1"/>
    <col min="3849" max="3850" width="11.42578125" style="398"/>
    <col min="3851" max="3851" width="11.5703125" style="398" bestFit="1" customWidth="1"/>
    <col min="3852" max="3852" width="11.42578125" style="398"/>
    <col min="3853" max="3853" width="15.42578125" style="398" bestFit="1" customWidth="1"/>
    <col min="3854" max="4096" width="11.42578125" style="398"/>
    <col min="4097" max="4097" width="47.85546875" style="398" customWidth="1"/>
    <col min="4098" max="4104" width="12" style="398" customWidth="1"/>
    <col min="4105" max="4106" width="11.42578125" style="398"/>
    <col min="4107" max="4107" width="11.5703125" style="398" bestFit="1" customWidth="1"/>
    <col min="4108" max="4108" width="11.42578125" style="398"/>
    <col min="4109" max="4109" width="15.42578125" style="398" bestFit="1" customWidth="1"/>
    <col min="4110" max="4352" width="11.42578125" style="398"/>
    <col min="4353" max="4353" width="47.85546875" style="398" customWidth="1"/>
    <col min="4354" max="4360" width="12" style="398" customWidth="1"/>
    <col min="4361" max="4362" width="11.42578125" style="398"/>
    <col min="4363" max="4363" width="11.5703125" style="398" bestFit="1" customWidth="1"/>
    <col min="4364" max="4364" width="11.42578125" style="398"/>
    <col min="4365" max="4365" width="15.42578125" style="398" bestFit="1" customWidth="1"/>
    <col min="4366" max="4608" width="11.42578125" style="398"/>
    <col min="4609" max="4609" width="47.85546875" style="398" customWidth="1"/>
    <col min="4610" max="4616" width="12" style="398" customWidth="1"/>
    <col min="4617" max="4618" width="11.42578125" style="398"/>
    <col min="4619" max="4619" width="11.5703125" style="398" bestFit="1" customWidth="1"/>
    <col min="4620" max="4620" width="11.42578125" style="398"/>
    <col min="4621" max="4621" width="15.42578125" style="398" bestFit="1" customWidth="1"/>
    <col min="4622" max="4864" width="11.42578125" style="398"/>
    <col min="4865" max="4865" width="47.85546875" style="398" customWidth="1"/>
    <col min="4866" max="4872" width="12" style="398" customWidth="1"/>
    <col min="4873" max="4874" width="11.42578125" style="398"/>
    <col min="4875" max="4875" width="11.5703125" style="398" bestFit="1" customWidth="1"/>
    <col min="4876" max="4876" width="11.42578125" style="398"/>
    <col min="4877" max="4877" width="15.42578125" style="398" bestFit="1" customWidth="1"/>
    <col min="4878" max="5120" width="11.42578125" style="398"/>
    <col min="5121" max="5121" width="47.85546875" style="398" customWidth="1"/>
    <col min="5122" max="5128" width="12" style="398" customWidth="1"/>
    <col min="5129" max="5130" width="11.42578125" style="398"/>
    <col min="5131" max="5131" width="11.5703125" style="398" bestFit="1" customWidth="1"/>
    <col min="5132" max="5132" width="11.42578125" style="398"/>
    <col min="5133" max="5133" width="15.42578125" style="398" bestFit="1" customWidth="1"/>
    <col min="5134" max="5376" width="11.42578125" style="398"/>
    <col min="5377" max="5377" width="47.85546875" style="398" customWidth="1"/>
    <col min="5378" max="5384" width="12" style="398" customWidth="1"/>
    <col min="5385" max="5386" width="11.42578125" style="398"/>
    <col min="5387" max="5387" width="11.5703125" style="398" bestFit="1" customWidth="1"/>
    <col min="5388" max="5388" width="11.42578125" style="398"/>
    <col min="5389" max="5389" width="15.42578125" style="398" bestFit="1" customWidth="1"/>
    <col min="5390" max="5632" width="11.42578125" style="398"/>
    <col min="5633" max="5633" width="47.85546875" style="398" customWidth="1"/>
    <col min="5634" max="5640" width="12" style="398" customWidth="1"/>
    <col min="5641" max="5642" width="11.42578125" style="398"/>
    <col min="5643" max="5643" width="11.5703125" style="398" bestFit="1" customWidth="1"/>
    <col min="5644" max="5644" width="11.42578125" style="398"/>
    <col min="5645" max="5645" width="15.42578125" style="398" bestFit="1" customWidth="1"/>
    <col min="5646" max="5888" width="11.42578125" style="398"/>
    <col min="5889" max="5889" width="47.85546875" style="398" customWidth="1"/>
    <col min="5890" max="5896" width="12" style="398" customWidth="1"/>
    <col min="5897" max="5898" width="11.42578125" style="398"/>
    <col min="5899" max="5899" width="11.5703125" style="398" bestFit="1" customWidth="1"/>
    <col min="5900" max="5900" width="11.42578125" style="398"/>
    <col min="5901" max="5901" width="15.42578125" style="398" bestFit="1" customWidth="1"/>
    <col min="5902" max="6144" width="11.42578125" style="398"/>
    <col min="6145" max="6145" width="47.85546875" style="398" customWidth="1"/>
    <col min="6146" max="6152" width="12" style="398" customWidth="1"/>
    <col min="6153" max="6154" width="11.42578125" style="398"/>
    <col min="6155" max="6155" width="11.5703125" style="398" bestFit="1" customWidth="1"/>
    <col min="6156" max="6156" width="11.42578125" style="398"/>
    <col min="6157" max="6157" width="15.42578125" style="398" bestFit="1" customWidth="1"/>
    <col min="6158" max="6400" width="11.42578125" style="398"/>
    <col min="6401" max="6401" width="47.85546875" style="398" customWidth="1"/>
    <col min="6402" max="6408" width="12" style="398" customWidth="1"/>
    <col min="6409" max="6410" width="11.42578125" style="398"/>
    <col min="6411" max="6411" width="11.5703125" style="398" bestFit="1" customWidth="1"/>
    <col min="6412" max="6412" width="11.42578125" style="398"/>
    <col min="6413" max="6413" width="15.42578125" style="398" bestFit="1" customWidth="1"/>
    <col min="6414" max="6656" width="11.42578125" style="398"/>
    <col min="6657" max="6657" width="47.85546875" style="398" customWidth="1"/>
    <col min="6658" max="6664" width="12" style="398" customWidth="1"/>
    <col min="6665" max="6666" width="11.42578125" style="398"/>
    <col min="6667" max="6667" width="11.5703125" style="398" bestFit="1" customWidth="1"/>
    <col min="6668" max="6668" width="11.42578125" style="398"/>
    <col min="6669" max="6669" width="15.42578125" style="398" bestFit="1" customWidth="1"/>
    <col min="6670" max="6912" width="11.42578125" style="398"/>
    <col min="6913" max="6913" width="47.85546875" style="398" customWidth="1"/>
    <col min="6914" max="6920" width="12" style="398" customWidth="1"/>
    <col min="6921" max="6922" width="11.42578125" style="398"/>
    <col min="6923" max="6923" width="11.5703125" style="398" bestFit="1" customWidth="1"/>
    <col min="6924" max="6924" width="11.42578125" style="398"/>
    <col min="6925" max="6925" width="15.42578125" style="398" bestFit="1" customWidth="1"/>
    <col min="6926" max="7168" width="11.42578125" style="398"/>
    <col min="7169" max="7169" width="47.85546875" style="398" customWidth="1"/>
    <col min="7170" max="7176" width="12" style="398" customWidth="1"/>
    <col min="7177" max="7178" width="11.42578125" style="398"/>
    <col min="7179" max="7179" width="11.5703125" style="398" bestFit="1" customWidth="1"/>
    <col min="7180" max="7180" width="11.42578125" style="398"/>
    <col min="7181" max="7181" width="15.42578125" style="398" bestFit="1" customWidth="1"/>
    <col min="7182" max="7424" width="11.42578125" style="398"/>
    <col min="7425" max="7425" width="47.85546875" style="398" customWidth="1"/>
    <col min="7426" max="7432" width="12" style="398" customWidth="1"/>
    <col min="7433" max="7434" width="11.42578125" style="398"/>
    <col min="7435" max="7435" width="11.5703125" style="398" bestFit="1" customWidth="1"/>
    <col min="7436" max="7436" width="11.42578125" style="398"/>
    <col min="7437" max="7437" width="15.42578125" style="398" bestFit="1" customWidth="1"/>
    <col min="7438" max="7680" width="11.42578125" style="398"/>
    <col min="7681" max="7681" width="47.85546875" style="398" customWidth="1"/>
    <col min="7682" max="7688" width="12" style="398" customWidth="1"/>
    <col min="7689" max="7690" width="11.42578125" style="398"/>
    <col min="7691" max="7691" width="11.5703125" style="398" bestFit="1" customWidth="1"/>
    <col min="7692" max="7692" width="11.42578125" style="398"/>
    <col min="7693" max="7693" width="15.42578125" style="398" bestFit="1" customWidth="1"/>
    <col min="7694" max="7936" width="11.42578125" style="398"/>
    <col min="7937" max="7937" width="47.85546875" style="398" customWidth="1"/>
    <col min="7938" max="7944" width="12" style="398" customWidth="1"/>
    <col min="7945" max="7946" width="11.42578125" style="398"/>
    <col min="7947" max="7947" width="11.5703125" style="398" bestFit="1" customWidth="1"/>
    <col min="7948" max="7948" width="11.42578125" style="398"/>
    <col min="7949" max="7949" width="15.42578125" style="398" bestFit="1" customWidth="1"/>
    <col min="7950" max="8192" width="11.42578125" style="398"/>
    <col min="8193" max="8193" width="47.85546875" style="398" customWidth="1"/>
    <col min="8194" max="8200" width="12" style="398" customWidth="1"/>
    <col min="8201" max="8202" width="11.42578125" style="398"/>
    <col min="8203" max="8203" width="11.5703125" style="398" bestFit="1" customWidth="1"/>
    <col min="8204" max="8204" width="11.42578125" style="398"/>
    <col min="8205" max="8205" width="15.42578125" style="398" bestFit="1" customWidth="1"/>
    <col min="8206" max="8448" width="11.42578125" style="398"/>
    <col min="8449" max="8449" width="47.85546875" style="398" customWidth="1"/>
    <col min="8450" max="8456" width="12" style="398" customWidth="1"/>
    <col min="8457" max="8458" width="11.42578125" style="398"/>
    <col min="8459" max="8459" width="11.5703125" style="398" bestFit="1" customWidth="1"/>
    <col min="8460" max="8460" width="11.42578125" style="398"/>
    <col min="8461" max="8461" width="15.42578125" style="398" bestFit="1" customWidth="1"/>
    <col min="8462" max="8704" width="11.42578125" style="398"/>
    <col min="8705" max="8705" width="47.85546875" style="398" customWidth="1"/>
    <col min="8706" max="8712" width="12" style="398" customWidth="1"/>
    <col min="8713" max="8714" width="11.42578125" style="398"/>
    <col min="8715" max="8715" width="11.5703125" style="398" bestFit="1" customWidth="1"/>
    <col min="8716" max="8716" width="11.42578125" style="398"/>
    <col min="8717" max="8717" width="15.42578125" style="398" bestFit="1" customWidth="1"/>
    <col min="8718" max="8960" width="11.42578125" style="398"/>
    <col min="8961" max="8961" width="47.85546875" style="398" customWidth="1"/>
    <col min="8962" max="8968" width="12" style="398" customWidth="1"/>
    <col min="8969" max="8970" width="11.42578125" style="398"/>
    <col min="8971" max="8971" width="11.5703125" style="398" bestFit="1" customWidth="1"/>
    <col min="8972" max="8972" width="11.42578125" style="398"/>
    <col min="8973" max="8973" width="15.42578125" style="398" bestFit="1" customWidth="1"/>
    <col min="8974" max="9216" width="11.42578125" style="398"/>
    <col min="9217" max="9217" width="47.85546875" style="398" customWidth="1"/>
    <col min="9218" max="9224" width="12" style="398" customWidth="1"/>
    <col min="9225" max="9226" width="11.42578125" style="398"/>
    <col min="9227" max="9227" width="11.5703125" style="398" bestFit="1" customWidth="1"/>
    <col min="9228" max="9228" width="11.42578125" style="398"/>
    <col min="9229" max="9229" width="15.42578125" style="398" bestFit="1" customWidth="1"/>
    <col min="9230" max="9472" width="11.42578125" style="398"/>
    <col min="9473" max="9473" width="47.85546875" style="398" customWidth="1"/>
    <col min="9474" max="9480" width="12" style="398" customWidth="1"/>
    <col min="9481" max="9482" width="11.42578125" style="398"/>
    <col min="9483" max="9483" width="11.5703125" style="398" bestFit="1" customWidth="1"/>
    <col min="9484" max="9484" width="11.42578125" style="398"/>
    <col min="9485" max="9485" width="15.42578125" style="398" bestFit="1" customWidth="1"/>
    <col min="9486" max="9728" width="11.42578125" style="398"/>
    <col min="9729" max="9729" width="47.85546875" style="398" customWidth="1"/>
    <col min="9730" max="9736" width="12" style="398" customWidth="1"/>
    <col min="9737" max="9738" width="11.42578125" style="398"/>
    <col min="9739" max="9739" width="11.5703125" style="398" bestFit="1" customWidth="1"/>
    <col min="9740" max="9740" width="11.42578125" style="398"/>
    <col min="9741" max="9741" width="15.42578125" style="398" bestFit="1" customWidth="1"/>
    <col min="9742" max="9984" width="11.42578125" style="398"/>
    <col min="9985" max="9985" width="47.85546875" style="398" customWidth="1"/>
    <col min="9986" max="9992" width="12" style="398" customWidth="1"/>
    <col min="9993" max="9994" width="11.42578125" style="398"/>
    <col min="9995" max="9995" width="11.5703125" style="398" bestFit="1" customWidth="1"/>
    <col min="9996" max="9996" width="11.42578125" style="398"/>
    <col min="9997" max="9997" width="15.42578125" style="398" bestFit="1" customWidth="1"/>
    <col min="9998" max="10240" width="11.42578125" style="398"/>
    <col min="10241" max="10241" width="47.85546875" style="398" customWidth="1"/>
    <col min="10242" max="10248" width="12" style="398" customWidth="1"/>
    <col min="10249" max="10250" width="11.42578125" style="398"/>
    <col min="10251" max="10251" width="11.5703125" style="398" bestFit="1" customWidth="1"/>
    <col min="10252" max="10252" width="11.42578125" style="398"/>
    <col min="10253" max="10253" width="15.42578125" style="398" bestFit="1" customWidth="1"/>
    <col min="10254" max="10496" width="11.42578125" style="398"/>
    <col min="10497" max="10497" width="47.85546875" style="398" customWidth="1"/>
    <col min="10498" max="10504" width="12" style="398" customWidth="1"/>
    <col min="10505" max="10506" width="11.42578125" style="398"/>
    <col min="10507" max="10507" width="11.5703125" style="398" bestFit="1" customWidth="1"/>
    <col min="10508" max="10508" width="11.42578125" style="398"/>
    <col min="10509" max="10509" width="15.42578125" style="398" bestFit="1" customWidth="1"/>
    <col min="10510" max="10752" width="11.42578125" style="398"/>
    <col min="10753" max="10753" width="47.85546875" style="398" customWidth="1"/>
    <col min="10754" max="10760" width="12" style="398" customWidth="1"/>
    <col min="10761" max="10762" width="11.42578125" style="398"/>
    <col min="10763" max="10763" width="11.5703125" style="398" bestFit="1" customWidth="1"/>
    <col min="10764" max="10764" width="11.42578125" style="398"/>
    <col min="10765" max="10765" width="15.42578125" style="398" bestFit="1" customWidth="1"/>
    <col min="10766" max="11008" width="11.42578125" style="398"/>
    <col min="11009" max="11009" width="47.85546875" style="398" customWidth="1"/>
    <col min="11010" max="11016" width="12" style="398" customWidth="1"/>
    <col min="11017" max="11018" width="11.42578125" style="398"/>
    <col min="11019" max="11019" width="11.5703125" style="398" bestFit="1" customWidth="1"/>
    <col min="11020" max="11020" width="11.42578125" style="398"/>
    <col min="11021" max="11021" width="15.42578125" style="398" bestFit="1" customWidth="1"/>
    <col min="11022" max="11264" width="11.42578125" style="398"/>
    <col min="11265" max="11265" width="47.85546875" style="398" customWidth="1"/>
    <col min="11266" max="11272" width="12" style="398" customWidth="1"/>
    <col min="11273" max="11274" width="11.42578125" style="398"/>
    <col min="11275" max="11275" width="11.5703125" style="398" bestFit="1" customWidth="1"/>
    <col min="11276" max="11276" width="11.42578125" style="398"/>
    <col min="11277" max="11277" width="15.42578125" style="398" bestFit="1" customWidth="1"/>
    <col min="11278" max="11520" width="11.42578125" style="398"/>
    <col min="11521" max="11521" width="47.85546875" style="398" customWidth="1"/>
    <col min="11522" max="11528" width="12" style="398" customWidth="1"/>
    <col min="11529" max="11530" width="11.42578125" style="398"/>
    <col min="11531" max="11531" width="11.5703125" style="398" bestFit="1" customWidth="1"/>
    <col min="11532" max="11532" width="11.42578125" style="398"/>
    <col min="11533" max="11533" width="15.42578125" style="398" bestFit="1" customWidth="1"/>
    <col min="11534" max="11776" width="11.42578125" style="398"/>
    <col min="11777" max="11777" width="47.85546875" style="398" customWidth="1"/>
    <col min="11778" max="11784" width="12" style="398" customWidth="1"/>
    <col min="11785" max="11786" width="11.42578125" style="398"/>
    <col min="11787" max="11787" width="11.5703125" style="398" bestFit="1" customWidth="1"/>
    <col min="11788" max="11788" width="11.42578125" style="398"/>
    <col min="11789" max="11789" width="15.42578125" style="398" bestFit="1" customWidth="1"/>
    <col min="11790" max="12032" width="11.42578125" style="398"/>
    <col min="12033" max="12033" width="47.85546875" style="398" customWidth="1"/>
    <col min="12034" max="12040" width="12" style="398" customWidth="1"/>
    <col min="12041" max="12042" width="11.42578125" style="398"/>
    <col min="12043" max="12043" width="11.5703125" style="398" bestFit="1" customWidth="1"/>
    <col min="12044" max="12044" width="11.42578125" style="398"/>
    <col min="12045" max="12045" width="15.42578125" style="398" bestFit="1" customWidth="1"/>
    <col min="12046" max="12288" width="11.42578125" style="398"/>
    <col min="12289" max="12289" width="47.85546875" style="398" customWidth="1"/>
    <col min="12290" max="12296" width="12" style="398" customWidth="1"/>
    <col min="12297" max="12298" width="11.42578125" style="398"/>
    <col min="12299" max="12299" width="11.5703125" style="398" bestFit="1" customWidth="1"/>
    <col min="12300" max="12300" width="11.42578125" style="398"/>
    <col min="12301" max="12301" width="15.42578125" style="398" bestFit="1" customWidth="1"/>
    <col min="12302" max="12544" width="11.42578125" style="398"/>
    <col min="12545" max="12545" width="47.85546875" style="398" customWidth="1"/>
    <col min="12546" max="12552" width="12" style="398" customWidth="1"/>
    <col min="12553" max="12554" width="11.42578125" style="398"/>
    <col min="12555" max="12555" width="11.5703125" style="398" bestFit="1" customWidth="1"/>
    <col min="12556" max="12556" width="11.42578125" style="398"/>
    <col min="12557" max="12557" width="15.42578125" style="398" bestFit="1" customWidth="1"/>
    <col min="12558" max="12800" width="11.42578125" style="398"/>
    <col min="12801" max="12801" width="47.85546875" style="398" customWidth="1"/>
    <col min="12802" max="12808" width="12" style="398" customWidth="1"/>
    <col min="12809" max="12810" width="11.42578125" style="398"/>
    <col min="12811" max="12811" width="11.5703125" style="398" bestFit="1" customWidth="1"/>
    <col min="12812" max="12812" width="11.42578125" style="398"/>
    <col min="12813" max="12813" width="15.42578125" style="398" bestFit="1" customWidth="1"/>
    <col min="12814" max="13056" width="11.42578125" style="398"/>
    <col min="13057" max="13057" width="47.85546875" style="398" customWidth="1"/>
    <col min="13058" max="13064" width="12" style="398" customWidth="1"/>
    <col min="13065" max="13066" width="11.42578125" style="398"/>
    <col min="13067" max="13067" width="11.5703125" style="398" bestFit="1" customWidth="1"/>
    <col min="13068" max="13068" width="11.42578125" style="398"/>
    <col min="13069" max="13069" width="15.42578125" style="398" bestFit="1" customWidth="1"/>
    <col min="13070" max="13312" width="11.42578125" style="398"/>
    <col min="13313" max="13313" width="47.85546875" style="398" customWidth="1"/>
    <col min="13314" max="13320" width="12" style="398" customWidth="1"/>
    <col min="13321" max="13322" width="11.42578125" style="398"/>
    <col min="13323" max="13323" width="11.5703125" style="398" bestFit="1" customWidth="1"/>
    <col min="13324" max="13324" width="11.42578125" style="398"/>
    <col min="13325" max="13325" width="15.42578125" style="398" bestFit="1" customWidth="1"/>
    <col min="13326" max="13568" width="11.42578125" style="398"/>
    <col min="13569" max="13569" width="47.85546875" style="398" customWidth="1"/>
    <col min="13570" max="13576" width="12" style="398" customWidth="1"/>
    <col min="13577" max="13578" width="11.42578125" style="398"/>
    <col min="13579" max="13579" width="11.5703125" style="398" bestFit="1" customWidth="1"/>
    <col min="13580" max="13580" width="11.42578125" style="398"/>
    <col min="13581" max="13581" width="15.42578125" style="398" bestFit="1" customWidth="1"/>
    <col min="13582" max="13824" width="11.42578125" style="398"/>
    <col min="13825" max="13825" width="47.85546875" style="398" customWidth="1"/>
    <col min="13826" max="13832" width="12" style="398" customWidth="1"/>
    <col min="13833" max="13834" width="11.42578125" style="398"/>
    <col min="13835" max="13835" width="11.5703125" style="398" bestFit="1" customWidth="1"/>
    <col min="13836" max="13836" width="11.42578125" style="398"/>
    <col min="13837" max="13837" width="15.42578125" style="398" bestFit="1" customWidth="1"/>
    <col min="13838" max="14080" width="11.42578125" style="398"/>
    <col min="14081" max="14081" width="47.85546875" style="398" customWidth="1"/>
    <col min="14082" max="14088" width="12" style="398" customWidth="1"/>
    <col min="14089" max="14090" width="11.42578125" style="398"/>
    <col min="14091" max="14091" width="11.5703125" style="398" bestFit="1" customWidth="1"/>
    <col min="14092" max="14092" width="11.42578125" style="398"/>
    <col min="14093" max="14093" width="15.42578125" style="398" bestFit="1" customWidth="1"/>
    <col min="14094" max="14336" width="11.42578125" style="398"/>
    <col min="14337" max="14337" width="47.85546875" style="398" customWidth="1"/>
    <col min="14338" max="14344" width="12" style="398" customWidth="1"/>
    <col min="14345" max="14346" width="11.42578125" style="398"/>
    <col min="14347" max="14347" width="11.5703125" style="398" bestFit="1" customWidth="1"/>
    <col min="14348" max="14348" width="11.42578125" style="398"/>
    <col min="14349" max="14349" width="15.42578125" style="398" bestFit="1" customWidth="1"/>
    <col min="14350" max="14592" width="11.42578125" style="398"/>
    <col min="14593" max="14593" width="47.85546875" style="398" customWidth="1"/>
    <col min="14594" max="14600" width="12" style="398" customWidth="1"/>
    <col min="14601" max="14602" width="11.42578125" style="398"/>
    <col min="14603" max="14603" width="11.5703125" style="398" bestFit="1" customWidth="1"/>
    <col min="14604" max="14604" width="11.42578125" style="398"/>
    <col min="14605" max="14605" width="15.42578125" style="398" bestFit="1" customWidth="1"/>
    <col min="14606" max="14848" width="11.42578125" style="398"/>
    <col min="14849" max="14849" width="47.85546875" style="398" customWidth="1"/>
    <col min="14850" max="14856" width="12" style="398" customWidth="1"/>
    <col min="14857" max="14858" width="11.42578125" style="398"/>
    <col min="14859" max="14859" width="11.5703125" style="398" bestFit="1" customWidth="1"/>
    <col min="14860" max="14860" width="11.42578125" style="398"/>
    <col min="14861" max="14861" width="15.42578125" style="398" bestFit="1" customWidth="1"/>
    <col min="14862" max="15104" width="11.42578125" style="398"/>
    <col min="15105" max="15105" width="47.85546875" style="398" customWidth="1"/>
    <col min="15106" max="15112" width="12" style="398" customWidth="1"/>
    <col min="15113" max="15114" width="11.42578125" style="398"/>
    <col min="15115" max="15115" width="11.5703125" style="398" bestFit="1" customWidth="1"/>
    <col min="15116" max="15116" width="11.42578125" style="398"/>
    <col min="15117" max="15117" width="15.42578125" style="398" bestFit="1" customWidth="1"/>
    <col min="15118" max="15360" width="11.42578125" style="398"/>
    <col min="15361" max="15361" width="47.85546875" style="398" customWidth="1"/>
    <col min="15362" max="15368" width="12" style="398" customWidth="1"/>
    <col min="15369" max="15370" width="11.42578125" style="398"/>
    <col min="15371" max="15371" width="11.5703125" style="398" bestFit="1" customWidth="1"/>
    <col min="15372" max="15372" width="11.42578125" style="398"/>
    <col min="15373" max="15373" width="15.42578125" style="398" bestFit="1" customWidth="1"/>
    <col min="15374" max="15616" width="11.42578125" style="398"/>
    <col min="15617" max="15617" width="47.85546875" style="398" customWidth="1"/>
    <col min="15618" max="15624" width="12" style="398" customWidth="1"/>
    <col min="15625" max="15626" width="11.42578125" style="398"/>
    <col min="15627" max="15627" width="11.5703125" style="398" bestFit="1" customWidth="1"/>
    <col min="15628" max="15628" width="11.42578125" style="398"/>
    <col min="15629" max="15629" width="15.42578125" style="398" bestFit="1" customWidth="1"/>
    <col min="15630" max="15872" width="11.42578125" style="398"/>
    <col min="15873" max="15873" width="47.85546875" style="398" customWidth="1"/>
    <col min="15874" max="15880" width="12" style="398" customWidth="1"/>
    <col min="15881" max="15882" width="11.42578125" style="398"/>
    <col min="15883" max="15883" width="11.5703125" style="398" bestFit="1" customWidth="1"/>
    <col min="15884" max="15884" width="11.42578125" style="398"/>
    <col min="15885" max="15885" width="15.42578125" style="398" bestFit="1" customWidth="1"/>
    <col min="15886" max="16128" width="11.42578125" style="398"/>
    <col min="16129" max="16129" width="47.85546875" style="398" customWidth="1"/>
    <col min="16130" max="16136" width="12" style="398" customWidth="1"/>
    <col min="16137" max="16138" width="11.42578125" style="398"/>
    <col min="16139" max="16139" width="11.5703125" style="398" bestFit="1" customWidth="1"/>
    <col min="16140" max="16140" width="11.42578125" style="398"/>
    <col min="16141" max="16141" width="15.42578125" style="398" bestFit="1" customWidth="1"/>
    <col min="16142" max="16384" width="11.42578125" style="398"/>
  </cols>
  <sheetData>
    <row r="1" spans="1:14" ht="28.5" x14ac:dyDescent="0.45">
      <c r="A1" s="391" t="s">
        <v>238</v>
      </c>
      <c r="B1" s="392"/>
      <c r="C1" s="392"/>
      <c r="D1" s="392"/>
      <c r="E1" s="392"/>
      <c r="F1" s="393"/>
      <c r="G1" s="394" t="s">
        <v>239</v>
      </c>
      <c r="H1" s="395" t="s">
        <v>240</v>
      </c>
      <c r="I1" s="395"/>
      <c r="J1" s="394" t="s">
        <v>241</v>
      </c>
      <c r="K1" s="395">
        <v>4</v>
      </c>
      <c r="L1" s="394" t="s">
        <v>242</v>
      </c>
      <c r="M1" s="396">
        <v>42012</v>
      </c>
      <c r="N1" s="397"/>
    </row>
    <row r="5" spans="1:14" ht="21" x14ac:dyDescent="0.35">
      <c r="A5" s="399" t="s">
        <v>475</v>
      </c>
      <c r="B5" s="399"/>
      <c r="C5" s="399"/>
      <c r="D5" s="399"/>
      <c r="E5" s="399"/>
      <c r="F5" s="399"/>
      <c r="G5" s="399"/>
      <c r="H5" s="399"/>
    </row>
    <row r="7" spans="1:14" ht="15.75" x14ac:dyDescent="0.25">
      <c r="A7" s="400" t="s">
        <v>476</v>
      </c>
      <c r="B7" s="401"/>
      <c r="C7" s="401"/>
      <c r="D7" s="401"/>
      <c r="E7" s="401"/>
      <c r="F7" s="401"/>
      <c r="G7" s="401"/>
      <c r="H7" s="401"/>
    </row>
    <row r="8" spans="1:14" x14ac:dyDescent="0.2">
      <c r="A8" s="402" t="s">
        <v>477</v>
      </c>
    </row>
    <row r="9" spans="1:14" ht="13.5" thickBot="1" x14ac:dyDescent="0.25"/>
    <row r="10" spans="1:14" ht="25.5" x14ac:dyDescent="0.2">
      <c r="A10" s="403"/>
      <c r="B10" s="404" t="s">
        <v>478</v>
      </c>
      <c r="C10" s="405" t="s">
        <v>479</v>
      </c>
      <c r="D10" s="406" t="s">
        <v>480</v>
      </c>
    </row>
    <row r="11" spans="1:14" ht="13.5" thickBot="1" x14ac:dyDescent="0.25">
      <c r="A11" s="407"/>
      <c r="B11" s="408" t="s">
        <v>481</v>
      </c>
      <c r="C11" s="409" t="s">
        <v>481</v>
      </c>
      <c r="D11" s="410" t="s">
        <v>482</v>
      </c>
    </row>
    <row r="12" spans="1:14" x14ac:dyDescent="0.2">
      <c r="A12" s="411" t="s">
        <v>40</v>
      </c>
      <c r="B12" s="412">
        <v>3300</v>
      </c>
      <c r="C12" s="413">
        <v>2888</v>
      </c>
      <c r="D12" s="414">
        <v>0.87515151515151512</v>
      </c>
    </row>
    <row r="13" spans="1:14" x14ac:dyDescent="0.2">
      <c r="A13" s="415" t="s">
        <v>51</v>
      </c>
      <c r="B13" s="416">
        <v>2959</v>
      </c>
      <c r="C13" s="417">
        <v>2627</v>
      </c>
      <c r="D13" s="418">
        <v>0.88779993240959787</v>
      </c>
    </row>
    <row r="14" spans="1:14" x14ac:dyDescent="0.2">
      <c r="A14" s="415" t="s">
        <v>245</v>
      </c>
      <c r="B14" s="416">
        <v>22250</v>
      </c>
      <c r="C14" s="417">
        <v>13691</v>
      </c>
      <c r="D14" s="418">
        <v>0.81928855760691865</v>
      </c>
    </row>
    <row r="15" spans="1:14" x14ac:dyDescent="0.2">
      <c r="A15" s="415" t="s">
        <v>483</v>
      </c>
      <c r="B15" s="416">
        <v>1666</v>
      </c>
      <c r="C15" s="417">
        <v>1360</v>
      </c>
      <c r="D15" s="418">
        <v>0.81632653061224492</v>
      </c>
    </row>
    <row r="16" spans="1:14" x14ac:dyDescent="0.2">
      <c r="A16" s="415" t="s">
        <v>26</v>
      </c>
      <c r="B16" s="416">
        <v>6777</v>
      </c>
      <c r="C16" s="417">
        <v>6777</v>
      </c>
      <c r="D16" s="418">
        <v>1</v>
      </c>
      <c r="K16" s="419"/>
      <c r="L16" s="419"/>
    </row>
    <row r="17" spans="1:11" x14ac:dyDescent="0.2">
      <c r="A17" s="415" t="s">
        <v>28</v>
      </c>
      <c r="B17" s="416">
        <v>903</v>
      </c>
      <c r="C17" s="417">
        <v>903</v>
      </c>
      <c r="D17" s="418">
        <v>1</v>
      </c>
    </row>
    <row r="18" spans="1:11" ht="15" x14ac:dyDescent="0.25">
      <c r="A18" s="415" t="s">
        <v>484</v>
      </c>
      <c r="B18" s="416">
        <v>2827</v>
      </c>
      <c r="C18" s="417">
        <v>2827</v>
      </c>
      <c r="D18" s="418">
        <v>1</v>
      </c>
      <c r="K18" s="420"/>
    </row>
    <row r="19" spans="1:11" ht="15.75" thickBot="1" x14ac:dyDescent="0.3">
      <c r="A19" s="421" t="s">
        <v>145</v>
      </c>
      <c r="B19" s="422">
        <v>40682</v>
      </c>
      <c r="C19" s="423">
        <v>31073</v>
      </c>
      <c r="D19" s="424"/>
      <c r="K19" s="420"/>
    </row>
    <row r="20" spans="1:11" ht="15" x14ac:dyDescent="0.25">
      <c r="F20" s="420"/>
      <c r="K20" s="420"/>
    </row>
    <row r="21" spans="1:11" ht="15" x14ac:dyDescent="0.25">
      <c r="K21" s="420"/>
    </row>
    <row r="22" spans="1:11" ht="21" x14ac:dyDescent="0.35">
      <c r="A22" s="399" t="s">
        <v>485</v>
      </c>
      <c r="B22" s="399"/>
      <c r="C22" s="399"/>
      <c r="D22" s="399"/>
      <c r="E22" s="399"/>
      <c r="F22" s="399"/>
      <c r="G22" s="399"/>
      <c r="H22" s="399"/>
      <c r="K22" s="420"/>
    </row>
    <row r="23" spans="1:11" ht="15" x14ac:dyDescent="0.25">
      <c r="K23" s="420"/>
    </row>
    <row r="24" spans="1:11" ht="16.5" thickBot="1" x14ac:dyDescent="0.3">
      <c r="A24" s="400" t="s">
        <v>486</v>
      </c>
      <c r="B24" s="401"/>
      <c r="C24" s="401"/>
      <c r="D24" s="401"/>
      <c r="E24" s="401"/>
      <c r="F24" s="401"/>
      <c r="G24" s="401"/>
      <c r="H24" s="401"/>
      <c r="K24" s="420"/>
    </row>
    <row r="25" spans="1:11" ht="15.75" thickBot="1" x14ac:dyDescent="0.3">
      <c r="A25" s="425" t="s">
        <v>64</v>
      </c>
      <c r="B25" s="426">
        <v>2000</v>
      </c>
      <c r="C25" s="427">
        <v>2010</v>
      </c>
      <c r="D25" s="427">
        <v>2015</v>
      </c>
      <c r="E25" s="427">
        <v>2020</v>
      </c>
      <c r="F25" s="427">
        <v>2025</v>
      </c>
      <c r="G25" s="427">
        <v>2030</v>
      </c>
      <c r="H25" s="428">
        <v>2035</v>
      </c>
      <c r="K25" s="420"/>
    </row>
    <row r="26" spans="1:11" ht="15" x14ac:dyDescent="0.25">
      <c r="A26" s="403" t="s">
        <v>59</v>
      </c>
      <c r="B26" s="429">
        <v>1.1102234242608253</v>
      </c>
      <c r="C26" s="430">
        <v>1.933271988609286</v>
      </c>
      <c r="D26" s="430">
        <v>1.8883852523743254</v>
      </c>
      <c r="E26" s="430">
        <v>1.8059752500370991</v>
      </c>
      <c r="F26" s="430">
        <v>1.7949981639739583</v>
      </c>
      <c r="G26" s="430">
        <v>1.7840210779108174</v>
      </c>
      <c r="H26" s="414">
        <v>1.7937353456999456</v>
      </c>
      <c r="K26" s="420"/>
    </row>
    <row r="27" spans="1:11" ht="15" x14ac:dyDescent="0.25">
      <c r="A27" s="431" t="s">
        <v>61</v>
      </c>
      <c r="B27" s="432">
        <v>1.8195989444434046</v>
      </c>
      <c r="C27" s="433">
        <v>1.4185456086851329</v>
      </c>
      <c r="D27" s="433">
        <v>1.5367350151687527</v>
      </c>
      <c r="E27" s="433">
        <v>1.5950484876803115</v>
      </c>
      <c r="F27" s="433">
        <v>1.5513286247993086</v>
      </c>
      <c r="G27" s="433">
        <v>1.5076087619183054</v>
      </c>
      <c r="H27" s="418">
        <v>1.4836428821971821</v>
      </c>
      <c r="K27" s="420"/>
    </row>
    <row r="28" spans="1:11" ht="15" x14ac:dyDescent="0.25">
      <c r="A28" s="431" t="s">
        <v>56</v>
      </c>
      <c r="B28" s="432">
        <v>0.86219999999999997</v>
      </c>
      <c r="C28" s="433">
        <v>0.85589862818256401</v>
      </c>
      <c r="D28" s="433">
        <v>0.82357687508100197</v>
      </c>
      <c r="E28" s="433">
        <v>0.7996630789297321</v>
      </c>
      <c r="F28" s="433">
        <v>0.77521738223854864</v>
      </c>
      <c r="G28" s="433">
        <v>0.75077168554736518</v>
      </c>
      <c r="H28" s="418">
        <v>0.72470363803104765</v>
      </c>
      <c r="K28" s="420"/>
    </row>
    <row r="29" spans="1:11" ht="15.75" thickBot="1" x14ac:dyDescent="0.3">
      <c r="A29" s="407" t="s">
        <v>9</v>
      </c>
      <c r="B29" s="434">
        <v>3.79202236870423</v>
      </c>
      <c r="C29" s="435">
        <v>4.2077162254769824</v>
      </c>
      <c r="D29" s="435">
        <v>4.2486971426240796</v>
      </c>
      <c r="E29" s="435">
        <v>4.2006868166471429</v>
      </c>
      <c r="F29" s="435">
        <v>4.1215441710118155</v>
      </c>
      <c r="G29" s="435">
        <v>4.042401525376488</v>
      </c>
      <c r="H29" s="436">
        <v>4.0020818659281749</v>
      </c>
      <c r="K29" s="420"/>
    </row>
    <row r="30" spans="1:11" ht="15.75" thickBot="1" x14ac:dyDescent="0.3">
      <c r="A30" s="425" t="s">
        <v>487</v>
      </c>
      <c r="B30" s="437">
        <v>2.6817989444434045</v>
      </c>
      <c r="C30" s="438">
        <v>2.2744442368676969</v>
      </c>
      <c r="D30" s="438">
        <v>2.3603118902497546</v>
      </c>
      <c r="E30" s="438">
        <v>2.3947115666100434</v>
      </c>
      <c r="F30" s="438">
        <v>2.326546007037857</v>
      </c>
      <c r="G30" s="438">
        <v>2.2583804474656706</v>
      </c>
      <c r="H30" s="439">
        <v>2.20834652022823</v>
      </c>
      <c r="K30" s="420"/>
    </row>
    <row r="31" spans="1:11" ht="15" x14ac:dyDescent="0.25">
      <c r="K31" s="420"/>
    </row>
    <row r="32" spans="1:11" ht="15" x14ac:dyDescent="0.25">
      <c r="K32" s="420"/>
    </row>
    <row r="33" spans="1:11" ht="16.5" thickBot="1" x14ac:dyDescent="0.3">
      <c r="A33" s="400" t="s">
        <v>488</v>
      </c>
      <c r="B33" s="401"/>
      <c r="C33" s="401"/>
      <c r="D33" s="401"/>
      <c r="E33" s="401"/>
      <c r="F33" s="401"/>
      <c r="G33" s="401"/>
      <c r="H33" s="401"/>
      <c r="K33" s="420"/>
    </row>
    <row r="34" spans="1:11" ht="15.75" thickBot="1" x14ac:dyDescent="0.3">
      <c r="A34" s="425" t="s">
        <v>482</v>
      </c>
      <c r="B34" s="426">
        <v>2000</v>
      </c>
      <c r="C34" s="427">
        <v>2010</v>
      </c>
      <c r="D34" s="427">
        <v>2015</v>
      </c>
      <c r="E34" s="427">
        <v>2020</v>
      </c>
      <c r="F34" s="427">
        <v>2025</v>
      </c>
      <c r="G34" s="427">
        <v>2030</v>
      </c>
      <c r="H34" s="428">
        <v>2035</v>
      </c>
      <c r="K34" s="420"/>
    </row>
    <row r="35" spans="1:11" x14ac:dyDescent="0.2">
      <c r="A35" s="411" t="s">
        <v>40</v>
      </c>
      <c r="B35" s="440">
        <v>9.2942425900299289E-2</v>
      </c>
      <c r="C35" s="441">
        <v>9.2942425900299289E-2</v>
      </c>
      <c r="D35" s="441">
        <v>8.5769039713624651E-2</v>
      </c>
      <c r="E35" s="441">
        <v>5.1584533698880733E-2</v>
      </c>
      <c r="F35" s="441">
        <v>2.5083003559056096E-2</v>
      </c>
      <c r="G35" s="441">
        <v>4.8661848678234493E-3</v>
      </c>
      <c r="H35" s="442">
        <v>4.7498693664196007E-3</v>
      </c>
    </row>
    <row r="36" spans="1:11" x14ac:dyDescent="0.2">
      <c r="A36" s="415" t="s">
        <v>51</v>
      </c>
      <c r="B36" s="443">
        <v>8.4542850706401051E-2</v>
      </c>
      <c r="C36" s="444">
        <v>8.4542850706401051E-2</v>
      </c>
      <c r="D36" s="444">
        <v>7.8017751844768682E-2</v>
      </c>
      <c r="E36" s="444">
        <v>4.1267626959104589E-2</v>
      </c>
      <c r="F36" s="444">
        <v>1.0033201423622438E-2</v>
      </c>
      <c r="G36" s="444">
        <v>4.8661848678234493E-3</v>
      </c>
      <c r="H36" s="445">
        <v>4.7498693664196007E-3</v>
      </c>
    </row>
    <row r="37" spans="1:11" x14ac:dyDescent="0.2">
      <c r="A37" s="415" t="s">
        <v>245</v>
      </c>
      <c r="B37" s="443">
        <v>0.44060760145463906</v>
      </c>
      <c r="C37" s="444">
        <v>0.44060760145463906</v>
      </c>
      <c r="D37" s="444">
        <v>0.40660108127397343</v>
      </c>
      <c r="E37" s="444">
        <v>0.42299317633082201</v>
      </c>
      <c r="F37" s="444">
        <v>0.46654386619844329</v>
      </c>
      <c r="G37" s="444">
        <v>0.47688611704669809</v>
      </c>
      <c r="H37" s="445">
        <v>0.4654871979091208</v>
      </c>
    </row>
    <row r="38" spans="1:11" x14ac:dyDescent="0.2">
      <c r="A38" s="415" t="s">
        <v>483</v>
      </c>
      <c r="B38" s="443">
        <v>4.3767901393492743E-2</v>
      </c>
      <c r="C38" s="444">
        <v>4.3767901393492743E-2</v>
      </c>
      <c r="D38" s="444">
        <v>9.9307143105366716E-2</v>
      </c>
      <c r="E38" s="444">
        <v>0.15419143390737031</v>
      </c>
      <c r="F38" s="444">
        <v>0.15870909456902887</v>
      </c>
      <c r="G38" s="444">
        <v>0.1634994717849817</v>
      </c>
      <c r="H38" s="445">
        <v>0.16720383638524575</v>
      </c>
    </row>
    <row r="39" spans="1:11" x14ac:dyDescent="0.2">
      <c r="A39" s="415" t="s">
        <v>26</v>
      </c>
      <c r="B39" s="443">
        <v>0.2180993145174267</v>
      </c>
      <c r="C39" s="446">
        <v>0.2180993145174267</v>
      </c>
      <c r="D39" s="446">
        <v>0.21016490698952581</v>
      </c>
      <c r="E39" s="446">
        <v>0.20714591928197321</v>
      </c>
      <c r="F39" s="446">
        <v>0.21321509541613803</v>
      </c>
      <c r="G39" s="446">
        <v>0.21965064807272786</v>
      </c>
      <c r="H39" s="447">
        <v>0.22462721512987235</v>
      </c>
    </row>
    <row r="40" spans="1:11" x14ac:dyDescent="0.2">
      <c r="A40" s="415" t="s">
        <v>28</v>
      </c>
      <c r="B40" s="443">
        <v>2.9060599234061724E-2</v>
      </c>
      <c r="C40" s="444">
        <v>2.9060599234061724E-2</v>
      </c>
      <c r="D40" s="444">
        <v>3.2470578465777396E-2</v>
      </c>
      <c r="E40" s="444">
        <v>3.6407170555191645E-2</v>
      </c>
      <c r="F40" s="444">
        <v>3.7473865624116746E-2</v>
      </c>
      <c r="G40" s="444">
        <v>3.8604953622362298E-2</v>
      </c>
      <c r="H40" s="445">
        <v>3.9479615919630034E-2</v>
      </c>
    </row>
    <row r="41" spans="1:11" x14ac:dyDescent="0.2">
      <c r="A41" s="415" t="s">
        <v>484</v>
      </c>
      <c r="B41" s="443">
        <v>9.0979306793679396E-2</v>
      </c>
      <c r="C41" s="444">
        <v>9.0979306793679396E-2</v>
      </c>
      <c r="D41" s="444">
        <v>8.7669498606963173E-2</v>
      </c>
      <c r="E41" s="444">
        <v>8.6410139266657554E-2</v>
      </c>
      <c r="F41" s="444">
        <v>8.8941873209594541E-2</v>
      </c>
      <c r="G41" s="444">
        <v>9.1626439737583235E-2</v>
      </c>
      <c r="H41" s="445">
        <v>9.3702395923291881E-2</v>
      </c>
    </row>
    <row r="42" spans="1:11" ht="13.5" thickBot="1" x14ac:dyDescent="0.25">
      <c r="A42" s="421" t="s">
        <v>9</v>
      </c>
      <c r="B42" s="448">
        <v>0.99999999999999989</v>
      </c>
      <c r="C42" s="449">
        <v>0.99999999999999989</v>
      </c>
      <c r="D42" s="449">
        <v>0.99999999999999989</v>
      </c>
      <c r="E42" s="449">
        <v>1</v>
      </c>
      <c r="F42" s="449">
        <v>1</v>
      </c>
      <c r="G42" s="449">
        <v>1</v>
      </c>
      <c r="H42" s="450">
        <v>1</v>
      </c>
    </row>
    <row r="45" spans="1:11" ht="16.5" thickBot="1" x14ac:dyDescent="0.3">
      <c r="A45" s="400" t="s">
        <v>489</v>
      </c>
      <c r="B45" s="401"/>
      <c r="C45" s="401"/>
      <c r="D45" s="401"/>
      <c r="E45" s="401"/>
      <c r="F45" s="401"/>
      <c r="G45" s="401"/>
      <c r="H45" s="401"/>
    </row>
    <row r="46" spans="1:11" ht="13.5" thickBot="1" x14ac:dyDescent="0.25">
      <c r="A46" s="425" t="s">
        <v>64</v>
      </c>
      <c r="B46" s="426">
        <v>2000</v>
      </c>
      <c r="C46" s="427">
        <v>2010</v>
      </c>
      <c r="D46" s="427">
        <v>2015</v>
      </c>
      <c r="E46" s="427">
        <v>2020</v>
      </c>
      <c r="F46" s="427">
        <v>2025</v>
      </c>
      <c r="G46" s="427">
        <v>2030</v>
      </c>
      <c r="H46" s="428">
        <v>2035</v>
      </c>
    </row>
    <row r="47" spans="1:11" x14ac:dyDescent="0.2">
      <c r="A47" s="411" t="s">
        <v>40</v>
      </c>
      <c r="B47" s="429">
        <v>0.24925289967343198</v>
      </c>
      <c r="C47" s="430">
        <v>0.21139236494943869</v>
      </c>
      <c r="D47" s="430">
        <v>0.20244168425137168</v>
      </c>
      <c r="E47" s="430">
        <v>0.12353007950689525</v>
      </c>
      <c r="F47" s="430">
        <v>5.8356761774838319E-2</v>
      </c>
      <c r="G47" s="430">
        <v>1.0989696759245797E-2</v>
      </c>
      <c r="H47" s="414">
        <v>1.0489357486871393E-2</v>
      </c>
    </row>
    <row r="48" spans="1:11" x14ac:dyDescent="0.2">
      <c r="A48" s="415" t="s">
        <v>51</v>
      </c>
      <c r="B48" s="432">
        <v>0.22672692778466266</v>
      </c>
      <c r="C48" s="433">
        <v>0.19228799955753997</v>
      </c>
      <c r="D48" s="433">
        <v>0.18414622732976224</v>
      </c>
      <c r="E48" s="433">
        <v>9.882406360551621E-2</v>
      </c>
      <c r="F48" s="433">
        <v>2.3342704709935325E-2</v>
      </c>
      <c r="G48" s="433">
        <v>1.0989696759245797E-2</v>
      </c>
      <c r="H48" s="418">
        <v>1.0489357486871393E-2</v>
      </c>
    </row>
    <row r="49" spans="1:8" x14ac:dyDescent="0.2">
      <c r="A49" s="415" t="s">
        <v>245</v>
      </c>
      <c r="B49" s="432">
        <v>1.1816210004947914</v>
      </c>
      <c r="C49" s="433">
        <v>1.0021374198486028</v>
      </c>
      <c r="D49" s="433">
        <v>0.95970536671936635</v>
      </c>
      <c r="E49" s="433">
        <v>1.0129466519565411</v>
      </c>
      <c r="F49" s="433">
        <v>1.0854357690119925</v>
      </c>
      <c r="G49" s="433">
        <v>1.0769902824060882</v>
      </c>
      <c r="H49" s="418">
        <v>1.0279570337133963</v>
      </c>
    </row>
    <row r="50" spans="1:8" x14ac:dyDescent="0.2">
      <c r="A50" s="415" t="s">
        <v>483</v>
      </c>
      <c r="B50" s="432">
        <v>0.11737671175757185</v>
      </c>
      <c r="C50" s="433">
        <v>9.9547651084223213E-2</v>
      </c>
      <c r="D50" s="433">
        <v>0.234395830658331</v>
      </c>
      <c r="E50" s="433">
        <v>0.36924401025016773</v>
      </c>
      <c r="F50" s="433">
        <v>0.36924401025016773</v>
      </c>
      <c r="G50" s="433">
        <v>0.36924401025016773</v>
      </c>
      <c r="H50" s="418">
        <v>0.36924401025016773</v>
      </c>
    </row>
    <row r="51" spans="1:8" x14ac:dyDescent="0.2">
      <c r="A51" s="415" t="s">
        <v>26</v>
      </c>
      <c r="B51" s="432">
        <v>0.58489851145666505</v>
      </c>
      <c r="C51" s="433">
        <v>0.49605472896895636</v>
      </c>
      <c r="D51" s="433">
        <v>0.49605472888061153</v>
      </c>
      <c r="E51" s="433">
        <v>0.49605472888061164</v>
      </c>
      <c r="F51" s="433">
        <v>0.49605472888061164</v>
      </c>
      <c r="G51" s="433">
        <v>0.49605472888061164</v>
      </c>
      <c r="H51" s="418">
        <v>0.49605472888061164</v>
      </c>
    </row>
    <row r="52" spans="1:8" x14ac:dyDescent="0.2">
      <c r="A52" s="415" t="s">
        <v>28</v>
      </c>
      <c r="B52" s="432">
        <v>7.7934684350799546E-2</v>
      </c>
      <c r="C52" s="433">
        <v>6.6096712447833494E-2</v>
      </c>
      <c r="D52" s="433">
        <v>7.6640692436062016E-2</v>
      </c>
      <c r="E52" s="433">
        <v>8.7184672436062025E-2</v>
      </c>
      <c r="F52" s="433">
        <v>8.7184672436062025E-2</v>
      </c>
      <c r="G52" s="433">
        <v>8.7184672436062025E-2</v>
      </c>
      <c r="H52" s="418">
        <v>8.7184672436062025E-2</v>
      </c>
    </row>
    <row r="53" spans="1:8" x14ac:dyDescent="0.2">
      <c r="A53" s="415" t="s">
        <v>484</v>
      </c>
      <c r="B53" s="432">
        <v>0.24398820892548206</v>
      </c>
      <c r="C53" s="433">
        <v>0.20692736001110221</v>
      </c>
      <c r="D53" s="433">
        <v>0.20692735997424946</v>
      </c>
      <c r="E53" s="433">
        <v>0.20692735997424955</v>
      </c>
      <c r="F53" s="433">
        <v>0.20692735997424952</v>
      </c>
      <c r="G53" s="433">
        <v>0.20692735997424952</v>
      </c>
      <c r="H53" s="418">
        <v>0.20692735997424952</v>
      </c>
    </row>
    <row r="54" spans="1:8" ht="13.5" thickBot="1" x14ac:dyDescent="0.25">
      <c r="A54" s="421" t="s">
        <v>9</v>
      </c>
      <c r="B54" s="434">
        <v>2.6817989444434045</v>
      </c>
      <c r="C54" s="435">
        <v>2.2744442368676969</v>
      </c>
      <c r="D54" s="435">
        <v>2.3603118902497542</v>
      </c>
      <c r="E54" s="435">
        <v>2.3947115666100434</v>
      </c>
      <c r="F54" s="435">
        <v>2.326546007037857</v>
      </c>
      <c r="G54" s="435">
        <v>2.2583804474656706</v>
      </c>
      <c r="H54" s="436">
        <v>2.20834652022823</v>
      </c>
    </row>
    <row r="57" spans="1:8" ht="16.5" thickBot="1" x14ac:dyDescent="0.3">
      <c r="A57" s="400" t="s">
        <v>490</v>
      </c>
      <c r="B57" s="401"/>
      <c r="C57" s="401"/>
      <c r="D57" s="401"/>
      <c r="E57" s="401"/>
      <c r="F57" s="401"/>
      <c r="G57" s="401"/>
      <c r="H57" s="401"/>
    </row>
    <row r="58" spans="1:8" ht="13.5" thickBot="1" x14ac:dyDescent="0.25">
      <c r="A58" s="425"/>
      <c r="B58" s="426">
        <v>2000</v>
      </c>
      <c r="C58" s="427">
        <v>2010</v>
      </c>
      <c r="D58" s="427">
        <v>2015</v>
      </c>
      <c r="E58" s="427">
        <v>2020</v>
      </c>
      <c r="F58" s="427">
        <v>2025</v>
      </c>
      <c r="G58" s="427">
        <v>2030</v>
      </c>
      <c r="H58" s="428">
        <v>2035</v>
      </c>
    </row>
    <row r="59" spans="1:8" x14ac:dyDescent="0.2">
      <c r="A59" s="411" t="s">
        <v>40</v>
      </c>
      <c r="B59" s="451">
        <v>0.87515151515151512</v>
      </c>
      <c r="C59" s="452">
        <v>0.87515151515151512</v>
      </c>
      <c r="D59" s="452">
        <v>0.87515151515151512</v>
      </c>
      <c r="E59" s="452">
        <v>0.87515151515151512</v>
      </c>
      <c r="F59" s="452">
        <v>0.87515151515151512</v>
      </c>
      <c r="G59" s="452">
        <v>0.87515151515151512</v>
      </c>
      <c r="H59" s="453">
        <v>0.87515151515151512</v>
      </c>
    </row>
    <row r="60" spans="1:8" x14ac:dyDescent="0.2">
      <c r="A60" s="415" t="s">
        <v>51</v>
      </c>
      <c r="B60" s="454">
        <v>0.88779993240959787</v>
      </c>
      <c r="C60" s="455">
        <v>0.88779993240959787</v>
      </c>
      <c r="D60" s="455">
        <v>0.88779993240959787</v>
      </c>
      <c r="E60" s="455">
        <v>0.88779993240959787</v>
      </c>
      <c r="F60" s="455">
        <v>0.88779993240959787</v>
      </c>
      <c r="G60" s="455">
        <v>0.88779993240959787</v>
      </c>
      <c r="H60" s="456">
        <v>0.88779993240959787</v>
      </c>
    </row>
    <row r="61" spans="1:8" x14ac:dyDescent="0.2">
      <c r="A61" s="415" t="s">
        <v>245</v>
      </c>
      <c r="B61" s="454">
        <v>0.81928855760691865</v>
      </c>
      <c r="C61" s="455">
        <v>0.81928855760691865</v>
      </c>
      <c r="D61" s="455">
        <v>0.81928855760691865</v>
      </c>
      <c r="E61" s="455">
        <v>0.81928855760691865</v>
      </c>
      <c r="F61" s="455">
        <v>0.81928855760691865</v>
      </c>
      <c r="G61" s="455">
        <v>0.81928855760691865</v>
      </c>
      <c r="H61" s="456">
        <v>0.81928855760691865</v>
      </c>
    </row>
    <row r="62" spans="1:8" x14ac:dyDescent="0.2">
      <c r="A62" s="415" t="s">
        <v>483</v>
      </c>
      <c r="B62" s="454">
        <v>0.81632653061224492</v>
      </c>
      <c r="C62" s="455">
        <v>0.81632653061224492</v>
      </c>
      <c r="D62" s="455">
        <v>0.81632653061224492</v>
      </c>
      <c r="E62" s="455">
        <v>0.81632653061224492</v>
      </c>
      <c r="F62" s="455">
        <v>0.81632653061224492</v>
      </c>
      <c r="G62" s="455">
        <v>0.81632653061224492</v>
      </c>
      <c r="H62" s="456">
        <v>0.81632653061224492</v>
      </c>
    </row>
    <row r="63" spans="1:8" x14ac:dyDescent="0.2">
      <c r="A63" s="415" t="s">
        <v>26</v>
      </c>
      <c r="B63" s="454">
        <v>1</v>
      </c>
      <c r="C63" s="455">
        <v>1</v>
      </c>
      <c r="D63" s="455">
        <v>1</v>
      </c>
      <c r="E63" s="455">
        <v>1</v>
      </c>
      <c r="F63" s="455">
        <v>1</v>
      </c>
      <c r="G63" s="455">
        <v>1</v>
      </c>
      <c r="H63" s="456">
        <v>1</v>
      </c>
    </row>
    <row r="64" spans="1:8" x14ac:dyDescent="0.2">
      <c r="A64" s="415" t="s">
        <v>28</v>
      </c>
      <c r="B64" s="454">
        <v>1</v>
      </c>
      <c r="C64" s="455">
        <v>1</v>
      </c>
      <c r="D64" s="455">
        <v>1</v>
      </c>
      <c r="E64" s="455">
        <v>1</v>
      </c>
      <c r="F64" s="455">
        <v>1</v>
      </c>
      <c r="G64" s="455">
        <v>1</v>
      </c>
      <c r="H64" s="456">
        <v>1</v>
      </c>
    </row>
    <row r="65" spans="1:8" x14ac:dyDescent="0.2">
      <c r="A65" s="415" t="s">
        <v>484</v>
      </c>
      <c r="B65" s="454">
        <v>1</v>
      </c>
      <c r="C65" s="455">
        <v>1</v>
      </c>
      <c r="D65" s="455">
        <v>1</v>
      </c>
      <c r="E65" s="455">
        <v>1</v>
      </c>
      <c r="F65" s="455">
        <v>1</v>
      </c>
      <c r="G65" s="455">
        <v>1</v>
      </c>
      <c r="H65" s="456">
        <v>1</v>
      </c>
    </row>
    <row r="66" spans="1:8" ht="13.5" thickBot="1" x14ac:dyDescent="0.25">
      <c r="A66" s="421" t="s">
        <v>145</v>
      </c>
      <c r="B66" s="457"/>
      <c r="C66" s="458"/>
      <c r="D66" s="458"/>
      <c r="E66" s="458"/>
      <c r="F66" s="458"/>
      <c r="G66" s="458"/>
      <c r="H66" s="424"/>
    </row>
    <row r="69" spans="1:8" ht="16.5" thickBot="1" x14ac:dyDescent="0.3">
      <c r="A69" s="400" t="s">
        <v>491</v>
      </c>
      <c r="B69" s="401"/>
      <c r="C69" s="401"/>
      <c r="D69" s="401"/>
      <c r="E69" s="401"/>
      <c r="F69" s="401"/>
      <c r="G69" s="401"/>
      <c r="H69" s="401"/>
    </row>
    <row r="70" spans="1:8" ht="13.5" thickBot="1" x14ac:dyDescent="0.25">
      <c r="A70" s="324" t="s">
        <v>64</v>
      </c>
      <c r="B70" s="426">
        <v>2000</v>
      </c>
      <c r="C70" s="427">
        <v>2010</v>
      </c>
      <c r="D70" s="427">
        <v>2015</v>
      </c>
      <c r="E70" s="427">
        <v>2020</v>
      </c>
      <c r="F70" s="427">
        <v>2025</v>
      </c>
      <c r="G70" s="427">
        <v>2030</v>
      </c>
      <c r="H70" s="428">
        <v>2035</v>
      </c>
    </row>
    <row r="71" spans="1:8" x14ac:dyDescent="0.2">
      <c r="A71" s="411" t="s">
        <v>40</v>
      </c>
      <c r="B71" s="429">
        <v>0.28481113882351994</v>
      </c>
      <c r="C71" s="430">
        <v>0.24154944748377691</v>
      </c>
      <c r="D71" s="430">
        <v>0.23132186912379729</v>
      </c>
      <c r="E71" s="430">
        <v>0.14115279168031661</v>
      </c>
      <c r="F71" s="430">
        <v>6.6681895379836029E-2</v>
      </c>
      <c r="G71" s="430">
        <v>1.2557478983902746E-2</v>
      </c>
      <c r="H71" s="414">
        <v>1.1985761671286566E-2</v>
      </c>
    </row>
    <row r="72" spans="1:8" x14ac:dyDescent="0.2">
      <c r="A72" s="415" t="s">
        <v>51</v>
      </c>
      <c r="B72" s="432">
        <v>0.25538065447842284</v>
      </c>
      <c r="C72" s="433">
        <v>0.21658933791045329</v>
      </c>
      <c r="D72" s="433">
        <v>0.2074186093143382</v>
      </c>
      <c r="E72" s="433">
        <v>0.1113134389831452</v>
      </c>
      <c r="F72" s="433">
        <v>2.6292753420897839E-2</v>
      </c>
      <c r="G72" s="433">
        <v>1.2378573548004687E-2</v>
      </c>
      <c r="H72" s="418">
        <v>1.181500144790729E-2</v>
      </c>
    </row>
    <row r="73" spans="1:8" x14ac:dyDescent="0.2">
      <c r="A73" s="415" t="s">
        <v>245</v>
      </c>
      <c r="B73" s="432">
        <v>1.4422525366962515</v>
      </c>
      <c r="C73" s="433">
        <v>1.2231800512090296</v>
      </c>
      <c r="D73" s="433">
        <v>1.1713887101299143</v>
      </c>
      <c r="E73" s="433">
        <v>1.2363734883778719</v>
      </c>
      <c r="F73" s="433">
        <v>1.3248516153850241</v>
      </c>
      <c r="G73" s="433">
        <v>1.3145432978484373</v>
      </c>
      <c r="H73" s="418">
        <v>1.2546947277232614</v>
      </c>
    </row>
    <row r="74" spans="1:8" x14ac:dyDescent="0.2">
      <c r="A74" s="415" t="s">
        <v>483</v>
      </c>
      <c r="B74" s="432">
        <v>0.14378647190302551</v>
      </c>
      <c r="C74" s="433">
        <v>0.12194587257817344</v>
      </c>
      <c r="D74" s="433">
        <v>0.28713489255645547</v>
      </c>
      <c r="E74" s="433">
        <v>0.45232391255645549</v>
      </c>
      <c r="F74" s="433">
        <v>0.45232391255645549</v>
      </c>
      <c r="G74" s="433">
        <v>0.45232391255645549</v>
      </c>
      <c r="H74" s="418">
        <v>0.45232391255645549</v>
      </c>
    </row>
    <row r="75" spans="1:8" x14ac:dyDescent="0.2">
      <c r="A75" s="415" t="s">
        <v>26</v>
      </c>
      <c r="B75" s="432">
        <v>0.58489851145666505</v>
      </c>
      <c r="C75" s="433">
        <v>0.49605472896895636</v>
      </c>
      <c r="D75" s="433">
        <v>0.49605472888061153</v>
      </c>
      <c r="E75" s="433">
        <v>0.49605472888061164</v>
      </c>
      <c r="F75" s="433">
        <v>0.49605472888061164</v>
      </c>
      <c r="G75" s="433">
        <v>0.49605472888061164</v>
      </c>
      <c r="H75" s="418">
        <v>0.49605472888061164</v>
      </c>
    </row>
    <row r="76" spans="1:8" x14ac:dyDescent="0.2">
      <c r="A76" s="415" t="s">
        <v>28</v>
      </c>
      <c r="B76" s="432">
        <v>7.7934684350799546E-2</v>
      </c>
      <c r="C76" s="433">
        <v>6.6096712447833494E-2</v>
      </c>
      <c r="D76" s="433">
        <v>7.6640692436062016E-2</v>
      </c>
      <c r="E76" s="433">
        <v>8.7184672436062025E-2</v>
      </c>
      <c r="F76" s="433">
        <v>8.7184672436062025E-2</v>
      </c>
      <c r="G76" s="433">
        <v>8.7184672436062025E-2</v>
      </c>
      <c r="H76" s="418">
        <v>8.7184672436062025E-2</v>
      </c>
    </row>
    <row r="77" spans="1:8" x14ac:dyDescent="0.2">
      <c r="A77" s="415" t="s">
        <v>484</v>
      </c>
      <c r="B77" s="432">
        <v>0.24398820892548206</v>
      </c>
      <c r="C77" s="433">
        <v>0.20692736001110221</v>
      </c>
      <c r="D77" s="433">
        <v>0.20692735997424946</v>
      </c>
      <c r="E77" s="433">
        <v>0.20692735997424955</v>
      </c>
      <c r="F77" s="433">
        <v>0.20692735997424952</v>
      </c>
      <c r="G77" s="433">
        <v>0.20692735997424952</v>
      </c>
      <c r="H77" s="418">
        <v>0.20692735997424952</v>
      </c>
    </row>
    <row r="78" spans="1:8" ht="13.5" thickBot="1" x14ac:dyDescent="0.25">
      <c r="A78" s="421" t="s">
        <v>9</v>
      </c>
      <c r="B78" s="434">
        <v>3.0330522066341663</v>
      </c>
      <c r="C78" s="435">
        <v>2.5723435106093255</v>
      </c>
      <c r="D78" s="435">
        <v>2.6768868624154281</v>
      </c>
      <c r="E78" s="435">
        <v>2.731330392888712</v>
      </c>
      <c r="F78" s="435">
        <v>2.6603169380331368</v>
      </c>
      <c r="G78" s="435">
        <v>2.5819700242277235</v>
      </c>
      <c r="H78" s="436">
        <v>2.5209861646898339</v>
      </c>
    </row>
    <row r="81" spans="1:8" ht="16.5" thickBot="1" x14ac:dyDescent="0.3">
      <c r="A81" s="400" t="s">
        <v>492</v>
      </c>
      <c r="B81" s="401"/>
      <c r="C81" s="401"/>
      <c r="D81" s="401"/>
      <c r="E81" s="401"/>
      <c r="F81" s="401"/>
      <c r="G81" s="401"/>
      <c r="H81" s="401"/>
    </row>
    <row r="82" spans="1:8" ht="13.5" thickBot="1" x14ac:dyDescent="0.25">
      <c r="A82" s="324" t="s">
        <v>64</v>
      </c>
      <c r="B82" s="426">
        <v>2000</v>
      </c>
      <c r="C82" s="427">
        <v>2010</v>
      </c>
      <c r="D82" s="427">
        <v>2015</v>
      </c>
      <c r="E82" s="427">
        <v>2020</v>
      </c>
      <c r="F82" s="427">
        <v>2025</v>
      </c>
      <c r="G82" s="427">
        <v>2030</v>
      </c>
      <c r="H82" s="428">
        <v>2035</v>
      </c>
    </row>
    <row r="83" spans="1:8" x14ac:dyDescent="0.2">
      <c r="A83" s="411" t="s">
        <v>40</v>
      </c>
      <c r="B83" s="429">
        <v>0.19324418358907203</v>
      </c>
      <c r="C83" s="430">
        <v>0.15065170754870591</v>
      </c>
      <c r="D83" s="430">
        <v>0.15060739113558758</v>
      </c>
      <c r="E83" s="430">
        <v>9.4017814103708269E-2</v>
      </c>
      <c r="F83" s="430">
        <v>4.4463136660821322E-2</v>
      </c>
      <c r="G83" s="430">
        <v>8.3828946380499238E-3</v>
      </c>
      <c r="H83" s="414">
        <v>8.052445496406201E-3</v>
      </c>
    </row>
    <row r="84" spans="1:8" x14ac:dyDescent="0.2">
      <c r="A84" s="415" t="s">
        <v>51</v>
      </c>
      <c r="B84" s="432">
        <v>0.17327561795153457</v>
      </c>
      <c r="C84" s="433">
        <v>0.13508436443533964</v>
      </c>
      <c r="D84" s="433">
        <v>0.13504462738491016</v>
      </c>
      <c r="E84" s="433">
        <v>7.4142679637991163E-2</v>
      </c>
      <c r="F84" s="433">
        <v>1.7531869510958295E-2</v>
      </c>
      <c r="G84" s="433">
        <v>8.2634641837978935E-3</v>
      </c>
      <c r="H84" s="418">
        <v>7.9377229256237473E-3</v>
      </c>
    </row>
    <row r="85" spans="1:8" x14ac:dyDescent="0.2">
      <c r="A85" s="415" t="s">
        <v>245</v>
      </c>
      <c r="B85" s="432">
        <v>0.97856746451139653</v>
      </c>
      <c r="C85" s="433">
        <v>0.76288381229491398</v>
      </c>
      <c r="D85" s="433">
        <v>0.76265939881340072</v>
      </c>
      <c r="E85" s="433">
        <v>0.82351281479665983</v>
      </c>
      <c r="F85" s="433">
        <v>0.88340407984244473</v>
      </c>
      <c r="G85" s="433">
        <v>0.87753903288582824</v>
      </c>
      <c r="H85" s="418">
        <v>0.84294692208203015</v>
      </c>
    </row>
    <row r="86" spans="1:8" x14ac:dyDescent="0.2">
      <c r="A86" s="415" t="s">
        <v>483</v>
      </c>
      <c r="B86" s="432">
        <v>9.7559033290725447E-2</v>
      </c>
      <c r="C86" s="433">
        <v>7.6056286295801218E-2</v>
      </c>
      <c r="D86" s="433">
        <v>0.18694573598132924</v>
      </c>
      <c r="E86" s="433">
        <v>0.30127994649733192</v>
      </c>
      <c r="F86" s="433">
        <v>0.30160720274062081</v>
      </c>
      <c r="G86" s="433">
        <v>0.30195421438426512</v>
      </c>
      <c r="H86" s="418">
        <v>0.30388670761806424</v>
      </c>
    </row>
    <row r="87" spans="1:8" x14ac:dyDescent="0.2">
      <c r="A87" s="415" t="s">
        <v>26</v>
      </c>
      <c r="B87" s="432">
        <v>0.39685328247973978</v>
      </c>
      <c r="C87" s="433">
        <v>0.3093838248659333</v>
      </c>
      <c r="D87" s="433">
        <v>0.32296777153048845</v>
      </c>
      <c r="E87" s="433">
        <v>0.33040778527985926</v>
      </c>
      <c r="F87" s="433">
        <v>0.33076668075837079</v>
      </c>
      <c r="G87" s="433">
        <v>0.33114724159547865</v>
      </c>
      <c r="H87" s="418">
        <v>0.33326656887521028</v>
      </c>
    </row>
    <row r="88" spans="1:8" x14ac:dyDescent="0.2">
      <c r="A88" s="415" t="s">
        <v>28</v>
      </c>
      <c r="B88" s="432">
        <v>5.2878635691191535E-2</v>
      </c>
      <c r="C88" s="433">
        <v>4.1223785429236791E-2</v>
      </c>
      <c r="D88" s="433">
        <v>4.98986748911446E-2</v>
      </c>
      <c r="E88" s="433">
        <v>5.8071202334777604E-2</v>
      </c>
      <c r="F88" s="433">
        <v>5.8134280424575115E-2</v>
      </c>
      <c r="G88" s="433">
        <v>5.820116633452322E-2</v>
      </c>
      <c r="H88" s="418">
        <v>5.8573651151037666E-2</v>
      </c>
    </row>
    <row r="89" spans="1:8" x14ac:dyDescent="0.2">
      <c r="A89" s="415" t="s">
        <v>484</v>
      </c>
      <c r="B89" s="432">
        <v>0.1655458506079717</v>
      </c>
      <c r="C89" s="433">
        <v>0.1290582961333914</v>
      </c>
      <c r="D89" s="433">
        <v>0.13472478827160847</v>
      </c>
      <c r="E89" s="433">
        <v>0.13782836195752723</v>
      </c>
      <c r="F89" s="433">
        <v>0.13797807385331476</v>
      </c>
      <c r="G89" s="433">
        <v>0.13813682337176009</v>
      </c>
      <c r="H89" s="418">
        <v>0.13902089275641427</v>
      </c>
    </row>
    <row r="90" spans="1:8" ht="13.5" thickBot="1" x14ac:dyDescent="0.25">
      <c r="A90" s="421" t="s">
        <v>9</v>
      </c>
      <c r="B90" s="434">
        <v>2.0579240681216313</v>
      </c>
      <c r="C90" s="435">
        <v>1.6043420770033223</v>
      </c>
      <c r="D90" s="435">
        <v>1.7428483880084693</v>
      </c>
      <c r="E90" s="435">
        <v>1.8192606046078552</v>
      </c>
      <c r="F90" s="435">
        <v>1.7738853237911056</v>
      </c>
      <c r="G90" s="435">
        <v>1.7236248373937031</v>
      </c>
      <c r="H90" s="436">
        <v>1.6936849109047867</v>
      </c>
    </row>
    <row r="91" spans="1:8" x14ac:dyDescent="0.2">
      <c r="A91" s="459"/>
      <c r="B91" s="460"/>
      <c r="C91" s="460"/>
      <c r="D91" s="460"/>
      <c r="E91" s="460"/>
      <c r="F91" s="460"/>
      <c r="G91" s="460"/>
      <c r="H91" s="460"/>
    </row>
    <row r="93" spans="1:8" ht="16.5" thickBot="1" x14ac:dyDescent="0.3">
      <c r="A93" s="400" t="s">
        <v>493</v>
      </c>
      <c r="B93" s="401"/>
      <c r="C93" s="401"/>
      <c r="D93" s="401"/>
      <c r="E93" s="401"/>
      <c r="F93" s="401"/>
      <c r="G93" s="401"/>
      <c r="H93" s="401"/>
    </row>
    <row r="94" spans="1:8" ht="13.5" thickBot="1" x14ac:dyDescent="0.25">
      <c r="A94" s="324" t="s">
        <v>64</v>
      </c>
      <c r="B94" s="426">
        <v>2000</v>
      </c>
      <c r="C94" s="427">
        <v>2010</v>
      </c>
      <c r="D94" s="427">
        <v>2015</v>
      </c>
      <c r="E94" s="427">
        <v>2020</v>
      </c>
      <c r="F94" s="427">
        <v>2025</v>
      </c>
      <c r="G94" s="427">
        <v>2030</v>
      </c>
      <c r="H94" s="428">
        <v>2035</v>
      </c>
    </row>
    <row r="95" spans="1:8" x14ac:dyDescent="0.2">
      <c r="A95" s="411" t="s">
        <v>40</v>
      </c>
      <c r="B95" s="429">
        <v>9.1566955234447911E-2</v>
      </c>
      <c r="C95" s="430">
        <v>9.0897739935071012E-2</v>
      </c>
      <c r="D95" s="430">
        <v>8.0714477988209715E-2</v>
      </c>
      <c r="E95" s="430">
        <v>4.7134977576608353E-2</v>
      </c>
      <c r="F95" s="430">
        <v>2.2218758719014714E-2</v>
      </c>
      <c r="G95" s="430">
        <v>4.1745843458528224E-3</v>
      </c>
      <c r="H95" s="414">
        <v>3.9333161748803646E-3</v>
      </c>
    </row>
    <row r="96" spans="1:8" x14ac:dyDescent="0.2">
      <c r="A96" s="415" t="s">
        <v>51</v>
      </c>
      <c r="B96" s="432">
        <v>8.2105036526888275E-2</v>
      </c>
      <c r="C96" s="433">
        <v>8.1504973475113665E-2</v>
      </c>
      <c r="D96" s="433">
        <v>7.2373981929428038E-2</v>
      </c>
      <c r="E96" s="433">
        <v>3.7170759345154049E-2</v>
      </c>
      <c r="F96" s="433">
        <v>8.7608839099395496E-3</v>
      </c>
      <c r="G96" s="433">
        <v>4.1151093642067928E-3</v>
      </c>
      <c r="H96" s="418">
        <v>3.8772785222835398E-3</v>
      </c>
    </row>
    <row r="97" spans="1:8" x14ac:dyDescent="0.2">
      <c r="A97" s="415" t="s">
        <v>245</v>
      </c>
      <c r="B97" s="432">
        <v>0.46368507218485505</v>
      </c>
      <c r="C97" s="433">
        <v>0.46029623891411559</v>
      </c>
      <c r="D97" s="433">
        <v>0.40872931131651352</v>
      </c>
      <c r="E97" s="433">
        <v>0.4128606735812122</v>
      </c>
      <c r="F97" s="433">
        <v>0.44144753554257948</v>
      </c>
      <c r="G97" s="433">
        <v>0.43700426496260897</v>
      </c>
      <c r="H97" s="418">
        <v>0.41174780564123109</v>
      </c>
    </row>
    <row r="98" spans="1:8" x14ac:dyDescent="0.2">
      <c r="A98" s="415" t="s">
        <v>483</v>
      </c>
      <c r="B98" s="432">
        <v>4.6227438612300067E-2</v>
      </c>
      <c r="C98" s="433">
        <v>4.5889586282372212E-2</v>
      </c>
      <c r="D98" s="433">
        <v>0.10018915657512624</v>
      </c>
      <c r="E98" s="433">
        <v>0.1510439660591236</v>
      </c>
      <c r="F98" s="433">
        <v>0.15071670981583468</v>
      </c>
      <c r="G98" s="433">
        <v>0.15036969817219037</v>
      </c>
      <c r="H98" s="418">
        <v>0.14843720493839116</v>
      </c>
    </row>
    <row r="99" spans="1:8" x14ac:dyDescent="0.2">
      <c r="A99" s="415" t="s">
        <v>26</v>
      </c>
      <c r="B99" s="432">
        <v>0.1880452289769253</v>
      </c>
      <c r="C99" s="433">
        <v>0.18667090410302309</v>
      </c>
      <c r="D99" s="433">
        <v>0.17308695735012308</v>
      </c>
      <c r="E99" s="433">
        <v>0.16564694360075244</v>
      </c>
      <c r="F99" s="433">
        <v>0.1652880481222409</v>
      </c>
      <c r="G99" s="433">
        <v>0.16490748728513302</v>
      </c>
      <c r="H99" s="418">
        <v>0.16278816000540128</v>
      </c>
    </row>
    <row r="100" spans="1:8" x14ac:dyDescent="0.2">
      <c r="A100" s="415" t="s">
        <v>28</v>
      </c>
      <c r="B100" s="432">
        <v>2.5056048659608018E-2</v>
      </c>
      <c r="C100" s="433">
        <v>2.48729270185967E-2</v>
      </c>
      <c r="D100" s="433">
        <v>2.6742017544917417E-2</v>
      </c>
      <c r="E100" s="433">
        <v>2.9113470101284435E-2</v>
      </c>
      <c r="F100" s="433">
        <v>2.9050392011486917E-2</v>
      </c>
      <c r="G100" s="433">
        <v>2.8983506101538804E-2</v>
      </c>
      <c r="H100" s="418">
        <v>2.8611021285024355E-2</v>
      </c>
    </row>
    <row r="101" spans="1:8" x14ac:dyDescent="0.2">
      <c r="A101" s="415" t="s">
        <v>484</v>
      </c>
      <c r="B101" s="432">
        <v>7.8442358317510369E-2</v>
      </c>
      <c r="C101" s="433">
        <v>7.7869063877710823E-2</v>
      </c>
      <c r="D101" s="433">
        <v>7.220257170264098E-2</v>
      </c>
      <c r="E101" s="433">
        <v>6.9098998016722327E-2</v>
      </c>
      <c r="F101" s="433">
        <v>6.8949286120934775E-2</v>
      </c>
      <c r="G101" s="433">
        <v>6.8790536602489447E-2</v>
      </c>
      <c r="H101" s="418">
        <v>6.7906467217835234E-2</v>
      </c>
    </row>
    <row r="102" spans="1:8" ht="13.5" thickBot="1" x14ac:dyDescent="0.25">
      <c r="A102" s="421" t="s">
        <v>9</v>
      </c>
      <c r="B102" s="434">
        <v>0.97512813851253488</v>
      </c>
      <c r="C102" s="435">
        <v>0.9680014336060031</v>
      </c>
      <c r="D102" s="435">
        <v>0.93403847440695897</v>
      </c>
      <c r="E102" s="435">
        <v>0.9120697882808575</v>
      </c>
      <c r="F102" s="435">
        <v>0.88643161424203099</v>
      </c>
      <c r="G102" s="435">
        <v>0.85834518683402028</v>
      </c>
      <c r="H102" s="436">
        <v>0.82730125378504704</v>
      </c>
    </row>
    <row r="103" spans="1:8" x14ac:dyDescent="0.2">
      <c r="A103" s="459"/>
      <c r="B103" s="460"/>
      <c r="C103" s="460"/>
      <c r="D103" s="460"/>
      <c r="E103" s="460"/>
      <c r="F103" s="460"/>
      <c r="G103" s="460"/>
      <c r="H103" s="4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C24" sqref="C24"/>
    </sheetView>
  </sheetViews>
  <sheetFormatPr baseColWidth="10" defaultRowHeight="12.75" x14ac:dyDescent="0.2"/>
  <cols>
    <col min="1" max="1" width="43.7109375" style="123" customWidth="1"/>
    <col min="2" max="12" width="9.85546875" style="123" customWidth="1"/>
    <col min="13" max="13" width="12.5703125" style="123" customWidth="1"/>
    <col min="14" max="14" width="9.85546875" style="123" customWidth="1"/>
    <col min="15" max="256" width="11.42578125" style="123"/>
    <col min="257" max="257" width="43.7109375" style="123" customWidth="1"/>
    <col min="258" max="268" width="9.85546875" style="123" customWidth="1"/>
    <col min="269" max="269" width="12.5703125" style="123" customWidth="1"/>
    <col min="270" max="270" width="9.85546875" style="123" customWidth="1"/>
    <col min="271" max="512" width="11.42578125" style="123"/>
    <col min="513" max="513" width="43.7109375" style="123" customWidth="1"/>
    <col min="514" max="524" width="9.85546875" style="123" customWidth="1"/>
    <col min="525" max="525" width="12.5703125" style="123" customWidth="1"/>
    <col min="526" max="526" width="9.85546875" style="123" customWidth="1"/>
    <col min="527" max="768" width="11.42578125" style="123"/>
    <col min="769" max="769" width="43.7109375" style="123" customWidth="1"/>
    <col min="770" max="780" width="9.85546875" style="123" customWidth="1"/>
    <col min="781" max="781" width="12.5703125" style="123" customWidth="1"/>
    <col min="782" max="782" width="9.85546875" style="123" customWidth="1"/>
    <col min="783" max="1024" width="11.42578125" style="123"/>
    <col min="1025" max="1025" width="43.7109375" style="123" customWidth="1"/>
    <col min="1026" max="1036" width="9.85546875" style="123" customWidth="1"/>
    <col min="1037" max="1037" width="12.5703125" style="123" customWidth="1"/>
    <col min="1038" max="1038" width="9.85546875" style="123" customWidth="1"/>
    <col min="1039" max="1280" width="11.42578125" style="123"/>
    <col min="1281" max="1281" width="43.7109375" style="123" customWidth="1"/>
    <col min="1282" max="1292" width="9.85546875" style="123" customWidth="1"/>
    <col min="1293" max="1293" width="12.5703125" style="123" customWidth="1"/>
    <col min="1294" max="1294" width="9.85546875" style="123" customWidth="1"/>
    <col min="1295" max="1536" width="11.42578125" style="123"/>
    <col min="1537" max="1537" width="43.7109375" style="123" customWidth="1"/>
    <col min="1538" max="1548" width="9.85546875" style="123" customWidth="1"/>
    <col min="1549" max="1549" width="12.5703125" style="123" customWidth="1"/>
    <col min="1550" max="1550" width="9.85546875" style="123" customWidth="1"/>
    <col min="1551" max="1792" width="11.42578125" style="123"/>
    <col min="1793" max="1793" width="43.7109375" style="123" customWidth="1"/>
    <col min="1794" max="1804" width="9.85546875" style="123" customWidth="1"/>
    <col min="1805" max="1805" width="12.5703125" style="123" customWidth="1"/>
    <col min="1806" max="1806" width="9.85546875" style="123" customWidth="1"/>
    <col min="1807" max="2048" width="11.42578125" style="123"/>
    <col min="2049" max="2049" width="43.7109375" style="123" customWidth="1"/>
    <col min="2050" max="2060" width="9.85546875" style="123" customWidth="1"/>
    <col min="2061" max="2061" width="12.5703125" style="123" customWidth="1"/>
    <col min="2062" max="2062" width="9.85546875" style="123" customWidth="1"/>
    <col min="2063" max="2304" width="11.42578125" style="123"/>
    <col min="2305" max="2305" width="43.7109375" style="123" customWidth="1"/>
    <col min="2306" max="2316" width="9.85546875" style="123" customWidth="1"/>
    <col min="2317" max="2317" width="12.5703125" style="123" customWidth="1"/>
    <col min="2318" max="2318" width="9.85546875" style="123" customWidth="1"/>
    <col min="2319" max="2560" width="11.42578125" style="123"/>
    <col min="2561" max="2561" width="43.7109375" style="123" customWidth="1"/>
    <col min="2562" max="2572" width="9.85546875" style="123" customWidth="1"/>
    <col min="2573" max="2573" width="12.5703125" style="123" customWidth="1"/>
    <col min="2574" max="2574" width="9.85546875" style="123" customWidth="1"/>
    <col min="2575" max="2816" width="11.42578125" style="123"/>
    <col min="2817" max="2817" width="43.7109375" style="123" customWidth="1"/>
    <col min="2818" max="2828" width="9.85546875" style="123" customWidth="1"/>
    <col min="2829" max="2829" width="12.5703125" style="123" customWidth="1"/>
    <col min="2830" max="2830" width="9.85546875" style="123" customWidth="1"/>
    <col min="2831" max="3072" width="11.42578125" style="123"/>
    <col min="3073" max="3073" width="43.7109375" style="123" customWidth="1"/>
    <col min="3074" max="3084" width="9.85546875" style="123" customWidth="1"/>
    <col min="3085" max="3085" width="12.5703125" style="123" customWidth="1"/>
    <col min="3086" max="3086" width="9.85546875" style="123" customWidth="1"/>
    <col min="3087" max="3328" width="11.42578125" style="123"/>
    <col min="3329" max="3329" width="43.7109375" style="123" customWidth="1"/>
    <col min="3330" max="3340" width="9.85546875" style="123" customWidth="1"/>
    <col min="3341" max="3341" width="12.5703125" style="123" customWidth="1"/>
    <col min="3342" max="3342" width="9.85546875" style="123" customWidth="1"/>
    <col min="3343" max="3584" width="11.42578125" style="123"/>
    <col min="3585" max="3585" width="43.7109375" style="123" customWidth="1"/>
    <col min="3586" max="3596" width="9.85546875" style="123" customWidth="1"/>
    <col min="3597" max="3597" width="12.5703125" style="123" customWidth="1"/>
    <col min="3598" max="3598" width="9.85546875" style="123" customWidth="1"/>
    <col min="3599" max="3840" width="11.42578125" style="123"/>
    <col min="3841" max="3841" width="43.7109375" style="123" customWidth="1"/>
    <col min="3842" max="3852" width="9.85546875" style="123" customWidth="1"/>
    <col min="3853" max="3853" width="12.5703125" style="123" customWidth="1"/>
    <col min="3854" max="3854" width="9.85546875" style="123" customWidth="1"/>
    <col min="3855" max="4096" width="11.42578125" style="123"/>
    <col min="4097" max="4097" width="43.7109375" style="123" customWidth="1"/>
    <col min="4098" max="4108" width="9.85546875" style="123" customWidth="1"/>
    <col min="4109" max="4109" width="12.5703125" style="123" customWidth="1"/>
    <col min="4110" max="4110" width="9.85546875" style="123" customWidth="1"/>
    <col min="4111" max="4352" width="11.42578125" style="123"/>
    <col min="4353" max="4353" width="43.7109375" style="123" customWidth="1"/>
    <col min="4354" max="4364" width="9.85546875" style="123" customWidth="1"/>
    <col min="4365" max="4365" width="12.5703125" style="123" customWidth="1"/>
    <col min="4366" max="4366" width="9.85546875" style="123" customWidth="1"/>
    <col min="4367" max="4608" width="11.42578125" style="123"/>
    <col min="4609" max="4609" width="43.7109375" style="123" customWidth="1"/>
    <col min="4610" max="4620" width="9.85546875" style="123" customWidth="1"/>
    <col min="4621" max="4621" width="12.5703125" style="123" customWidth="1"/>
    <col min="4622" max="4622" width="9.85546875" style="123" customWidth="1"/>
    <col min="4623" max="4864" width="11.42578125" style="123"/>
    <col min="4865" max="4865" width="43.7109375" style="123" customWidth="1"/>
    <col min="4866" max="4876" width="9.85546875" style="123" customWidth="1"/>
    <col min="4877" max="4877" width="12.5703125" style="123" customWidth="1"/>
    <col min="4878" max="4878" width="9.85546875" style="123" customWidth="1"/>
    <col min="4879" max="5120" width="11.42578125" style="123"/>
    <col min="5121" max="5121" width="43.7109375" style="123" customWidth="1"/>
    <col min="5122" max="5132" width="9.85546875" style="123" customWidth="1"/>
    <col min="5133" max="5133" width="12.5703125" style="123" customWidth="1"/>
    <col min="5134" max="5134" width="9.85546875" style="123" customWidth="1"/>
    <col min="5135" max="5376" width="11.42578125" style="123"/>
    <col min="5377" max="5377" width="43.7109375" style="123" customWidth="1"/>
    <col min="5378" max="5388" width="9.85546875" style="123" customWidth="1"/>
    <col min="5389" max="5389" width="12.5703125" style="123" customWidth="1"/>
    <col min="5390" max="5390" width="9.85546875" style="123" customWidth="1"/>
    <col min="5391" max="5632" width="11.42578125" style="123"/>
    <col min="5633" max="5633" width="43.7109375" style="123" customWidth="1"/>
    <col min="5634" max="5644" width="9.85546875" style="123" customWidth="1"/>
    <col min="5645" max="5645" width="12.5703125" style="123" customWidth="1"/>
    <col min="5646" max="5646" width="9.85546875" style="123" customWidth="1"/>
    <col min="5647" max="5888" width="11.42578125" style="123"/>
    <col min="5889" max="5889" width="43.7109375" style="123" customWidth="1"/>
    <col min="5890" max="5900" width="9.85546875" style="123" customWidth="1"/>
    <col min="5901" max="5901" width="12.5703125" style="123" customWidth="1"/>
    <col min="5902" max="5902" width="9.85546875" style="123" customWidth="1"/>
    <col min="5903" max="6144" width="11.42578125" style="123"/>
    <col min="6145" max="6145" width="43.7109375" style="123" customWidth="1"/>
    <col min="6146" max="6156" width="9.85546875" style="123" customWidth="1"/>
    <col min="6157" max="6157" width="12.5703125" style="123" customWidth="1"/>
    <col min="6158" max="6158" width="9.85546875" style="123" customWidth="1"/>
    <col min="6159" max="6400" width="11.42578125" style="123"/>
    <col min="6401" max="6401" width="43.7109375" style="123" customWidth="1"/>
    <col min="6402" max="6412" width="9.85546875" style="123" customWidth="1"/>
    <col min="6413" max="6413" width="12.5703125" style="123" customWidth="1"/>
    <col min="6414" max="6414" width="9.85546875" style="123" customWidth="1"/>
    <col min="6415" max="6656" width="11.42578125" style="123"/>
    <col min="6657" max="6657" width="43.7109375" style="123" customWidth="1"/>
    <col min="6658" max="6668" width="9.85546875" style="123" customWidth="1"/>
    <col min="6669" max="6669" width="12.5703125" style="123" customWidth="1"/>
    <col min="6670" max="6670" width="9.85546875" style="123" customWidth="1"/>
    <col min="6671" max="6912" width="11.42578125" style="123"/>
    <col min="6913" max="6913" width="43.7109375" style="123" customWidth="1"/>
    <col min="6914" max="6924" width="9.85546875" style="123" customWidth="1"/>
    <col min="6925" max="6925" width="12.5703125" style="123" customWidth="1"/>
    <col min="6926" max="6926" width="9.85546875" style="123" customWidth="1"/>
    <col min="6927" max="7168" width="11.42578125" style="123"/>
    <col min="7169" max="7169" width="43.7109375" style="123" customWidth="1"/>
    <col min="7170" max="7180" width="9.85546875" style="123" customWidth="1"/>
    <col min="7181" max="7181" width="12.5703125" style="123" customWidth="1"/>
    <col min="7182" max="7182" width="9.85546875" style="123" customWidth="1"/>
    <col min="7183" max="7424" width="11.42578125" style="123"/>
    <col min="7425" max="7425" width="43.7109375" style="123" customWidth="1"/>
    <col min="7426" max="7436" width="9.85546875" style="123" customWidth="1"/>
    <col min="7437" max="7437" width="12.5703125" style="123" customWidth="1"/>
    <col min="7438" max="7438" width="9.85546875" style="123" customWidth="1"/>
    <col min="7439" max="7680" width="11.42578125" style="123"/>
    <col min="7681" max="7681" width="43.7109375" style="123" customWidth="1"/>
    <col min="7682" max="7692" width="9.85546875" style="123" customWidth="1"/>
    <col min="7693" max="7693" width="12.5703125" style="123" customWidth="1"/>
    <col min="7694" max="7694" width="9.85546875" style="123" customWidth="1"/>
    <col min="7695" max="7936" width="11.42578125" style="123"/>
    <col min="7937" max="7937" width="43.7109375" style="123" customWidth="1"/>
    <col min="7938" max="7948" width="9.85546875" style="123" customWidth="1"/>
    <col min="7949" max="7949" width="12.5703125" style="123" customWidth="1"/>
    <col min="7950" max="7950" width="9.85546875" style="123" customWidth="1"/>
    <col min="7951" max="8192" width="11.42578125" style="123"/>
    <col min="8193" max="8193" width="43.7109375" style="123" customWidth="1"/>
    <col min="8194" max="8204" width="9.85546875" style="123" customWidth="1"/>
    <col min="8205" max="8205" width="12.5703125" style="123" customWidth="1"/>
    <col min="8206" max="8206" width="9.85546875" style="123" customWidth="1"/>
    <col min="8207" max="8448" width="11.42578125" style="123"/>
    <col min="8449" max="8449" width="43.7109375" style="123" customWidth="1"/>
    <col min="8450" max="8460" width="9.85546875" style="123" customWidth="1"/>
    <col min="8461" max="8461" width="12.5703125" style="123" customWidth="1"/>
    <col min="8462" max="8462" width="9.85546875" style="123" customWidth="1"/>
    <col min="8463" max="8704" width="11.42578125" style="123"/>
    <col min="8705" max="8705" width="43.7109375" style="123" customWidth="1"/>
    <col min="8706" max="8716" width="9.85546875" style="123" customWidth="1"/>
    <col min="8717" max="8717" width="12.5703125" style="123" customWidth="1"/>
    <col min="8718" max="8718" width="9.85546875" style="123" customWidth="1"/>
    <col min="8719" max="8960" width="11.42578125" style="123"/>
    <col min="8961" max="8961" width="43.7109375" style="123" customWidth="1"/>
    <col min="8962" max="8972" width="9.85546875" style="123" customWidth="1"/>
    <col min="8973" max="8973" width="12.5703125" style="123" customWidth="1"/>
    <col min="8974" max="8974" width="9.85546875" style="123" customWidth="1"/>
    <col min="8975" max="9216" width="11.42578125" style="123"/>
    <col min="9217" max="9217" width="43.7109375" style="123" customWidth="1"/>
    <col min="9218" max="9228" width="9.85546875" style="123" customWidth="1"/>
    <col min="9229" max="9229" width="12.5703125" style="123" customWidth="1"/>
    <col min="9230" max="9230" width="9.85546875" style="123" customWidth="1"/>
    <col min="9231" max="9472" width="11.42578125" style="123"/>
    <col min="9473" max="9473" width="43.7109375" style="123" customWidth="1"/>
    <col min="9474" max="9484" width="9.85546875" style="123" customWidth="1"/>
    <col min="9485" max="9485" width="12.5703125" style="123" customWidth="1"/>
    <col min="9486" max="9486" width="9.85546875" style="123" customWidth="1"/>
    <col min="9487" max="9728" width="11.42578125" style="123"/>
    <col min="9729" max="9729" width="43.7109375" style="123" customWidth="1"/>
    <col min="9730" max="9740" width="9.85546875" style="123" customWidth="1"/>
    <col min="9741" max="9741" width="12.5703125" style="123" customWidth="1"/>
    <col min="9742" max="9742" width="9.85546875" style="123" customWidth="1"/>
    <col min="9743" max="9984" width="11.42578125" style="123"/>
    <col min="9985" max="9985" width="43.7109375" style="123" customWidth="1"/>
    <col min="9986" max="9996" width="9.85546875" style="123" customWidth="1"/>
    <col min="9997" max="9997" width="12.5703125" style="123" customWidth="1"/>
    <col min="9998" max="9998" width="9.85546875" style="123" customWidth="1"/>
    <col min="9999" max="10240" width="11.42578125" style="123"/>
    <col min="10241" max="10241" width="43.7109375" style="123" customWidth="1"/>
    <col min="10242" max="10252" width="9.85546875" style="123" customWidth="1"/>
    <col min="10253" max="10253" width="12.5703125" style="123" customWidth="1"/>
    <col min="10254" max="10254" width="9.85546875" style="123" customWidth="1"/>
    <col min="10255" max="10496" width="11.42578125" style="123"/>
    <col min="10497" max="10497" width="43.7109375" style="123" customWidth="1"/>
    <col min="10498" max="10508" width="9.85546875" style="123" customWidth="1"/>
    <col min="10509" max="10509" width="12.5703125" style="123" customWidth="1"/>
    <col min="10510" max="10510" width="9.85546875" style="123" customWidth="1"/>
    <col min="10511" max="10752" width="11.42578125" style="123"/>
    <col min="10753" max="10753" width="43.7109375" style="123" customWidth="1"/>
    <col min="10754" max="10764" width="9.85546875" style="123" customWidth="1"/>
    <col min="10765" max="10765" width="12.5703125" style="123" customWidth="1"/>
    <col min="10766" max="10766" width="9.85546875" style="123" customWidth="1"/>
    <col min="10767" max="11008" width="11.42578125" style="123"/>
    <col min="11009" max="11009" width="43.7109375" style="123" customWidth="1"/>
    <col min="11010" max="11020" width="9.85546875" style="123" customWidth="1"/>
    <col min="11021" max="11021" width="12.5703125" style="123" customWidth="1"/>
    <col min="11022" max="11022" width="9.85546875" style="123" customWidth="1"/>
    <col min="11023" max="11264" width="11.42578125" style="123"/>
    <col min="11265" max="11265" width="43.7109375" style="123" customWidth="1"/>
    <col min="11266" max="11276" width="9.85546875" style="123" customWidth="1"/>
    <col min="11277" max="11277" width="12.5703125" style="123" customWidth="1"/>
    <col min="11278" max="11278" width="9.85546875" style="123" customWidth="1"/>
    <col min="11279" max="11520" width="11.42578125" style="123"/>
    <col min="11521" max="11521" width="43.7109375" style="123" customWidth="1"/>
    <col min="11522" max="11532" width="9.85546875" style="123" customWidth="1"/>
    <col min="11533" max="11533" width="12.5703125" style="123" customWidth="1"/>
    <col min="11534" max="11534" width="9.85546875" style="123" customWidth="1"/>
    <col min="11535" max="11776" width="11.42578125" style="123"/>
    <col min="11777" max="11777" width="43.7109375" style="123" customWidth="1"/>
    <col min="11778" max="11788" width="9.85546875" style="123" customWidth="1"/>
    <col min="11789" max="11789" width="12.5703125" style="123" customWidth="1"/>
    <col min="11790" max="11790" width="9.85546875" style="123" customWidth="1"/>
    <col min="11791" max="12032" width="11.42578125" style="123"/>
    <col min="12033" max="12033" width="43.7109375" style="123" customWidth="1"/>
    <col min="12034" max="12044" width="9.85546875" style="123" customWidth="1"/>
    <col min="12045" max="12045" width="12.5703125" style="123" customWidth="1"/>
    <col min="12046" max="12046" width="9.85546875" style="123" customWidth="1"/>
    <col min="12047" max="12288" width="11.42578125" style="123"/>
    <col min="12289" max="12289" width="43.7109375" style="123" customWidth="1"/>
    <col min="12290" max="12300" width="9.85546875" style="123" customWidth="1"/>
    <col min="12301" max="12301" width="12.5703125" style="123" customWidth="1"/>
    <col min="12302" max="12302" width="9.85546875" style="123" customWidth="1"/>
    <col min="12303" max="12544" width="11.42578125" style="123"/>
    <col min="12545" max="12545" width="43.7109375" style="123" customWidth="1"/>
    <col min="12546" max="12556" width="9.85546875" style="123" customWidth="1"/>
    <col min="12557" max="12557" width="12.5703125" style="123" customWidth="1"/>
    <col min="12558" max="12558" width="9.85546875" style="123" customWidth="1"/>
    <col min="12559" max="12800" width="11.42578125" style="123"/>
    <col min="12801" max="12801" width="43.7109375" style="123" customWidth="1"/>
    <col min="12802" max="12812" width="9.85546875" style="123" customWidth="1"/>
    <col min="12813" max="12813" width="12.5703125" style="123" customWidth="1"/>
    <col min="12814" max="12814" width="9.85546875" style="123" customWidth="1"/>
    <col min="12815" max="13056" width="11.42578125" style="123"/>
    <col min="13057" max="13057" width="43.7109375" style="123" customWidth="1"/>
    <col min="13058" max="13068" width="9.85546875" style="123" customWidth="1"/>
    <col min="13069" max="13069" width="12.5703125" style="123" customWidth="1"/>
    <col min="13070" max="13070" width="9.85546875" style="123" customWidth="1"/>
    <col min="13071" max="13312" width="11.42578125" style="123"/>
    <col min="13313" max="13313" width="43.7109375" style="123" customWidth="1"/>
    <col min="13314" max="13324" width="9.85546875" style="123" customWidth="1"/>
    <col min="13325" max="13325" width="12.5703125" style="123" customWidth="1"/>
    <col min="13326" max="13326" width="9.85546875" style="123" customWidth="1"/>
    <col min="13327" max="13568" width="11.42578125" style="123"/>
    <col min="13569" max="13569" width="43.7109375" style="123" customWidth="1"/>
    <col min="13570" max="13580" width="9.85546875" style="123" customWidth="1"/>
    <col min="13581" max="13581" width="12.5703125" style="123" customWidth="1"/>
    <col min="13582" max="13582" width="9.85546875" style="123" customWidth="1"/>
    <col min="13583" max="13824" width="11.42578125" style="123"/>
    <col min="13825" max="13825" width="43.7109375" style="123" customWidth="1"/>
    <col min="13826" max="13836" width="9.85546875" style="123" customWidth="1"/>
    <col min="13837" max="13837" width="12.5703125" style="123" customWidth="1"/>
    <col min="13838" max="13838" width="9.85546875" style="123" customWidth="1"/>
    <col min="13839" max="14080" width="11.42578125" style="123"/>
    <col min="14081" max="14081" width="43.7109375" style="123" customWidth="1"/>
    <col min="14082" max="14092" width="9.85546875" style="123" customWidth="1"/>
    <col min="14093" max="14093" width="12.5703125" style="123" customWidth="1"/>
    <col min="14094" max="14094" width="9.85546875" style="123" customWidth="1"/>
    <col min="14095" max="14336" width="11.42578125" style="123"/>
    <col min="14337" max="14337" width="43.7109375" style="123" customWidth="1"/>
    <col min="14338" max="14348" width="9.85546875" style="123" customWidth="1"/>
    <col min="14349" max="14349" width="12.5703125" style="123" customWidth="1"/>
    <col min="14350" max="14350" width="9.85546875" style="123" customWidth="1"/>
    <col min="14351" max="14592" width="11.42578125" style="123"/>
    <col min="14593" max="14593" width="43.7109375" style="123" customWidth="1"/>
    <col min="14594" max="14604" width="9.85546875" style="123" customWidth="1"/>
    <col min="14605" max="14605" width="12.5703125" style="123" customWidth="1"/>
    <col min="14606" max="14606" width="9.85546875" style="123" customWidth="1"/>
    <col min="14607" max="14848" width="11.42578125" style="123"/>
    <col min="14849" max="14849" width="43.7109375" style="123" customWidth="1"/>
    <col min="14850" max="14860" width="9.85546875" style="123" customWidth="1"/>
    <col min="14861" max="14861" width="12.5703125" style="123" customWidth="1"/>
    <col min="14862" max="14862" width="9.85546875" style="123" customWidth="1"/>
    <col min="14863" max="15104" width="11.42578125" style="123"/>
    <col min="15105" max="15105" width="43.7109375" style="123" customWidth="1"/>
    <col min="15106" max="15116" width="9.85546875" style="123" customWidth="1"/>
    <col min="15117" max="15117" width="12.5703125" style="123" customWidth="1"/>
    <col min="15118" max="15118" width="9.85546875" style="123" customWidth="1"/>
    <col min="15119" max="15360" width="11.42578125" style="123"/>
    <col min="15361" max="15361" width="43.7109375" style="123" customWidth="1"/>
    <col min="15362" max="15372" width="9.85546875" style="123" customWidth="1"/>
    <col min="15373" max="15373" width="12.5703125" style="123" customWidth="1"/>
    <col min="15374" max="15374" width="9.85546875" style="123" customWidth="1"/>
    <col min="15375" max="15616" width="11.42578125" style="123"/>
    <col min="15617" max="15617" width="43.7109375" style="123" customWidth="1"/>
    <col min="15618" max="15628" width="9.85546875" style="123" customWidth="1"/>
    <col min="15629" max="15629" width="12.5703125" style="123" customWidth="1"/>
    <col min="15630" max="15630" width="9.85546875" style="123" customWidth="1"/>
    <col min="15631" max="15872" width="11.42578125" style="123"/>
    <col min="15873" max="15873" width="43.7109375" style="123" customWidth="1"/>
    <col min="15874" max="15884" width="9.85546875" style="123" customWidth="1"/>
    <col min="15885" max="15885" width="12.5703125" style="123" customWidth="1"/>
    <col min="15886" max="15886" width="9.85546875" style="123" customWidth="1"/>
    <col min="15887" max="16128" width="11.42578125" style="123"/>
    <col min="16129" max="16129" width="43.7109375" style="123" customWidth="1"/>
    <col min="16130" max="16140" width="9.85546875" style="123" customWidth="1"/>
    <col min="16141" max="16141" width="12.5703125" style="123" customWidth="1"/>
    <col min="16142" max="16142" width="9.85546875" style="123" customWidth="1"/>
    <col min="16143" max="16384" width="11.42578125" style="123"/>
  </cols>
  <sheetData>
    <row r="1" spans="1:21" ht="28.5" x14ac:dyDescent="0.45">
      <c r="A1" s="116" t="s">
        <v>238</v>
      </c>
      <c r="B1" s="117"/>
      <c r="C1" s="117"/>
      <c r="D1" s="117"/>
      <c r="E1" s="117"/>
      <c r="F1" s="118"/>
      <c r="G1" s="119"/>
      <c r="H1" s="120"/>
      <c r="I1" s="120"/>
      <c r="J1" s="119"/>
      <c r="K1" s="120"/>
      <c r="L1" s="119"/>
      <c r="M1" s="537"/>
      <c r="N1" s="122"/>
    </row>
    <row r="2" spans="1:21" x14ac:dyDescent="0.2">
      <c r="I2" s="295"/>
      <c r="J2" s="295"/>
      <c r="K2" s="295"/>
      <c r="L2" s="295"/>
      <c r="M2" s="295"/>
      <c r="N2" s="295"/>
    </row>
    <row r="3" spans="1:21" s="255" customFormat="1" ht="15.75" x14ac:dyDescent="0.25">
      <c r="A3" s="538" t="s">
        <v>500</v>
      </c>
      <c r="B3" s="539">
        <v>2000</v>
      </c>
      <c r="C3" s="539">
        <v>2010</v>
      </c>
      <c r="D3" s="539">
        <v>2015</v>
      </c>
      <c r="E3" s="539">
        <v>2020</v>
      </c>
      <c r="F3" s="539">
        <v>2025</v>
      </c>
      <c r="G3" s="539">
        <v>2030</v>
      </c>
      <c r="H3" s="539">
        <v>2035</v>
      </c>
      <c r="I3" s="295"/>
      <c r="J3" s="295"/>
      <c r="K3" s="295"/>
      <c r="L3" s="295"/>
      <c r="M3" s="295"/>
      <c r="N3" s="295"/>
    </row>
    <row r="4" spans="1:21" s="255" customFormat="1" x14ac:dyDescent="0.2">
      <c r="A4" s="540"/>
      <c r="B4" s="541"/>
      <c r="C4" s="541"/>
      <c r="D4" s="541"/>
      <c r="E4" s="542"/>
      <c r="F4" s="542"/>
      <c r="G4" s="542"/>
      <c r="H4" s="542"/>
      <c r="I4" s="295"/>
      <c r="J4" s="295"/>
      <c r="K4" s="295"/>
      <c r="L4" s="295"/>
      <c r="M4" s="295"/>
      <c r="N4" s="295"/>
    </row>
    <row r="5" spans="1:21" s="255" customFormat="1" x14ac:dyDescent="0.2">
      <c r="A5" s="356" t="s">
        <v>501</v>
      </c>
      <c r="B5" s="269" t="s">
        <v>502</v>
      </c>
      <c r="C5" s="543">
        <v>0.12501364820012251</v>
      </c>
      <c r="D5" s="543">
        <v>0.15696880181632039</v>
      </c>
      <c r="E5" s="543">
        <v>0.1805360611528207</v>
      </c>
      <c r="F5" s="543">
        <v>0.19809951570494178</v>
      </c>
      <c r="G5" s="543">
        <v>0.20964926417294949</v>
      </c>
      <c r="H5" s="543">
        <v>0.22004009381531939</v>
      </c>
      <c r="I5" s="295"/>
      <c r="J5" s="295"/>
      <c r="K5" s="295"/>
      <c r="L5" s="295"/>
      <c r="M5" s="295"/>
      <c r="N5" s="295"/>
      <c r="T5" s="292"/>
      <c r="U5" s="293"/>
    </row>
    <row r="6" spans="1:21" s="255" customFormat="1" x14ac:dyDescent="0.2">
      <c r="A6" s="356" t="s">
        <v>503</v>
      </c>
      <c r="B6" s="269" t="s">
        <v>502</v>
      </c>
      <c r="C6" s="543">
        <v>0.13570479423449766</v>
      </c>
      <c r="D6" s="543">
        <v>0.16670142908442903</v>
      </c>
      <c r="E6" s="543">
        <v>0.19926455165740065</v>
      </c>
      <c r="F6" s="543">
        <v>0.23887997247031634</v>
      </c>
      <c r="G6" s="543">
        <v>0.26129504539645176</v>
      </c>
      <c r="H6" s="543">
        <v>0.2894346873816771</v>
      </c>
      <c r="I6" s="295"/>
      <c r="J6" s="295"/>
      <c r="K6" s="295"/>
      <c r="L6" s="295"/>
      <c r="M6" s="295"/>
      <c r="N6" s="295"/>
    </row>
    <row r="7" spans="1:21" s="255" customFormat="1" x14ac:dyDescent="0.2">
      <c r="A7" s="356" t="s">
        <v>504</v>
      </c>
      <c r="B7" s="269" t="s">
        <v>502</v>
      </c>
      <c r="C7" s="543">
        <v>0.14346344034442834</v>
      </c>
      <c r="D7" s="543">
        <v>0.18021161842680508</v>
      </c>
      <c r="E7" s="543">
        <v>0.21403661367388083</v>
      </c>
      <c r="F7" s="543">
        <v>0.25329669407140659</v>
      </c>
      <c r="G7" s="543">
        <v>0.2735645201948278</v>
      </c>
      <c r="H7" s="543">
        <v>0.2992205260115634</v>
      </c>
      <c r="I7" s="295"/>
      <c r="J7" s="295"/>
      <c r="K7" s="295"/>
      <c r="L7" s="295"/>
      <c r="M7" s="295"/>
      <c r="N7" s="295"/>
    </row>
    <row r="8" spans="1:21" s="255" customFormat="1" x14ac:dyDescent="0.2">
      <c r="A8" s="356" t="s">
        <v>505</v>
      </c>
      <c r="B8" s="269" t="s">
        <v>502</v>
      </c>
      <c r="C8" s="544">
        <v>-1.1605415860735935E-3</v>
      </c>
      <c r="D8" s="544">
        <v>-7.2724135910177123E-3</v>
      </c>
      <c r="E8" s="544">
        <v>-6.5154563299973933E-3</v>
      </c>
      <c r="F8" s="544">
        <v>-8.0992096147121106E-3</v>
      </c>
      <c r="G8" s="544">
        <v>-9.0030298435738176E-3</v>
      </c>
      <c r="H8" s="544">
        <v>-5.4138620743193755E-3</v>
      </c>
      <c r="I8" s="295"/>
      <c r="J8" s="295"/>
      <c r="K8" s="295"/>
      <c r="L8" s="295"/>
      <c r="M8" s="295"/>
      <c r="N8" s="295"/>
      <c r="U8" s="293"/>
    </row>
    <row r="9" spans="1:21" s="255" customFormat="1" x14ac:dyDescent="0.2">
      <c r="A9" s="540"/>
      <c r="C9" s="545"/>
      <c r="D9" s="545"/>
      <c r="E9" s="545"/>
      <c r="F9" s="545"/>
      <c r="G9" s="545"/>
      <c r="H9" s="545"/>
      <c r="I9" s="295"/>
      <c r="J9" s="295"/>
      <c r="K9" s="295"/>
      <c r="L9" s="295"/>
      <c r="M9" s="295"/>
      <c r="N9" s="295"/>
      <c r="U9" s="293"/>
    </row>
    <row r="10" spans="1:21" s="255" customFormat="1" x14ac:dyDescent="0.2">
      <c r="A10" s="540"/>
      <c r="C10" s="545"/>
      <c r="D10" s="545"/>
      <c r="E10" s="545"/>
      <c r="F10" s="545"/>
      <c r="G10" s="545"/>
      <c r="H10" s="545"/>
      <c r="I10" s="295"/>
      <c r="J10" s="295"/>
      <c r="K10" s="295"/>
      <c r="L10" s="295"/>
      <c r="M10" s="295"/>
      <c r="N10" s="295"/>
      <c r="U10" s="293"/>
    </row>
    <row r="11" spans="1:21" s="255" customFormat="1" ht="15.75" x14ac:dyDescent="0.25">
      <c r="A11" s="538" t="s">
        <v>506</v>
      </c>
      <c r="B11" s="539"/>
      <c r="C11" s="539">
        <v>2010</v>
      </c>
      <c r="D11" s="539">
        <v>2015</v>
      </c>
      <c r="E11" s="539">
        <v>2020</v>
      </c>
      <c r="F11" s="539">
        <v>2025</v>
      </c>
      <c r="G11" s="539">
        <v>2030</v>
      </c>
      <c r="H11" s="539">
        <v>2035</v>
      </c>
      <c r="I11" s="295"/>
      <c r="J11" s="295"/>
      <c r="K11" s="295"/>
      <c r="L11" s="295"/>
      <c r="M11" s="295"/>
      <c r="N11" s="295"/>
      <c r="U11" s="293"/>
    </row>
    <row r="12" spans="1:21" s="255" customFormat="1" x14ac:dyDescent="0.2">
      <c r="A12" s="540" t="s">
        <v>507</v>
      </c>
      <c r="B12" s="255">
        <v>155.1</v>
      </c>
      <c r="C12" s="545"/>
      <c r="D12" s="545"/>
      <c r="E12" s="545"/>
      <c r="F12" s="545"/>
      <c r="G12" s="545"/>
      <c r="H12" s="545"/>
      <c r="I12" s="295"/>
      <c r="J12" s="295"/>
      <c r="K12" s="295"/>
      <c r="L12" s="295"/>
      <c r="M12" s="295"/>
      <c r="N12" s="295"/>
      <c r="U12" s="293"/>
    </row>
    <row r="13" spans="1:21" s="255" customFormat="1" x14ac:dyDescent="0.2">
      <c r="A13" s="540"/>
      <c r="C13" s="545"/>
      <c r="D13" s="545"/>
      <c r="E13" s="545"/>
      <c r="F13" s="545"/>
      <c r="G13" s="545"/>
      <c r="H13" s="545"/>
      <c r="I13" s="295"/>
      <c r="J13" s="295"/>
      <c r="K13" s="295"/>
      <c r="L13" s="295"/>
      <c r="M13" s="295"/>
      <c r="N13" s="295"/>
      <c r="U13" s="293"/>
    </row>
    <row r="14" spans="1:21" s="255" customFormat="1" x14ac:dyDescent="0.2">
      <c r="A14" s="540" t="s">
        <v>508</v>
      </c>
      <c r="C14" s="546">
        <v>0.65</v>
      </c>
      <c r="D14" s="546">
        <v>1.32</v>
      </c>
      <c r="E14" s="546">
        <v>1.48</v>
      </c>
      <c r="F14" s="546">
        <v>1.64</v>
      </c>
      <c r="G14" s="546">
        <v>1.76</v>
      </c>
      <c r="H14" s="546">
        <v>1.88</v>
      </c>
      <c r="I14" s="295"/>
      <c r="J14" s="295"/>
      <c r="K14" s="295"/>
      <c r="L14" s="295"/>
      <c r="M14" s="295"/>
      <c r="N14" s="295"/>
      <c r="U14" s="293"/>
    </row>
    <row r="15" spans="1:21" x14ac:dyDescent="0.2">
      <c r="A15" s="540"/>
      <c r="B15" s="255"/>
      <c r="C15" s="547"/>
      <c r="D15" s="543"/>
      <c r="E15" s="543"/>
      <c r="F15" s="543"/>
      <c r="G15" s="543"/>
      <c r="H15" s="543"/>
      <c r="I15" s="295"/>
      <c r="J15" s="295"/>
      <c r="K15" s="295"/>
      <c r="L15" s="295"/>
      <c r="M15" s="295"/>
      <c r="N15" s="295"/>
    </row>
    <row r="16" spans="1:21" x14ac:dyDescent="0.2">
      <c r="A16" s="540" t="s">
        <v>509</v>
      </c>
      <c r="B16" s="255"/>
      <c r="C16" s="548">
        <v>77.158094858632793</v>
      </c>
      <c r="D16" s="548">
        <v>98.087776266624957</v>
      </c>
      <c r="E16" s="548">
        <v>119.16940810256247</v>
      </c>
      <c r="F16" s="548">
        <v>143.46889833693749</v>
      </c>
      <c r="G16" s="548">
        <v>157.83417861037498</v>
      </c>
      <c r="H16" s="548">
        <v>177.00026064162498</v>
      </c>
      <c r="I16" s="295"/>
      <c r="J16" s="295"/>
      <c r="K16" s="295"/>
      <c r="L16" s="295"/>
      <c r="M16" s="295"/>
      <c r="N16" s="295"/>
    </row>
    <row r="17" spans="1:14" x14ac:dyDescent="0.2">
      <c r="A17" s="540" t="s">
        <v>510</v>
      </c>
      <c r="B17" s="255"/>
      <c r="C17" s="548">
        <v>84.158094858632793</v>
      </c>
      <c r="D17" s="548">
        <v>105.08777626662496</v>
      </c>
      <c r="E17" s="548">
        <v>126.16940810256247</v>
      </c>
      <c r="F17" s="548">
        <v>150.46889833693749</v>
      </c>
      <c r="G17" s="548">
        <v>164.83417861037498</v>
      </c>
      <c r="H17" s="548">
        <v>177.00026064162498</v>
      </c>
      <c r="I17" s="295"/>
      <c r="J17" s="295"/>
      <c r="K17" s="295"/>
      <c r="L17" s="295"/>
      <c r="M17" s="295"/>
      <c r="N17" s="295"/>
    </row>
    <row r="18" spans="1:14" x14ac:dyDescent="0.2">
      <c r="A18" s="123" t="s">
        <v>511</v>
      </c>
      <c r="C18" s="549">
        <v>7</v>
      </c>
      <c r="D18" s="549">
        <v>7</v>
      </c>
      <c r="E18" s="549">
        <v>7</v>
      </c>
      <c r="F18" s="549">
        <v>7</v>
      </c>
      <c r="G18" s="549">
        <v>7</v>
      </c>
      <c r="H18" s="549">
        <v>7</v>
      </c>
    </row>
    <row r="19" spans="1:14" x14ac:dyDescent="0.2">
      <c r="A19" s="123" t="s">
        <v>512</v>
      </c>
      <c r="C19" s="550">
        <v>568.57309495863296</v>
      </c>
      <c r="D19" s="550">
        <v>588.40393154006244</v>
      </c>
      <c r="E19" s="550">
        <v>598.04620094924212</v>
      </c>
      <c r="F19" s="550">
        <v>600.589898153832</v>
      </c>
      <c r="G19" s="550">
        <v>604.04581484084383</v>
      </c>
      <c r="H19" s="550">
        <v>611.53782997756241</v>
      </c>
    </row>
    <row r="20" spans="1:14" x14ac:dyDescent="0.2">
      <c r="A20" s="123" t="s">
        <v>513</v>
      </c>
      <c r="C20" s="550">
        <v>93.458360220260786</v>
      </c>
      <c r="D20" s="550">
        <v>96.15564691582469</v>
      </c>
      <c r="E20" s="550">
        <v>98.606981274867906</v>
      </c>
      <c r="F20" s="550">
        <v>100.03586868519955</v>
      </c>
      <c r="G20" s="550">
        <v>100.98300364339435</v>
      </c>
      <c r="H20" s="550">
        <v>102.26570224177394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Sankey 2035</vt:lpstr>
      <vt:lpstr>Cibles THREEME</vt:lpstr>
      <vt:lpstr>FLUX 2015</vt:lpstr>
      <vt:lpstr>FLUX 2020</vt:lpstr>
      <vt:lpstr>FLUX 2025</vt:lpstr>
      <vt:lpstr>FLUX 2030</vt:lpstr>
      <vt:lpstr>FLUX 2035</vt:lpstr>
      <vt:lpstr>bilan complet</vt:lpstr>
      <vt:lpstr>électricité</vt:lpstr>
      <vt:lpstr>scenario demande</vt:lpstr>
      <vt:lpstr>Réseaux de chaleur</vt:lpstr>
      <vt:lpstr>indicateurs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MEUNIER Laurent</dc:creator>
  <cp:lastModifiedBy>CALLONNEC Gaël</cp:lastModifiedBy>
  <cp:lastPrinted>2013-04-25T09:27:42Z</cp:lastPrinted>
  <dcterms:created xsi:type="dcterms:W3CDTF">2013-03-21T08:07:58Z</dcterms:created>
  <dcterms:modified xsi:type="dcterms:W3CDTF">2016-12-21T16:03:12Z</dcterms:modified>
</cp:coreProperties>
</file>